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showInkAnnotation="0" autoCompressPictures="0"/>
  <mc:AlternateContent xmlns:mc="http://schemas.openxmlformats.org/markup-compatibility/2006">
    <mc:Choice Requires="x15">
      <x15ac:absPath xmlns:x15ac="http://schemas.microsoft.com/office/spreadsheetml/2010/11/ac" url="https://questionmarkgroup.sharepoint.com/sites/Schoonmaak/Gedeelde documenten/General/Projecten algemeen/In behandeling/GVB/2. Vanaf 2018/1. Mobiliteit Stations/0. Aanbesteding specialistisch 2024/Aanbestedingsdocumenten/Calculatie/"/>
    </mc:Choice>
  </mc:AlternateContent>
  <xr:revisionPtr revIDLastSave="151" documentId="8_{72BAE893-104A-43F4-B262-2BC46E30C852}" xr6:coauthVersionLast="47" xr6:coauthVersionMax="47" xr10:uidLastSave="{616CE2BF-61D2-42B6-BCC2-6FB1CC56070A}"/>
  <bookViews>
    <workbookView xWindow="28680" yWindow="-120" windowWidth="29040" windowHeight="15720" tabRatio="777" xr2:uid="{BCA24956-64CF-4227-ACDB-DEE8FFB0AC4E}"/>
  </bookViews>
  <sheets>
    <sheet name="1-Inschrijfstaat" sheetId="38" r:id="rId1"/>
    <sheet name="2-Kosten per locatie" sheetId="39" r:id="rId2"/>
    <sheet name="3-Ruimtestaat" sheetId="2" r:id="rId3"/>
    <sheet name="4-Reinigen vloeren" sheetId="43" r:id="rId4"/>
    <sheet name="5-Aanvullend" sheetId="44" r:id="rId5"/>
    <sheet name="6-Liftbodems" sheetId="71" r:id="rId6"/>
    <sheet name="7-Geveldelen  en wanden" sheetId="64" r:id="rId7"/>
    <sheet name="8a-Glasstaat" sheetId="69" r:id="rId8"/>
    <sheet name="8b-Glas kosten totaal" sheetId="68" r:id="rId9"/>
    <sheet name="9-Machinekosten" sheetId="46" r:id="rId10"/>
    <sheet name="10a-Periodieke beurt" sheetId="50" r:id="rId11"/>
    <sheet name="10b-Bereikbaarheidsvoorz." sheetId="76" r:id="rId12"/>
    <sheet name="11a- Afroepprijs graffiti" sheetId="77" r:id="rId13"/>
    <sheet name="11b- Afroepprijs Algemeen" sheetId="48" r:id="rId14"/>
    <sheet name="11c-Afroep Kap Bijlmer" sheetId="67" r:id="rId15"/>
    <sheet name="11c-Afroep RVS kraaiennest" sheetId="82" r:id="rId16"/>
    <sheet name="12-Gelijkrichter stations" sheetId="72" r:id="rId17"/>
    <sheet name="13- Technischeruimten" sheetId="73" r:id="rId18"/>
    <sheet name="14-Premies en opslagen" sheetId="80" r:id="rId19"/>
    <sheet name="15-Opbouw uurtarieven" sheetId="81" r:id="rId20"/>
    <sheet name="15a-Onderbouwing basis uurloon" sheetId="83" r:id="rId21"/>
    <sheet name="16-Sanitaire voorzieningen" sheetId="78"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0" localSheetId="15">[1]Begroting!#REF!</definedName>
    <definedName name="\0">[1]Begroting!#REF!</definedName>
    <definedName name="\1" localSheetId="15">#REF!</definedName>
    <definedName name="\1">#REF!</definedName>
    <definedName name="\A" localSheetId="15">#REF!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M">[1]Begroting!#REF!</definedName>
    <definedName name="\N">#REF!</definedName>
    <definedName name="\P">[1]Begroting!#REF!</definedName>
    <definedName name="\S">'[2]B-1'!#REF!</definedName>
    <definedName name="\W">[1]Begroting!#REF!</definedName>
    <definedName name="\X">#REF!</definedName>
    <definedName name="_" hidden="1">[3]Blad1!#REF!</definedName>
    <definedName name="______pv2003">[4]prijsopbouw!$O$19</definedName>
    <definedName name="______pv2004">#REF!</definedName>
    <definedName name="_____pv2003">[4]prijsopbouw!$O$19</definedName>
    <definedName name="_____pv2004">#REF!</definedName>
    <definedName name="____DAT1">#REF!</definedName>
    <definedName name="____DAT10">#REF!</definedName>
    <definedName name="____DAT11">#REF!</definedName>
    <definedName name="____DAT12">#REF!</definedName>
    <definedName name="____DAT13">#REF!</definedName>
    <definedName name="____DAT14">#REF!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pv2003">[4]prijsopbouw!$O$19</definedName>
    <definedName name="____pv2004">#REF!</definedName>
    <definedName name="___DAT1">#REF!</definedName>
    <definedName name="___DAT10">#REF!</definedName>
    <definedName name="___DAT11">#REF!</definedName>
    <definedName name="___DAT12">#REF!</definedName>
    <definedName name="___DAT13">#REF!</definedName>
    <definedName name="___DAT14">#REF!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v2003">[4]prijsopbouw!$O$19</definedName>
    <definedName name="___pv2004">#REF!</definedName>
    <definedName name="__123Graph_A" hidden="1">'[5]Offerteformulier 1'!#REF!</definedName>
    <definedName name="__123Graph_B" hidden="1">'[6]Labour Costs'!#REF!</definedName>
    <definedName name="__1F" hidden="1">[3]Psychiatrie!#REF!</definedName>
    <definedName name="__2_0_F" hidden="1">[3]Psychiatrie!#REF!</definedName>
    <definedName name="__3F" hidden="1">[3]Psychiatrie!#REF!</definedName>
    <definedName name="__DAT1">#REF!</definedName>
    <definedName name="__DAT10">#REF!</definedName>
    <definedName name="__DAT11">#REF!</definedName>
    <definedName name="__DAT12">#REF!</definedName>
    <definedName name="__DAT13">#REF!</definedName>
    <definedName name="__DAT14">#REF!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pv2003">[4]prijsopbouw!$O$19</definedName>
    <definedName name="__pv2004">#REF!</definedName>
    <definedName name="_1">[1]Begroting!#REF!</definedName>
    <definedName name="_1_________F" hidden="1">[3]Psychiatrie!#REF!</definedName>
    <definedName name="_1_0_F" hidden="1">[3]Blad1!#REF!</definedName>
    <definedName name="_10">[1]Begroting!#REF!</definedName>
    <definedName name="_10_0_F" hidden="1">[3]Psychiatrie!#REF!</definedName>
    <definedName name="_100">[7]Begroting!#REF!</definedName>
    <definedName name="_1011.1">#REF!</definedName>
    <definedName name="_11">[1]Begroting!#REF!</definedName>
    <definedName name="_11_0_F" hidden="1">[3]Blad1!#REF!</definedName>
    <definedName name="_11F" hidden="1">[3]Blad1!#REF!</definedName>
    <definedName name="_12">[1]Begroting!#REF!</definedName>
    <definedName name="_125">[8]Begroting!#REF!</definedName>
    <definedName name="_13">[1]Begroting!#REF!</definedName>
    <definedName name="_13F" hidden="1">[3]Psychiatrie!#REF!</definedName>
    <definedName name="_14">[1]Begroting!#REF!</definedName>
    <definedName name="_14_0_F" hidden="1">[3]Psychiatrie!#REF!</definedName>
    <definedName name="_15">[1]Begroting!#REF!</definedName>
    <definedName name="_15_0_F" hidden="1">[3]Blad1!#REF!</definedName>
    <definedName name="_16">[1]Begroting!#REF!</definedName>
    <definedName name="_16_0_F" hidden="1">[3]Psychiatrie!#REF!</definedName>
    <definedName name="_17">[1]Begroting!#REF!</definedName>
    <definedName name="_18">[1]Begroting!#REF!</definedName>
    <definedName name="_19">[1]Begroting!#REF!</definedName>
    <definedName name="_191">[9]Begroting!#REF!</definedName>
    <definedName name="_1F" hidden="1">[3]Psychiatrie!#REF!</definedName>
    <definedName name="_2">[1]Begroting!#REF!</definedName>
    <definedName name="_2_______0_F" hidden="1">[3]Psychiatrie!#REF!</definedName>
    <definedName name="_2_0_F" hidden="1">[3]Psychiatrie!#REF!</definedName>
    <definedName name="_20">[1]Begroting!#REF!</definedName>
    <definedName name="_20_0_F" hidden="1">[10]Kengetallen!#REF!</definedName>
    <definedName name="_21">[1]Begroting!#REF!</definedName>
    <definedName name="_22">[1]Begroting!#REF!</definedName>
    <definedName name="_23">[1]Begroting!#REF!</definedName>
    <definedName name="_2F" hidden="1">[3]Blad1!#REF!</definedName>
    <definedName name="_3">[1]Begroting!#REF!</definedName>
    <definedName name="_3_0_F" hidden="1">[3]Blad1!#REF!</definedName>
    <definedName name="_36_0_F" hidden="1">[3]Blad1!#REF!</definedName>
    <definedName name="_37_0_F" hidden="1">[3]Blad1!#REF!</definedName>
    <definedName name="_3F" hidden="1">[3]Psychiatrie!#REF!</definedName>
    <definedName name="_4">[1]Begroting!#REF!</definedName>
    <definedName name="_4_0_F" hidden="1">[3]Blad1!#REF!</definedName>
    <definedName name="_4F" hidden="1">[3]Blad1!#REF!</definedName>
    <definedName name="_5">[1]Begroting!#REF!</definedName>
    <definedName name="_5_0_F" hidden="1">[3]Psychiatrie!#REF!</definedName>
    <definedName name="_5F" hidden="1">[3]Psychiatrie!#REF!</definedName>
    <definedName name="_6">[1]Begroting!#REF!</definedName>
    <definedName name="_6_0_F" hidden="1">[3]Psychiatrie!#REF!</definedName>
    <definedName name="_7">[1]Begroting!#REF!</definedName>
    <definedName name="_7_0_F" hidden="1">[3]Psychiatrie!#REF!</definedName>
    <definedName name="_7F" hidden="1">[3]Psychiatrie!#REF!</definedName>
    <definedName name="_8">[1]Begroting!#REF!</definedName>
    <definedName name="_8_0_F" hidden="1">[3]Psychiatrie!#REF!</definedName>
    <definedName name="_8F" hidden="1">[3]Blad1!#REF!</definedName>
    <definedName name="_9">[1]Begroting!#REF!</definedName>
    <definedName name="_9_0_F" hidden="1">[10]Kengetallen!#REF!</definedName>
    <definedName name="_9F" hidden="1">[3]Blad1!#REF!</definedName>
    <definedName name="_BAY1">[11]BudAssum!$C$5</definedName>
    <definedName name="_BAY2">[11]BudAssum!$D$5</definedName>
    <definedName name="_BAY3">[11]BudAssum!$E$5</definedName>
    <definedName name="_BAY4">[11]BudAssum!$F$5</definedName>
    <definedName name="_BAY5">[11]BudAssum!$G$5</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Bin" hidden="1">#REF!</definedName>
    <definedName name="_Dist_Values" hidden="1">#REF!</definedName>
    <definedName name="_FDY1">'[11]Fin Input'!$C$426</definedName>
    <definedName name="_FDY2">'[11]Fin Input'!$D$426</definedName>
    <definedName name="_FDY3">'[11]Fin Input'!$E$426</definedName>
    <definedName name="_FDY4">'[11]Fin Input'!$F$426</definedName>
    <definedName name="_FDY5">'[11]Fin Input'!$G$426</definedName>
    <definedName name="_Fill" localSheetId="14" hidden="1">'[12]#REF'!#REF!</definedName>
    <definedName name="_Fill" localSheetId="15" hidden="1">'[12]#REF'!#REF!</definedName>
    <definedName name="_Fill" localSheetId="21" hidden="1">'[12]#REF'!#REF!</definedName>
    <definedName name="_Fill" localSheetId="5" hidden="1">'[12]#REF'!#REF!</definedName>
    <definedName name="_Fill" localSheetId="6" hidden="1">'[12]#REF'!#REF!</definedName>
    <definedName name="_Fill" hidden="1">'[12]#REF'!#REF!</definedName>
    <definedName name="_fill2" hidden="1">[3]Blad1!#REF!</definedName>
    <definedName name="_filll" hidden="1">'[13]#REF'!#REF!</definedName>
    <definedName name="_xlnm._FilterDatabase" localSheetId="10" hidden="1">'10a-Periodieke beurt'!$A$18:$Y$18</definedName>
    <definedName name="_xlnm._FilterDatabase" localSheetId="11" hidden="1">'10b-Bereikbaarheidsvoorz.'!$A$13:$H$65</definedName>
    <definedName name="_xlnm._FilterDatabase" localSheetId="15">#REF!</definedName>
    <definedName name="_xlnm._FilterDatabase" localSheetId="16" hidden="1">'12-Gelijkrichter stations'!$A$42:$M$207</definedName>
    <definedName name="_xlnm._FilterDatabase" localSheetId="17" hidden="1">'13- Technischeruimten'!$A$55:$J$381</definedName>
    <definedName name="_xlnm._FilterDatabase" localSheetId="1" hidden="1">'2-Kosten per locatie'!$A$12:$O$88</definedName>
    <definedName name="_xlnm._FilterDatabase" localSheetId="2" hidden="1">'3-Ruimtestaat'!$A$10:$T$902</definedName>
    <definedName name="_xlnm._FilterDatabase" localSheetId="3" hidden="1">'4-Reinigen vloeren'!$A$18:$O$37</definedName>
    <definedName name="_xlnm._FilterDatabase" localSheetId="4" hidden="1">'5-Aanvullend'!$A$15:$K$42</definedName>
    <definedName name="_xlnm._FilterDatabase" localSheetId="5" hidden="1">'6-Liftbodems'!$A$15:$V$54</definedName>
    <definedName name="_xlnm._FilterDatabase" localSheetId="6" hidden="1">'7-Geveldelen  en wanden'!$A$16:$O$40</definedName>
    <definedName name="_xlnm._FilterDatabase" localSheetId="7" hidden="1">'8a-Glasstaat'!$A$12:$R$605</definedName>
    <definedName name="_xlnm._FilterDatabase" localSheetId="8" hidden="1">'8b-Glas kosten totaal'!$A$11:$M$72</definedName>
    <definedName name="_xlnm._FilterDatabase">#REF!</definedName>
    <definedName name="_frq47" localSheetId="15">[14]Legenda!#REF!</definedName>
    <definedName name="_frq47">[14]Legenda!#REF!</definedName>
    <definedName name="_fte1">[15]data!$B$1:$C$65536</definedName>
    <definedName name="_IY1">'[11]Fin Input'!$C$5</definedName>
    <definedName name="_IY2">'[11]Fin Input'!$D$5</definedName>
    <definedName name="_IY3">'[11]Fin Input'!$E$5</definedName>
    <definedName name="_IY4">'[11]Fin Input'!$F$5</definedName>
    <definedName name="_IY5">'[11]Fin Input'!$G$5</definedName>
    <definedName name="_Key1" localSheetId="14" hidden="1">'[12]#REF'!#REF!</definedName>
    <definedName name="_Key1" localSheetId="15" hidden="1">'[12]#REF'!#REF!</definedName>
    <definedName name="_Key1" localSheetId="21" hidden="1">'[12]#REF'!#REF!</definedName>
    <definedName name="_Key1" localSheetId="5" hidden="1">'[12]#REF'!#REF!</definedName>
    <definedName name="_Key1" localSheetId="6" hidden="1">'[12]#REF'!#REF!</definedName>
    <definedName name="_Key1" hidden="1">'[12]#REF'!#REF!</definedName>
    <definedName name="_Key2" localSheetId="15" hidden="1">#REF!</definedName>
    <definedName name="_Key2" hidden="1">#REF!</definedName>
    <definedName name="_Key3" localSheetId="15" hidden="1">#REF!</definedName>
    <definedName name="_Key3" hidden="1">#REF!</definedName>
    <definedName name="_Order1" hidden="1">255</definedName>
    <definedName name="_Order2" hidden="1">255</definedName>
    <definedName name="_PAG1" localSheetId="15">'[2]B-1'!#REF!</definedName>
    <definedName name="_PAG1">'[2]B-1'!#REF!</definedName>
    <definedName name="_PAG2" localSheetId="15">'[2]B-1'!#REF!</definedName>
    <definedName name="_PAG2">'[2]B-1'!#REF!</definedName>
    <definedName name="_PAG3" localSheetId="15">'[2]B-1'!#REF!</definedName>
    <definedName name="_PAG3">'[2]B-1'!#REF!</definedName>
    <definedName name="_pv2003">[4]prijsopbouw!$O$19</definedName>
    <definedName name="_pv2004">#REF!</definedName>
    <definedName name="_sch10">#REF!</definedName>
    <definedName name="_sch11">#REF!</definedName>
    <definedName name="_sch20">#REF!</definedName>
    <definedName name="_sch21">#REF!</definedName>
    <definedName name="_sch22">#REF!</definedName>
    <definedName name="_sch23">#REF!</definedName>
    <definedName name="_sch24">#REF!</definedName>
    <definedName name="_sch31">#REF!</definedName>
    <definedName name="_sch32">#REF!</definedName>
    <definedName name="_sch33">#REF!</definedName>
    <definedName name="_sch34">#REF!</definedName>
    <definedName name="_sch35">#REF!</definedName>
    <definedName name="_sch41">#REF!</definedName>
    <definedName name="_sch42">#REF!</definedName>
    <definedName name="_sch43">#REF!</definedName>
    <definedName name="_sch44">#REF!</definedName>
    <definedName name="_sch45">#REF!</definedName>
    <definedName name="_sch51">#REF!</definedName>
    <definedName name="_sch52">#REF!</definedName>
    <definedName name="_sch61">#REF!</definedName>
    <definedName name="_sch62">#REF!</definedName>
    <definedName name="_sch63">#REF!</definedName>
    <definedName name="_sch64">#REF!</definedName>
    <definedName name="_Sort" hidden="1">#REF!</definedName>
    <definedName name="_Sort2" hidden="1">#REF!</definedName>
    <definedName name="_Table1_In1" localSheetId="21" hidden="1">#REF!</definedName>
    <definedName name="_Table1_In1" localSheetId="5" hidden="1">#REF!</definedName>
    <definedName name="_Table1_In1" hidden="1">#REF!</definedName>
    <definedName name="_Table1_Out" localSheetId="21" hidden="1">#REF!</definedName>
    <definedName name="_Table1_Out" hidden="1">#REF!</definedName>
    <definedName name="a">[16]Prijsbladen!$D$444</definedName>
    <definedName name="a_nodig" localSheetId="15">#REF!</definedName>
    <definedName name="a_nodig">#REF!</definedName>
    <definedName name="aaa" localSheetId="15">#REF!</definedName>
    <definedName name="aaa">#REF!</definedName>
    <definedName name="Aanneemsomxyz" localSheetId="15" hidden="1">[3]Blad1!#REF!</definedName>
    <definedName name="Aanneemsomxyz" hidden="1">[3]Blad1!#REF!</definedName>
    <definedName name="aannemer">'[17]basisgegevens aannemer'!$C$3</definedName>
    <definedName name="AanpassingScriptFAQ" localSheetId="15">#REF!</definedName>
    <definedName name="AanpassingScriptFAQ">#REF!</definedName>
    <definedName name="AanpassingScriptHIP" localSheetId="15">#REF!</definedName>
    <definedName name="AanpassingScriptHIP">#REF!</definedName>
    <definedName name="aantal_niet_gebruikt">[18]Programma_check!$Y$1</definedName>
    <definedName name="AardWerk">[19]Frequnetie!$A$3:$B$27</definedName>
    <definedName name="AccessDatabase" hidden="1">"C:\data\excel\BASISWP.mdb"</definedName>
    <definedName name="Additioneel" hidden="1">'[20]#REF'!#REF!</definedName>
    <definedName name="Adj_CBIII">'[11]Value of Customer Contracts'!#REF!</definedName>
    <definedName name="Adj_LossRates">'[11]Value of Customer Contracts'!#REF!</definedName>
    <definedName name="Adj_TO">'[11]Value of Customer Contracts'!#REF!</definedName>
    <definedName name="Adjustments" localSheetId="15">#REF!</definedName>
    <definedName name="Adjustments">#REF!</definedName>
    <definedName name="AdjWACC" localSheetId="15">#REF!</definedName>
    <definedName name="AdjWACC">#REF!</definedName>
    <definedName name="adm" localSheetId="15">[21]Basisgegevens!#REF!</definedName>
    <definedName name="adm">[21]Basisgegevens!#REF!</definedName>
    <definedName name="administratie">[22]Basisgegevens!$E$66</definedName>
    <definedName name="adres">'[23]OBJECT '!$B$8</definedName>
    <definedName name="Afdeling_add" localSheetId="15">#REF!</definedName>
    <definedName name="Afdeling_add">#REF!</definedName>
    <definedName name="_xlnm.Print_Area" localSheetId="10">'10a-Periodieke beurt'!$A$1:$R$69</definedName>
    <definedName name="_xlnm.Print_Area" localSheetId="11">'10b-Bereikbaarheidsvoorz.'!$A$1:$H$68</definedName>
    <definedName name="_xlnm.Print_Area" localSheetId="15">#REF!</definedName>
    <definedName name="_xlnm.Print_Area" localSheetId="17">'13- Technischeruimten'!$A$1:$I$381</definedName>
    <definedName name="_xlnm.Print_Area" localSheetId="18">'14-Premies en opslagen'!$A$3:$E$55</definedName>
    <definedName name="_xlnm.Print_Area" localSheetId="19">'15-Opbouw uurtarieven'!$A$1:$AJ$58</definedName>
    <definedName name="_xlnm.Print_Area" localSheetId="0">'1-Inschrijfstaat'!$A$1:$H$56</definedName>
    <definedName name="_xlnm.Print_Area" localSheetId="1">'2-Kosten per locatie'!$A$1:$O$88</definedName>
    <definedName name="_xlnm.Print_Area" localSheetId="2">'3-Ruimtestaat'!$B$2:$T$859</definedName>
    <definedName name="_xlnm.Print_Area" localSheetId="7">'8a-Glasstaat'!$A$1:$R$605</definedName>
    <definedName name="_xlnm.Print_Area" localSheetId="8">'8b-Glas kosten totaal'!$A$1:$M$72</definedName>
    <definedName name="_xlnm.Print_Area">#REF!</definedName>
    <definedName name="Afdrukbereik_MI" localSheetId="15">#REF!</definedName>
    <definedName name="Afdrukbereik_MI">#REF!</definedName>
    <definedName name="_xlnm.Print_Titles" localSheetId="19">'15-Opbouw uurtarieven'!$A:$C</definedName>
    <definedName name="_xlnm.Print_Titles" localSheetId="2">'3-Ruimtestaat'!$10:$10</definedName>
    <definedName name="_xlnm.Print_Titles" localSheetId="7">'8a-Glasstaat'!$12:$12</definedName>
    <definedName name="_xlnm.Print_Titles" localSheetId="8">'8b-Glas kosten totaal'!$11:$11</definedName>
    <definedName name="_xlnm.Print_Titles">#N/A</definedName>
    <definedName name="AFDRUKTITELS_MI" localSheetId="15">#REF!</definedName>
    <definedName name="AFDRUKTITELS_MI">#REF!</definedName>
    <definedName name="AFRICAcheck" localSheetId="15">#REF!</definedName>
    <definedName name="AFRICAcheck">#REF!</definedName>
    <definedName name="AFRICAtrig">#REF!</definedName>
    <definedName name="afschr">[22]Basisgegevens!$E$64</definedName>
    <definedName name="afschrijving">[24]Reductieberekening!$C$3</definedName>
    <definedName name="AfschrijvingenN">[25]Kengetallen!#REF!</definedName>
    <definedName name="AfschrijvingenNmin1">[25]Kengetallen!#REF!</definedName>
    <definedName name="AfschrijvingenNmin2">[25]Kengetallen!#REF!</definedName>
    <definedName name="age" localSheetId="15">#REF!</definedName>
    <definedName name="age">#REF!</definedName>
    <definedName name="Alg">[22]Basisgegevens!$E$70</definedName>
    <definedName name="AMEcheck" localSheetId="15">#REF!</definedName>
    <definedName name="AMEcheck">#REF!</definedName>
    <definedName name="AMEtrig" localSheetId="15">#REF!</definedName>
    <definedName name="AMEtrig">#REF!</definedName>
    <definedName name="anak" localSheetId="15">#REF!</definedName>
    <definedName name="anak">#REF!</definedName>
    <definedName name="antwoord">#REF!</definedName>
    <definedName name="AOP">#REF!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arbeidsprestatie">[26]Prestatiefactoren!#REF!</definedName>
    <definedName name="arnhem" localSheetId="15">#REF!</definedName>
    <definedName name="arnhem">#REF!</definedName>
    <definedName name="ASIAcheck" localSheetId="15">#REF!</definedName>
    <definedName name="ASIAcheck">#REF!</definedName>
    <definedName name="ASIAtrig" localSheetId="15">#REF!</definedName>
    <definedName name="ASIAtrig">#REF!</definedName>
    <definedName name="Austria">#REF!</definedName>
    <definedName name="Auto">[22]Basisgegevens!$E$69</definedName>
    <definedName name="Avond">[27]Personeel!#REF!</definedName>
    <definedName name="b" hidden="1">[3]Blad1!#REF!</definedName>
    <definedName name="b_nodig">#REF!</definedName>
    <definedName name="balanceinputlocal">'[11]Fin Input'!$B$64:$G$123</definedName>
    <definedName name="ballast">#REF!</definedName>
    <definedName name="basisuurlonen">#REF!</definedName>
    <definedName name="basisuurlonenjeugd">[22]Basisgegevens!$B$6:$C$12</definedName>
    <definedName name="basisuurlonenVakvolwassenen">[22]Basisgegevens!$E$6:$F$12</definedName>
    <definedName name="BAY">[11]BudAssum!$B$5</definedName>
    <definedName name="beheer">'[17]basisgegevens bestek contract'!$A$28</definedName>
    <definedName name="Belgium" localSheetId="15">#REF!</definedName>
    <definedName name="Belgium">#REF!</definedName>
    <definedName name="bench_cat">[28]Sheet1!$E$3:$E$17</definedName>
    <definedName name="berichtok" localSheetId="15">'11c-Afroep RVS kraaiennest'!berichtok</definedName>
    <definedName name="berichtok">[0]!berichtok</definedName>
    <definedName name="berichtoke" localSheetId="15">'11c-Afroep RVS kraaiennest'!berichtoke</definedName>
    <definedName name="berichtoke">[0]!berichtoke</definedName>
    <definedName name="berichtoke1" localSheetId="15">'11c-Afroep RVS kraaiennest'!berichtoke1</definedName>
    <definedName name="berichtoke1">[0]!berichtoke1</definedName>
    <definedName name="Berkt">[29]!Berkt</definedName>
    <definedName name="bestekcontract">[30]verzamelblad!$A$2</definedName>
    <definedName name="besteknr">[30]verzamelblad!$A$3</definedName>
    <definedName name="BijsluitenLeaflet250" localSheetId="15">#REF!</definedName>
    <definedName name="BijsluitenLeaflet250">#REF!</definedName>
    <definedName name="BijsluitenLeaflet250500" localSheetId="15">#REF!</definedName>
    <definedName name="BijsluitenLeaflet250500">#REF!</definedName>
    <definedName name="BijsluitenLeaflet500" localSheetId="15">#REF!</definedName>
    <definedName name="BijsluitenLeaflet500">#REF!</definedName>
    <definedName name="bla">#REF!</definedName>
    <definedName name="BoekjaarNmin1">[25]Parameters!#REF!</definedName>
    <definedName name="BoekjaarNmin2">[25]Parameters!#REF!</definedName>
    <definedName name="BonusdagenFT" localSheetId="15">#REF!</definedName>
    <definedName name="BonusdagenFT">#REF!</definedName>
    <definedName name="BonusdagenPT" localSheetId="15">#REF!</definedName>
    <definedName name="BonusdagenPT">#REF!</definedName>
    <definedName name="BorrowingRate" localSheetId="15">#REF!</definedName>
    <definedName name="BorrowingRate">#REF!</definedName>
    <definedName name="BriefpapierA3">#REF!</definedName>
    <definedName name="BriefpapierA4">#REF!</definedName>
    <definedName name="BriefpapierA5">#REF!</definedName>
    <definedName name="BriefpapierA6">#REF!</definedName>
    <definedName name="bries">#REF!</definedName>
    <definedName name="btypes">[31]Sheet3!$B$10:$B$18</definedName>
    <definedName name="Budget">[11]Valuation!$B$390</definedName>
    <definedName name="Budgetassumptions">[11]BudAssum!$B$2</definedName>
    <definedName name="bupa">#REF!</definedName>
    <definedName name="BurstSeat">#REF!</definedName>
    <definedName name="Capacity">#REF!</definedName>
    <definedName name="CashflowEVGemiddeld">[25]Kengetallen!#REF!</definedName>
    <definedName name="CashflowEVN">[25]Kengetallen!#REF!</definedName>
    <definedName name="CashflowEVNmin1">[25]Kengetallen!#REF!</definedName>
    <definedName name="CashflowEVNmin2">[25]Kengetallen!#REF!</definedName>
    <definedName name="CashflowGemiddeld">[25]Kengetallen!#REF!</definedName>
    <definedName name="CashflowN">[25]Kengetallen!#REF!</definedName>
    <definedName name="CashflowNmin1">[25]Kengetallen!#REF!</definedName>
    <definedName name="CashflowNmin2">[25]Kengetallen!#REF!</definedName>
    <definedName name="cashinputlocal">'[11]Fin Input'!$B$129:$G$179</definedName>
    <definedName name="Checklist_aanbesteding">#REF!</definedName>
    <definedName name="cluster">'[32]3-Basis ruimtestaat'!$B:$B</definedName>
    <definedName name="CodeNorm" localSheetId="15">#REF!</definedName>
    <definedName name="CodeNorm">#REF!</definedName>
    <definedName name="CodeOfferte" localSheetId="15">#REF!</definedName>
    <definedName name="CodeOfferte">#REF!</definedName>
    <definedName name="Comms_Tech">[28]Comms_Tech!$H$3:$H$4</definedName>
    <definedName name="CompensatieRentabiliteitDoorSolvabiliteit">[25]Parameters!#REF!</definedName>
    <definedName name="cons_prijs">[17]Uitvoergegevens!$E$22</definedName>
    <definedName name="ConsultancyApplicatiebeheerRol1" localSheetId="15">#REF!</definedName>
    <definedName name="ConsultancyApplicatiebeheerRol1">#REF!</definedName>
    <definedName name="ConsultancyApplicatiebeheerRol2" localSheetId="15">#REF!</definedName>
    <definedName name="ConsultancyApplicatiebeheerRol2">#REF!</definedName>
    <definedName name="ConsultancyApplicatiebeheerRol3" localSheetId="15">#REF!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ountryid">#REF!</definedName>
    <definedName name="CountryList">#REF!</definedName>
    <definedName name="CRBs">[28]Other!$B$22:$B$23</definedName>
    <definedName name="CWS" localSheetId="15">#REF!</definedName>
    <definedName name="CWS">#REF!</definedName>
    <definedName name="d_gebruikers" localSheetId="15">#REF!</definedName>
    <definedName name="d_gebruikers">#REF!</definedName>
    <definedName name="D_kwal" localSheetId="15">#REF!</definedName>
    <definedName name="D_kwal">#REF!</definedName>
    <definedName name="D_open">#REF!</definedName>
    <definedName name="dag">#REF!</definedName>
    <definedName name="Dagelijks">#REF!</definedName>
    <definedName name="dagenperjaar1">[33]Omreken!$B$9</definedName>
    <definedName name="dagsoorttabel1">[33]Omreken!$A$13:$B$28</definedName>
    <definedName name="data" localSheetId="15">#REF!</definedName>
    <definedName name="data">#REF!</definedName>
    <definedName name="Data___Site" localSheetId="15">#REF!</definedName>
    <definedName name="Data___Site">#REF!</definedName>
    <definedName name="DATA1" localSheetId="15">#REF!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Range">#REF!</definedName>
    <definedName name="Date">#REF!</definedName>
    <definedName name="DATUM">#REF!</definedName>
    <definedName name="debtall">#REF!</definedName>
    <definedName name="Decision_2011">#REF!</definedName>
    <definedName name="Decision_2012">#REF!</definedName>
    <definedName name="Decision_2013">#REF!</definedName>
    <definedName name="Decision_2014">#REF!</definedName>
    <definedName name="Decision_2015">#REF!</definedName>
    <definedName name="Decision_2016">#REF!</definedName>
    <definedName name="Deeg">#REF!</definedName>
    <definedName name="DefualtStapBandbreedte">#REF!</definedName>
    <definedName name="delivery">'[34]Service Standards'!$G$3:$G$4</definedName>
    <definedName name="Denmark" localSheetId="15">#REF!</definedName>
    <definedName name="Denmark">#REF!</definedName>
    <definedName name="desAccount" localSheetId="15">#REF!</definedName>
    <definedName name="desAccount">#REF!</definedName>
    <definedName name="desCustom1" localSheetId="15">#REF!</definedName>
    <definedName name="desCustom1">#REF!</definedName>
    <definedName name="desCustom2">#REF!</definedName>
    <definedName name="desCustom3">#REF!</definedName>
    <definedName name="desCustom4">#REF!</definedName>
    <definedName name="desEntity">#REF!</definedName>
    <definedName name="desParent">#REF!</definedName>
    <definedName name="desPeriod">#REF!</definedName>
    <definedName name="desScenario">#REF!</definedName>
    <definedName name="desValue">#REF!</definedName>
    <definedName name="desView">#REF!</definedName>
    <definedName name="desYear">#REF!</definedName>
    <definedName name="dffdf" localSheetId="14" hidden="1">'[12]#REF'!#REF!</definedName>
    <definedName name="dffdf" localSheetId="21" hidden="1">'[12]#REF'!#REF!</definedName>
    <definedName name="dffdf" localSheetId="5" hidden="1">'[12]#REF'!#REF!</definedName>
    <definedName name="dffdf" localSheetId="6" hidden="1">'[35]#REF'!#REF!</definedName>
    <definedName name="dffdf" hidden="1">'[12]#REF'!#REF!</definedName>
    <definedName name="directtoezicht">[30]uurtariefopbouw!$D$26</definedName>
    <definedName name="Dix">[27]Personeel!#REF!</definedName>
    <definedName name="dk_lk">'[36]dagkracht uurtarief'!$E$16</definedName>
    <definedName name="dk_tarief">'[36]dagkracht uurtarief'!$E$42</definedName>
    <definedName name="dk_tarief_fe">'[36]Uurtarieven matrix'!$J$29</definedName>
    <definedName name="dk_tarief_za">'[36]Uurtarieven matrix'!$H$29</definedName>
    <definedName name="DM_Colour">[28]Other!$F$62:$F$64</definedName>
    <definedName name="DM_Freq">[28]Other!$G$62:$G$64</definedName>
    <definedName name="Documentation" localSheetId="15">#REF!</definedName>
    <definedName name="Documentation">#REF!</definedName>
    <definedName name="DoorverbondenGesprekPerSeconde" localSheetId="15">#REF!</definedName>
    <definedName name="DoorverbondenGesprekPerSeconde">#REF!</definedName>
    <definedName name="Drie" localSheetId="15">[27]Personeel!#REF!</definedName>
    <definedName name="Drie">[27]Personeel!#REF!</definedName>
    <definedName name="dsa" localSheetId="15">#REF!</definedName>
    <definedName name="dsa">#REF!</definedName>
    <definedName name="Dust_Mats">[28]Other!$B$62:$B$66</definedName>
    <definedName name="DynamischeHefboomfactorGemiddeld">[25]Kengetallen!#REF!</definedName>
    <definedName name="DynamischeHefboomfactorN">[25]Kengetallen!#REF!</definedName>
    <definedName name="DynamischeHefboomfactorNmin1">[25]Kengetallen!#REF!</definedName>
    <definedName name="DynamischeHefboomfactorNmin2">[25]Kengetallen!#REF!</definedName>
    <definedName name="ed" localSheetId="15">#REF!</definedName>
    <definedName name="ed">#REF!</definedName>
    <definedName name="ed_freq" localSheetId="15">#REF!</definedName>
    <definedName name="ed_freq">#REF!</definedName>
    <definedName name="ee" localSheetId="15">[37]vergelijken!#REF!</definedName>
    <definedName name="ee">[37]vergelijken!#REF!</definedName>
    <definedName name="Een" localSheetId="15">[27]Personeel!#REF!</definedName>
    <definedName name="Een">[27]Personeel!#REF!</definedName>
    <definedName name="EENMAL" localSheetId="15">#REF!</definedName>
    <definedName name="EENMAL">#REF!</definedName>
    <definedName name="eg" localSheetId="15">#REF!</definedName>
    <definedName name="eg">#REF!</definedName>
    <definedName name="Eindbeurt" localSheetId="15">#REF!</definedName>
    <definedName name="Eindbeurt">#REF!</definedName>
    <definedName name="einde" localSheetId="15">'11c-Afroep RVS kraaiennest'!einde</definedName>
    <definedName name="einde">[0]!einde</definedName>
    <definedName name="Eindejaarstoeslag" localSheetId="15">#REF!</definedName>
    <definedName name="Eindejaarstoeslag">#REF!</definedName>
    <definedName name="eindhoven" localSheetId="15">#REF!</definedName>
    <definedName name="eindhoven">#REF!</definedName>
    <definedName name="EMEcheck" localSheetId="15">#REF!</definedName>
    <definedName name="EMEcheck">#REF!</definedName>
    <definedName name="EMEtrig">#REF!</definedName>
    <definedName name="EnvelopA4">#REF!</definedName>
    <definedName name="EnvelopA5">#REF!</definedName>
    <definedName name="eqcc">'[11]Fin Input'!$G$26</definedName>
    <definedName name="eqirr">#REF!</definedName>
    <definedName name="Equip_Type">[28]Equip!$J$3:$J$19</definedName>
    <definedName name="ervaringsjaren" localSheetId="15">#REF!</definedName>
    <definedName name="ervaringsjaren">#REF!</definedName>
    <definedName name="Ervaringsjarentoeslag">[22]Basisgegevens!$H$6:$I$12</definedName>
    <definedName name="Erwin" localSheetId="15">#REF!</definedName>
    <definedName name="Erwin">#REF!</definedName>
    <definedName name="euro">[38]Blad3!$C$2</definedName>
    <definedName name="EVA">[11]Valuation!$B$2</definedName>
    <definedName name="ExchangeRate">[11]Intro!$C$15</definedName>
    <definedName name="ExchangeRate1">[11]Intro!$D$12</definedName>
    <definedName name="ExpiryYear" localSheetId="15">#REF!</definedName>
    <definedName name="ExpiryYear">#REF!</definedName>
    <definedName name="Extra_Visitors">[28]Other!$B$100:$B$105</definedName>
    <definedName name="extrawerk" localSheetId="15">#REF!</definedName>
    <definedName name="extrawerk">#REF!</definedName>
    <definedName name="ExtraWerkstroom" localSheetId="15">#REF!</definedName>
    <definedName name="ExtraWerkstroom">#REF!</definedName>
    <definedName name="fe" localSheetId="15">'11c-Afroep RVS kraaiennest'!fe</definedName>
    <definedName name="fe">[0]!fe</definedName>
    <definedName name="FeestdagenFT">[22]Basisgegevens!$I$23</definedName>
    <definedName name="FeestdagenPT">[22]Basisgegevens!$F$23</definedName>
    <definedName name="ff" hidden="1">[3]Blad1!#REF!</definedName>
    <definedName name="fff">#REF!</definedName>
    <definedName name="fghf" localSheetId="21" hidden="1">'[12]#REF'!#REF!</definedName>
    <definedName name="fghf" localSheetId="5" hidden="1">'[12]#REF'!#REF!</definedName>
    <definedName name="fghf" hidden="1">'[12]#REF'!#REF!</definedName>
    <definedName name="FinancialData">'[11]Fin Input'!$B$422</definedName>
    <definedName name="Finland">#REF!</definedName>
    <definedName name="fkhwefhl">[27]Personeel!#REF!</definedName>
    <definedName name="Flex_Rates">'[28]Notes &amp; Assumptions'!$D$237:$H$237</definedName>
    <definedName name="France" localSheetId="15">#REF!</definedName>
    <definedName name="France">#REF!</definedName>
    <definedName name="franchisealgemeen">[22]Basisgegevens!$I$50</definedName>
    <definedName name="franchiseww">[22]Basisgegevens!$I$45</definedName>
    <definedName name="Frekwentie_0">'[39]Adm. ruimte 01.0'!#REF!</definedName>
    <definedName name="freq">[26]Werkprogramma!#REF!</definedName>
    <definedName name="freqtabel">'[40]Middag werk 5w'!#REF!</definedName>
    <definedName name="frequentie">[41]Categorieen!$A$1059:$X$1067</definedName>
    <definedName name="FSF" localSheetId="15">#REF!</definedName>
    <definedName name="FSF">#REF!</definedName>
    <definedName name="funk" localSheetId="15">#REF!</definedName>
    <definedName name="funk">#REF!</definedName>
    <definedName name="g" localSheetId="15">[42]Begroting!#REF!</definedName>
    <definedName name="g">[42]Begroting!#REF!</definedName>
    <definedName name="Gan_R">[29]!Gan_R</definedName>
    <definedName name="gebouw" localSheetId="15">#REF!</definedName>
    <definedName name="gebouw">#REF!</definedName>
    <definedName name="Gebouw_glas">'[43]1A-Glas'!$A:$A</definedName>
    <definedName name="gebruikerscode">[18]Tussenblad!$A$12</definedName>
    <definedName name="gein" localSheetId="15">#REF!</definedName>
    <definedName name="gein">#REF!</definedName>
    <definedName name="Germany" localSheetId="15">#REF!</definedName>
    <definedName name="Germany">#REF!</definedName>
    <definedName name="GET_CLIENT" localSheetId="15">#REF!</definedName>
    <definedName name="GET_CLIENT">#REF!</definedName>
    <definedName name="GET_CLIENT96">#REF!</definedName>
    <definedName name="GewichtN">[25]Parameters!#REF!</definedName>
    <definedName name="GewichtNmin1">[25]Parameters!#REF!</definedName>
    <definedName name="GewichtNmin2">[25]Parameters!#REF!</definedName>
    <definedName name="GewichtTotaal">[25]Parameters!#REF!</definedName>
    <definedName name="glas" localSheetId="15">'11c-Afroep RVS kraaiennest'!glas</definedName>
    <definedName name="glas">[0]!glas</definedName>
    <definedName name="glas_excl">[17]Uitvoergegevens!$I$11</definedName>
    <definedName name="glas_incl">[17]Uitvoergegevens!$I$10</definedName>
    <definedName name="Glasbewassing">'[43]1A-Glas'!$K:$K</definedName>
    <definedName name="glasbwas" localSheetId="15">#REF!</definedName>
    <definedName name="glasbwas">#REF!</definedName>
    <definedName name="glassoort" localSheetId="15">#REF!</definedName>
    <definedName name="Glassoort" localSheetId="21">#REF!</definedName>
    <definedName name="glassoort">#REF!</definedName>
    <definedName name="Glassoort2" localSheetId="15">#REF!</definedName>
    <definedName name="Glassoort2" localSheetId="21">#REF!</definedName>
    <definedName name="Glassoort2">'8a-Glasstaat'!$P$13:$R$25</definedName>
    <definedName name="Gls_G">[8]Begroting!#REF!</definedName>
    <definedName name="gron">#REF!</definedName>
    <definedName name="gs" localSheetId="14" hidden="1">'[12]#REF'!#REF!</definedName>
    <definedName name="gs" localSheetId="15" hidden="1">'[12]#REF'!#REF!</definedName>
    <definedName name="gs" localSheetId="21" hidden="1">'[12]#REF'!#REF!</definedName>
    <definedName name="gs" localSheetId="5" hidden="1">'[12]#REF'!#REF!</definedName>
    <definedName name="gs" localSheetId="6" hidden="1">'[35]#REF'!#REF!</definedName>
    <definedName name="gs" hidden="1">'[12]#REF'!#REF!</definedName>
    <definedName name="gs_lk">'[36]garderobe-sanitair uurtarief'!$E$16</definedName>
    <definedName name="gs_tarief">'[36]garderobe-sanitair uurtarief'!$E$42</definedName>
    <definedName name="gs_tarief_fe">'[36]Uurtarieven matrix'!#REF!</definedName>
    <definedName name="GWE_Oud_Nieuw" localSheetId="15">#REF!</definedName>
    <definedName name="GWE_Oud_Nieuw">#REF!</definedName>
    <definedName name="gy" localSheetId="15" hidden="1">#REF!</definedName>
    <definedName name="gy" hidden="1">#REF!</definedName>
    <definedName name="hallo" localSheetId="15">[27]Personeel!#REF!</definedName>
    <definedName name="hallo">[27]Personeel!#REF!</definedName>
    <definedName name="han" localSheetId="14" hidden="1">'[12]#REF'!#REF!</definedName>
    <definedName name="han" localSheetId="6" hidden="1">'[12]#REF'!#REF!</definedName>
    <definedName name="han" hidden="1">'[12]#REF'!#REF!</definedName>
    <definedName name="Hand_Soap">[28]Materials!$I$3:$I$7</definedName>
    <definedName name="Hand_Towels">[28]Materials!$J$3:$J$13</definedName>
    <definedName name="Handdoekrollen" localSheetId="15">#REF!</definedName>
    <definedName name="Handdoekrollen">#REF!</definedName>
    <definedName name="HC_2011" localSheetId="15">#REF!</definedName>
    <definedName name="HC_2011">#REF!</definedName>
    <definedName name="HC_2012" localSheetId="15">#REF!</definedName>
    <definedName name="HC_2012">#REF!</definedName>
    <definedName name="HC_2013">#REF!</definedName>
    <definedName name="HC_2014">#REF!</definedName>
    <definedName name="HC_2015">#REF!</definedName>
    <definedName name="HC_2016">#REF!</definedName>
    <definedName name="HC_2017">#REF!</definedName>
    <definedName name="HC_2018">#REF!</definedName>
    <definedName name="HC_2019">#REF!</definedName>
    <definedName name="hda">#REF!</definedName>
    <definedName name="headings">[44]!Table_owssvr[#Headers]</definedName>
    <definedName name="heerlen" localSheetId="15">#REF!</definedName>
    <definedName name="heerlen">#REF!</definedName>
    <definedName name="henk" localSheetId="15">[45]Begroting!#REF!</definedName>
    <definedName name="henk">[45]Begroting!#REF!</definedName>
    <definedName name="hfdhd">[46]Begroting!#REF!</definedName>
    <definedName name="hhhhh">[47]Begroting!#REF!</definedName>
    <definedName name="hjkjhkj">'[48]2-Kengetal'!$A$10:$L$37</definedName>
    <definedName name="holendrecht" localSheetId="15">#REF!</definedName>
    <definedName name="holendrecht">#REF!</definedName>
    <definedName name="home" localSheetId="15">'11c-Afroep RVS kraaiennest'!home</definedName>
    <definedName name="home">[0]!home</definedName>
    <definedName name="HostingBedrijven2007" localSheetId="15">#REF!</definedName>
    <definedName name="HostingBedrijven2007">#REF!</definedName>
    <definedName name="HostingBedrijven2008" localSheetId="15">#REF!</definedName>
    <definedName name="HostingBedrijven2008">#REF!</definedName>
    <definedName name="HostingBedrijven2009" localSheetId="15">#REF!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hours">[31]Sheet3!$C$21:$C$26</definedName>
    <definedName name="html" localSheetId="15" hidden="1">{"'Blad1'!$A$1:$Q$51"}</definedName>
    <definedName name="html" hidden="1">{"'Blad1'!$A$1:$Q$51"}</definedName>
    <definedName name="HTML_CodePage" hidden="1">1252</definedName>
    <definedName name="HTML_Control" localSheetId="15"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tml2" localSheetId="15" hidden="1">{"'Blad1'!$A$1:$Q$51"}</definedName>
    <definedName name="html2" hidden="1">{"'Blad1'!$A$1:$Q$51"}</definedName>
    <definedName name="html3" localSheetId="15" hidden="1">{"'Blad1'!$A$1:$Q$51"}</definedName>
    <definedName name="html3" hidden="1">{"'Blad1'!$A$1:$Q$51"}</definedName>
    <definedName name="huigenbosch">#REF!</definedName>
    <definedName name="huntum">#REF!</definedName>
    <definedName name="Hyg_Type">[28]Hygiene!$L$3:$L$13</definedName>
    <definedName name="IEfactor" localSheetId="15">#REF!</definedName>
    <definedName name="IEfactor">#REF!</definedName>
    <definedName name="INGNORM" localSheetId="15">#REF!</definedName>
    <definedName name="INGNORM">#REF!</definedName>
    <definedName name="InitiëleKostenInrichting" localSheetId="15">#REF!</definedName>
    <definedName name="InitiëleKostenInrichting">#REF!</definedName>
    <definedName name="Input">'[11]Fin Input'!$B$1</definedName>
    <definedName name="Inschrijver">#REF!</definedName>
    <definedName name="inspectie">[17]Uitvoergegevens!$E$24</definedName>
    <definedName name="instantie" localSheetId="15">#REF!</definedName>
    <definedName name="instantie">#REF!</definedName>
    <definedName name="Introduction">[11]Intro!$B$1</definedName>
    <definedName name="Invulinstructie">#N/A</definedName>
    <definedName name="irr">#REF!</definedName>
    <definedName name="ISSGAAP">[11]Adjust!#REF!</definedName>
    <definedName name="ISSownership">[11]Intro!#REF!</definedName>
    <definedName name="Italy" localSheetId="15">#REF!</definedName>
    <definedName name="Italy">#REF!</definedName>
    <definedName name="IY">'[11]Fin Input'!$B$5</definedName>
    <definedName name="jaaruren">[17]Uitvoergegevens!$E$11</definedName>
    <definedName name="Jeugd" localSheetId="15">#REF!</definedName>
    <definedName name="Jeugd">#REF!</definedName>
    <definedName name="jj" hidden="1">'[49]Offerteformulier 1'!#REF!</definedName>
    <definedName name="k_nodig" localSheetId="15">#REF!</definedName>
    <definedName name="k_nodig">#REF!</definedName>
    <definedName name="keesom" localSheetId="15">#REF!</definedName>
    <definedName name="keesom">#REF!</definedName>
    <definedName name="KengCode">'[50]2-Kengetal'!$A$9:$M$56</definedName>
    <definedName name="Kengetal" localSheetId="15">#REF!</definedName>
    <definedName name="Kengetal" localSheetId="21">'[51]4-Kengetal'!$A$12:$T$66</definedName>
    <definedName name="Kengetal">#REF!</definedName>
    <definedName name="kengetallen" localSheetId="15">#REF!</definedName>
    <definedName name="kengetallen">#REF!</definedName>
    <definedName name="Kengetallenoverzicht">[52]Kengetallen!$B$5:$J$91</definedName>
    <definedName name="kengetaltabel" localSheetId="15">#REF!</definedName>
    <definedName name="kengetaltabel">#REF!</definedName>
    <definedName name="Kentalnvb">[53]Kengetal!$A$10:$H$58</definedName>
    <definedName name="kjh" hidden="1">'[12]#REF'!#REF!</definedName>
    <definedName name="klant">#REF!</definedName>
    <definedName name="klantcode">#REF!</definedName>
    <definedName name="Kleding">[22]Basisgegevens!$E$65</definedName>
    <definedName name="kleihut" localSheetId="15">#REF!</definedName>
    <definedName name="kleihut">#REF!</definedName>
    <definedName name="KLFactor" localSheetId="15">#REF!</definedName>
    <definedName name="KLFactor">#REF!</definedName>
    <definedName name="kop" localSheetId="15">#REF!</definedName>
    <definedName name="kop">#REF!</definedName>
    <definedName name="KortverzuimFT">#REF!</definedName>
    <definedName name="kortverzuimPT">#REF!</definedName>
    <definedName name="Kosten_addit">#REF!</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kredtall">#REF!</definedName>
    <definedName name="kwartaal">#REF!</definedName>
    <definedName name="kwartaal_prijs">[17]Uitvoergegevens!$E$15</definedName>
    <definedName name="kwartaal_uren">[17]Uitvoergegevens!$E$16</definedName>
    <definedName name="l_gebruikers" localSheetId="15">#REF!</definedName>
    <definedName name="l_gebruikers">#REF!</definedName>
    <definedName name="L_Kwal" localSheetId="15">#REF!</definedName>
    <definedName name="L_Kwal">#REF!</definedName>
    <definedName name="L_open" localSheetId="15">#REF!</definedName>
    <definedName name="L_open">#REF!</definedName>
    <definedName name="Laag1">#REF!</definedName>
    <definedName name="Laag2">#REF!</definedName>
    <definedName name="Laag3">#REF!</definedName>
    <definedName name="Laag7">#REF!</definedName>
    <definedName name="Laag8">#REF!</definedName>
    <definedName name="LC">#REF!</definedName>
    <definedName name="LeaseDuration">#REF!</definedName>
    <definedName name="LHK">#REF!</definedName>
    <definedName name="Light_Periodics">[28]Other!$B$95:$B$97</definedName>
    <definedName name="Lijn">'[50]3-Basis ruimtestaat'!$C:$C</definedName>
    <definedName name="lijst_zdg" localSheetId="15">#REF!</definedName>
    <definedName name="lijst_zdg">#REF!</definedName>
    <definedName name="LiquiditeitGemiddeld">[25]Kengetallen!#REF!</definedName>
    <definedName name="LiquiditeitN">[25]Kengetallen!#REF!</definedName>
    <definedName name="LiquiditeitNmin1">[25]Kengetallen!#REF!</definedName>
    <definedName name="LiquiditeitNmin2">[25]Kengetallen!#REF!</definedName>
    <definedName name="LiquidRatioN">[25]Kengetallen!#REF!</definedName>
    <definedName name="LiquidRatioNmin1">[25]Kengetallen!#REF!</definedName>
    <definedName name="LiquidRatioNmin2">[25]Kengetallen!#REF!</definedName>
    <definedName name="listENTITIES" localSheetId="15">#REF!</definedName>
    <definedName name="listENTITIES">#REF!</definedName>
    <definedName name="listENTITYPARENT" localSheetId="15">#REF!</definedName>
    <definedName name="listENTITYPARENT">#REF!</definedName>
    <definedName name="listPERIOD" localSheetId="15">#REF!</definedName>
    <definedName name="listPERIOD">#REF!</definedName>
    <definedName name="LIT">#REF!</definedName>
    <definedName name="lll">'[54]3-Basis ruimtestaat'!$O:$O</definedName>
    <definedName name="lnkstn_divers">[17]uurtariefopbouw!$E$18</definedName>
    <definedName name="lnkstn_speciaal">[17]uurtariefopbouw!$G$18</definedName>
    <definedName name="LocalCurrency">[55]Intro!$C$10</definedName>
    <definedName name="LocalCurrency1">[11]Intro!$D$10</definedName>
    <definedName name="locatie">[17]Uitvoergegevens!$C$6</definedName>
    <definedName name="Locatiecode" localSheetId="15">#REF!</definedName>
    <definedName name="Locatiecode">#REF!</definedName>
    <definedName name="locationlist">[44]!Table_owssvr[#All]</definedName>
    <definedName name="Lokatieadres">'[56]Lokatie overzicht'!$C$1:$E$96</definedName>
    <definedName name="Loongroepen">'[57]1.5 Opbouw uurtarieven'!$A$12:$A$46</definedName>
    <definedName name="lotus" localSheetId="15">#REF!</definedName>
    <definedName name="lotus">#REF!</definedName>
    <definedName name="LW">[28]Sheet1!$G$3:$G$4</definedName>
    <definedName name="M_nodig" localSheetId="15">#REF!</definedName>
    <definedName name="M_nodig">#REF!</definedName>
    <definedName name="m2jaar" localSheetId="15">#REF!</definedName>
    <definedName name="m2jaar">#REF!</definedName>
    <definedName name="maand" localSheetId="15">#REF!</definedName>
    <definedName name="maand">#REF!</definedName>
    <definedName name="MaandelijkseFeeCallcenters">#REF!</definedName>
    <definedName name="maandprijs">[17]Uitvoergegevens!$E$10</definedName>
    <definedName name="maanduren">[17]Uitvoergegevens!$E$14</definedName>
    <definedName name="Machines">'[58]Basis ruimtestaat'!$V$11:$V$1507</definedName>
    <definedName name="Macro3" localSheetId="15">'11c-Afroep RVS kraaiennest'!Macro3</definedName>
    <definedName name="Macro3">[0]!Macro3</definedName>
    <definedName name="macrop12f2" localSheetId="15">'11c-Afroep RVS kraaiennest'!macrop12f2</definedName>
    <definedName name="macrop12f2">[0]!macrop12f2</definedName>
    <definedName name="MacroP17" localSheetId="15">'11c-Afroep RVS kraaiennest'!MacroP17</definedName>
    <definedName name="MacroP17">[0]!MacroP17</definedName>
    <definedName name="MacroP17_6" localSheetId="15">'11c-Afroep RVS kraaiennest'!MacroP17_6</definedName>
    <definedName name="MacroP17_6">[0]!MacroP17_6</definedName>
    <definedName name="Macrop2" localSheetId="15">'11c-Afroep RVS kraaiennest'!Macrop2</definedName>
    <definedName name="Macrop2">[0]!Macrop2</definedName>
    <definedName name="macroP3f16" localSheetId="15">'11c-Afroep RVS kraaiennest'!macroP3f16</definedName>
    <definedName name="macroP3f16">[0]!macroP3f16</definedName>
    <definedName name="Macrop6" localSheetId="15">'11c-Afroep RVS kraaiennest'!Macrop6</definedName>
    <definedName name="Macrop6">[0]!Macrop6</definedName>
    <definedName name="Macrop7" localSheetId="15">'11c-Afroep RVS kraaiennest'!Macrop7</definedName>
    <definedName name="Macrop7">[0]!Macrop7</definedName>
    <definedName name="macrox">#N/A</definedName>
    <definedName name="Man_Miles">[28]Other!$B$53:$B$57</definedName>
    <definedName name="Man_Track">[28]Other!$G$52:$G$53</definedName>
    <definedName name="Man_Trans">[28]Other!$C$52:$F$52</definedName>
    <definedName name="management">[22]Basisgegevens!$E$71</definedName>
    <definedName name="ManInput" localSheetId="15">#REF!</definedName>
    <definedName name="ManInput">#REF!</definedName>
    <definedName name="ManIntroduction" localSheetId="15">#REF!</definedName>
    <definedName name="ManIntroduction">#REF!</definedName>
    <definedName name="Manual" localSheetId="15">#REF!</definedName>
    <definedName name="Manual">#REF!</definedName>
    <definedName name="matmid">[22]Basisgegevens!$E$63</definedName>
    <definedName name="MatrixLiquiditeit">[25]Kengetallen!#REF!</definedName>
    <definedName name="MatrixRentabiliteit">[25]Kengetallen!#REF!</definedName>
    <definedName name="MatrixSolvabiliteit">[25]Kengetallen!#REF!</definedName>
    <definedName name="mavr">'[59]3-Basis ruimtestaat'!$M:$M</definedName>
    <definedName name="MaxLev" localSheetId="15">#REF!</definedName>
    <definedName name="MaxLev">#REF!</definedName>
    <definedName name="MaxX" localSheetId="15">#REF!</definedName>
    <definedName name="MaxX">#REF!</definedName>
    <definedName name="Medewerkergegevens" localSheetId="15">#REF!</definedName>
    <definedName name="Medewerkergegevens">#REF!</definedName>
    <definedName name="medium1">#REF!</definedName>
    <definedName name="medium2">#REF!</definedName>
    <definedName name="mercator">#REF!</definedName>
    <definedName name="Meters">'[57]1.3-Basis ruimtestaat'!$J:$J</definedName>
    <definedName name="MinimaleScore">[25]Parameters!#REF!</definedName>
    <definedName name="MinimumLiquiditeit">[25]Parameters!#REF!</definedName>
    <definedName name="MinimumPuntenPerJaar">[25]Parameters!#REF!</definedName>
    <definedName name="MinimumRentabiliteit">[25]Parameters!#REF!</definedName>
    <definedName name="MinimumScoreLiquiditeit">[25]Parameters!#REF!</definedName>
    <definedName name="MinimumScoreRentabiliteit">[25]Parameters!#REF!</definedName>
    <definedName name="MinimumScoreSolvabiliteit">[25]Parameters!#REF!</definedName>
    <definedName name="MinimumSolvabiliteit">[25]Parameters!#REF!</definedName>
    <definedName name="MinorityInterestInSubsidiariesN" localSheetId="15">#REF!</definedName>
    <definedName name="MinorityInterestInSubsidiariesN">#REF!</definedName>
    <definedName name="MinorityInterestInSubsidiariesNmin1" localSheetId="15">#REF!</definedName>
    <definedName name="MinorityInterestInSubsidiariesNmin1">#REF!</definedName>
    <definedName name="MinorityInterestInSubsidiariesNmin2" localSheetId="15">#REF!</definedName>
    <definedName name="MinorityInterestInSubsidiariesNmin2">#REF!</definedName>
    <definedName name="ml">'[60]Glas 3.3'!$O$3:$P$8</definedName>
    <definedName name="mm" hidden="1">'[49]Offerteformulier 1'!#REF!</definedName>
    <definedName name="Month">[11]Intro!$C$8</definedName>
    <definedName name="Mutatiederdekwartaal" localSheetId="15" hidden="1">{"'ma_vr'!$A$1:$AA$42"}</definedName>
    <definedName name="Mutatiederdekwartaal" hidden="1">{"'ma_vr'!$A$1:$AA$42"}</definedName>
    <definedName name="MutatiesVoorzieningenN">[25]Kengetallen!#REF!</definedName>
    <definedName name="MutatiesVoorzieningenNmin1">[25]Kengetallen!#REF!</definedName>
    <definedName name="MutatiesVoorzieningenNmin2">[25]Kengetallen!#REF!</definedName>
    <definedName name="NaamLeverancier" localSheetId="15">#REF!</definedName>
    <definedName name="NaamLeverancier">#REF!</definedName>
    <definedName name="NAcht">[27]Personeel!#REF!</definedName>
    <definedName name="naloop">'[59]3-Basis ruimtestaat'!$N:$N</definedName>
    <definedName name="Nat_Acc" localSheetId="15">#REF!</definedName>
    <definedName name="Nat_Acc">#REF!</definedName>
    <definedName name="nieuw">#N/A</definedName>
    <definedName name="nieuw2">#N/A</definedName>
    <definedName name="nieuw3">#N/A</definedName>
    <definedName name="nieuw4">#N/A</definedName>
    <definedName name="nieuw5">#N/A</definedName>
    <definedName name="nieuwegein" localSheetId="15">#REF!</definedName>
    <definedName name="nieuwegein">#REF!</definedName>
    <definedName name="nm_ma_vr" localSheetId="15">#REF!</definedName>
    <definedName name="nm_ma_vr">#REF!</definedName>
    <definedName name="Norm">#REF!</definedName>
    <definedName name="norm_freq">#REF!</definedName>
    <definedName name="norm1">#REF!</definedName>
    <definedName name="normaal">#REF!</definedName>
    <definedName name="normblad">#REF!</definedName>
    <definedName name="NormCurrentRatio1">[25]Parameters!#REF!</definedName>
    <definedName name="NormCurrentRatio2">[25]Parameters!#REF!</definedName>
    <definedName name="NormCurrentRatio3">[25]Parameters!#REF!</definedName>
    <definedName name="Normen" localSheetId="15">#REF!</definedName>
    <definedName name="Normen">#REF!</definedName>
    <definedName name="NormenBarte" localSheetId="15">#REF!</definedName>
    <definedName name="NormenBarte">#REF!</definedName>
    <definedName name="NormenCult" localSheetId="15">#REF!</definedName>
    <definedName name="NormenCult">#REF!</definedName>
    <definedName name="NormenGym">#REF!</definedName>
    <definedName name="normentabel">[36]Normenblad!$Q$18:$R$89</definedName>
    <definedName name="Normentot">'[61]Invulblad P1'!$A$2:$D$164</definedName>
    <definedName name="normglas" localSheetId="15">#REF!</definedName>
    <definedName name="normglas">#REF!</definedName>
    <definedName name="normingtotaal" localSheetId="15">#REF!</definedName>
    <definedName name="normingtotaal">#REF!</definedName>
    <definedName name="NormOmzet" localSheetId="15">[25]Parameters!#REF!</definedName>
    <definedName name="NormOmzet">[25]Parameters!#REF!</definedName>
    <definedName name="normpeo" localSheetId="15">#REF!</definedName>
    <definedName name="normpeo">#REF!</definedName>
    <definedName name="NormRentabiliteit1" localSheetId="15">[25]Parameters!#REF!</definedName>
    <definedName name="NormRentabiliteit1">[25]Parameters!#REF!</definedName>
    <definedName name="NormRentabiliteit2" localSheetId="15">[25]Parameters!#REF!</definedName>
    <definedName name="NormRentabiliteit2">[25]Parameters!#REF!</definedName>
    <definedName name="NormSolvabiliteit1" localSheetId="15">[25]Parameters!#REF!</definedName>
    <definedName name="NormSolvabiliteit1">[25]Parameters!#REF!</definedName>
    <definedName name="NormSolvabiliteit2">[25]Parameters!#REF!</definedName>
    <definedName name="NormSolvabiliteit3">[25]Parameters!#REF!</definedName>
    <definedName name="NormSolvabiliteit4">[25]Parameters!#REF!</definedName>
    <definedName name="not" localSheetId="15">#REF!</definedName>
    <definedName name="not">#REF!</definedName>
    <definedName name="noti" localSheetId="15">#REF!</definedName>
    <definedName name="noti">#REF!</definedName>
    <definedName name="NvB" localSheetId="15" hidden="1">'[13]#REF'!#REF!</definedName>
    <definedName name="NvB" hidden="1">'[13]#REF'!#REF!</definedName>
    <definedName name="o" localSheetId="15">#REF!</definedName>
    <definedName name="o">#REF!</definedName>
    <definedName name="O_2" localSheetId="15">[62]BeginMeting!#REF!</definedName>
    <definedName name="O_2">[62]BeginMeting!#REF!</definedName>
    <definedName name="O_gebruikers" localSheetId="15">#REF!</definedName>
    <definedName name="O_gebruikers">#REF!</definedName>
    <definedName name="O_kwal" localSheetId="15">#REF!</definedName>
    <definedName name="O_kwal">#REF!</definedName>
    <definedName name="O_open" localSheetId="15">#REF!</definedName>
    <definedName name="O_open">#REF!</definedName>
    <definedName name="objecten">#REF!</definedName>
    <definedName name="Obnaam">'[23]OBJECT '!$B$3</definedName>
    <definedName name="Obnr">'[23]OBJECT '!$B$4</definedName>
    <definedName name="offertetarief">[30]uurtariefopbouw!$E$37</definedName>
    <definedName name="offerteuur">'[63]Offerte uurtarief'!$E$41</definedName>
    <definedName name="offerteuurolga">'[63]Offerte uurtarief OLGA'!$E$42</definedName>
    <definedName name="ol_lk">'[36]objectleiding smo uurtarief'!$E$16</definedName>
    <definedName name="ol_tarief">'[36]objectleiding smo uurtarief'!$E$42</definedName>
    <definedName name="ol_tarief_za">'[36]Uurtarieven matrix'!$H$23</definedName>
    <definedName name="olaa1">[64]Blad2!$A$1:$B$65536</definedName>
    <definedName name="OMSCHRIJVING">[65]Afroepprijzen!#REF!</definedName>
    <definedName name="omzetstaffel" localSheetId="15">#REF!</definedName>
    <definedName name="omzetstaffel">#REF!</definedName>
    <definedName name="Onderaannemer">[19]Frequnetie!$H$3:$J$420</definedName>
    <definedName name="onderhoud" localSheetId="15">#REF!</definedName>
    <definedName name="onderhoud">#REF!</definedName>
    <definedName name="oneortwo">[31]Sheet3!$C$30:$C$31</definedName>
    <definedName name="ool_tarief_fe">'[36]Uurtarieven matrix'!$J$23</definedName>
    <definedName name="op" localSheetId="15">#REF!</definedName>
    <definedName name="op">#REF!</definedName>
    <definedName name="OP_NP" localSheetId="15">#REF!</definedName>
    <definedName name="OP_NP">#REF!</definedName>
    <definedName name="opdrachtgever">[30]basisgegevens!$B$4</definedName>
    <definedName name="opdrachtnemer">[30]basisgegevens!$B$19</definedName>
    <definedName name="Opleidingskosten">[22]Basisgegevens!$E$68</definedName>
    <definedName name="OpNp">[22]Basisgegevens!$E$50</definedName>
    <definedName name="OpslagLeaflets" localSheetId="15">#REF!</definedName>
    <definedName name="OpslagLeaflets">#REF!</definedName>
    <definedName name="ORANGE">[62]BeginMeting!#REF!</definedName>
    <definedName name="ORT">[27]Personeel!#REF!</definedName>
    <definedName name="overgang">[22]Basisgegevens!$E$51</definedName>
    <definedName name="Overig" localSheetId="15">'11c-Afroep RVS kraaiennest'!Overig</definedName>
    <definedName name="Overig">[0]!Overig</definedName>
    <definedName name="ow">[66]ow!$A$6:$K$78</definedName>
    <definedName name="p" hidden="1">[3]Blad1!#REF!</definedName>
    <definedName name="P_KPN">[67]projectsheet!$I$12</definedName>
    <definedName name="P_O2">[67]projectsheet!$C$15</definedName>
    <definedName name="P_ORANGE">[67]projectsheet!$C$14</definedName>
    <definedName name="P_TELE2">[67]projectsheet!$C$17</definedName>
    <definedName name="P_TMOBILE">[67]projectsheet!$C$16</definedName>
    <definedName name="P_VODAFONE">[67]projectsheet!$C$13</definedName>
    <definedName name="P7_1_4" localSheetId="15">'11c-Afroep RVS kraaiennest'!Macrop7</definedName>
    <definedName name="P7_1_4">[0]!Macrop7</definedName>
    <definedName name="PAC_AW" localSheetId="15">#REF!</definedName>
    <definedName name="PAC_AW">#REF!</definedName>
    <definedName name="PAC_BP" localSheetId="15">#REF!</definedName>
    <definedName name="PAC_BP">#REF!</definedName>
    <definedName name="PAC_FG" localSheetId="15">#REF!</definedName>
    <definedName name="PAC_FG">#REF!</definedName>
    <definedName name="PAC_NB">#REF!</definedName>
    <definedName name="PAC_PP">#REF!</definedName>
    <definedName name="PAC_RR">#REF!</definedName>
    <definedName name="PAC_SS">#REF!</definedName>
    <definedName name="pandlinputlocal">'[11]Fin Input'!$B$4:$G$58</definedName>
    <definedName name="Papierenhanddoekrollen">#REF!</definedName>
    <definedName name="patrick">#REF!</definedName>
    <definedName name="paysSample">#REF!</definedName>
    <definedName name="pb">[68]CALCULATIONS!$AB$109</definedName>
    <definedName name="PCS_AW" localSheetId="15">#REF!</definedName>
    <definedName name="PCS_AW">#REF!</definedName>
    <definedName name="PCS_BP" localSheetId="15">#REF!</definedName>
    <definedName name="PCS_BP">#REF!</definedName>
    <definedName name="PCS_FG" localSheetId="15">#REF!</definedName>
    <definedName name="PCS_FG">#REF!</definedName>
    <definedName name="PCS_NB">#REF!</definedName>
    <definedName name="PCS_PP">#REF!</definedName>
    <definedName name="PCS_RR">#REF!</definedName>
    <definedName name="PCS_SS">#REF!</definedName>
    <definedName name="PDS_AW">#REF!</definedName>
    <definedName name="PDS_AW_Duo">#REF!</definedName>
    <definedName name="PDS_AW_NT">#REF!</definedName>
    <definedName name="PDS_BP">#REF!</definedName>
    <definedName name="PDS_BP_Duo">#REF!</definedName>
    <definedName name="PDS_BP_NT">#REF!</definedName>
    <definedName name="PDS_FG">#REF!</definedName>
    <definedName name="PDS_FG_Duo">#REF!</definedName>
    <definedName name="PDS_FG_NT">#REF!</definedName>
    <definedName name="PDS_NB">#REF!</definedName>
    <definedName name="PDS_NB_Duo">#REF!</definedName>
    <definedName name="PDS_NB_NT">#REF!</definedName>
    <definedName name="PDS_PP">#REF!</definedName>
    <definedName name="PDS_PP_Duo">#REF!</definedName>
    <definedName name="PDS_PP_NT">#REF!</definedName>
    <definedName name="PDS_RR">#REF!</definedName>
    <definedName name="PDS_RR_Duo">#REF!</definedName>
    <definedName name="PDS_RR_NT">#REF!</definedName>
    <definedName name="PDS_SS">#REF!</definedName>
    <definedName name="PDS_SS_Duo">#REF!</definedName>
    <definedName name="PDS_SS_NT">#REF!</definedName>
    <definedName name="pen">#REF!</definedName>
    <definedName name="PensioenWN">[22]Basisgegevens!$E$36</definedName>
    <definedName name="percent_drop">[28]Other!$B$83:$B$92</definedName>
    <definedName name="Percentage_eindejaars">[69]Uitgangspunten!$B$19</definedName>
    <definedName name="Period_Type">[28]Periodics!$K$3:$K$31</definedName>
    <definedName name="periodiek_prijs">[17]Uitvoergegevens!$E$17</definedName>
    <definedName name="periodiek_uren">[17]Uitvoergegevens!$E$18</definedName>
    <definedName name="petteflet" localSheetId="15">#REF!</definedName>
    <definedName name="petteflet">#REF!</definedName>
    <definedName name="PFS_AW" localSheetId="15">#REF!</definedName>
    <definedName name="PFS_AW">#REF!</definedName>
    <definedName name="PFS_BP" localSheetId="15">#REF!</definedName>
    <definedName name="PFS_BP">#REF!</definedName>
    <definedName name="PFS_FG">#REF!</definedName>
    <definedName name="PFS_NB">#REF!</definedName>
    <definedName name="PFS_NT_AW">#REF!</definedName>
    <definedName name="PFS_NT_BP">#REF!</definedName>
    <definedName name="PFS_NT_FG">#REF!</definedName>
    <definedName name="PFS_NT_NB">#REF!</definedName>
    <definedName name="PFS_NT_PP">#REF!</definedName>
    <definedName name="PFS_NT_RR">#REF!</definedName>
    <definedName name="PFS_NT_SS">#REF!</definedName>
    <definedName name="PFS_PP">#REF!</definedName>
    <definedName name="PFS_RR">#REF!</definedName>
    <definedName name="PFS_SS">#REF!</definedName>
    <definedName name="PHS_AW">#REF!</definedName>
    <definedName name="PHS_BP">#REF!</definedName>
    <definedName name="PHS_FG">#REF!</definedName>
    <definedName name="PHS_NB">#REF!</definedName>
    <definedName name="PHS_NT_AW">#REF!</definedName>
    <definedName name="PHS_NT_BP">#REF!</definedName>
    <definedName name="PHS_NT_FG">#REF!</definedName>
    <definedName name="PHS_NT_NB">#REF!</definedName>
    <definedName name="PHS_NT_PP">#REF!</definedName>
    <definedName name="PHS_NT_RR">#REF!</definedName>
    <definedName name="PHS_NT_SS">#REF!</definedName>
    <definedName name="PHS_PP">#REF!</definedName>
    <definedName name="PHS_RR">#REF!</definedName>
    <definedName name="PHS_SS">#REF!</definedName>
    <definedName name="PICT_HAMETROL">INDIRECT(#REF!)</definedName>
    <definedName name="PICT_PAC">INDIRECT('[70]CWS-Productspecs '!#REF!)</definedName>
    <definedName name="PICT_PCS" localSheetId="15">INDIRECT('[70]CWS-Productspecs '!#REF!)</definedName>
    <definedName name="PICT_PCS">INDIRECT('[70]CWS-Productspecs '!#REF!)</definedName>
    <definedName name="PICT_PCU" localSheetId="15">INDIRECT('[70]CWS-Productspecs '!#REF!)</definedName>
    <definedName name="PICT_PCU">INDIRECT('[70]CWS-Productspecs '!#REF!)</definedName>
    <definedName name="PICT_PDS" localSheetId="15">INDIRECT('[70]CWS-Productspecs '!#REF!)</definedName>
    <definedName name="PICT_PDS">INDIRECT('[70]CWS-Productspecs '!#REF!)</definedName>
    <definedName name="PICT_PDS_DUO" localSheetId="15">INDIRECT('[70]CWS-Productspecs '!#REF!)</definedName>
    <definedName name="PICT_PDS_DUO">INDIRECT('[70]CWS-Productspecs '!#REF!)</definedName>
    <definedName name="PICT_PDS_NT" localSheetId="15">INDIRECT('[70]CWS-Productspecs '!#REF!)</definedName>
    <definedName name="PICT_PDS_NT">INDIRECT('[70]CWS-Productspecs '!#REF!)</definedName>
    <definedName name="PICT_PFS" localSheetId="15">INDIRECT('[70]CWS-Productspecs '!#REF!)</definedName>
    <definedName name="PICT_PFS">INDIRECT('[70]CWS-Productspecs '!#REF!)</definedName>
    <definedName name="PICT_PFS_NT" localSheetId="15">INDIRECT('[70]CWS-Productspecs '!#REF!)</definedName>
    <definedName name="PICT_PFS_NT">INDIRECT('[70]CWS-Productspecs '!#REF!)</definedName>
    <definedName name="PICT_PFU" localSheetId="15">INDIRECT('[70]CWS-Productspecs '!#REF!)</definedName>
    <definedName name="PICT_PFU">INDIRECT('[70]CWS-Productspecs '!#REF!)</definedName>
    <definedName name="PICT_PHS" localSheetId="15">INDIRECT('[70]CWS-Productspecs '!#REF!)</definedName>
    <definedName name="PICT_PHS">INDIRECT('[70]CWS-Productspecs '!#REF!)</definedName>
    <definedName name="PICT_PHS_NT" localSheetId="15">INDIRECT('[70]CWS-Productspecs '!#REF!)</definedName>
    <definedName name="PICT_PHS_NT">INDIRECT('[70]CWS-Productspecs '!#REF!)</definedName>
    <definedName name="PICT_PPR" localSheetId="15">INDIRECT('[70]CWS-Productspecs '!#REF!)</definedName>
    <definedName name="PICT_PPR">INDIRECT('[70]CWS-Productspecs '!#REF!)</definedName>
    <definedName name="PICT_PSC" localSheetId="15">INDIRECT('[70]CWS-Productspecs '!#REF!)</definedName>
    <definedName name="PICT_PSC">INDIRECT('[70]CWS-Productspecs '!#REF!)</definedName>
    <definedName name="PICT_PTP" localSheetId="15">INDIRECT('[70]CWS-Productspecs '!#REF!)</definedName>
    <definedName name="PICT_PTP">INDIRECT('[70]CWS-Productspecs '!#REF!)</definedName>
    <definedName name="plaats_locatie">[17]Uitvoergegevens!$C$7</definedName>
    <definedName name="Poland" localSheetId="15">#REF!</definedName>
    <definedName name="Poland">#REF!</definedName>
    <definedName name="pollewop" localSheetId="15">#REF!</definedName>
    <definedName name="pollewop">#REF!</definedName>
    <definedName name="polymeren_prijs">[17]Uitvoergegevens!$E$21</definedName>
    <definedName name="Porto250500grams20" localSheetId="15">#REF!</definedName>
    <definedName name="Porto250500grams20">#REF!</definedName>
    <definedName name="Porto250500grams30" localSheetId="15">#REF!</definedName>
    <definedName name="Porto250500grams30">#REF!</definedName>
    <definedName name="Porto250500grams40" localSheetId="15">#REF!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ortugal">#REF!</definedName>
    <definedName name="PPR_AW">#REF!</definedName>
    <definedName name="PPR_BP">#REF!</definedName>
    <definedName name="PPR_FG">#REF!</definedName>
    <definedName name="PPR_NB">#REF!</definedName>
    <definedName name="PPR_PP">#REF!</definedName>
    <definedName name="PPR_RR">#REF!</definedName>
    <definedName name="PPR_SS">#REF!</definedName>
    <definedName name="PPS">INDIRECT('[70]CWS-Productspecs '!#REF!)</definedName>
    <definedName name="PPS_AW" localSheetId="15">#REF!</definedName>
    <definedName name="PPS_AW">#REF!</definedName>
    <definedName name="PPS_BP">#REF!</definedName>
    <definedName name="PPS_FG">#REF!</definedName>
    <definedName name="PPS_FT">#REF!</definedName>
    <definedName name="PPS_NB">#REF!</definedName>
    <definedName name="PPS_PP">#REF!</definedName>
    <definedName name="PPS_RR">#REF!</definedName>
    <definedName name="PPS_SS">#REF!</definedName>
    <definedName name="prgterug">#REF!</definedName>
    <definedName name="Price">[11]Price!$C$13</definedName>
    <definedName name="prijsjaargegund" localSheetId="15">#REF!</definedName>
    <definedName name="prijsjaargegund">#REF!</definedName>
    <definedName name="prijsjaargegund1" localSheetId="15">#REF!</definedName>
    <definedName name="prijsjaargegund1">#REF!</definedName>
    <definedName name="PrijsPerMinuut120tot180" localSheetId="15">#REF!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_Area_MI">#REF!</definedName>
    <definedName name="PRINT_CLIENT">#REF!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DUCTIE_UREN_MAANDAG_T_M_VRIJDAG">#REF!</definedName>
    <definedName name="productiemavr">'[58]Basis ruimtestaat'!$Q$11:$Q$1507</definedName>
    <definedName name="productiezazo">'[58]Basis ruimtestaat'!$U$11:$U$1507</definedName>
    <definedName name="Prognose0tot10" localSheetId="15">#REF!</definedName>
    <definedName name="Prognose0tot10">#REF!</definedName>
    <definedName name="Prognose10tot20" localSheetId="15">#REF!</definedName>
    <definedName name="Prognose10tot20">#REF!</definedName>
    <definedName name="Prognose110tot120" localSheetId="15">#REF!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rogramma">#REF!</definedName>
    <definedName name="ProgrCode">'[71]Productienorm-Kengetal'!#REF!</definedName>
    <definedName name="PSC_AW" localSheetId="15">#REF!</definedName>
    <definedName name="PSC_AW">#REF!</definedName>
    <definedName name="PSC_BP" localSheetId="15">#REF!</definedName>
    <definedName name="PSC_BP">#REF!</definedName>
    <definedName name="PSC_FG" localSheetId="15">#REF!</definedName>
    <definedName name="PSC_FG">#REF!</definedName>
    <definedName name="PSC_NB">#REF!</definedName>
    <definedName name="PSC_PP">#REF!</definedName>
    <definedName name="PSC_RR">#REF!</definedName>
    <definedName name="PSC_SS">#REF!</definedName>
    <definedName name="PSC_SW">#REF!</definedName>
    <definedName name="PTP_AW">#REF!</definedName>
    <definedName name="PTP_BP">#REF!</definedName>
    <definedName name="PTP_FG">#REF!</definedName>
    <definedName name="PTP_GR">#REF!</definedName>
    <definedName name="PTP_NB">#REF!</definedName>
    <definedName name="PTP_PP">#REF!</definedName>
    <definedName name="PTP_RR">#REF!</definedName>
    <definedName name="PTP_SS">#REF!</definedName>
    <definedName name="PuntenCurrentRatio1">[25]Parameters!#REF!</definedName>
    <definedName name="PuntenCurrentRatio2">[25]Parameters!#REF!</definedName>
    <definedName name="PuntenCurrentRatio3">[25]Parameters!#REF!</definedName>
    <definedName name="PuntenCurrentRatio4">[25]Parameters!#REF!</definedName>
    <definedName name="PuntenCurrentRatioGemiddeld">[25]Kengetallen!#REF!</definedName>
    <definedName name="PuntenCurrentRatioN">[25]Kengetallen!#REF!</definedName>
    <definedName name="PuntenCurrentRatioNmin1">[25]Kengetallen!#REF!</definedName>
    <definedName name="PuntenCurrentRatioNmin2">[25]Kengetallen!#REF!</definedName>
    <definedName name="PuntenOmzetGemiddeld">[25]Kengetallen!#REF!</definedName>
    <definedName name="PuntenOmzetN">[25]Kengetallen!#REF!</definedName>
    <definedName name="PuntenOmzetNmin1">[25]Kengetallen!#REF!</definedName>
    <definedName name="PuntenOmzetNmin2">[25]Kengetallen!#REF!</definedName>
    <definedName name="PuntenRentabiliteit1">[25]Parameters!#REF!</definedName>
    <definedName name="PuntenRentabiliteit2">[25]Parameters!#REF!</definedName>
    <definedName name="PuntenRentabiliteit3">[25]Parameters!#REF!</definedName>
    <definedName name="PuntenRentabiliteit4">[25]Parameters!#REF!</definedName>
    <definedName name="PuntenRentabiliteitGemiddeld">[25]Kengetallen!#REF!</definedName>
    <definedName name="PuntenRentabiliteitN">[25]Kengetallen!#REF!</definedName>
    <definedName name="PuntenRentabiliteitNmin1">[25]Kengetallen!#REF!</definedName>
    <definedName name="PuntenRentabiliteitNmin2">[25]Kengetallen!#REF!</definedName>
    <definedName name="PuntenSolvabiliteit1">[25]Parameters!#REF!</definedName>
    <definedName name="PuntenSolvabiliteit2">[25]Parameters!#REF!</definedName>
    <definedName name="PuntenSolvabiliteit3">[25]Parameters!#REF!</definedName>
    <definedName name="PuntenSolvabiliteit4">[25]Parameters!#REF!</definedName>
    <definedName name="PuntenSolvabiliteitGemiddeld">[25]Kengetallen!#REF!</definedName>
    <definedName name="PuntenSolvabiliteitN">[25]Kengetallen!#REF!</definedName>
    <definedName name="PuntenSolvabiliteitNmin1">[25]Kengetallen!#REF!</definedName>
    <definedName name="PuntenSolvabiliteitNmin2">[25]Kengetallen!#REF!</definedName>
    <definedName name="pw" localSheetId="15">#REF!</definedName>
    <definedName name="pw">#REF!</definedName>
    <definedName name="q" hidden="1">[3]Blad1!#REF!</definedName>
    <definedName name="qc">'[63]Frequentie kwaliteitsmeting'!$H$7</definedName>
    <definedName name="qcolga">'[63]Frequentie kwaliteitsmeting'!XFB1048559</definedName>
    <definedName name="qry_Tbv_disk" localSheetId="15">#REF!</definedName>
    <definedName name="qry_Tbv_disk">#REF!</definedName>
    <definedName name="Query3a" localSheetId="15">#REF!</definedName>
    <definedName name="Query3a">#REF!</definedName>
    <definedName name="Query3b" localSheetId="15">#REF!</definedName>
    <definedName name="Query3b">#REF!</definedName>
    <definedName name="Quick_Calc">[28]Materials!$L$3:$L$8</definedName>
    <definedName name="R_Code">[26]Prestatiefactoren!#REF!</definedName>
    <definedName name="r_lk">'[36]regie uurtarief'!$E$16</definedName>
    <definedName name="r_tarief">'[36]regie uurtarief'!$E$42</definedName>
    <definedName name="RB">[18]Tussenblad!$B$11</definedName>
    <definedName name="Reconditioneren" localSheetId="15">#REF!</definedName>
    <definedName name="Reconditioneren">#REF!</definedName>
    <definedName name="reegl16" localSheetId="15">#REF!</definedName>
    <definedName name="reegl16">#REF!</definedName>
    <definedName name="Regel1" localSheetId="15">#REF!</definedName>
    <definedName name="Regel1">#REF!</definedName>
    <definedName name="regel100">#REF!</definedName>
    <definedName name="regel102">#REF!</definedName>
    <definedName name="regel103">#REF!</definedName>
    <definedName name="regel105">#REF!</definedName>
    <definedName name="regel106">#REF!</definedName>
    <definedName name="regel11">#REF!</definedName>
    <definedName name="regel12">#REF!</definedName>
    <definedName name="regel15">#REF!</definedName>
    <definedName name="regel18">#REF!</definedName>
    <definedName name="regel19">#REF!</definedName>
    <definedName name="regel22">#REF!</definedName>
    <definedName name="regel23">#REF!</definedName>
    <definedName name="regel26">#REF!</definedName>
    <definedName name="regel27">#REF!</definedName>
    <definedName name="regel28">#REF!</definedName>
    <definedName name="regel31">#REF!</definedName>
    <definedName name="regel32">#REF!</definedName>
    <definedName name="regel39">#REF!</definedName>
    <definedName name="regel4">#REF!</definedName>
    <definedName name="regel42">#REF!</definedName>
    <definedName name="regel43">#REF!</definedName>
    <definedName name="regel44">#REF!</definedName>
    <definedName name="regel45">#REF!</definedName>
    <definedName name="regel51">#REF!</definedName>
    <definedName name="regel53">#REF!</definedName>
    <definedName name="regel56">#REF!</definedName>
    <definedName name="regel58">#REF!</definedName>
    <definedName name="regel59">#REF!</definedName>
    <definedName name="regel61">#REF!</definedName>
    <definedName name="regel63">#REF!</definedName>
    <definedName name="regel66">#REF!</definedName>
    <definedName name="regel7">#REF!</definedName>
    <definedName name="regel72">#REF!</definedName>
    <definedName name="regel73">#REF!</definedName>
    <definedName name="regel75">#REF!</definedName>
    <definedName name="regel78">#REF!</definedName>
    <definedName name="regel8">#REF!</definedName>
    <definedName name="regel83">#REF!</definedName>
    <definedName name="regel84">#REF!</definedName>
    <definedName name="regel87">#REF!</definedName>
    <definedName name="regel9">#REF!</definedName>
    <definedName name="regel90">#REF!</definedName>
    <definedName name="regel91">#REF!</definedName>
    <definedName name="regel94">#REF!</definedName>
    <definedName name="regel95">#REF!</definedName>
    <definedName name="regel97">#REF!</definedName>
    <definedName name="regel99">#REF!</definedName>
    <definedName name="regietarief">[30]uurtariefopbouw!$G$37</definedName>
    <definedName name="Regiewerkzaamheden" localSheetId="15">#REF!</definedName>
    <definedName name="Regiewerkzaamheden">#REF!</definedName>
    <definedName name="reigersnest" localSheetId="15">#REF!</definedName>
    <definedName name="reigersnest">#REF!</definedName>
    <definedName name="rekenuurtariefHALO" localSheetId="15">#REF!</definedName>
    <definedName name="rekenuurtariefHALO">#REF!</definedName>
    <definedName name="rekenuurtariefHHS">#REF!</definedName>
    <definedName name="Reports">#REF!</definedName>
    <definedName name="resultaat">#REF!</definedName>
    <definedName name="rfqer" hidden="1">#REF!</definedName>
    <definedName name="RInput">#REF!</definedName>
    <definedName name="Rol_blauw">#REF!</definedName>
    <definedName name="Rol_wit">#REF!</definedName>
    <definedName name="roofs">[31]Sheet3!$B$21:$B$24</definedName>
    <definedName name="rooftype">[31]Sheet3!$B$21:$B$25</definedName>
    <definedName name="RouwdagenFT">[22]Basisgegevens!$I$24</definedName>
    <definedName name="RouwdagenPT">[22]Basisgegevens!$F$24</definedName>
    <definedName name="rtype" localSheetId="15">#REF!</definedName>
    <definedName name="rtype">#REF!</definedName>
    <definedName name="ruimte" localSheetId="15">#REF!</definedName>
    <definedName name="ruimte">#REF!</definedName>
    <definedName name="ruimtem2" localSheetId="15">#REF!</definedName>
    <definedName name="ruimtem2">#REF!</definedName>
    <definedName name="Ruimtesoort">#REF!</definedName>
    <definedName name="Ruimtesoorten">#REF!</definedName>
    <definedName name="ruimtestaten">#REF!</definedName>
    <definedName name="s" hidden="1">[3]Blad1!#REF!</definedName>
    <definedName name="SAVE_NEW_FILE">#REF!</definedName>
    <definedName name="SAVE_OLD_FILE">#REF!</definedName>
    <definedName name="sbhah">[72]!sbhah</definedName>
    <definedName name="schaal" localSheetId="15">#REF!</definedName>
    <definedName name="schaal">#REF!</definedName>
    <definedName name="Sensitivity">[11]Sensi!$B$2</definedName>
    <definedName name="Servetten" localSheetId="15">#REF!</definedName>
    <definedName name="Servetten">#REF!</definedName>
    <definedName name="SERVICE_CENTER">[21]normentabel!$L$1:$Q$15</definedName>
    <definedName name="Service_list">'[28]Multi Service Details'!$A$5:$A$29</definedName>
    <definedName name="setCLEAR" localSheetId="15">#REF!</definedName>
    <definedName name="setCLEAR">#REF!</definedName>
    <definedName name="setCOPYNAMES" localSheetId="15">#REF!</definedName>
    <definedName name="setCOPYNAMES">#REF!</definedName>
    <definedName name="setCOPYVALUES" localSheetId="15">#REF!</definedName>
    <definedName name="setCOPYVALUES">#REF!</definedName>
    <definedName name="setDATA">#REF!</definedName>
    <definedName name="setFORMULANAMES">#REF!</definedName>
    <definedName name="setFPOV">#REF!</definedName>
    <definedName name="setINPUT">#REF!</definedName>
    <definedName name="setLID">#REF!</definedName>
    <definedName name="setLOCAL">#REF!</definedName>
    <definedName name="setOPE22">#REF!</definedName>
    <definedName name="setOPE31">#REF!</definedName>
    <definedName name="setOPE33">#REF!</definedName>
    <definedName name="setOPE34">#REF!</definedName>
    <definedName name="setOPE35">#REF!</definedName>
    <definedName name="setOPE41">#REF!</definedName>
    <definedName name="setOPE42">#REF!</definedName>
    <definedName name="setOPE43">#REF!</definedName>
    <definedName name="setOPE51">#REF!</definedName>
    <definedName name="setOPE64">#REF!</definedName>
    <definedName name="setPeriod">#REF!</definedName>
    <definedName name="setPeriodName">#REF!</definedName>
    <definedName name="setTEXT">#REF!</definedName>
    <definedName name="Site_Trans">[28]Other!$C$70:$J$70</definedName>
    <definedName name="slingerb" localSheetId="15">'11c-Afroep RVS kraaiennest'!slingerb</definedName>
    <definedName name="slingerb">[0]!slingerb</definedName>
    <definedName name="small1" localSheetId="15">#REF!</definedName>
    <definedName name="small1">#REF!</definedName>
    <definedName name="small2" localSheetId="15">#REF!</definedName>
    <definedName name="small2">#REF!</definedName>
    <definedName name="smo_lk">'[36]medewerker smo uurtarief'!$E$16</definedName>
    <definedName name="SocialelastenexclWwOpNp">[22]Basisgegevens!$E$56</definedName>
    <definedName name="sortering" localSheetId="15">#REF!</definedName>
    <definedName name="sortering">#REF!</definedName>
    <definedName name="SouthAfrica" localSheetId="15">#REF!</definedName>
    <definedName name="SouthAfrica">#REF!</definedName>
    <definedName name="sp_lk">'[36]Specialistisch uurtarief'!$E$16</definedName>
    <definedName name="sp_tarief">'[36]Specialistisch uurtarief'!$E$42</definedName>
    <definedName name="Spain" localSheetId="15">#REF!</definedName>
    <definedName name="Spain">#REF!</definedName>
    <definedName name="specifiek">'[58]Basis ruimtestaat'!$W$11:$W$1507</definedName>
    <definedName name="spectarief">[30]uurtariefopbouw!$I$37</definedName>
    <definedName name="spray_meters">[17]Uitvoergegevens!$E$19</definedName>
    <definedName name="spray_prijs">[17]Uitvoergegevens!$E$20</definedName>
    <definedName name="ST_Miles">[28]Other!$B$71:$B$75</definedName>
    <definedName name="stampertjes" localSheetId="15">#REF!</definedName>
    <definedName name="stampertjes">#REF!</definedName>
    <definedName name="start" localSheetId="15">#REF!</definedName>
    <definedName name="start">#REF!</definedName>
    <definedName name="startFPOV" localSheetId="15">#REF!</definedName>
    <definedName name="startFPOV">#REF!</definedName>
    <definedName name="STARTFTEQ">#REF!</definedName>
    <definedName name="startpoint">#REF!</definedName>
    <definedName name="StarttariefPerCall">#REF!</definedName>
    <definedName name="StarttariefPerDoorverbondenCall">#REF!</definedName>
    <definedName name="status">[73]SSC!$P$2:$P$5</definedName>
    <definedName name="Subcon_Names">'[28]Hard Serv Subcon'!$B$4:$B$78</definedName>
    <definedName name="sur" localSheetId="15">#REF!</definedName>
    <definedName name="sur">#REF!</definedName>
    <definedName name="Switzerland" localSheetId="15">#REF!</definedName>
    <definedName name="Switzerland">#REF!</definedName>
    <definedName name="Synergies" localSheetId="15">#REF!</definedName>
    <definedName name="Synergies">#REF!</definedName>
    <definedName name="t">#REF!</definedName>
    <definedName name="T003_Totaaloverzicht_ruimtestaat_getotaliseerd">#REF!</definedName>
    <definedName name="TABEL">[71]Ruimtestaat!#REF!</definedName>
    <definedName name="tabelcodes" localSheetId="15">#REF!</definedName>
    <definedName name="tabelcodes">#REF!</definedName>
    <definedName name="Tabelruimtesoort">[74]Ruimtesoort!$A:$IV</definedName>
    <definedName name="tabeltype">[33]Omreken!$B$5:$B$5</definedName>
    <definedName name="TableName">"Dummy"</definedName>
    <definedName name="Tabruimte">[75]Blad1!$A:$IV</definedName>
    <definedName name="TargetWACC">[11]Intro!$D$26</definedName>
    <definedName name="targroot" localSheetId="15">#REF!</definedName>
    <definedName name="targroot">#REF!</definedName>
    <definedName name="tarief_2010_2012" localSheetId="15">#REF!</definedName>
    <definedName name="tarief_2010_2012">#REF!</definedName>
    <definedName name="tariefCSP">'[76]Kostenspecificatie reeel '!$AO$15:$AV$28</definedName>
    <definedName name="tariefopbouw" localSheetId="15">#REF!</definedName>
    <definedName name="tariefopbouw">#REF!</definedName>
    <definedName name="tariefopbouwadd" localSheetId="15">#REF!</definedName>
    <definedName name="tariefopbouwadd">#REF!</definedName>
    <definedName name="tarieftabel" localSheetId="15">#REF!</definedName>
    <definedName name="tarieftabel">#REF!</definedName>
    <definedName name="tariefupmavr">#REF!</definedName>
    <definedName name="Tarklein">#REF!</definedName>
    <definedName name="tarmidden">#REF!</definedName>
    <definedName name="Teicocodes">#REF!</definedName>
    <definedName name="TELE2">[62]BeginMeting!#REF!</definedName>
    <definedName name="tesstt" hidden="1">[3]Blad1!#REF!</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ien">[27]Personeel!#REF!</definedName>
    <definedName name="TMOBILE">[62]BeginMeting!#REF!</definedName>
    <definedName name="toeslagentabel" localSheetId="15">#REF!</definedName>
    <definedName name="toeslagentabel">#REF!</definedName>
    <definedName name="toezichtmavr">'[58]Basis ruimtestaat'!$R$11:$R$1507</definedName>
    <definedName name="Toilet_Paper">[28]Materials!$K$3:$K$11</definedName>
    <definedName name="Toiletpapier" localSheetId="15">#REF!</definedName>
    <definedName name="Toiletpapier">#REF!</definedName>
    <definedName name="ToolboxstudieFT">[22]Basisgegevens!$I$26</definedName>
    <definedName name="ToolboxstudiePT">[22]Basisgegevens!$F$26</definedName>
    <definedName name="torteltuin" localSheetId="15">#REF!</definedName>
    <definedName name="torteltuin">#REF!</definedName>
    <definedName name="totaal">[29]!totaal</definedName>
    <definedName name="Totaal_calculatie" localSheetId="15">#REF!</definedName>
    <definedName name="Totaal_calculatie">#REF!</definedName>
    <definedName name="totaal_divers">[17]uurtariefopbouw!$E$32</definedName>
    <definedName name="totaal_speciaal">[17]uurtariefopbouw!$G$32</definedName>
    <definedName name="Totaal2">'[57]1.3-Basis ruimtestaat'!$D$10:$S$825</definedName>
    <definedName name="TotaalN">[25]Kengetallen!#REF!</definedName>
    <definedName name="TotaalNmin1">[25]Kengetallen!#REF!</definedName>
    <definedName name="TotaalNmin2">[25]Kengetallen!#REF!</definedName>
    <definedName name="Totaaloverzicht_ruimtestaat_detail" localSheetId="15">#REF!</definedName>
    <definedName name="Totaaloverzicht_ruimtestaat_detail">#REF!</definedName>
    <definedName name="TotaalScore">[25]Kengetallen!#REF!</definedName>
    <definedName name="TotaleWaarde">[25]Kengetallen!#REF!</definedName>
    <definedName name="totkol">[63]Parameters!$C$18</definedName>
    <definedName name="tpa" localSheetId="15">#REF!</definedName>
    <definedName name="tpa">#REF!</definedName>
    <definedName name="tUren">[63]Normenblad!$BW$8</definedName>
    <definedName name="tUrenOlga">[63]Normenblad!A1048558</definedName>
    <definedName name="Turkey" localSheetId="15">#REF!</definedName>
    <definedName name="Turkey">#REF!</definedName>
    <definedName name="Tussenbeurt" localSheetId="15">#REF!</definedName>
    <definedName name="Tussenbeurt">#REF!</definedName>
    <definedName name="TypeInschrijver" localSheetId="15">#REF!</definedName>
    <definedName name="TypeInschrijver">#REF!</definedName>
    <definedName name="u">#REF!</definedName>
    <definedName name="uitvoerder">[19]Frequnetie!#REF!</definedName>
    <definedName name="UK" localSheetId="15">#REF!</definedName>
    <definedName name="UK">#REF!</definedName>
    <definedName name="UKcheck" localSheetId="15">#REF!</definedName>
    <definedName name="UKcheck">#REF!</definedName>
    <definedName name="UKtrig" localSheetId="15">#REF!</definedName>
    <definedName name="UKtrig">#REF!</definedName>
    <definedName name="UNIFORMS">[28]Other!$B$33:$B$47</definedName>
    <definedName name="union" localSheetId="15">#REF!</definedName>
    <definedName name="union">#REF!</definedName>
    <definedName name="Universal1000" localSheetId="15">#REF!</definedName>
    <definedName name="Universal1000">#REF!</definedName>
    <definedName name="Universal500" localSheetId="15">#REF!</definedName>
    <definedName name="Universal500">#REF!</definedName>
    <definedName name="UREMAVR">'[57]1.3-Basis ruimtestaat'!$Q$10:$Q$825</definedName>
    <definedName name="uren_mavr">'[77]3-Basis ruimtestaat'!$O$1:$O$65536</definedName>
    <definedName name="Uren_mavrij">'[78]10 OER ma- zzf'!#REF!</definedName>
    <definedName name="Uren_nal">'[78]10 OER ma- zzf'!#REF!</definedName>
    <definedName name="uren_naloop">'[77]3-Basis ruimtestaat'!#REF!</definedName>
    <definedName name="uren_zazo">'[79]6 - Basis ruimtestaat'!$Q$1:$Q$65536</definedName>
    <definedName name="uren_zazofe" localSheetId="21">'[80]4-Basis ruimtestaat'!$O:$O</definedName>
    <definedName name="uren_zazofe">'[81]4-Basis ruimtestaat'!$O:$O</definedName>
    <definedName name="uren_zazonaloop">'[79]6 - Basis ruimtestaat'!$R$1:$R$65536</definedName>
    <definedName name="Uren1" localSheetId="15">#REF!</definedName>
    <definedName name="Uren1">#REF!</definedName>
    <definedName name="Uren2" localSheetId="15">#REF!</definedName>
    <definedName name="Uren2">#REF!</definedName>
    <definedName name="urenfeest">'[82]3-ZMC Rmst UB '!$AF$3026</definedName>
    <definedName name="urenma" localSheetId="15">#REF!</definedName>
    <definedName name="urenma">#REF!</definedName>
    <definedName name="Urenmavr">'[83]3-Basis ruimtestaat'!$N$1:$N$65536</definedName>
    <definedName name="urenna" localSheetId="15">#REF!</definedName>
    <definedName name="urenna">#REF!</definedName>
    <definedName name="urennaloop">'[83]3-Basis ruimtestaat'!$O$1:$O$65536</definedName>
    <definedName name="urenspec" localSheetId="15">#REF!</definedName>
    <definedName name="urenspec">#REF!</definedName>
    <definedName name="urenza" localSheetId="15">#REF!</definedName>
    <definedName name="urenza">#REF!</definedName>
    <definedName name="urenzazofd" localSheetId="15">[84]ruimtestaat!#REF!</definedName>
    <definedName name="urenzazofd">[84]ruimtestaat!#REF!</definedName>
    <definedName name="urenzo">'[82]3-ZMC Rmst UB '!$AE$3026</definedName>
    <definedName name="uurt">[85]Uurtarieven!$F$57</definedName>
    <definedName name="Uurtarief" localSheetId="15">#REF!</definedName>
    <definedName name="Uurtarief">#REF!</definedName>
    <definedName name="uurtarief_fe">'[36]Uurtarieven matrix'!$J$11</definedName>
    <definedName name="uurtarief_za">'[36]Uurtarieven matrix'!$H$11</definedName>
    <definedName name="VakantiedagenFT">[22]Basisgegevens!$I$21</definedName>
    <definedName name="vakantiedagenPT">[22]Basisgegevens!$F$21</definedName>
    <definedName name="varPath" localSheetId="15">#REF!</definedName>
    <definedName name="varPath">#REF!</definedName>
    <definedName name="verbetring">[86]!verbetring</definedName>
    <definedName name="vergader">[87]norm!$C$2:$D$1133</definedName>
    <definedName name="Vergelijking_Verzamelpanden_nieuw" localSheetId="15">#REF!</definedName>
    <definedName name="Vergelijking_Verzamelpanden_nieuw">#REF!</definedName>
    <definedName name="Vergelijking_Verzamelpanden_Ter_Controle" localSheetId="15">#REF!</definedName>
    <definedName name="Vergelijking_Verzamelpanden_Ter_Controle">#REF!</definedName>
    <definedName name="verise" localSheetId="15">'11c-Afroep RVS kraaiennest'!verise</definedName>
    <definedName name="verise">[0]!verise</definedName>
    <definedName name="versienr">[17]Uitvoergegevens!$C$3</definedName>
    <definedName name="verz">[21]Basisgegevens!#REF!</definedName>
    <definedName name="verzamelblad">[17]verzamelblad!$A$2:$BZ$36</definedName>
    <definedName name="verzuim">[22]Basisgegevens!$E$67</definedName>
    <definedName name="vestigingsplaats">'[17]basisgegevens aannemer'!$C$4</definedName>
    <definedName name="vestigingsplaats_opdr">'[17]basisgegevens opdrachtgever'!$B$3</definedName>
    <definedName name="Vijfendertig">[27]Personeel!#REF!</definedName>
    <definedName name="Vl_Code">[26]Prestatiefactoren!#REF!</definedName>
    <definedName name="vloer">[26]Werkprogramma!#REF!</definedName>
    <definedName name="VloerK">'[88]Basis ruimtestaat'!$W:$W</definedName>
    <definedName name="VloerM">'[88]Basis ruimtestaat'!$K:$V</definedName>
    <definedName name="vloeroppervlak">'[58]Basis ruimtestaat'!$K$11:$K$1507</definedName>
    <definedName name="vloersoort" localSheetId="15">#REF!</definedName>
    <definedName name="vloersoort">#REF!</definedName>
    <definedName name="vloersoortkeuze" localSheetId="15">#REF!</definedName>
    <definedName name="vloersoortkeuze">#REF!</definedName>
    <definedName name="Vloersoortoms" localSheetId="15">#REF!</definedName>
    <definedName name="Vloersoortoms">#REF!</definedName>
    <definedName name="vm_lk">'[36]voorman smo uurtarief'!$E$16</definedName>
    <definedName name="vm_tarief">'[36]voorman smo uurtarief'!$E$42</definedName>
    <definedName name="vm_tarief_fe">'[36]Uurtarieven matrix'!$J$17</definedName>
    <definedName name="vm_tarief_za">'[36]Uurtarieven matrix'!$H$17</definedName>
    <definedName name="vnrm">[37]vergelijken!#REF!</definedName>
    <definedName name="VODAFONE">[62]BeginMeting!#REF!</definedName>
    <definedName name="Volumekorting10Ktot20k" localSheetId="15">#REF!</definedName>
    <definedName name="Volumekorting10Ktot20k">#REF!</definedName>
    <definedName name="Volumekorting1tot10k" localSheetId="15">#REF!</definedName>
    <definedName name="Volumekorting1tot10k">#REF!</definedName>
    <definedName name="Volumekorting20Ktot30k" localSheetId="15">#REF!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[25]Kengetallen!#REF!</definedName>
    <definedName name="VoorzieningenNmin1">[25]Kengetallen!#REF!</definedName>
    <definedName name="VoorzieningenNmin2">[25]Kengetallen!#REF!</definedName>
    <definedName name="VorstverletFT">[22]Basisgegevens!$I$25</definedName>
    <definedName name="VorstverletPT">[22]Basisgegevens!$F$25</definedName>
    <definedName name="vtype" localSheetId="15">#REF!</definedName>
    <definedName name="vtype">#REF!</definedName>
    <definedName name="VUT" localSheetId="15">#REF!</definedName>
    <definedName name="VUT">#REF!</definedName>
    <definedName name="w" localSheetId="15">#REF!</definedName>
    <definedName name="w">#REF!</definedName>
    <definedName name="WaardenMatrix" localSheetId="15">[25]Kengetallen!#REF!</definedName>
    <definedName name="WaardenMatrix">[25]Kengetallen!#REF!</definedName>
    <definedName name="wacc">'[11]Fin Input'!$G$27</definedName>
    <definedName name="WACHT">[1]Begroting!#REF!</definedName>
    <definedName name="wachtwoord">[18]Tussenblad!$A$11</definedName>
    <definedName name="WAOBAS" localSheetId="15">#REF!</definedName>
    <definedName name="WAOBAS">#REF!</definedName>
    <definedName name="WAOGED" localSheetId="15">#REF!</definedName>
    <definedName name="WAOGED">#REF!</definedName>
    <definedName name="Was_S" localSheetId="15">'11c-Afroep RVS kraaiennest'!Was_S</definedName>
    <definedName name="Was_S">[0]!Was_S</definedName>
    <definedName name="week">[89]Recap!$E$43</definedName>
    <definedName name="wegingjunior" localSheetId="15">#REF!</definedName>
    <definedName name="wegingjunior">#REF!</definedName>
    <definedName name="wegingmedior" localSheetId="15">#REF!</definedName>
    <definedName name="wegingmedior">#REF!</definedName>
    <definedName name="wegingsenior" localSheetId="15">#REF!</definedName>
    <definedName name="wegingsenior">#REF!</definedName>
    <definedName name="wegingtotaal">#REF!</definedName>
    <definedName name="winst">[22]Basisgegevens!$E$72</definedName>
    <definedName name="wk">[26]Werkprogramma!#REF!</definedName>
    <definedName name="Woonplaats">'[23]OBJECT '!$B$12</definedName>
    <definedName name="wrn.RWReport1." localSheetId="15"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w">#REF!</definedName>
    <definedName name="WwWe">[22]Basisgegevens!$E$45</definedName>
    <definedName name="x" hidden="1">[3]Blad1!#REF!</definedName>
    <definedName name="xxx">[8]Begroting!#REF!</definedName>
    <definedName name="xxxxx">[90]Begroting!#REF!</definedName>
    <definedName name="y" localSheetId="15" hidden="1">#REF!</definedName>
    <definedName name="y" hidden="1">#REF!</definedName>
    <definedName name="z" localSheetId="15" hidden="1">#REF!</definedName>
    <definedName name="z" hidden="1">#REF!</definedName>
    <definedName name="zaal" localSheetId="15">'11c-Afroep RVS kraaiennest'!zaal</definedName>
    <definedName name="zaal">[0]!zaal</definedName>
    <definedName name="Zalen" localSheetId="15">#REF!</definedName>
    <definedName name="Zalen">#REF!</definedName>
    <definedName name="zcvdv" localSheetId="15">[45]Begroting!#REF!</definedName>
    <definedName name="zcvdv">[45]Begroting!#REF!</definedName>
    <definedName name="Zeventig" localSheetId="15">[27]Personeel!#REF!</definedName>
    <definedName name="Zeventig">[27]Personeel!#REF!</definedName>
    <definedName name="ZFW" localSheetId="15">#REF!</definedName>
    <definedName name="ZFW">#REF!</definedName>
    <definedName name="ziektedagen">[22]Basisgegevens!$E$22</definedName>
    <definedName name="ZiektedagenFT" localSheetId="15">#REF!</definedName>
    <definedName name="ZiektedagenFT">#REF!</definedName>
    <definedName name="ZiektedagenPT" localSheetId="15">#REF!</definedName>
    <definedName name="ZiektedagenPT">#REF!</definedName>
    <definedName name="zilverlinde" localSheetId="15">'11c-Afroep RVS kraaiennest'!zilverlinde</definedName>
    <definedName name="zilverlinde">[0]!zilverlinde</definedName>
    <definedName name="Zondag" localSheetId="15">[27]Personeel!#REF!</definedName>
    <definedName name="Zondag">[27]Personeel!#REF!</definedName>
    <definedName name="zozo1" localSheetId="15">#REF!</definedName>
    <definedName name="zozo1">#REF!</definedName>
    <definedName name="zozo2" localSheetId="15">#REF!</definedName>
    <definedName name="zozo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3" i="2" l="1"/>
  <c r="J49" i="71"/>
  <c r="K49" i="71" s="1"/>
  <c r="I49" i="71"/>
  <c r="D49" i="71"/>
  <c r="C49" i="71"/>
  <c r="H22" i="38" l="1"/>
  <c r="D48" i="50"/>
  <c r="D49" i="50"/>
  <c r="D50" i="50"/>
  <c r="M414" i="69" l="1"/>
  <c r="I414" i="69"/>
  <c r="L414" i="69" s="1"/>
  <c r="D414" i="69"/>
  <c r="I85" i="39"/>
  <c r="I84" i="39"/>
  <c r="I83" i="39"/>
  <c r="I82" i="39"/>
  <c r="I81" i="39"/>
  <c r="I80" i="39"/>
  <c r="I79" i="39"/>
  <c r="I78" i="39"/>
  <c r="I77" i="39"/>
  <c r="I76" i="39"/>
  <c r="I75" i="39"/>
  <c r="I74" i="39"/>
  <c r="I73" i="39"/>
  <c r="I72" i="39"/>
  <c r="I71" i="39"/>
  <c r="I70" i="39"/>
  <c r="I69" i="39"/>
  <c r="I68" i="39"/>
  <c r="I67" i="39"/>
  <c r="I66" i="39"/>
  <c r="I65" i="39"/>
  <c r="I64" i="39"/>
  <c r="I63" i="39"/>
  <c r="I62" i="39"/>
  <c r="I61" i="39"/>
  <c r="I59" i="39"/>
  <c r="I58" i="39"/>
  <c r="I50" i="39"/>
  <c r="I49" i="39"/>
  <c r="I48" i="39"/>
  <c r="I46" i="39"/>
  <c r="I45" i="39"/>
  <c r="I44" i="39"/>
  <c r="I43" i="39"/>
  <c r="I42" i="39"/>
  <c r="I41" i="39"/>
  <c r="I40" i="39"/>
  <c r="I39" i="39"/>
  <c r="I38" i="39"/>
  <c r="I37" i="39"/>
  <c r="I36" i="39"/>
  <c r="I35" i="39"/>
  <c r="I34" i="39"/>
  <c r="I33" i="39"/>
  <c r="I32" i="39"/>
  <c r="I31" i="39"/>
  <c r="I30" i="39"/>
  <c r="I29" i="39"/>
  <c r="I23" i="39"/>
  <c r="I20" i="39"/>
  <c r="I19" i="39"/>
  <c r="I18" i="39"/>
  <c r="I17" i="39"/>
  <c r="I16" i="39"/>
  <c r="I14" i="39"/>
  <c r="I13" i="39"/>
  <c r="N414" i="69" l="1"/>
  <c r="H28" i="64"/>
  <c r="H27" i="64"/>
  <c r="O27" i="64" s="1"/>
  <c r="H26" i="64"/>
  <c r="O26" i="64" s="1"/>
  <c r="O39" i="64"/>
  <c r="O38" i="64"/>
  <c r="O37" i="64"/>
  <c r="O36" i="64"/>
  <c r="O35" i="64"/>
  <c r="O34" i="64"/>
  <c r="O33" i="64"/>
  <c r="O32" i="64"/>
  <c r="O31" i="64"/>
  <c r="O30" i="64"/>
  <c r="O29" i="64"/>
  <c r="O28" i="64"/>
  <c r="O25" i="64"/>
  <c r="O24" i="64"/>
  <c r="O23" i="64"/>
  <c r="O22" i="64"/>
  <c r="O21" i="64"/>
  <c r="O17" i="64"/>
  <c r="N20" i="64"/>
  <c r="H18" i="64"/>
  <c r="O18" i="64" s="1"/>
  <c r="G21" i="64"/>
  <c r="N19" i="64"/>
  <c r="H20" i="64"/>
  <c r="O20" i="64" s="1"/>
  <c r="H19" i="64"/>
  <c r="O19" i="64" s="1"/>
  <c r="E589" i="2"/>
  <c r="E588" i="2"/>
  <c r="D84" i="39"/>
  <c r="D83" i="39"/>
  <c r="D82" i="39"/>
  <c r="D81" i="39"/>
  <c r="D80" i="39"/>
  <c r="D79" i="39"/>
  <c r="D78" i="39"/>
  <c r="D77" i="39"/>
  <c r="D76" i="39"/>
  <c r="D75" i="39"/>
  <c r="D74" i="39"/>
  <c r="D73" i="39"/>
  <c r="D72" i="39"/>
  <c r="D71" i="39"/>
  <c r="D70" i="39"/>
  <c r="D69" i="39"/>
  <c r="D68" i="39"/>
  <c r="D67" i="39"/>
  <c r="D66" i="39"/>
  <c r="D65" i="39"/>
  <c r="D64" i="39"/>
  <c r="D63" i="39"/>
  <c r="D62" i="39"/>
  <c r="D61" i="39"/>
  <c r="D60" i="39"/>
  <c r="D59" i="39"/>
  <c r="D58" i="39"/>
  <c r="D57" i="39"/>
  <c r="D56" i="39"/>
  <c r="D55" i="39"/>
  <c r="D54" i="39"/>
  <c r="D53" i="39"/>
  <c r="D52" i="39"/>
  <c r="D51" i="39"/>
  <c r="D50" i="39"/>
  <c r="D49" i="39"/>
  <c r="D48" i="39"/>
  <c r="D47" i="39"/>
  <c r="D46" i="39"/>
  <c r="D45" i="39"/>
  <c r="D43" i="39"/>
  <c r="D42" i="39"/>
  <c r="D41" i="39"/>
  <c r="D40" i="39"/>
  <c r="D39" i="39"/>
  <c r="D38" i="39"/>
  <c r="D37" i="39"/>
  <c r="D36" i="39"/>
  <c r="D35" i="39"/>
  <c r="D34" i="39"/>
  <c r="D33" i="39"/>
  <c r="D32" i="39"/>
  <c r="D31" i="39"/>
  <c r="D30" i="39"/>
  <c r="D29" i="39"/>
  <c r="D28" i="39"/>
  <c r="D27" i="39"/>
  <c r="D26" i="39"/>
  <c r="D25" i="39"/>
  <c r="D24" i="39"/>
  <c r="D23" i="39"/>
  <c r="D22" i="39"/>
  <c r="D21" i="39"/>
  <c r="D20" i="39"/>
  <c r="D19" i="39"/>
  <c r="D18" i="39"/>
  <c r="D17" i="39"/>
  <c r="D16" i="39"/>
  <c r="D15" i="39"/>
  <c r="D14" i="39"/>
  <c r="D13" i="39"/>
  <c r="D44" i="39"/>
  <c r="H47" i="76"/>
  <c r="D47" i="76"/>
  <c r="C47" i="76"/>
  <c r="H46" i="76"/>
  <c r="D46" i="76"/>
  <c r="C46" i="76"/>
  <c r="H45" i="76"/>
  <c r="D45" i="76"/>
  <c r="C45" i="76"/>
  <c r="M50" i="50"/>
  <c r="H50" i="50"/>
  <c r="G50" i="50"/>
  <c r="C50" i="50"/>
  <c r="M49" i="50"/>
  <c r="H49" i="50"/>
  <c r="G49" i="50"/>
  <c r="C49" i="50"/>
  <c r="M48" i="50"/>
  <c r="H48" i="50"/>
  <c r="G48" i="50"/>
  <c r="C48" i="50"/>
  <c r="E495" i="2"/>
  <c r="E494" i="2"/>
  <c r="E493" i="2"/>
  <c r="N46" i="39"/>
  <c r="M46" i="39"/>
  <c r="H46" i="39"/>
  <c r="G46" i="39"/>
  <c r="F46" i="39"/>
  <c r="E46" i="39"/>
  <c r="N45" i="39"/>
  <c r="M45" i="39"/>
  <c r="H45" i="39"/>
  <c r="G45" i="39"/>
  <c r="F45" i="39"/>
  <c r="E45" i="39"/>
  <c r="N44" i="39"/>
  <c r="M44" i="39"/>
  <c r="H44" i="39"/>
  <c r="G44" i="39"/>
  <c r="F44" i="39"/>
  <c r="E44" i="39"/>
  <c r="D389" i="69"/>
  <c r="D390" i="69"/>
  <c r="D391" i="69"/>
  <c r="D392" i="69"/>
  <c r="D393" i="69"/>
  <c r="D394" i="69"/>
  <c r="D395" i="69"/>
  <c r="D396" i="69"/>
  <c r="D397" i="69"/>
  <c r="D398" i="69"/>
  <c r="D399" i="69"/>
  <c r="D400" i="69"/>
  <c r="D401" i="69"/>
  <c r="D402" i="69"/>
  <c r="D403" i="69"/>
  <c r="D404" i="69"/>
  <c r="D405" i="69"/>
  <c r="D406" i="69"/>
  <c r="D407" i="69"/>
  <c r="D408" i="69"/>
  <c r="D409" i="69"/>
  <c r="D410" i="69"/>
  <c r="D411" i="69"/>
  <c r="D412" i="69"/>
  <c r="D413" i="69"/>
  <c r="D415" i="69"/>
  <c r="D416" i="69"/>
  <c r="D417" i="69"/>
  <c r="D418" i="69"/>
  <c r="D419" i="69"/>
  <c r="D420" i="69"/>
  <c r="D421" i="69"/>
  <c r="D422" i="69"/>
  <c r="D423" i="69"/>
  <c r="D424" i="69"/>
  <c r="D425" i="69"/>
  <c r="D426" i="69"/>
  <c r="D427" i="69"/>
  <c r="D428" i="69"/>
  <c r="D429" i="69"/>
  <c r="D430" i="69"/>
  <c r="D431" i="69"/>
  <c r="D432" i="69"/>
  <c r="D433" i="69"/>
  <c r="D434" i="69"/>
  <c r="D435" i="69"/>
  <c r="D436" i="69"/>
  <c r="D437" i="69"/>
  <c r="D438" i="69"/>
  <c r="D439" i="69"/>
  <c r="D440" i="69"/>
  <c r="D441" i="69"/>
  <c r="D442" i="69"/>
  <c r="D443" i="69"/>
  <c r="D444" i="69"/>
  <c r="D445" i="69"/>
  <c r="D446" i="69"/>
  <c r="D447" i="69"/>
  <c r="D448" i="69"/>
  <c r="D449" i="69"/>
  <c r="D450" i="69"/>
  <c r="D451" i="69"/>
  <c r="D452" i="69"/>
  <c r="D453" i="69"/>
  <c r="D454" i="69"/>
  <c r="D455" i="69"/>
  <c r="D456" i="69"/>
  <c r="D457" i="69"/>
  <c r="D458" i="69"/>
  <c r="D459" i="69"/>
  <c r="D460" i="69"/>
  <c r="D461" i="69"/>
  <c r="D462" i="69"/>
  <c r="D463" i="69"/>
  <c r="D464" i="69"/>
  <c r="D465" i="69"/>
  <c r="D466" i="69"/>
  <c r="D467" i="69"/>
  <c r="D468" i="69"/>
  <c r="D469" i="69"/>
  <c r="D470" i="69"/>
  <c r="D471" i="69"/>
  <c r="D472" i="69"/>
  <c r="D473" i="69"/>
  <c r="D474" i="69"/>
  <c r="D475" i="69"/>
  <c r="D476" i="69"/>
  <c r="D477" i="69"/>
  <c r="D478" i="69"/>
  <c r="D479" i="69"/>
  <c r="D480" i="69"/>
  <c r="D481" i="69"/>
  <c r="D482" i="69"/>
  <c r="D483" i="69"/>
  <c r="D484" i="69"/>
  <c r="D485" i="69"/>
  <c r="D486" i="69"/>
  <c r="D487" i="69"/>
  <c r="D488" i="69"/>
  <c r="D489" i="69"/>
  <c r="D490" i="69"/>
  <c r="D491" i="69"/>
  <c r="D492" i="69"/>
  <c r="D493" i="69"/>
  <c r="D494" i="69"/>
  <c r="D495" i="69"/>
  <c r="D496" i="69"/>
  <c r="D497" i="69"/>
  <c r="D498" i="69"/>
  <c r="D499" i="69"/>
  <c r="D500" i="69"/>
  <c r="D501" i="69"/>
  <c r="D502" i="69"/>
  <c r="D503" i="69"/>
  <c r="D504" i="69"/>
  <c r="D505" i="69"/>
  <c r="D506" i="69"/>
  <c r="D507" i="69"/>
  <c r="D508" i="69"/>
  <c r="D509" i="69"/>
  <c r="D510" i="69"/>
  <c r="D511" i="69"/>
  <c r="D512" i="69"/>
  <c r="D513" i="69"/>
  <c r="D514" i="69"/>
  <c r="D515" i="69"/>
  <c r="D516" i="69"/>
  <c r="D517" i="69"/>
  <c r="D518" i="69"/>
  <c r="D519" i="69"/>
  <c r="D520" i="69"/>
  <c r="D521" i="69"/>
  <c r="D522" i="69"/>
  <c r="D523" i="69"/>
  <c r="D524" i="69"/>
  <c r="D525" i="69"/>
  <c r="D526" i="69"/>
  <c r="D527" i="69"/>
  <c r="D528" i="69"/>
  <c r="D529" i="69"/>
  <c r="D530" i="69"/>
  <c r="D531" i="69"/>
  <c r="D532" i="69"/>
  <c r="D533" i="69"/>
  <c r="D534" i="69"/>
  <c r="D535" i="69"/>
  <c r="D536" i="69"/>
  <c r="D537" i="69"/>
  <c r="D538" i="69"/>
  <c r="D539" i="69"/>
  <c r="D540" i="69"/>
  <c r="D541" i="69"/>
  <c r="D542" i="69"/>
  <c r="D543" i="69"/>
  <c r="D544" i="69"/>
  <c r="D545" i="69"/>
  <c r="D546" i="69"/>
  <c r="D547" i="69"/>
  <c r="D548" i="69"/>
  <c r="D549" i="69"/>
  <c r="D550" i="69"/>
  <c r="D551" i="69"/>
  <c r="D552" i="69"/>
  <c r="D553" i="69"/>
  <c r="D554" i="69"/>
  <c r="D555" i="69"/>
  <c r="D556" i="69"/>
  <c r="D557" i="69"/>
  <c r="D558" i="69"/>
  <c r="D559" i="69"/>
  <c r="D560" i="69"/>
  <c r="D561" i="69"/>
  <c r="D562" i="69"/>
  <c r="D563" i="69"/>
  <c r="D564" i="69"/>
  <c r="D565" i="69"/>
  <c r="D566" i="69"/>
  <c r="D567" i="69"/>
  <c r="D568" i="69"/>
  <c r="D569" i="69"/>
  <c r="D570" i="69"/>
  <c r="D571" i="69"/>
  <c r="D572" i="69"/>
  <c r="D573" i="69"/>
  <c r="D574" i="69"/>
  <c r="D575" i="69"/>
  <c r="D576" i="69"/>
  <c r="D577" i="69"/>
  <c r="D578" i="69"/>
  <c r="D579" i="69"/>
  <c r="D580" i="69"/>
  <c r="D581" i="69"/>
  <c r="D582" i="69"/>
  <c r="D583" i="69"/>
  <c r="D584" i="69"/>
  <c r="D585" i="69"/>
  <c r="D586" i="69"/>
  <c r="D587" i="69"/>
  <c r="D588" i="69"/>
  <c r="D589" i="69"/>
  <c r="D590" i="69"/>
  <c r="D591" i="69"/>
  <c r="D592" i="69"/>
  <c r="D593" i="69"/>
  <c r="D594" i="69"/>
  <c r="D595" i="69"/>
  <c r="D596" i="69"/>
  <c r="D597" i="69"/>
  <c r="D598" i="69"/>
  <c r="D599" i="69"/>
  <c r="D600" i="69"/>
  <c r="D601" i="69"/>
  <c r="D602" i="69"/>
  <c r="D603" i="69"/>
  <c r="D604" i="69"/>
  <c r="D605" i="69"/>
  <c r="O50" i="50" l="1"/>
  <c r="P19" i="64"/>
  <c r="P20" i="64"/>
  <c r="O49" i="50"/>
  <c r="O48" i="50"/>
  <c r="N84" i="39"/>
  <c r="L84" i="39"/>
  <c r="J84" i="39"/>
  <c r="H84" i="39"/>
  <c r="G84" i="39"/>
  <c r="F84" i="39"/>
  <c r="E84" i="39"/>
  <c r="N83" i="39"/>
  <c r="L83" i="39"/>
  <c r="J83" i="39"/>
  <c r="H83" i="39"/>
  <c r="G83" i="39"/>
  <c r="F83" i="39"/>
  <c r="E83" i="39"/>
  <c r="N82" i="39"/>
  <c r="L82" i="39"/>
  <c r="J82" i="39"/>
  <c r="H82" i="39"/>
  <c r="G82" i="39"/>
  <c r="F82" i="39"/>
  <c r="E82" i="39"/>
  <c r="F36" i="72"/>
  <c r="E36" i="72"/>
  <c r="F35" i="72"/>
  <c r="E35" i="72"/>
  <c r="F34" i="72"/>
  <c r="E34" i="72"/>
  <c r="F33" i="72"/>
  <c r="E33" i="72"/>
  <c r="F32" i="72"/>
  <c r="E32" i="72"/>
  <c r="F31" i="72"/>
  <c r="E31" i="72"/>
  <c r="F30" i="72"/>
  <c r="E30" i="72"/>
  <c r="F29" i="72"/>
  <c r="E29" i="72"/>
  <c r="F28" i="72"/>
  <c r="E28" i="72"/>
  <c r="F27" i="72"/>
  <c r="E27" i="72"/>
  <c r="F26" i="72"/>
  <c r="E26" i="72"/>
  <c r="F25" i="72"/>
  <c r="E25" i="72"/>
  <c r="F24" i="72"/>
  <c r="E24" i="72"/>
  <c r="F23" i="72"/>
  <c r="E23" i="72"/>
  <c r="F22" i="72"/>
  <c r="E22" i="72"/>
  <c r="F21" i="72"/>
  <c r="E21" i="72"/>
  <c r="F20" i="72"/>
  <c r="E20" i="72"/>
  <c r="F19" i="72"/>
  <c r="E19" i="72"/>
  <c r="F18" i="72"/>
  <c r="E18" i="72"/>
  <c r="F17" i="72"/>
  <c r="E17" i="72"/>
  <c r="F16" i="72"/>
  <c r="E16" i="72"/>
  <c r="F15" i="72"/>
  <c r="E15" i="72"/>
  <c r="D200" i="72"/>
  <c r="D199" i="72"/>
  <c r="D198" i="72"/>
  <c r="D197" i="72"/>
  <c r="D196" i="72"/>
  <c r="D195" i="72"/>
  <c r="D194" i="72"/>
  <c r="D193" i="72"/>
  <c r="D192" i="72"/>
  <c r="D191" i="72"/>
  <c r="D190" i="72"/>
  <c r="D189" i="72"/>
  <c r="J36" i="72"/>
  <c r="I36" i="72"/>
  <c r="D36" i="72"/>
  <c r="J35" i="72"/>
  <c r="I35" i="72"/>
  <c r="D35" i="72"/>
  <c r="J34" i="72"/>
  <c r="I34" i="72"/>
  <c r="D34" i="72"/>
  <c r="J33" i="72"/>
  <c r="I33" i="72"/>
  <c r="D33" i="72"/>
  <c r="E883" i="2"/>
  <c r="E882" i="2"/>
  <c r="E881" i="2"/>
  <c r="E880" i="2"/>
  <c r="E879" i="2"/>
  <c r="E878" i="2"/>
  <c r="E877" i="2"/>
  <c r="E876" i="2"/>
  <c r="E875" i="2"/>
  <c r="E874" i="2"/>
  <c r="E873" i="2"/>
  <c r="E872" i="2"/>
  <c r="K34" i="72" l="1"/>
  <c r="K36" i="72"/>
  <c r="M84" i="39" s="1"/>
  <c r="O84" i="39" s="1"/>
  <c r="K35" i="72"/>
  <c r="K33" i="72"/>
  <c r="J32" i="72" l="1"/>
  <c r="I32" i="72"/>
  <c r="J31" i="72"/>
  <c r="I31" i="72"/>
  <c r="J30" i="72"/>
  <c r="I30" i="72"/>
  <c r="J29" i="72"/>
  <c r="I29" i="72"/>
  <c r="N80" i="39"/>
  <c r="L80" i="39"/>
  <c r="H80" i="39"/>
  <c r="G80" i="39"/>
  <c r="F80" i="39"/>
  <c r="E80" i="39"/>
  <c r="N79" i="39"/>
  <c r="L79" i="39"/>
  <c r="H79" i="39"/>
  <c r="G79" i="39"/>
  <c r="F79" i="39"/>
  <c r="E79" i="39"/>
  <c r="N78" i="39"/>
  <c r="L78" i="39"/>
  <c r="H78" i="39"/>
  <c r="G78" i="39"/>
  <c r="F78" i="39"/>
  <c r="E78" i="39"/>
  <c r="N77" i="39"/>
  <c r="L77" i="39"/>
  <c r="H77" i="39"/>
  <c r="G77" i="39"/>
  <c r="F77" i="39"/>
  <c r="E77" i="39"/>
  <c r="M16" i="38"/>
  <c r="G17" i="64"/>
  <c r="G23" i="64"/>
  <c r="G24" i="64"/>
  <c r="G25" i="64"/>
  <c r="G29" i="64"/>
  <c r="G30" i="64"/>
  <c r="G31" i="64"/>
  <c r="G32" i="64"/>
  <c r="W39" i="83"/>
  <c r="V39" i="83"/>
  <c r="U39" i="83"/>
  <c r="T39" i="83"/>
  <c r="S39" i="83"/>
  <c r="R39" i="83"/>
  <c r="O39" i="83"/>
  <c r="N39" i="83"/>
  <c r="M39" i="83"/>
  <c r="L39" i="83"/>
  <c r="K39" i="83"/>
  <c r="J39" i="83"/>
  <c r="G39" i="83"/>
  <c r="F39" i="83"/>
  <c r="E39" i="83"/>
  <c r="D39" i="83"/>
  <c r="C39" i="83"/>
  <c r="B39" i="83"/>
  <c r="W38" i="83"/>
  <c r="V38" i="83"/>
  <c r="U38" i="83"/>
  <c r="T38" i="83"/>
  <c r="S38" i="83"/>
  <c r="R38" i="83"/>
  <c r="O38" i="83"/>
  <c r="N38" i="83"/>
  <c r="M38" i="83"/>
  <c r="L38" i="83"/>
  <c r="K38" i="83"/>
  <c r="J38" i="83"/>
  <c r="G38" i="83"/>
  <c r="F38" i="83"/>
  <c r="E38" i="83"/>
  <c r="D38" i="83"/>
  <c r="C38" i="83"/>
  <c r="B38" i="83"/>
  <c r="W37" i="83"/>
  <c r="V37" i="83"/>
  <c r="U37" i="83"/>
  <c r="T37" i="83"/>
  <c r="S37" i="83"/>
  <c r="R37" i="83"/>
  <c r="O37" i="83"/>
  <c r="N37" i="83"/>
  <c r="M37" i="83"/>
  <c r="L37" i="83"/>
  <c r="K37" i="83"/>
  <c r="J37" i="83"/>
  <c r="G37" i="83"/>
  <c r="F37" i="83"/>
  <c r="E37" i="83"/>
  <c r="D37" i="83"/>
  <c r="C37" i="83"/>
  <c r="B37" i="83"/>
  <c r="W36" i="83"/>
  <c r="V36" i="83"/>
  <c r="U36" i="83"/>
  <c r="T36" i="83"/>
  <c r="S36" i="83"/>
  <c r="R36" i="83"/>
  <c r="O36" i="83"/>
  <c r="N36" i="83"/>
  <c r="M36" i="83"/>
  <c r="L36" i="83"/>
  <c r="K36" i="83"/>
  <c r="J36" i="83"/>
  <c r="G36" i="83"/>
  <c r="G40" i="83" s="1"/>
  <c r="F36" i="83"/>
  <c r="E36" i="83"/>
  <c r="D36" i="83"/>
  <c r="C36" i="83"/>
  <c r="B36" i="83"/>
  <c r="W35" i="83"/>
  <c r="V35" i="83"/>
  <c r="U35" i="83"/>
  <c r="T35" i="83"/>
  <c r="S35" i="83"/>
  <c r="R35" i="83"/>
  <c r="O35" i="83"/>
  <c r="N35" i="83"/>
  <c r="M35" i="83"/>
  <c r="L35" i="83"/>
  <c r="K35" i="83"/>
  <c r="J35" i="83"/>
  <c r="G35" i="83"/>
  <c r="F35" i="83"/>
  <c r="E35" i="83"/>
  <c r="D35" i="83"/>
  <c r="C35" i="83"/>
  <c r="B35" i="83"/>
  <c r="W34" i="83"/>
  <c r="V34" i="83"/>
  <c r="U34" i="83"/>
  <c r="T34" i="83"/>
  <c r="S34" i="83"/>
  <c r="R34" i="83"/>
  <c r="O34" i="83"/>
  <c r="N34" i="83"/>
  <c r="M34" i="83"/>
  <c r="L34" i="83"/>
  <c r="K34" i="83"/>
  <c r="J34" i="83"/>
  <c r="G34" i="83"/>
  <c r="F34" i="83"/>
  <c r="E34" i="83"/>
  <c r="D34" i="83"/>
  <c r="C34" i="83"/>
  <c r="B34" i="83"/>
  <c r="W33" i="83"/>
  <c r="V33" i="83"/>
  <c r="U33" i="83"/>
  <c r="T33" i="83"/>
  <c r="S33" i="83"/>
  <c r="R33" i="83"/>
  <c r="O33" i="83"/>
  <c r="N33" i="83"/>
  <c r="M33" i="83"/>
  <c r="L33" i="83"/>
  <c r="L40" i="83" s="1"/>
  <c r="K33" i="83"/>
  <c r="K40" i="83" s="1"/>
  <c r="J33" i="83"/>
  <c r="G33" i="83"/>
  <c r="F33" i="83"/>
  <c r="E33" i="83"/>
  <c r="E40" i="83" s="1"/>
  <c r="D33" i="83"/>
  <c r="C33" i="83"/>
  <c r="B33" i="83"/>
  <c r="W29" i="83"/>
  <c r="V29" i="83"/>
  <c r="U29" i="83"/>
  <c r="T29" i="83"/>
  <c r="S29" i="83"/>
  <c r="R29" i="83"/>
  <c r="O29" i="83"/>
  <c r="N29" i="83"/>
  <c r="M29" i="83"/>
  <c r="L29" i="83"/>
  <c r="K29" i="83"/>
  <c r="J29" i="83"/>
  <c r="G29" i="83"/>
  <c r="F29" i="83"/>
  <c r="E29" i="83"/>
  <c r="D29" i="83"/>
  <c r="C29" i="83"/>
  <c r="B29" i="83"/>
  <c r="B8" i="83"/>
  <c r="A8" i="83"/>
  <c r="B7" i="83"/>
  <c r="A7" i="83"/>
  <c r="B6" i="83"/>
  <c r="A6" i="83"/>
  <c r="B5" i="83"/>
  <c r="A5" i="83"/>
  <c r="B4" i="83"/>
  <c r="A4" i="83"/>
  <c r="B3" i="83"/>
  <c r="A3" i="83"/>
  <c r="C56" i="73"/>
  <c r="C57" i="73"/>
  <c r="C58" i="73"/>
  <c r="C59" i="73"/>
  <c r="C60" i="73"/>
  <c r="C61" i="73"/>
  <c r="C62" i="73"/>
  <c r="C63" i="73"/>
  <c r="C64" i="73"/>
  <c r="C65" i="73"/>
  <c r="C66" i="73"/>
  <c r="C67" i="73"/>
  <c r="C68" i="73"/>
  <c r="C69" i="73"/>
  <c r="C70" i="73"/>
  <c r="C71" i="73"/>
  <c r="C72" i="73"/>
  <c r="C73" i="73"/>
  <c r="C74" i="73"/>
  <c r="C75" i="73"/>
  <c r="C76" i="73"/>
  <c r="C77" i="73"/>
  <c r="C78" i="73"/>
  <c r="C79" i="73"/>
  <c r="C80" i="73"/>
  <c r="C81" i="73"/>
  <c r="C82" i="73"/>
  <c r="C83" i="73"/>
  <c r="C84" i="73"/>
  <c r="C85" i="73"/>
  <c r="C86" i="73"/>
  <c r="C87" i="73"/>
  <c r="C88" i="73"/>
  <c r="C89" i="73"/>
  <c r="C90" i="73"/>
  <c r="C91" i="73"/>
  <c r="C92" i="73"/>
  <c r="C93" i="73"/>
  <c r="C94" i="73"/>
  <c r="C95" i="73"/>
  <c r="C96" i="73"/>
  <c r="C97" i="73"/>
  <c r="C98" i="73"/>
  <c r="C99" i="73"/>
  <c r="C100" i="73"/>
  <c r="C101" i="73"/>
  <c r="C102" i="73"/>
  <c r="C103" i="73"/>
  <c r="C104" i="73"/>
  <c r="C105" i="73"/>
  <c r="C106" i="73"/>
  <c r="C107" i="73"/>
  <c r="C108" i="73"/>
  <c r="C109" i="73"/>
  <c r="C110" i="73"/>
  <c r="C111" i="73"/>
  <c r="C112" i="73"/>
  <c r="C113" i="73"/>
  <c r="C114" i="73"/>
  <c r="C115" i="73"/>
  <c r="C116" i="73"/>
  <c r="C117" i="73"/>
  <c r="C118" i="73"/>
  <c r="C119" i="73"/>
  <c r="C120" i="73"/>
  <c r="C121" i="73"/>
  <c r="C122" i="73"/>
  <c r="C123" i="73"/>
  <c r="C124" i="73"/>
  <c r="C125" i="73"/>
  <c r="C126" i="73"/>
  <c r="C127" i="73"/>
  <c r="C128" i="73"/>
  <c r="C129" i="73"/>
  <c r="C130" i="73"/>
  <c r="C131" i="73"/>
  <c r="C132" i="73"/>
  <c r="C133" i="73"/>
  <c r="C134" i="73"/>
  <c r="C135" i="73"/>
  <c r="C136" i="73"/>
  <c r="C137" i="73"/>
  <c r="C138" i="73"/>
  <c r="C139" i="73"/>
  <c r="C140" i="73"/>
  <c r="C141" i="73"/>
  <c r="C142" i="73"/>
  <c r="C143" i="73"/>
  <c r="C144" i="73"/>
  <c r="C145" i="73"/>
  <c r="C146" i="73"/>
  <c r="C147" i="73"/>
  <c r="C148" i="73"/>
  <c r="C149" i="73"/>
  <c r="C150" i="73"/>
  <c r="C151" i="73"/>
  <c r="C152" i="73"/>
  <c r="C153" i="73"/>
  <c r="C154" i="73"/>
  <c r="C155" i="73"/>
  <c r="C156" i="73"/>
  <c r="C157" i="73"/>
  <c r="C158" i="73"/>
  <c r="C159" i="73"/>
  <c r="C160" i="73"/>
  <c r="C161" i="73"/>
  <c r="C162" i="73"/>
  <c r="C163" i="73"/>
  <c r="C164" i="73"/>
  <c r="C165" i="73"/>
  <c r="C166" i="73"/>
  <c r="C167" i="73"/>
  <c r="C168" i="73"/>
  <c r="C169" i="73"/>
  <c r="C170" i="73"/>
  <c r="C171" i="73"/>
  <c r="C172" i="73"/>
  <c r="C173" i="73"/>
  <c r="C174" i="73"/>
  <c r="C175" i="73"/>
  <c r="C176" i="73"/>
  <c r="C177" i="73"/>
  <c r="C178" i="73"/>
  <c r="C179" i="73"/>
  <c r="C180" i="73"/>
  <c r="C181" i="73"/>
  <c r="C182" i="73"/>
  <c r="C183" i="73"/>
  <c r="C184" i="73"/>
  <c r="C185" i="73"/>
  <c r="C186" i="73"/>
  <c r="C187" i="73"/>
  <c r="C188" i="73"/>
  <c r="C189" i="73"/>
  <c r="C190" i="73"/>
  <c r="C191" i="73"/>
  <c r="C192" i="73"/>
  <c r="C193" i="73"/>
  <c r="C194" i="73"/>
  <c r="C195" i="73"/>
  <c r="C196" i="73"/>
  <c r="C197" i="73"/>
  <c r="C198" i="73"/>
  <c r="C199" i="73"/>
  <c r="C200" i="73"/>
  <c r="C201" i="73"/>
  <c r="C202" i="73"/>
  <c r="C203" i="73"/>
  <c r="C204" i="73"/>
  <c r="C205" i="73"/>
  <c r="C206" i="73"/>
  <c r="C207" i="73"/>
  <c r="C208" i="73"/>
  <c r="C209" i="73"/>
  <c r="C210" i="73"/>
  <c r="C211" i="73"/>
  <c r="C212" i="73"/>
  <c r="C213" i="73"/>
  <c r="C214" i="73"/>
  <c r="C215" i="73"/>
  <c r="C216" i="73"/>
  <c r="C217" i="73"/>
  <c r="C218" i="73"/>
  <c r="C219" i="73"/>
  <c r="C220" i="73"/>
  <c r="C221" i="73"/>
  <c r="C222" i="73"/>
  <c r="C223" i="73"/>
  <c r="C224" i="73"/>
  <c r="C225" i="73"/>
  <c r="C226" i="73"/>
  <c r="C227" i="73"/>
  <c r="C228" i="73"/>
  <c r="C229" i="73"/>
  <c r="C230" i="73"/>
  <c r="C231" i="73"/>
  <c r="C232" i="73"/>
  <c r="C233" i="73"/>
  <c r="C234" i="73"/>
  <c r="C235" i="73"/>
  <c r="C236" i="73"/>
  <c r="C237" i="73"/>
  <c r="C238" i="73"/>
  <c r="C239" i="73"/>
  <c r="C240" i="73"/>
  <c r="C241" i="73"/>
  <c r="C242" i="73"/>
  <c r="C243" i="73"/>
  <c r="C244" i="73"/>
  <c r="C245" i="73"/>
  <c r="C246" i="73"/>
  <c r="C247" i="73"/>
  <c r="C248" i="73"/>
  <c r="C249" i="73"/>
  <c r="C250" i="73"/>
  <c r="C251" i="73"/>
  <c r="C252" i="73"/>
  <c r="C253" i="73"/>
  <c r="C254" i="73"/>
  <c r="C255" i="73"/>
  <c r="C256" i="73"/>
  <c r="C257" i="73"/>
  <c r="C258" i="73"/>
  <c r="C259" i="73"/>
  <c r="C260" i="73"/>
  <c r="C261" i="73"/>
  <c r="C262" i="73"/>
  <c r="C263" i="73"/>
  <c r="C264" i="73"/>
  <c r="C265" i="73"/>
  <c r="C266" i="73"/>
  <c r="C267" i="73"/>
  <c r="C268" i="73"/>
  <c r="C269" i="73"/>
  <c r="C270" i="73"/>
  <c r="C271" i="73"/>
  <c r="C272" i="73"/>
  <c r="C273" i="73"/>
  <c r="C274" i="73"/>
  <c r="C275" i="73"/>
  <c r="C276" i="73"/>
  <c r="C277" i="73"/>
  <c r="C278" i="73"/>
  <c r="C279" i="73"/>
  <c r="C280" i="73"/>
  <c r="C281" i="73"/>
  <c r="C282" i="73"/>
  <c r="C283" i="73"/>
  <c r="C284" i="73"/>
  <c r="C285" i="73"/>
  <c r="C286" i="73"/>
  <c r="C287" i="73"/>
  <c r="C288" i="73"/>
  <c r="C289" i="73"/>
  <c r="C290" i="73"/>
  <c r="C291" i="73"/>
  <c r="C292" i="73"/>
  <c r="C293" i="73"/>
  <c r="C294" i="73"/>
  <c r="C295" i="73"/>
  <c r="C296" i="73"/>
  <c r="C297" i="73"/>
  <c r="C298" i="73"/>
  <c r="C299" i="73"/>
  <c r="C300" i="73"/>
  <c r="C301" i="73"/>
  <c r="C302" i="73"/>
  <c r="C303" i="73"/>
  <c r="C304" i="73"/>
  <c r="C305" i="73"/>
  <c r="C306" i="73"/>
  <c r="C307" i="73"/>
  <c r="C308" i="73"/>
  <c r="C309" i="73"/>
  <c r="C310" i="73"/>
  <c r="C311" i="73"/>
  <c r="C312" i="73"/>
  <c r="C313" i="73"/>
  <c r="C314" i="73"/>
  <c r="C315" i="73"/>
  <c r="C316" i="73"/>
  <c r="C317" i="73"/>
  <c r="C318" i="73"/>
  <c r="C319" i="73"/>
  <c r="C320" i="73"/>
  <c r="C321" i="73"/>
  <c r="C322" i="73"/>
  <c r="C323" i="73"/>
  <c r="C324" i="73"/>
  <c r="C325" i="73"/>
  <c r="C326" i="73"/>
  <c r="C327" i="73"/>
  <c r="C328" i="73"/>
  <c r="C329" i="73"/>
  <c r="C330" i="73"/>
  <c r="C331" i="73"/>
  <c r="C332" i="73"/>
  <c r="C333" i="73"/>
  <c r="C334" i="73"/>
  <c r="C335" i="73"/>
  <c r="C336" i="73"/>
  <c r="C337" i="73"/>
  <c r="C338" i="73"/>
  <c r="C339" i="73"/>
  <c r="C340" i="73"/>
  <c r="C341" i="73"/>
  <c r="C342" i="73"/>
  <c r="C343" i="73"/>
  <c r="C344" i="73"/>
  <c r="C345" i="73"/>
  <c r="C346" i="73"/>
  <c r="C347" i="73"/>
  <c r="C348" i="73"/>
  <c r="C349" i="73"/>
  <c r="C350" i="73"/>
  <c r="C351" i="73"/>
  <c r="C352" i="73"/>
  <c r="C353" i="73"/>
  <c r="C354" i="73"/>
  <c r="C355" i="73"/>
  <c r="C356" i="73"/>
  <c r="C357" i="73"/>
  <c r="C358" i="73"/>
  <c r="C359" i="73"/>
  <c r="C360" i="73"/>
  <c r="C361" i="73"/>
  <c r="C362" i="73"/>
  <c r="C363" i="73"/>
  <c r="C364" i="73"/>
  <c r="C365" i="73"/>
  <c r="C366" i="73"/>
  <c r="C367" i="73"/>
  <c r="C368" i="73"/>
  <c r="C369" i="73"/>
  <c r="C370" i="73"/>
  <c r="C371" i="73"/>
  <c r="C372" i="73"/>
  <c r="C373" i="73"/>
  <c r="C374" i="73"/>
  <c r="C375" i="73"/>
  <c r="C376" i="73"/>
  <c r="C377" i="73"/>
  <c r="C378" i="73"/>
  <c r="C379" i="73"/>
  <c r="C380" i="73"/>
  <c r="C381" i="73"/>
  <c r="C382" i="73"/>
  <c r="C383" i="73"/>
  <c r="C384" i="73"/>
  <c r="C385" i="73"/>
  <c r="C386" i="73"/>
  <c r="C387" i="73"/>
  <c r="C388" i="73"/>
  <c r="C389" i="73"/>
  <c r="C390" i="73"/>
  <c r="C391" i="73"/>
  <c r="C392" i="73"/>
  <c r="C393" i="73"/>
  <c r="C394" i="73"/>
  <c r="C395" i="73"/>
  <c r="C396" i="73"/>
  <c r="C397" i="73"/>
  <c r="C398" i="73"/>
  <c r="C399" i="73"/>
  <c r="C400" i="73"/>
  <c r="C401" i="73"/>
  <c r="C402" i="73"/>
  <c r="R40" i="83" l="1"/>
  <c r="T40" i="83"/>
  <c r="D40" i="83"/>
  <c r="U40" i="83"/>
  <c r="V40" i="83"/>
  <c r="W40" i="83"/>
  <c r="W41" i="83" s="1"/>
  <c r="S40" i="83"/>
  <c r="N40" i="83"/>
  <c r="O40" i="83"/>
  <c r="M40" i="83"/>
  <c r="O41" i="83" s="1"/>
  <c r="J40" i="83"/>
  <c r="B40" i="83"/>
  <c r="G41" i="83" s="1"/>
  <c r="C40" i="83"/>
  <c r="F40" i="83"/>
  <c r="K32" i="72"/>
  <c r="M80" i="39" s="1"/>
  <c r="K31" i="72"/>
  <c r="M79" i="39" s="1"/>
  <c r="K30" i="72"/>
  <c r="M83" i="39" s="1"/>
  <c r="O83" i="39" s="1"/>
  <c r="K29" i="72"/>
  <c r="M82" i="39" s="1"/>
  <c r="O82" i="39" s="1"/>
  <c r="N25" i="38"/>
  <c r="N86" i="39"/>
  <c r="N85" i="39"/>
  <c r="N81" i="39"/>
  <c r="N76" i="39"/>
  <c r="N75" i="39"/>
  <c r="N74" i="39"/>
  <c r="N73" i="39"/>
  <c r="N72" i="39"/>
  <c r="N71" i="39"/>
  <c r="N70" i="39"/>
  <c r="N69" i="39"/>
  <c r="N68" i="39"/>
  <c r="N67" i="39"/>
  <c r="N66" i="39"/>
  <c r="N65" i="39"/>
  <c r="N64" i="39"/>
  <c r="N63" i="39"/>
  <c r="N43" i="39"/>
  <c r="N42" i="39"/>
  <c r="N41" i="39"/>
  <c r="N40" i="39"/>
  <c r="N39" i="39"/>
  <c r="N38" i="39"/>
  <c r="N37" i="39"/>
  <c r="N36" i="39"/>
  <c r="N35" i="39"/>
  <c r="N34" i="39"/>
  <c r="N33" i="39"/>
  <c r="N32" i="39"/>
  <c r="N31" i="39"/>
  <c r="N30" i="39"/>
  <c r="N29" i="39"/>
  <c r="E19" i="73"/>
  <c r="E20" i="73"/>
  <c r="E21" i="73"/>
  <c r="E22" i="73"/>
  <c r="E23" i="73"/>
  <c r="E24" i="73"/>
  <c r="E25" i="73"/>
  <c r="E26" i="73"/>
  <c r="E27" i="73"/>
  <c r="E28" i="73"/>
  <c r="E29" i="73"/>
  <c r="E30" i="73"/>
  <c r="E31" i="73"/>
  <c r="E32" i="73"/>
  <c r="F32" i="73" s="1"/>
  <c r="E33" i="73"/>
  <c r="E34" i="73"/>
  <c r="E35" i="73"/>
  <c r="E36" i="73"/>
  <c r="E37" i="73"/>
  <c r="E38" i="73"/>
  <c r="E39" i="73"/>
  <c r="E40" i="73"/>
  <c r="E41" i="73"/>
  <c r="E42" i="73"/>
  <c r="E43" i="73"/>
  <c r="E44" i="73"/>
  <c r="E45" i="73"/>
  <c r="E46" i="73"/>
  <c r="E47" i="73"/>
  <c r="E48" i="73"/>
  <c r="F48" i="73" s="1"/>
  <c r="E49" i="73"/>
  <c r="E18" i="73"/>
  <c r="H48" i="73"/>
  <c r="C48" i="73"/>
  <c r="H47" i="73"/>
  <c r="F47" i="73"/>
  <c r="C47" i="73"/>
  <c r="F28" i="73"/>
  <c r="H28" i="73"/>
  <c r="F29" i="73"/>
  <c r="H29" i="73"/>
  <c r="F30" i="73"/>
  <c r="I30" i="73" s="1"/>
  <c r="N25" i="39" s="1"/>
  <c r="H30" i="73"/>
  <c r="F31" i="73"/>
  <c r="H31" i="73"/>
  <c r="H32" i="73"/>
  <c r="F33" i="73"/>
  <c r="I33" i="73" s="1"/>
  <c r="N28" i="39" s="1"/>
  <c r="H33" i="73"/>
  <c r="C28" i="73"/>
  <c r="C29" i="73"/>
  <c r="C30" i="73"/>
  <c r="C31" i="73"/>
  <c r="C32" i="73"/>
  <c r="C33" i="73"/>
  <c r="F19" i="73"/>
  <c r="F20" i="73"/>
  <c r="F18" i="73"/>
  <c r="C49" i="73"/>
  <c r="C46" i="73"/>
  <c r="C45" i="73"/>
  <c r="C44" i="73"/>
  <c r="C43" i="73"/>
  <c r="C42" i="73"/>
  <c r="C41" i="73"/>
  <c r="C40" i="73"/>
  <c r="C39" i="73"/>
  <c r="C38" i="73"/>
  <c r="C37" i="73"/>
  <c r="C36" i="73"/>
  <c r="C35" i="73"/>
  <c r="C34" i="73"/>
  <c r="C27" i="73"/>
  <c r="C26" i="73"/>
  <c r="C25" i="73"/>
  <c r="C24" i="73"/>
  <c r="C23" i="73"/>
  <c r="C22" i="73"/>
  <c r="C21" i="73"/>
  <c r="C20" i="73"/>
  <c r="C19" i="73"/>
  <c r="C18" i="73"/>
  <c r="H20" i="73"/>
  <c r="H19" i="73"/>
  <c r="H18" i="73"/>
  <c r="I20" i="72"/>
  <c r="J20" i="72"/>
  <c r="I21" i="72"/>
  <c r="J21" i="72"/>
  <c r="I22" i="72"/>
  <c r="J22" i="72"/>
  <c r="D20" i="72"/>
  <c r="D21" i="72"/>
  <c r="D22" i="72"/>
  <c r="D106" i="72"/>
  <c r="D107" i="72"/>
  <c r="D108" i="72"/>
  <c r="D109" i="72"/>
  <c r="D110" i="72"/>
  <c r="D111" i="72"/>
  <c r="D112" i="72"/>
  <c r="D113" i="72"/>
  <c r="D114" i="72"/>
  <c r="D115" i="72"/>
  <c r="D116" i="72"/>
  <c r="D117" i="72"/>
  <c r="D118" i="72"/>
  <c r="D119" i="72"/>
  <c r="D120" i="72"/>
  <c r="D121" i="72"/>
  <c r="D122" i="72"/>
  <c r="D123" i="72"/>
  <c r="D124" i="72"/>
  <c r="D125" i="72"/>
  <c r="D126" i="72"/>
  <c r="D127" i="72"/>
  <c r="D128" i="72"/>
  <c r="D129" i="72"/>
  <c r="D130" i="72"/>
  <c r="D131" i="72"/>
  <c r="D132" i="72"/>
  <c r="D133" i="72"/>
  <c r="D134" i="72"/>
  <c r="D135" i="72"/>
  <c r="D136" i="72"/>
  <c r="D137" i="72"/>
  <c r="D138" i="72"/>
  <c r="D139" i="72"/>
  <c r="D140" i="72"/>
  <c r="D141" i="72"/>
  <c r="D142" i="72"/>
  <c r="D143" i="72"/>
  <c r="D144" i="72"/>
  <c r="D145" i="72"/>
  <c r="D146" i="72"/>
  <c r="D147" i="72"/>
  <c r="D148" i="72"/>
  <c r="D149" i="72"/>
  <c r="D150" i="72"/>
  <c r="D151" i="72"/>
  <c r="D152" i="72"/>
  <c r="D153" i="72"/>
  <c r="D154" i="72"/>
  <c r="D155" i="72"/>
  <c r="D156" i="72"/>
  <c r="D157" i="72"/>
  <c r="D74" i="72"/>
  <c r="D75" i="72"/>
  <c r="D76" i="72"/>
  <c r="D77" i="72"/>
  <c r="D78" i="72"/>
  <c r="D79" i="72"/>
  <c r="D80" i="72"/>
  <c r="D81" i="72"/>
  <c r="D82" i="72"/>
  <c r="D83" i="72"/>
  <c r="D84" i="72"/>
  <c r="D85" i="72"/>
  <c r="D86" i="72"/>
  <c r="D87" i="72"/>
  <c r="D88" i="72"/>
  <c r="D89" i="72"/>
  <c r="D90" i="72"/>
  <c r="D91" i="72"/>
  <c r="D92" i="72"/>
  <c r="D93" i="72"/>
  <c r="D94" i="72"/>
  <c r="D95" i="72"/>
  <c r="D96" i="72"/>
  <c r="D97" i="72"/>
  <c r="D98" i="72"/>
  <c r="D99" i="72"/>
  <c r="D100" i="72"/>
  <c r="D101" i="72"/>
  <c r="D102" i="72"/>
  <c r="D103" i="72"/>
  <c r="D104" i="72"/>
  <c r="D105" i="72"/>
  <c r="D158" i="72"/>
  <c r="D159" i="72"/>
  <c r="D160" i="72"/>
  <c r="D161" i="72"/>
  <c r="D162" i="72"/>
  <c r="D163" i="72"/>
  <c r="D164" i="72"/>
  <c r="D165" i="72"/>
  <c r="D166" i="72"/>
  <c r="D167" i="72"/>
  <c r="D168" i="72"/>
  <c r="D169" i="72"/>
  <c r="D170" i="72"/>
  <c r="D171" i="72"/>
  <c r="D172" i="72"/>
  <c r="D173" i="72"/>
  <c r="D174" i="72"/>
  <c r="D175" i="72"/>
  <c r="D176" i="72"/>
  <c r="D177" i="72"/>
  <c r="D178" i="72"/>
  <c r="D179" i="72"/>
  <c r="D180" i="72"/>
  <c r="D181" i="72"/>
  <c r="D182" i="72"/>
  <c r="D183" i="72"/>
  <c r="D184" i="72"/>
  <c r="D185" i="72"/>
  <c r="D186" i="72"/>
  <c r="D187" i="72"/>
  <c r="D188" i="72"/>
  <c r="D43" i="72"/>
  <c r="D44" i="72"/>
  <c r="D45" i="72"/>
  <c r="D46" i="72"/>
  <c r="D47" i="72"/>
  <c r="D48" i="72"/>
  <c r="D49" i="72"/>
  <c r="D50" i="72"/>
  <c r="D51" i="72"/>
  <c r="D52" i="72"/>
  <c r="D53" i="72"/>
  <c r="D54" i="72"/>
  <c r="D55" i="72"/>
  <c r="D56" i="72"/>
  <c r="D57" i="72"/>
  <c r="D58" i="72"/>
  <c r="D59" i="72"/>
  <c r="D60" i="72"/>
  <c r="D61" i="72"/>
  <c r="D62" i="72"/>
  <c r="D63" i="72"/>
  <c r="D64" i="72"/>
  <c r="D65" i="72"/>
  <c r="D66" i="72"/>
  <c r="D67" i="72"/>
  <c r="D68" i="72"/>
  <c r="D69" i="72"/>
  <c r="D70" i="72"/>
  <c r="D71" i="72"/>
  <c r="D72" i="72"/>
  <c r="D73" i="72"/>
  <c r="D16" i="72"/>
  <c r="D17" i="72"/>
  <c r="D18" i="72"/>
  <c r="D19" i="72"/>
  <c r="D23" i="72"/>
  <c r="D24" i="72"/>
  <c r="D25" i="72"/>
  <c r="D26" i="72"/>
  <c r="D27" i="72"/>
  <c r="D28" i="72"/>
  <c r="D15" i="72"/>
  <c r="J16" i="72"/>
  <c r="I16" i="72"/>
  <c r="J15" i="72"/>
  <c r="I15" i="72"/>
  <c r="B9" i="82"/>
  <c r="B8" i="82"/>
  <c r="B7" i="82"/>
  <c r="B6" i="82"/>
  <c r="B5" i="82"/>
  <c r="B4" i="82"/>
  <c r="A4" i="82"/>
  <c r="B3" i="82"/>
  <c r="A3" i="82"/>
  <c r="F18" i="82"/>
  <c r="H18" i="82" s="1"/>
  <c r="G18" i="82"/>
  <c r="F19" i="82"/>
  <c r="G19" i="82"/>
  <c r="H19" i="82"/>
  <c r="F20" i="82"/>
  <c r="G20" i="82"/>
  <c r="F22" i="82"/>
  <c r="H22" i="82" s="1"/>
  <c r="G22" i="82"/>
  <c r="F23" i="82"/>
  <c r="G23" i="82"/>
  <c r="H23" i="82" s="1"/>
  <c r="F24" i="82"/>
  <c r="G24" i="82"/>
  <c r="H24" i="82"/>
  <c r="F25" i="82"/>
  <c r="G25" i="82"/>
  <c r="H28" i="82"/>
  <c r="H29" i="82"/>
  <c r="H30" i="82"/>
  <c r="H33" i="82"/>
  <c r="H34" i="82"/>
  <c r="H35" i="82"/>
  <c r="H36" i="82"/>
  <c r="H37" i="82"/>
  <c r="G41" i="82"/>
  <c r="H41" i="82" s="1"/>
  <c r="G42" i="82"/>
  <c r="H42" i="82" s="1"/>
  <c r="H62" i="76"/>
  <c r="M63" i="50" s="1"/>
  <c r="C62" i="76"/>
  <c r="H61" i="76"/>
  <c r="C61" i="76"/>
  <c r="H29" i="76"/>
  <c r="M32" i="50" s="1"/>
  <c r="H28" i="76"/>
  <c r="M31" i="50" s="1"/>
  <c r="H27" i="76"/>
  <c r="M30" i="50" s="1"/>
  <c r="H26" i="76"/>
  <c r="M29" i="50" s="1"/>
  <c r="H25" i="76"/>
  <c r="H24" i="76"/>
  <c r="C29" i="76"/>
  <c r="C28" i="76"/>
  <c r="C27" i="76"/>
  <c r="C26" i="76"/>
  <c r="C25" i="76"/>
  <c r="C24" i="76"/>
  <c r="H14" i="76"/>
  <c r="C14" i="76"/>
  <c r="C63" i="76"/>
  <c r="C60" i="76"/>
  <c r="C59" i="76"/>
  <c r="C58" i="76"/>
  <c r="C57" i="76"/>
  <c r="C56" i="76"/>
  <c r="C55" i="76"/>
  <c r="C54" i="76"/>
  <c r="C53" i="76"/>
  <c r="C52" i="76"/>
  <c r="C51" i="76"/>
  <c r="C50" i="76"/>
  <c r="C49" i="76"/>
  <c r="C48" i="76"/>
  <c r="C44" i="76"/>
  <c r="C43" i="76"/>
  <c r="C42" i="76"/>
  <c r="C41" i="76"/>
  <c r="C40" i="76"/>
  <c r="C39" i="76"/>
  <c r="C38" i="76"/>
  <c r="C37" i="76"/>
  <c r="C36" i="76"/>
  <c r="C35" i="76"/>
  <c r="C34" i="76"/>
  <c r="C33" i="76"/>
  <c r="C32" i="76"/>
  <c r="C31" i="76"/>
  <c r="C30" i="76"/>
  <c r="C23" i="76"/>
  <c r="C22" i="76"/>
  <c r="C21" i="76"/>
  <c r="C20" i="76"/>
  <c r="C19" i="76"/>
  <c r="C18" i="76"/>
  <c r="C16" i="76"/>
  <c r="C15" i="76"/>
  <c r="C17" i="76"/>
  <c r="H16" i="76"/>
  <c r="M20" i="50" s="1"/>
  <c r="H15" i="76"/>
  <c r="H63" i="50"/>
  <c r="G63" i="50"/>
  <c r="C63" i="50"/>
  <c r="H62" i="50"/>
  <c r="G62" i="50"/>
  <c r="C62" i="50"/>
  <c r="H32" i="50"/>
  <c r="G32" i="50"/>
  <c r="H31" i="50"/>
  <c r="G31" i="50"/>
  <c r="H30" i="50"/>
  <c r="G30" i="50"/>
  <c r="H29" i="50"/>
  <c r="G29" i="50"/>
  <c r="M28" i="50"/>
  <c r="H28" i="50"/>
  <c r="G28" i="50"/>
  <c r="M27" i="50"/>
  <c r="H27" i="50"/>
  <c r="G27" i="50"/>
  <c r="C32" i="50"/>
  <c r="C31" i="50"/>
  <c r="C30" i="50"/>
  <c r="C29" i="50"/>
  <c r="C28" i="50"/>
  <c r="C27" i="50"/>
  <c r="C22" i="50"/>
  <c r="C23" i="50"/>
  <c r="C24" i="50"/>
  <c r="C25" i="50"/>
  <c r="C26" i="50"/>
  <c r="C33" i="50"/>
  <c r="C34" i="50"/>
  <c r="C35" i="50"/>
  <c r="C36" i="50"/>
  <c r="C37" i="50"/>
  <c r="C38" i="50"/>
  <c r="C39" i="50"/>
  <c r="C40" i="50"/>
  <c r="C41" i="50"/>
  <c r="C42" i="50"/>
  <c r="C43" i="50"/>
  <c r="C44" i="50"/>
  <c r="C45" i="50"/>
  <c r="C46" i="50"/>
  <c r="C47" i="50"/>
  <c r="C51" i="50"/>
  <c r="C52" i="50"/>
  <c r="C53" i="50"/>
  <c r="C54" i="50"/>
  <c r="C55" i="50"/>
  <c r="C56" i="50"/>
  <c r="C57" i="50"/>
  <c r="C58" i="50"/>
  <c r="C59" i="50"/>
  <c r="C60" i="50"/>
  <c r="C61" i="50"/>
  <c r="C64" i="50"/>
  <c r="C19" i="50"/>
  <c r="C20" i="50"/>
  <c r="C21" i="50"/>
  <c r="H20" i="50"/>
  <c r="G20" i="50"/>
  <c r="M19" i="50"/>
  <c r="H19" i="50"/>
  <c r="G19" i="50"/>
  <c r="L70" i="68"/>
  <c r="J70" i="68"/>
  <c r="C70" i="68"/>
  <c r="L69" i="68"/>
  <c r="J69" i="68"/>
  <c r="C69" i="68"/>
  <c r="L63" i="68"/>
  <c r="J63" i="68"/>
  <c r="C63" i="68"/>
  <c r="L62" i="68"/>
  <c r="J62" i="68"/>
  <c r="C62" i="68"/>
  <c r="L61" i="68"/>
  <c r="J61" i="68"/>
  <c r="C61" i="68"/>
  <c r="L57" i="68"/>
  <c r="J57" i="68"/>
  <c r="C57" i="68"/>
  <c r="L56" i="68"/>
  <c r="J56" i="68"/>
  <c r="C56" i="68"/>
  <c r="C21" i="68"/>
  <c r="C22" i="68"/>
  <c r="C23" i="68"/>
  <c r="C24" i="68"/>
  <c r="C25" i="68"/>
  <c r="C26" i="68"/>
  <c r="L27" i="68"/>
  <c r="J27" i="68"/>
  <c r="C27" i="68"/>
  <c r="L26" i="68"/>
  <c r="J26" i="68"/>
  <c r="L25" i="68"/>
  <c r="J25" i="68"/>
  <c r="L24" i="68"/>
  <c r="J24" i="68"/>
  <c r="L23" i="68"/>
  <c r="J23" i="68"/>
  <c r="L22" i="68"/>
  <c r="J22" i="68"/>
  <c r="C15" i="68"/>
  <c r="C16" i="68"/>
  <c r="C17" i="68"/>
  <c r="C18" i="68"/>
  <c r="C19" i="68"/>
  <c r="C20" i="68"/>
  <c r="C28" i="68"/>
  <c r="C29" i="68"/>
  <c r="C30" i="68"/>
  <c r="C31" i="68"/>
  <c r="C32" i="68"/>
  <c r="C33" i="68"/>
  <c r="C34" i="68"/>
  <c r="C35" i="68"/>
  <c r="C36" i="68"/>
  <c r="C37" i="68"/>
  <c r="C38" i="68"/>
  <c r="C39" i="68"/>
  <c r="C40" i="68"/>
  <c r="C41" i="68"/>
  <c r="C42" i="68"/>
  <c r="C43" i="68"/>
  <c r="C44" i="68"/>
  <c r="C45" i="68"/>
  <c r="C46" i="68"/>
  <c r="C47" i="68"/>
  <c r="C48" i="68"/>
  <c r="C49" i="68"/>
  <c r="C50" i="68"/>
  <c r="C51" i="68"/>
  <c r="C52" i="68"/>
  <c r="C53" i="68"/>
  <c r="C54" i="68"/>
  <c r="C55" i="68"/>
  <c r="C58" i="68"/>
  <c r="C59" i="68"/>
  <c r="C60" i="68"/>
  <c r="C64" i="68"/>
  <c r="C65" i="68"/>
  <c r="C66" i="68"/>
  <c r="C67" i="68"/>
  <c r="C68" i="68"/>
  <c r="C71" i="68"/>
  <c r="C12" i="68"/>
  <c r="C13" i="68"/>
  <c r="C14" i="68"/>
  <c r="L13" i="68"/>
  <c r="J13" i="68"/>
  <c r="L12" i="68"/>
  <c r="J12" i="68"/>
  <c r="J14" i="68"/>
  <c r="L14" i="68"/>
  <c r="J15" i="68"/>
  <c r="L15" i="68"/>
  <c r="L19" i="69"/>
  <c r="M19" i="69"/>
  <c r="L20" i="69"/>
  <c r="M20" i="69"/>
  <c r="L21" i="69"/>
  <c r="M21" i="69"/>
  <c r="L22" i="69"/>
  <c r="M22" i="69"/>
  <c r="L23" i="69"/>
  <c r="M23" i="69"/>
  <c r="L24" i="69"/>
  <c r="M24" i="69"/>
  <c r="L25" i="69"/>
  <c r="M25" i="69"/>
  <c r="L26" i="69"/>
  <c r="M26" i="69"/>
  <c r="L27" i="69"/>
  <c r="M27" i="69"/>
  <c r="L28" i="69"/>
  <c r="M28" i="69"/>
  <c r="L29" i="69"/>
  <c r="M29" i="69"/>
  <c r="L30" i="69"/>
  <c r="M30" i="69"/>
  <c r="L31" i="69"/>
  <c r="M31" i="69"/>
  <c r="L32" i="69"/>
  <c r="M32" i="69"/>
  <c r="L33" i="69"/>
  <c r="M33" i="69"/>
  <c r="L34" i="69"/>
  <c r="M34" i="69"/>
  <c r="L35" i="69"/>
  <c r="M35" i="69"/>
  <c r="L36" i="69"/>
  <c r="M36" i="69"/>
  <c r="L37" i="69"/>
  <c r="M37" i="69"/>
  <c r="L38" i="69"/>
  <c r="M38" i="69"/>
  <c r="L39" i="69"/>
  <c r="M39" i="69"/>
  <c r="L40" i="69"/>
  <c r="M40" i="69"/>
  <c r="L41" i="69"/>
  <c r="M41" i="69"/>
  <c r="L42" i="69"/>
  <c r="N42" i="69" s="1"/>
  <c r="M42" i="69"/>
  <c r="L43" i="69"/>
  <c r="M43" i="69"/>
  <c r="L44" i="69"/>
  <c r="M44" i="69"/>
  <c r="L45" i="69"/>
  <c r="M45" i="69"/>
  <c r="L46" i="69"/>
  <c r="M46" i="69"/>
  <c r="L47" i="69"/>
  <c r="M47" i="69"/>
  <c r="L48" i="69"/>
  <c r="M48" i="69"/>
  <c r="L49" i="69"/>
  <c r="M49" i="69"/>
  <c r="L50" i="69"/>
  <c r="M50" i="69"/>
  <c r="L51" i="69"/>
  <c r="M51" i="69"/>
  <c r="L52" i="69"/>
  <c r="M52" i="69"/>
  <c r="L53" i="69"/>
  <c r="M53" i="69"/>
  <c r="L54" i="69"/>
  <c r="M54" i="69"/>
  <c r="L55" i="69"/>
  <c r="M55" i="69"/>
  <c r="L56" i="69"/>
  <c r="M56" i="69"/>
  <c r="L58" i="69"/>
  <c r="M58" i="69"/>
  <c r="L59" i="69"/>
  <c r="M59" i="69"/>
  <c r="L60" i="69"/>
  <c r="M60" i="69"/>
  <c r="L61" i="69"/>
  <c r="M61" i="69"/>
  <c r="L62" i="69"/>
  <c r="M62" i="69"/>
  <c r="L63" i="69"/>
  <c r="M63" i="69"/>
  <c r="L64" i="69"/>
  <c r="M64" i="69"/>
  <c r="L65" i="69"/>
  <c r="M65" i="69"/>
  <c r="L66" i="69"/>
  <c r="M66" i="69"/>
  <c r="L67" i="69"/>
  <c r="M67" i="69"/>
  <c r="L68" i="69"/>
  <c r="M68" i="69"/>
  <c r="L80" i="69"/>
  <c r="M80" i="69"/>
  <c r="L81" i="69"/>
  <c r="M81" i="69"/>
  <c r="L82" i="69"/>
  <c r="M82" i="69"/>
  <c r="L83" i="69"/>
  <c r="M83" i="69"/>
  <c r="L94" i="69"/>
  <c r="M94" i="69"/>
  <c r="L95" i="69"/>
  <c r="M95" i="69"/>
  <c r="L96" i="69"/>
  <c r="M96" i="69"/>
  <c r="L97" i="69"/>
  <c r="M97" i="69"/>
  <c r="L98" i="69"/>
  <c r="M98" i="69"/>
  <c r="L99" i="69"/>
  <c r="M99" i="69"/>
  <c r="L109" i="69"/>
  <c r="N109" i="69" s="1"/>
  <c r="M109" i="69"/>
  <c r="L122" i="69"/>
  <c r="M122" i="69"/>
  <c r="L123" i="69"/>
  <c r="M123" i="69"/>
  <c r="L124" i="69"/>
  <c r="M124" i="69"/>
  <c r="L125" i="69"/>
  <c r="M125" i="69"/>
  <c r="L138" i="69"/>
  <c r="M138" i="69"/>
  <c r="L139" i="69"/>
  <c r="M139" i="69"/>
  <c r="L140" i="69"/>
  <c r="M140" i="69"/>
  <c r="L141" i="69"/>
  <c r="N141" i="69" s="1"/>
  <c r="M141" i="69"/>
  <c r="L142" i="69"/>
  <c r="M142" i="69"/>
  <c r="L155" i="69"/>
  <c r="M155" i="69"/>
  <c r="L156" i="69"/>
  <c r="M156" i="69"/>
  <c r="L157" i="69"/>
  <c r="M157" i="69"/>
  <c r="L158" i="69"/>
  <c r="M158" i="69"/>
  <c r="L159" i="69"/>
  <c r="M159" i="69"/>
  <c r="L160" i="69"/>
  <c r="M160" i="69"/>
  <c r="L173" i="69"/>
  <c r="M173" i="69"/>
  <c r="L174" i="69"/>
  <c r="M174" i="69"/>
  <c r="L175" i="69"/>
  <c r="M175" i="69"/>
  <c r="L176" i="69"/>
  <c r="M176" i="69"/>
  <c r="L177" i="69"/>
  <c r="N177" i="69" s="1"/>
  <c r="M177" i="69"/>
  <c r="L178" i="69"/>
  <c r="M178" i="69"/>
  <c r="L179" i="69"/>
  <c r="M179" i="69"/>
  <c r="L191" i="69"/>
  <c r="M191" i="69"/>
  <c r="L192" i="69"/>
  <c r="M192" i="69"/>
  <c r="L193" i="69"/>
  <c r="M193" i="69"/>
  <c r="L194" i="69"/>
  <c r="M194" i="69"/>
  <c r="L213" i="69"/>
  <c r="M213" i="69"/>
  <c r="L222" i="69"/>
  <c r="M222" i="69"/>
  <c r="L223" i="69"/>
  <c r="M223" i="69"/>
  <c r="L224" i="69"/>
  <c r="M224" i="69"/>
  <c r="L225" i="69"/>
  <c r="M225" i="69"/>
  <c r="L228" i="69"/>
  <c r="M228" i="69"/>
  <c r="L229" i="69"/>
  <c r="N229" i="69" s="1"/>
  <c r="M229" i="69"/>
  <c r="L230" i="69"/>
  <c r="M230" i="69"/>
  <c r="L231" i="69"/>
  <c r="M231" i="69"/>
  <c r="L237" i="69"/>
  <c r="M237" i="69"/>
  <c r="L243" i="69"/>
  <c r="L244" i="69"/>
  <c r="M244" i="69"/>
  <c r="L245" i="69"/>
  <c r="M245" i="69"/>
  <c r="L246" i="69"/>
  <c r="M246" i="69"/>
  <c r="L247" i="69"/>
  <c r="M247" i="69"/>
  <c r="L248" i="69"/>
  <c r="M248" i="69"/>
  <c r="L249" i="69"/>
  <c r="M249" i="69"/>
  <c r="L250" i="69"/>
  <c r="M250" i="69"/>
  <c r="L251" i="69"/>
  <c r="L255" i="69"/>
  <c r="L258" i="69"/>
  <c r="M258" i="69"/>
  <c r="L259" i="69"/>
  <c r="M259" i="69"/>
  <c r="L260" i="69"/>
  <c r="M260" i="69"/>
  <c r="L261" i="69"/>
  <c r="M261" i="69"/>
  <c r="L264" i="69"/>
  <c r="M264" i="69"/>
  <c r="L265" i="69"/>
  <c r="M265" i="69"/>
  <c r="L267" i="69"/>
  <c r="L269" i="69"/>
  <c r="M269" i="69"/>
  <c r="L270" i="69"/>
  <c r="M270" i="69"/>
  <c r="L271" i="69"/>
  <c r="M271" i="69"/>
  <c r="L272" i="69"/>
  <c r="M272" i="69"/>
  <c r="L273" i="69"/>
  <c r="M273" i="69"/>
  <c r="L274" i="69"/>
  <c r="M274" i="69"/>
  <c r="L275" i="69"/>
  <c r="L277" i="69"/>
  <c r="M277" i="69"/>
  <c r="L278" i="69"/>
  <c r="M278" i="69"/>
  <c r="L279" i="69"/>
  <c r="M279" i="69"/>
  <c r="L280" i="69"/>
  <c r="M280" i="69"/>
  <c r="L281" i="69"/>
  <c r="M281" i="69"/>
  <c r="L291" i="69"/>
  <c r="L294" i="69"/>
  <c r="M294" i="69"/>
  <c r="L295" i="69"/>
  <c r="M295" i="69"/>
  <c r="L296" i="69"/>
  <c r="M296" i="69"/>
  <c r="L297" i="69"/>
  <c r="M297" i="69"/>
  <c r="L299" i="69"/>
  <c r="M299" i="69"/>
  <c r="L311" i="69"/>
  <c r="L315" i="69"/>
  <c r="L318" i="69"/>
  <c r="M318" i="69"/>
  <c r="L323" i="69"/>
  <c r="L325" i="69"/>
  <c r="M325" i="69"/>
  <c r="M331" i="69"/>
  <c r="L335" i="69"/>
  <c r="L340" i="69"/>
  <c r="L341" i="69"/>
  <c r="M341" i="69"/>
  <c r="L342" i="69"/>
  <c r="M342" i="69"/>
  <c r="L343" i="69"/>
  <c r="M343" i="69"/>
  <c r="L344" i="69"/>
  <c r="M344" i="69"/>
  <c r="L345" i="69"/>
  <c r="M345" i="69"/>
  <c r="L346" i="69"/>
  <c r="M346" i="69"/>
  <c r="L347" i="69"/>
  <c r="M347" i="69"/>
  <c r="L348" i="69"/>
  <c r="M348" i="69"/>
  <c r="L349" i="69"/>
  <c r="M349" i="69"/>
  <c r="L350" i="69"/>
  <c r="M350" i="69"/>
  <c r="L351" i="69"/>
  <c r="M351" i="69"/>
  <c r="L352" i="69"/>
  <c r="M352" i="69"/>
  <c r="L353" i="69"/>
  <c r="M353" i="69"/>
  <c r="L354" i="69"/>
  <c r="M354" i="69"/>
  <c r="L355" i="69"/>
  <c r="M355" i="69"/>
  <c r="L356" i="69"/>
  <c r="M356" i="69"/>
  <c r="L357" i="69"/>
  <c r="M357" i="69"/>
  <c r="L358" i="69"/>
  <c r="M358" i="69"/>
  <c r="L359" i="69"/>
  <c r="M359" i="69"/>
  <c r="L360" i="69"/>
  <c r="M360" i="69"/>
  <c r="L361" i="69"/>
  <c r="M361" i="69"/>
  <c r="L362" i="69"/>
  <c r="M362" i="69"/>
  <c r="L363" i="69"/>
  <c r="M363" i="69"/>
  <c r="L364" i="69"/>
  <c r="M364" i="69"/>
  <c r="L365" i="69"/>
  <c r="M365" i="69"/>
  <c r="L366" i="69"/>
  <c r="M366" i="69"/>
  <c r="L367" i="69"/>
  <c r="M367" i="69"/>
  <c r="L368" i="69"/>
  <c r="M368" i="69"/>
  <c r="L373" i="69"/>
  <c r="M373" i="69"/>
  <c r="L379" i="69"/>
  <c r="M379" i="69"/>
  <c r="L380" i="69"/>
  <c r="M380" i="69"/>
  <c r="L381" i="69"/>
  <c r="M381" i="69"/>
  <c r="L394" i="69"/>
  <c r="M394" i="69"/>
  <c r="L395" i="69"/>
  <c r="M395" i="69"/>
  <c r="L407" i="69"/>
  <c r="M407" i="69"/>
  <c r="L424" i="69"/>
  <c r="M424" i="69"/>
  <c r="L443" i="69"/>
  <c r="M443" i="69"/>
  <c r="L461" i="69"/>
  <c r="M461" i="69"/>
  <c r="L481" i="69"/>
  <c r="M481" i="69"/>
  <c r="L499" i="69"/>
  <c r="M499" i="69"/>
  <c r="L517" i="69"/>
  <c r="M517" i="69"/>
  <c r="L533" i="69"/>
  <c r="M533" i="69"/>
  <c r="L540" i="69"/>
  <c r="M540" i="69"/>
  <c r="L541" i="69"/>
  <c r="M541" i="69"/>
  <c r="L545" i="69"/>
  <c r="M545" i="69"/>
  <c r="L564" i="69"/>
  <c r="M564" i="69"/>
  <c r="L567" i="69"/>
  <c r="L568" i="69"/>
  <c r="L571" i="69"/>
  <c r="L575" i="69"/>
  <c r="L576" i="69"/>
  <c r="L583" i="69"/>
  <c r="L584" i="69"/>
  <c r="L587" i="69"/>
  <c r="L588" i="69"/>
  <c r="L589" i="69"/>
  <c r="M589" i="69"/>
  <c r="L591" i="69"/>
  <c r="L592" i="69"/>
  <c r="L595" i="69"/>
  <c r="L596" i="69"/>
  <c r="L597" i="69"/>
  <c r="M597" i="69"/>
  <c r="L599" i="69"/>
  <c r="L600" i="69"/>
  <c r="M600" i="69"/>
  <c r="L601" i="69"/>
  <c r="M601" i="69"/>
  <c r="L602" i="69"/>
  <c r="M602" i="69"/>
  <c r="L603" i="69"/>
  <c r="M603" i="69"/>
  <c r="L604" i="69"/>
  <c r="M604" i="69"/>
  <c r="L605" i="69"/>
  <c r="M605" i="69"/>
  <c r="M13" i="69"/>
  <c r="I599" i="69"/>
  <c r="M599" i="69" s="1"/>
  <c r="I598" i="69"/>
  <c r="I597" i="69"/>
  <c r="I596" i="69"/>
  <c r="M596" i="69" s="1"/>
  <c r="I595" i="69"/>
  <c r="M595" i="69" s="1"/>
  <c r="I594" i="69"/>
  <c r="L594" i="69" s="1"/>
  <c r="I593" i="69"/>
  <c r="L593" i="69" s="1"/>
  <c r="I592" i="69"/>
  <c r="M592" i="69" s="1"/>
  <c r="I591" i="69"/>
  <c r="M591" i="69" s="1"/>
  <c r="I590" i="69"/>
  <c r="I589" i="69"/>
  <c r="I588" i="69"/>
  <c r="M588" i="69" s="1"/>
  <c r="I587" i="69"/>
  <c r="M587" i="69" s="1"/>
  <c r="I586" i="69"/>
  <c r="L586" i="69" s="1"/>
  <c r="I585" i="69"/>
  <c r="L585" i="69" s="1"/>
  <c r="I584" i="69"/>
  <c r="M584" i="69" s="1"/>
  <c r="I583" i="69"/>
  <c r="M583" i="69" s="1"/>
  <c r="I582" i="69"/>
  <c r="I565" i="69"/>
  <c r="L565" i="69" s="1"/>
  <c r="I566" i="69"/>
  <c r="L566" i="69" s="1"/>
  <c r="I567" i="69"/>
  <c r="M567" i="69" s="1"/>
  <c r="I568" i="69"/>
  <c r="M568" i="69" s="1"/>
  <c r="N568" i="69" s="1"/>
  <c r="I569" i="69"/>
  <c r="L569" i="69" s="1"/>
  <c r="I570" i="69"/>
  <c r="L570" i="69" s="1"/>
  <c r="I571" i="69"/>
  <c r="M571" i="69" s="1"/>
  <c r="I572" i="69"/>
  <c r="M572" i="69" s="1"/>
  <c r="I573" i="69"/>
  <c r="L573" i="69" s="1"/>
  <c r="I574" i="69"/>
  <c r="L574" i="69" s="1"/>
  <c r="I575" i="69"/>
  <c r="M575" i="69" s="1"/>
  <c r="I576" i="69"/>
  <c r="M576" i="69" s="1"/>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79" i="69"/>
  <c r="D280" i="69"/>
  <c r="D281" i="69"/>
  <c r="D282" i="69"/>
  <c r="D283" i="69"/>
  <c r="D284" i="69"/>
  <c r="D285" i="69"/>
  <c r="D286" i="69"/>
  <c r="D287" i="69"/>
  <c r="D288" i="69"/>
  <c r="D289" i="69"/>
  <c r="D290" i="69"/>
  <c r="D291" i="69"/>
  <c r="D292" i="69"/>
  <c r="D293" i="69"/>
  <c r="D294" i="69"/>
  <c r="D295" i="69"/>
  <c r="D296" i="69"/>
  <c r="D297" i="69"/>
  <c r="D298" i="69"/>
  <c r="D299" i="69"/>
  <c r="D300" i="69"/>
  <c r="D301" i="69"/>
  <c r="D302" i="69"/>
  <c r="D303" i="69"/>
  <c r="D304" i="69"/>
  <c r="D305" i="69"/>
  <c r="D306" i="69"/>
  <c r="D307" i="69"/>
  <c r="D308" i="69"/>
  <c r="D309" i="69"/>
  <c r="D310" i="69"/>
  <c r="D311" i="69"/>
  <c r="D312" i="69"/>
  <c r="D313" i="69"/>
  <c r="D314" i="69"/>
  <c r="D315" i="69"/>
  <c r="D316" i="69"/>
  <c r="D317" i="69"/>
  <c r="D318" i="69"/>
  <c r="D319" i="69"/>
  <c r="D320" i="69"/>
  <c r="D321" i="69"/>
  <c r="D322" i="69"/>
  <c r="D323" i="69"/>
  <c r="D324" i="69"/>
  <c r="D325" i="69"/>
  <c r="D326" i="69"/>
  <c r="D327" i="69"/>
  <c r="D328" i="69"/>
  <c r="D329" i="69"/>
  <c r="D330" i="69"/>
  <c r="D331" i="69"/>
  <c r="D332" i="69"/>
  <c r="D333" i="69"/>
  <c r="D334" i="69"/>
  <c r="D335" i="69"/>
  <c r="D336" i="69"/>
  <c r="D337" i="69"/>
  <c r="D338" i="69"/>
  <c r="D339" i="69"/>
  <c r="D340" i="69"/>
  <c r="D341" i="69"/>
  <c r="D342" i="69"/>
  <c r="D343" i="69"/>
  <c r="D344" i="69"/>
  <c r="D345" i="69"/>
  <c r="I340" i="69"/>
  <c r="M340" i="69" s="1"/>
  <c r="I339" i="69"/>
  <c r="L339" i="69" s="1"/>
  <c r="I338" i="69"/>
  <c r="I337" i="69"/>
  <c r="M337" i="69" s="1"/>
  <c r="I336" i="69"/>
  <c r="M336" i="69" s="1"/>
  <c r="I335" i="69"/>
  <c r="M335" i="69" s="1"/>
  <c r="I334" i="69"/>
  <c r="I333" i="69"/>
  <c r="M333" i="69" s="1"/>
  <c r="I332" i="69"/>
  <c r="I331" i="69"/>
  <c r="L331" i="69" s="1"/>
  <c r="I330" i="69"/>
  <c r="I329" i="69"/>
  <c r="M329" i="69" s="1"/>
  <c r="I328" i="69"/>
  <c r="I327" i="69"/>
  <c r="L327" i="69" s="1"/>
  <c r="I326" i="69"/>
  <c r="I324" i="69"/>
  <c r="I323" i="69"/>
  <c r="M323" i="69" s="1"/>
  <c r="I322" i="69"/>
  <c r="I321" i="69"/>
  <c r="I320" i="69"/>
  <c r="I319" i="69"/>
  <c r="L319" i="69" s="1"/>
  <c r="I317" i="69"/>
  <c r="I316" i="69"/>
  <c r="I315" i="69"/>
  <c r="M315" i="69" s="1"/>
  <c r="I314" i="69"/>
  <c r="I313" i="69"/>
  <c r="I312" i="69"/>
  <c r="I311" i="69"/>
  <c r="M311" i="69" s="1"/>
  <c r="I310" i="69"/>
  <c r="I309" i="69"/>
  <c r="I308" i="69"/>
  <c r="I307" i="69"/>
  <c r="L307" i="69" s="1"/>
  <c r="I306" i="69"/>
  <c r="I305" i="69"/>
  <c r="I304" i="69"/>
  <c r="I303" i="69"/>
  <c r="L303" i="69" s="1"/>
  <c r="I302" i="69"/>
  <c r="I301" i="69"/>
  <c r="I300" i="69"/>
  <c r="I298" i="69"/>
  <c r="I293" i="69"/>
  <c r="I292" i="69"/>
  <c r="I291" i="69"/>
  <c r="M291" i="69" s="1"/>
  <c r="I290" i="69"/>
  <c r="I289" i="69"/>
  <c r="I288" i="69"/>
  <c r="I287" i="69"/>
  <c r="I286" i="69"/>
  <c r="I285" i="69"/>
  <c r="I284" i="69"/>
  <c r="I283" i="69"/>
  <c r="L283" i="69" s="1"/>
  <c r="I282" i="69"/>
  <c r="I276" i="69"/>
  <c r="I275" i="69"/>
  <c r="M275" i="69" s="1"/>
  <c r="I268" i="69"/>
  <c r="I267" i="69"/>
  <c r="M267" i="69" s="1"/>
  <c r="I266" i="69"/>
  <c r="I263" i="69"/>
  <c r="L263" i="69" s="1"/>
  <c r="I262" i="69"/>
  <c r="I257" i="69"/>
  <c r="I256" i="69"/>
  <c r="I255" i="69"/>
  <c r="M255" i="69" s="1"/>
  <c r="I254" i="69"/>
  <c r="I253" i="69"/>
  <c r="I252" i="69"/>
  <c r="I251" i="69"/>
  <c r="M251" i="69" s="1"/>
  <c r="I243" i="69"/>
  <c r="M243" i="69" s="1"/>
  <c r="I242" i="69"/>
  <c r="I241" i="69"/>
  <c r="I240" i="69"/>
  <c r="I239" i="69"/>
  <c r="I23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199" i="69"/>
  <c r="D200"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346" i="69"/>
  <c r="D347" i="69"/>
  <c r="D348" i="69"/>
  <c r="D349" i="69"/>
  <c r="D350" i="69"/>
  <c r="D351" i="69"/>
  <c r="D352" i="69"/>
  <c r="D353" i="69"/>
  <c r="D354" i="69"/>
  <c r="D355" i="69"/>
  <c r="D356" i="69"/>
  <c r="D357" i="69"/>
  <c r="D358" i="69"/>
  <c r="D359" i="69"/>
  <c r="D360" i="69"/>
  <c r="D361" i="69"/>
  <c r="D362" i="69"/>
  <c r="D363" i="69"/>
  <c r="D364" i="69"/>
  <c r="D365" i="69"/>
  <c r="D366" i="69"/>
  <c r="D367" i="69"/>
  <c r="D368" i="69"/>
  <c r="D369" i="69"/>
  <c r="D370" i="69"/>
  <c r="D371" i="69"/>
  <c r="D372" i="69"/>
  <c r="D373" i="69"/>
  <c r="D374" i="69"/>
  <c r="D375" i="69"/>
  <c r="D376" i="69"/>
  <c r="D377" i="69"/>
  <c r="D378" i="69"/>
  <c r="D379" i="69"/>
  <c r="D380" i="69"/>
  <c r="D381" i="69"/>
  <c r="D382" i="69"/>
  <c r="D383" i="69"/>
  <c r="D384" i="69"/>
  <c r="D385" i="69"/>
  <c r="D386" i="69"/>
  <c r="D387" i="69"/>
  <c r="D388"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I57" i="69"/>
  <c r="L57" i="69" s="1"/>
  <c r="I18" i="69"/>
  <c r="M18" i="69" s="1"/>
  <c r="I17" i="69"/>
  <c r="I16" i="69"/>
  <c r="I15" i="69"/>
  <c r="I14" i="69"/>
  <c r="I13" i="69"/>
  <c r="L13" i="69" s="1"/>
  <c r="C18" i="64"/>
  <c r="C19" i="64"/>
  <c r="C20" i="64"/>
  <c r="C21" i="64"/>
  <c r="C22" i="64"/>
  <c r="C23" i="64"/>
  <c r="C24" i="64"/>
  <c r="C25" i="64"/>
  <c r="C26" i="64"/>
  <c r="C27" i="64"/>
  <c r="C28" i="64"/>
  <c r="C29" i="64"/>
  <c r="C30" i="64"/>
  <c r="C31" i="64"/>
  <c r="C32" i="64"/>
  <c r="C33" i="64"/>
  <c r="C34" i="64"/>
  <c r="C35" i="64"/>
  <c r="C36" i="64"/>
  <c r="C37" i="64"/>
  <c r="C38" i="64"/>
  <c r="C17" i="64"/>
  <c r="N24" i="64"/>
  <c r="N25" i="64"/>
  <c r="P25" i="64" s="1"/>
  <c r="N26" i="64"/>
  <c r="P26" i="64" s="1"/>
  <c r="N27" i="64"/>
  <c r="P27" i="64" s="1"/>
  <c r="N28" i="64"/>
  <c r="P28" i="64" s="1"/>
  <c r="N29" i="64"/>
  <c r="N30" i="64"/>
  <c r="N17" i="64"/>
  <c r="N23" i="64"/>
  <c r="J51" i="71"/>
  <c r="I51" i="71"/>
  <c r="C51" i="71"/>
  <c r="J50" i="71"/>
  <c r="I50" i="71"/>
  <c r="K50" i="71" s="1"/>
  <c r="C50" i="71"/>
  <c r="I24" i="71"/>
  <c r="J24" i="71"/>
  <c r="I25" i="71"/>
  <c r="J25" i="71"/>
  <c r="I26" i="71"/>
  <c r="J26" i="71"/>
  <c r="I27" i="71"/>
  <c r="J27" i="71"/>
  <c r="I28" i="71"/>
  <c r="J28" i="71"/>
  <c r="I29" i="71"/>
  <c r="J29" i="71"/>
  <c r="C24" i="71"/>
  <c r="C25" i="71"/>
  <c r="C26" i="71"/>
  <c r="C27" i="71"/>
  <c r="C28" i="71"/>
  <c r="C29" i="71"/>
  <c r="C53" i="71"/>
  <c r="C52" i="71"/>
  <c r="C48" i="71"/>
  <c r="C47" i="71"/>
  <c r="C46" i="71"/>
  <c r="C45" i="71"/>
  <c r="C44" i="71"/>
  <c r="C43" i="71"/>
  <c r="C42" i="71"/>
  <c r="C41" i="71"/>
  <c r="C40" i="71"/>
  <c r="C39" i="71"/>
  <c r="C38" i="71"/>
  <c r="C37" i="71"/>
  <c r="C36" i="71"/>
  <c r="C35" i="71"/>
  <c r="C34" i="71"/>
  <c r="C33" i="71"/>
  <c r="C32" i="71"/>
  <c r="C31" i="71"/>
  <c r="C30" i="71"/>
  <c r="C23" i="71"/>
  <c r="C22" i="71"/>
  <c r="C21" i="71"/>
  <c r="C20" i="71"/>
  <c r="C19" i="71"/>
  <c r="C17" i="71"/>
  <c r="C16" i="71"/>
  <c r="C18" i="71"/>
  <c r="J17" i="71"/>
  <c r="K17" i="71" s="1"/>
  <c r="H15" i="39" s="1"/>
  <c r="I17" i="71"/>
  <c r="J16" i="71"/>
  <c r="I16" i="71"/>
  <c r="J24" i="44"/>
  <c r="K24" i="44" s="1"/>
  <c r="G23" i="39" s="1"/>
  <c r="J25" i="44"/>
  <c r="K25" i="44" s="1"/>
  <c r="G24" i="39" s="1"/>
  <c r="J26" i="44"/>
  <c r="K26" i="44" s="1"/>
  <c r="G25" i="39" s="1"/>
  <c r="J27" i="44"/>
  <c r="K27" i="44" s="1"/>
  <c r="G26" i="39" s="1"/>
  <c r="J28" i="44"/>
  <c r="K28" i="44" s="1"/>
  <c r="G27" i="39" s="1"/>
  <c r="J29" i="44"/>
  <c r="K29" i="44" s="1"/>
  <c r="G28" i="39" s="1"/>
  <c r="J30" i="44"/>
  <c r="K30" i="44" s="1"/>
  <c r="G62" i="39" s="1"/>
  <c r="C24" i="44"/>
  <c r="C25" i="44"/>
  <c r="C26" i="44"/>
  <c r="C27" i="44"/>
  <c r="C28" i="44"/>
  <c r="C29" i="44"/>
  <c r="C30" i="44"/>
  <c r="C41" i="44"/>
  <c r="C40" i="44"/>
  <c r="C39" i="44"/>
  <c r="C38" i="44"/>
  <c r="C37" i="44"/>
  <c r="C36" i="44"/>
  <c r="C35" i="44"/>
  <c r="C34" i="44"/>
  <c r="C33" i="44"/>
  <c r="C32" i="44"/>
  <c r="C31" i="44"/>
  <c r="C23" i="44"/>
  <c r="C22" i="44"/>
  <c r="C21" i="44"/>
  <c r="C20" i="44"/>
  <c r="C19" i="44"/>
  <c r="C17" i="44"/>
  <c r="C16" i="44"/>
  <c r="C18" i="44"/>
  <c r="J17" i="44"/>
  <c r="K17" i="44" s="1"/>
  <c r="G15" i="39" s="1"/>
  <c r="J16" i="44"/>
  <c r="K16" i="44" s="1"/>
  <c r="G14" i="39" s="1"/>
  <c r="J27" i="43"/>
  <c r="K27" i="43" s="1"/>
  <c r="L27" i="43"/>
  <c r="J28" i="43"/>
  <c r="N28" i="43" s="1"/>
  <c r="O28" i="43" s="1"/>
  <c r="L28" i="43"/>
  <c r="J29" i="43"/>
  <c r="K29" i="43" s="1"/>
  <c r="L29" i="43"/>
  <c r="J30" i="43"/>
  <c r="K30" i="43" s="1"/>
  <c r="L30" i="43"/>
  <c r="J31" i="43"/>
  <c r="K31" i="43"/>
  <c r="L31" i="43"/>
  <c r="J32" i="43"/>
  <c r="K32" i="43" s="1"/>
  <c r="L32" i="43"/>
  <c r="N32" i="43"/>
  <c r="O32" i="43" s="1"/>
  <c r="C27" i="43"/>
  <c r="C28" i="43"/>
  <c r="C29" i="43"/>
  <c r="C30" i="43"/>
  <c r="C31" i="43"/>
  <c r="C32" i="43"/>
  <c r="J19" i="43"/>
  <c r="K19" i="43" s="1"/>
  <c r="L19" i="43"/>
  <c r="J20" i="43"/>
  <c r="K20" i="43" s="1"/>
  <c r="L20" i="43"/>
  <c r="C21" i="43"/>
  <c r="C22" i="43"/>
  <c r="C23" i="43"/>
  <c r="C24" i="43"/>
  <c r="C25" i="43"/>
  <c r="C26" i="43"/>
  <c r="C33" i="43"/>
  <c r="C34" i="43"/>
  <c r="C35" i="43"/>
  <c r="C36" i="43"/>
  <c r="C19" i="43"/>
  <c r="C20" i="43"/>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M62" i="39"/>
  <c r="M61" i="39"/>
  <c r="G61" i="39"/>
  <c r="L70" i="39"/>
  <c r="H70" i="39"/>
  <c r="G70" i="39"/>
  <c r="L69" i="39"/>
  <c r="H69" i="39"/>
  <c r="G69" i="39"/>
  <c r="L68" i="39"/>
  <c r="H68" i="39"/>
  <c r="G68" i="39"/>
  <c r="L64" i="39"/>
  <c r="H64" i="39"/>
  <c r="G64" i="39"/>
  <c r="L63" i="39"/>
  <c r="H63" i="39"/>
  <c r="G63" i="39"/>
  <c r="M28" i="39"/>
  <c r="M27" i="39"/>
  <c r="M26" i="39"/>
  <c r="M25" i="39"/>
  <c r="M24" i="39"/>
  <c r="M23" i="39"/>
  <c r="M15" i="39"/>
  <c r="M14" i="39"/>
  <c r="M13" i="39"/>
  <c r="L13" i="39"/>
  <c r="H13" i="39"/>
  <c r="G13" i="39"/>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J699" i="2"/>
  <c r="E699" i="2"/>
  <c r="E698" i="2"/>
  <c r="E697" i="2"/>
  <c r="E696" i="2"/>
  <c r="E695" i="2"/>
  <c r="E694" i="2"/>
  <c r="E693" i="2"/>
  <c r="E692" i="2"/>
  <c r="E691" i="2"/>
  <c r="E690"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814" i="2"/>
  <c r="E813" i="2"/>
  <c r="E812" i="2"/>
  <c r="E811" i="2"/>
  <c r="E810" i="2"/>
  <c r="E809" i="2"/>
  <c r="E808" i="2"/>
  <c r="E807" i="2"/>
  <c r="E806" i="2"/>
  <c r="E805" i="2"/>
  <c r="E804" i="2"/>
  <c r="E803" i="2"/>
  <c r="E802" i="2"/>
  <c r="E801" i="2"/>
  <c r="E800" i="2"/>
  <c r="E799" i="2"/>
  <c r="R461" i="2"/>
  <c r="E461" i="2"/>
  <c r="R460" i="2"/>
  <c r="E460" i="2"/>
  <c r="E459" i="2"/>
  <c r="R458" i="2"/>
  <c r="E458" i="2"/>
  <c r="R457" i="2"/>
  <c r="E457" i="2"/>
  <c r="R456" i="2"/>
  <c r="E456" i="2"/>
  <c r="R455" i="2"/>
  <c r="E455" i="2"/>
  <c r="R454" i="2"/>
  <c r="E454" i="2"/>
  <c r="S453" i="2"/>
  <c r="E453" i="2"/>
  <c r="R452" i="2"/>
  <c r="E452" i="2"/>
  <c r="S451" i="2"/>
  <c r="E451" i="2"/>
  <c r="S450" i="2"/>
  <c r="E450" i="2"/>
  <c r="R449" i="2"/>
  <c r="E449" i="2"/>
  <c r="Q448" i="2"/>
  <c r="E448" i="2"/>
  <c r="R447" i="2"/>
  <c r="E447" i="2"/>
  <c r="Q446" i="2"/>
  <c r="E446" i="2"/>
  <c r="Q445" i="2"/>
  <c r="E445" i="2"/>
  <c r="Q444" i="2"/>
  <c r="E444" i="2"/>
  <c r="Q443" i="2"/>
  <c r="E443" i="2"/>
  <c r="Q442" i="2"/>
  <c r="E442" i="2"/>
  <c r="R441" i="2"/>
  <c r="E441" i="2"/>
  <c r="R440" i="2"/>
  <c r="E440" i="2"/>
  <c r="R439" i="2"/>
  <c r="E439" i="2"/>
  <c r="R438" i="2"/>
  <c r="E438" i="2"/>
  <c r="R437" i="2"/>
  <c r="E437" i="2"/>
  <c r="R436" i="2"/>
  <c r="E436" i="2"/>
  <c r="Q435" i="2"/>
  <c r="E435" i="2"/>
  <c r="R434" i="2"/>
  <c r="E434" i="2"/>
  <c r="E433" i="2"/>
  <c r="E432" i="2"/>
  <c r="E431" i="2"/>
  <c r="E430" i="2"/>
  <c r="E429" i="2"/>
  <c r="E428" i="2"/>
  <c r="R427" i="2"/>
  <c r="E427" i="2"/>
  <c r="R426" i="2"/>
  <c r="E426" i="2"/>
  <c r="Q425" i="2"/>
  <c r="E425" i="2"/>
  <c r="R424" i="2"/>
  <c r="E424" i="2"/>
  <c r="Q423" i="2"/>
  <c r="E423" i="2"/>
  <c r="Q422" i="2"/>
  <c r="E422" i="2"/>
  <c r="Q421" i="2"/>
  <c r="E421" i="2"/>
  <c r="S420" i="2"/>
  <c r="E420" i="2"/>
  <c r="Q419" i="2"/>
  <c r="E419" i="2"/>
  <c r="Q418" i="2"/>
  <c r="E418" i="2"/>
  <c r="Q417" i="2"/>
  <c r="E417" i="2"/>
  <c r="Q416" i="2"/>
  <c r="E416" i="2"/>
  <c r="Q415" i="2"/>
  <c r="E415" i="2"/>
  <c r="Q414" i="2"/>
  <c r="E414" i="2"/>
  <c r="Q413" i="2"/>
  <c r="E413" i="2"/>
  <c r="Q412" i="2"/>
  <c r="E412" i="2"/>
  <c r="R411" i="2"/>
  <c r="E411" i="2"/>
  <c r="Q410" i="2"/>
  <c r="E410" i="2"/>
  <c r="R409" i="2"/>
  <c r="E409" i="2"/>
  <c r="Q408" i="2"/>
  <c r="E408" i="2"/>
  <c r="E407" i="2"/>
  <c r="Q406" i="2"/>
  <c r="E406" i="2"/>
  <c r="S405" i="2"/>
  <c r="E405" i="2"/>
  <c r="S404" i="2"/>
  <c r="E404" i="2"/>
  <c r="R403" i="2"/>
  <c r="E403" i="2"/>
  <c r="R402" i="2"/>
  <c r="E402" i="2"/>
  <c r="S401" i="2"/>
  <c r="E401" i="2"/>
  <c r="S400" i="2"/>
  <c r="E400" i="2"/>
  <c r="S399" i="2"/>
  <c r="E399" i="2"/>
  <c r="S398" i="2"/>
  <c r="E398" i="2"/>
  <c r="S397" i="2"/>
  <c r="E397" i="2"/>
  <c r="S396" i="2"/>
  <c r="E396" i="2"/>
  <c r="R395" i="2"/>
  <c r="E395" i="2"/>
  <c r="Q394" i="2"/>
  <c r="E394" i="2"/>
  <c r="Q393" i="2"/>
  <c r="E393" i="2"/>
  <c r="R392" i="2"/>
  <c r="E392" i="2"/>
  <c r="Q391" i="2"/>
  <c r="E391" i="2"/>
  <c r="S390" i="2"/>
  <c r="E390" i="2"/>
  <c r="S389" i="2"/>
  <c r="R389" i="2"/>
  <c r="E389" i="2"/>
  <c r="S388" i="2"/>
  <c r="E388" i="2"/>
  <c r="R387" i="2"/>
  <c r="E387" i="2"/>
  <c r="R386" i="2"/>
  <c r="E386" i="2"/>
  <c r="R385" i="2"/>
  <c r="E385" i="2"/>
  <c r="E384" i="2"/>
  <c r="Q383" i="2"/>
  <c r="E383" i="2"/>
  <c r="R382" i="2"/>
  <c r="E382" i="2"/>
  <c r="S381" i="2"/>
  <c r="E381" i="2"/>
  <c r="R380" i="2"/>
  <c r="E380" i="2"/>
  <c r="S379" i="2"/>
  <c r="E379" i="2"/>
  <c r="S378" i="2"/>
  <c r="E378" i="2"/>
  <c r="Q377" i="2"/>
  <c r="E377" i="2"/>
  <c r="Q376" i="2"/>
  <c r="E376" i="2"/>
  <c r="Q375" i="2"/>
  <c r="E375" i="2"/>
  <c r="R374" i="2"/>
  <c r="E374" i="2"/>
  <c r="R373" i="2"/>
  <c r="E373" i="2"/>
  <c r="R372" i="2"/>
  <c r="E372" i="2"/>
  <c r="Q371" i="2"/>
  <c r="E371" i="2"/>
  <c r="Q370" i="2"/>
  <c r="E370" i="2"/>
  <c r="Q369" i="2"/>
  <c r="E369" i="2"/>
  <c r="Q368" i="2"/>
  <c r="E368" i="2"/>
  <c r="Q367" i="2"/>
  <c r="E367" i="2"/>
  <c r="R366" i="2"/>
  <c r="E366" i="2"/>
  <c r="R365" i="2"/>
  <c r="E365" i="2"/>
  <c r="R364" i="2"/>
  <c r="E364" i="2"/>
  <c r="R363" i="2"/>
  <c r="E363" i="2"/>
  <c r="R362" i="2"/>
  <c r="E362" i="2"/>
  <c r="R361" i="2"/>
  <c r="E361" i="2"/>
  <c r="S360" i="2"/>
  <c r="E360" i="2"/>
  <c r="S359" i="2"/>
  <c r="E359" i="2"/>
  <c r="E358" i="2"/>
  <c r="Q357" i="2"/>
  <c r="E357" i="2"/>
  <c r="Q356" i="2"/>
  <c r="E356" i="2"/>
  <c r="Q355" i="2"/>
  <c r="E355" i="2"/>
  <c r="R354" i="2"/>
  <c r="E354" i="2"/>
  <c r="R353" i="2"/>
  <c r="E353" i="2"/>
  <c r="R352" i="2"/>
  <c r="E352" i="2"/>
  <c r="S351" i="2"/>
  <c r="E351" i="2"/>
  <c r="R350" i="2"/>
  <c r="E350" i="2"/>
  <c r="R349" i="2"/>
  <c r="E349" i="2"/>
  <c r="Q348" i="2"/>
  <c r="E348" i="2"/>
  <c r="Q347" i="2"/>
  <c r="E347" i="2"/>
  <c r="Q346" i="2"/>
  <c r="E346" i="2"/>
  <c r="R345" i="2"/>
  <c r="E345" i="2"/>
  <c r="Q344" i="2"/>
  <c r="E344" i="2"/>
  <c r="R343" i="2"/>
  <c r="E343" i="2"/>
  <c r="R342" i="2"/>
  <c r="E342" i="2"/>
  <c r="S341" i="2"/>
  <c r="E341" i="2"/>
  <c r="S340" i="2"/>
  <c r="E340" i="2"/>
  <c r="R339" i="2"/>
  <c r="E339" i="2"/>
  <c r="R338" i="2"/>
  <c r="E338" i="2"/>
  <c r="Q337" i="2"/>
  <c r="E337" i="2"/>
  <c r="R336" i="2"/>
  <c r="E336" i="2"/>
  <c r="Q335" i="2"/>
  <c r="E335" i="2"/>
  <c r="R334" i="2"/>
  <c r="E334" i="2"/>
  <c r="R333" i="2"/>
  <c r="E333" i="2"/>
  <c r="R332" i="2"/>
  <c r="E332" i="2"/>
  <c r="Q331" i="2"/>
  <c r="E331" i="2"/>
  <c r="Q330" i="2"/>
  <c r="E330" i="2"/>
  <c r="Q329" i="2"/>
  <c r="E329" i="2"/>
  <c r="Q328" i="2"/>
  <c r="E328" i="2"/>
  <c r="R327" i="2"/>
  <c r="E327" i="2"/>
  <c r="R326" i="2"/>
  <c r="E326" i="2"/>
  <c r="R325" i="2"/>
  <c r="E325" i="2"/>
  <c r="R324" i="2"/>
  <c r="E324" i="2"/>
  <c r="Q323" i="2"/>
  <c r="E323" i="2"/>
  <c r="Q322" i="2"/>
  <c r="E322" i="2"/>
  <c r="Q321" i="2"/>
  <c r="E321" i="2"/>
  <c r="R320" i="2"/>
  <c r="E320" i="2"/>
  <c r="R319" i="2"/>
  <c r="E319" i="2"/>
  <c r="R318" i="2"/>
  <c r="E318" i="2"/>
  <c r="Q317" i="2"/>
  <c r="E317" i="2"/>
  <c r="R316" i="2"/>
  <c r="E316" i="2"/>
  <c r="E315" i="2"/>
  <c r="Q314" i="2"/>
  <c r="E314" i="2"/>
  <c r="Q313" i="2"/>
  <c r="E313" i="2"/>
  <c r="Q312" i="2"/>
  <c r="E312" i="2"/>
  <c r="R311" i="2"/>
  <c r="E311" i="2"/>
  <c r="R310" i="2"/>
  <c r="E310" i="2"/>
  <c r="R309" i="2"/>
  <c r="E309" i="2"/>
  <c r="Q308" i="2"/>
  <c r="E308" i="2"/>
  <c r="R307" i="2"/>
  <c r="E307" i="2"/>
  <c r="R306" i="2"/>
  <c r="E306" i="2"/>
  <c r="Q305" i="2"/>
  <c r="E305" i="2"/>
  <c r="S304" i="2"/>
  <c r="E304" i="2"/>
  <c r="R303" i="2"/>
  <c r="E303" i="2"/>
  <c r="S302" i="2"/>
  <c r="E302" i="2"/>
  <c r="S301" i="2"/>
  <c r="E301" i="2"/>
  <c r="R300" i="2"/>
  <c r="E300" i="2"/>
  <c r="R299" i="2"/>
  <c r="E299" i="2"/>
  <c r="Q298" i="2"/>
  <c r="E298" i="2"/>
  <c r="Q297" i="2"/>
  <c r="E297" i="2"/>
  <c r="R296" i="2"/>
  <c r="E296" i="2"/>
  <c r="Q295" i="2"/>
  <c r="E295" i="2"/>
  <c r="R294" i="2"/>
  <c r="E294" i="2"/>
  <c r="R293" i="2"/>
  <c r="E293" i="2"/>
  <c r="Q292" i="2"/>
  <c r="E292" i="2"/>
  <c r="Q291" i="2"/>
  <c r="E291" i="2"/>
  <c r="Q290" i="2"/>
  <c r="E290" i="2"/>
  <c r="Q289" i="2"/>
  <c r="E289" i="2"/>
  <c r="Q288" i="2"/>
  <c r="E288" i="2"/>
  <c r="Q287" i="2"/>
  <c r="E287" i="2"/>
  <c r="R286" i="2"/>
  <c r="E286" i="2"/>
  <c r="R285" i="2"/>
  <c r="E285" i="2"/>
  <c r="E72" i="2"/>
  <c r="Q71" i="2"/>
  <c r="E71" i="2"/>
  <c r="Q70" i="2"/>
  <c r="E70" i="2"/>
  <c r="R69" i="2"/>
  <c r="E69" i="2"/>
  <c r="S68" i="2"/>
  <c r="E68" i="2"/>
  <c r="S67" i="2"/>
  <c r="E67" i="2"/>
  <c r="S66" i="2"/>
  <c r="E66" i="2"/>
  <c r="R65" i="2"/>
  <c r="E65" i="2"/>
  <c r="R64" i="2"/>
  <c r="E64" i="2"/>
  <c r="R63" i="2"/>
  <c r="E63" i="2"/>
  <c r="R62" i="2"/>
  <c r="E62" i="2"/>
  <c r="Q61" i="2"/>
  <c r="E61" i="2"/>
  <c r="Q60" i="2"/>
  <c r="E60" i="2"/>
  <c r="Q59" i="2"/>
  <c r="E59" i="2"/>
  <c r="R58" i="2"/>
  <c r="E58" i="2"/>
  <c r="R57" i="2"/>
  <c r="E57" i="2"/>
  <c r="R56" i="2"/>
  <c r="E56" i="2"/>
  <c r="R55" i="2"/>
  <c r="E55" i="2"/>
  <c r="E54" i="2"/>
  <c r="S53" i="2"/>
  <c r="E53" i="2"/>
  <c r="S52" i="2"/>
  <c r="E52" i="2"/>
  <c r="R51" i="2"/>
  <c r="E51" i="2"/>
  <c r="R50" i="2"/>
  <c r="E50" i="2"/>
  <c r="R49" i="2"/>
  <c r="E49" i="2"/>
  <c r="R48" i="2"/>
  <c r="E48" i="2"/>
  <c r="R47" i="2"/>
  <c r="E47" i="2"/>
  <c r="E46" i="2"/>
  <c r="E45" i="2"/>
  <c r="E44" i="2"/>
  <c r="E43" i="2"/>
  <c r="P42" i="2"/>
  <c r="E42" i="2"/>
  <c r="P41" i="2"/>
  <c r="E41" i="2"/>
  <c r="Q40" i="2"/>
  <c r="E40" i="2"/>
  <c r="Q39" i="2"/>
  <c r="E39" i="2"/>
  <c r="R38" i="2"/>
  <c r="E38" i="2"/>
  <c r="Q37" i="2"/>
  <c r="E37" i="2"/>
  <c r="Q36" i="2"/>
  <c r="E36" i="2"/>
  <c r="Q35" i="2"/>
  <c r="E35" i="2"/>
  <c r="R34" i="2"/>
  <c r="E34" i="2"/>
  <c r="S33" i="2"/>
  <c r="E33" i="2"/>
  <c r="S32" i="2"/>
  <c r="E32" i="2"/>
  <c r="R31" i="2"/>
  <c r="E31" i="2"/>
  <c r="Q30" i="2"/>
  <c r="E30" i="2"/>
  <c r="Q29" i="2"/>
  <c r="E29" i="2"/>
  <c r="R28" i="2"/>
  <c r="E28" i="2"/>
  <c r="Q27" i="2"/>
  <c r="E27" i="2"/>
  <c r="Q26" i="2"/>
  <c r="E26" i="2"/>
  <c r="R25" i="2"/>
  <c r="E25" i="2"/>
  <c r="E24" i="2"/>
  <c r="E23" i="2"/>
  <c r="E22" i="2"/>
  <c r="E21" i="2"/>
  <c r="E20" i="2"/>
  <c r="E19" i="2"/>
  <c r="E18" i="2"/>
  <c r="P17" i="2"/>
  <c r="E17" i="2"/>
  <c r="P16" i="2"/>
  <c r="E16" i="2"/>
  <c r="E15" i="2"/>
  <c r="E13" i="2"/>
  <c r="E12" i="2"/>
  <c r="K27" i="71" l="1"/>
  <c r="H26" i="39" s="1"/>
  <c r="K29" i="71"/>
  <c r="H28" i="39" s="1"/>
  <c r="K25" i="71"/>
  <c r="H24" i="39" s="1"/>
  <c r="H20" i="82"/>
  <c r="H25" i="82"/>
  <c r="N605" i="69"/>
  <c r="N394" i="69"/>
  <c r="N194" i="69"/>
  <c r="N354" i="69"/>
  <c r="I26" i="39"/>
  <c r="K51" i="71"/>
  <c r="K24" i="71"/>
  <c r="H23" i="39" s="1"/>
  <c r="N31" i="43"/>
  <c r="O31" i="43" s="1"/>
  <c r="N29" i="43"/>
  <c r="O29" i="43" s="1"/>
  <c r="N122" i="69"/>
  <c r="N39" i="69"/>
  <c r="N192" i="69"/>
  <c r="N63" i="69"/>
  <c r="N341" i="69"/>
  <c r="N53" i="69"/>
  <c r="N33" i="69"/>
  <c r="N29" i="69"/>
  <c r="N21" i="69"/>
  <c r="L308" i="69"/>
  <c r="M308" i="69"/>
  <c r="L334" i="69"/>
  <c r="N334" i="69" s="1"/>
  <c r="M334" i="69"/>
  <c r="L572" i="69"/>
  <c r="L239" i="69"/>
  <c r="N239" i="69" s="1"/>
  <c r="M239" i="69"/>
  <c r="L268" i="69"/>
  <c r="M268" i="69"/>
  <c r="L287" i="69"/>
  <c r="M287" i="69"/>
  <c r="N287" i="69" s="1"/>
  <c r="M16" i="69"/>
  <c r="L16" i="69"/>
  <c r="L254" i="69"/>
  <c r="M254" i="69"/>
  <c r="L300" i="69"/>
  <c r="M300" i="69"/>
  <c r="L582" i="69"/>
  <c r="M582" i="69"/>
  <c r="N582" i="69" s="1"/>
  <c r="L590" i="69"/>
  <c r="M590" i="69"/>
  <c r="L598" i="69"/>
  <c r="M598" i="69"/>
  <c r="L316" i="69"/>
  <c r="M316" i="69"/>
  <c r="L326" i="69"/>
  <c r="M326" i="69"/>
  <c r="N326" i="69" s="1"/>
  <c r="L17" i="69"/>
  <c r="M17" i="69"/>
  <c r="L240" i="69"/>
  <c r="M240" i="69"/>
  <c r="L288" i="69"/>
  <c r="M288" i="69"/>
  <c r="L301" i="69"/>
  <c r="M301" i="69"/>
  <c r="L309" i="69"/>
  <c r="M309" i="69"/>
  <c r="L317" i="69"/>
  <c r="M317" i="69"/>
  <c r="L333" i="69"/>
  <c r="N333" i="69" s="1"/>
  <c r="L310" i="69"/>
  <c r="M310" i="69"/>
  <c r="L242" i="69"/>
  <c r="M242" i="69"/>
  <c r="L257" i="69"/>
  <c r="M257" i="69"/>
  <c r="L282" i="69"/>
  <c r="M282" i="69"/>
  <c r="L290" i="69"/>
  <c r="M290" i="69"/>
  <c r="L320" i="69"/>
  <c r="M320" i="69"/>
  <c r="M594" i="69"/>
  <c r="M586" i="69"/>
  <c r="N586" i="69" s="1"/>
  <c r="M574" i="69"/>
  <c r="N574" i="69" s="1"/>
  <c r="M570" i="69"/>
  <c r="N570" i="69" s="1"/>
  <c r="M566" i="69"/>
  <c r="N566" i="69" s="1"/>
  <c r="M339" i="69"/>
  <c r="M319" i="69"/>
  <c r="N319" i="69" s="1"/>
  <c r="M307" i="69"/>
  <c r="L262" i="69"/>
  <c r="M262" i="69"/>
  <c r="N262" i="69" s="1"/>
  <c r="L304" i="69"/>
  <c r="M304" i="69"/>
  <c r="L312" i="69"/>
  <c r="M312" i="69"/>
  <c r="L321" i="69"/>
  <c r="N321" i="69" s="1"/>
  <c r="M321" i="69"/>
  <c r="L330" i="69"/>
  <c r="M330" i="69"/>
  <c r="N330" i="69" s="1"/>
  <c r="L338" i="69"/>
  <c r="M338" i="69"/>
  <c r="L329" i="69"/>
  <c r="L18" i="69"/>
  <c r="L302" i="69"/>
  <c r="N302" i="69" s="1"/>
  <c r="M302" i="69"/>
  <c r="L284" i="69"/>
  <c r="M284" i="69"/>
  <c r="N284" i="69" s="1"/>
  <c r="L292" i="69"/>
  <c r="M292" i="69"/>
  <c r="L305" i="69"/>
  <c r="M305" i="69"/>
  <c r="L313" i="69"/>
  <c r="M313" i="69"/>
  <c r="L322" i="69"/>
  <c r="M322" i="69"/>
  <c r="N322" i="69" s="1"/>
  <c r="M593" i="69"/>
  <c r="N593" i="69" s="1"/>
  <c r="M585" i="69"/>
  <c r="N585" i="69" s="1"/>
  <c r="M573" i="69"/>
  <c r="M569" i="69"/>
  <c r="M565" i="69"/>
  <c r="N565" i="69" s="1"/>
  <c r="L337" i="69"/>
  <c r="M327" i="69"/>
  <c r="M303" i="69"/>
  <c r="N303" i="69" s="1"/>
  <c r="N295" i="69"/>
  <c r="M283" i="69"/>
  <c r="N283" i="69" s="1"/>
  <c r="M263" i="69"/>
  <c r="L241" i="69"/>
  <c r="M241" i="69"/>
  <c r="N241" i="69" s="1"/>
  <c r="L276" i="69"/>
  <c r="M276" i="69"/>
  <c r="L14" i="69"/>
  <c r="M14" i="69"/>
  <c r="L252" i="69"/>
  <c r="N252" i="69" s="1"/>
  <c r="M252" i="69"/>
  <c r="L266" i="69"/>
  <c r="M266" i="69"/>
  <c r="N266" i="69" s="1"/>
  <c r="L285" i="69"/>
  <c r="M285" i="69"/>
  <c r="L293" i="69"/>
  <c r="M293" i="69"/>
  <c r="L306" i="69"/>
  <c r="N306" i="69" s="1"/>
  <c r="M306" i="69"/>
  <c r="L314" i="69"/>
  <c r="M314" i="69"/>
  <c r="N314" i="69" s="1"/>
  <c r="L332" i="69"/>
  <c r="M332" i="69"/>
  <c r="N340" i="69"/>
  <c r="L336" i="69"/>
  <c r="N336" i="69" s="1"/>
  <c r="L256" i="69"/>
  <c r="M256" i="69"/>
  <c r="L289" i="69"/>
  <c r="M289" i="69"/>
  <c r="N289" i="69" s="1"/>
  <c r="L328" i="69"/>
  <c r="M328" i="69"/>
  <c r="L15" i="69"/>
  <c r="N15" i="69" s="1"/>
  <c r="M15" i="69"/>
  <c r="L238" i="69"/>
  <c r="N238" i="69" s="1"/>
  <c r="M238" i="69"/>
  <c r="L253" i="69"/>
  <c r="M253" i="69"/>
  <c r="N253" i="69" s="1"/>
  <c r="L286" i="69"/>
  <c r="M286" i="69"/>
  <c r="N286" i="69" s="1"/>
  <c r="L298" i="69"/>
  <c r="M298" i="69"/>
  <c r="L324" i="69"/>
  <c r="M324" i="69"/>
  <c r="M57" i="69"/>
  <c r="N57" i="69" s="1"/>
  <c r="N357" i="69"/>
  <c r="N349" i="69"/>
  <c r="N273" i="69"/>
  <c r="N265" i="69"/>
  <c r="N245" i="69"/>
  <c r="N364" i="69"/>
  <c r="N264" i="69"/>
  <c r="N244" i="69"/>
  <c r="N231" i="69"/>
  <c r="N576" i="69"/>
  <c r="N595" i="69"/>
  <c r="N583" i="69"/>
  <c r="N359" i="69"/>
  <c r="N351" i="69"/>
  <c r="N263" i="69"/>
  <c r="N255" i="69"/>
  <c r="N247" i="69"/>
  <c r="N223" i="69"/>
  <c r="N124" i="69"/>
  <c r="N335" i="69"/>
  <c r="N175" i="69"/>
  <c r="N139" i="69"/>
  <c r="N533" i="69"/>
  <c r="N517" i="69"/>
  <c r="N381" i="69"/>
  <c r="N373" i="69"/>
  <c r="N277" i="69"/>
  <c r="N213" i="69"/>
  <c r="N361" i="69"/>
  <c r="N237" i="69"/>
  <c r="N193" i="69"/>
  <c r="N173" i="69"/>
  <c r="N96" i="69"/>
  <c r="P23" i="64"/>
  <c r="I24" i="39" s="1"/>
  <c r="P24" i="64"/>
  <c r="I25" i="39" s="1"/>
  <c r="P29" i="64"/>
  <c r="I27" i="39" s="1"/>
  <c r="P17" i="64"/>
  <c r="I15" i="39" s="1"/>
  <c r="P30" i="64"/>
  <c r="I28" i="39" s="1"/>
  <c r="N249" i="69"/>
  <c r="N13" i="69"/>
  <c r="N541" i="69"/>
  <c r="N343" i="69"/>
  <c r="N339" i="69"/>
  <c r="N291" i="69"/>
  <c r="N159" i="69"/>
  <c r="N98" i="69"/>
  <c r="N62" i="69"/>
  <c r="N54" i="69"/>
  <c r="N46" i="69"/>
  <c r="N27" i="69"/>
  <c r="N23" i="69"/>
  <c r="N19" i="69"/>
  <c r="N590" i="69"/>
  <c r="N228" i="69"/>
  <c r="N573" i="69"/>
  <c r="N45" i="69"/>
  <c r="N51" i="69"/>
  <c r="N424" i="69"/>
  <c r="N325" i="69"/>
  <c r="N309" i="69"/>
  <c r="N270" i="69"/>
  <c r="N250" i="69"/>
  <c r="N243" i="69"/>
  <c r="N44" i="69"/>
  <c r="N592" i="69"/>
  <c r="N584" i="69"/>
  <c r="N572" i="69"/>
  <c r="N407" i="69"/>
  <c r="N367" i="69"/>
  <c r="N356" i="69"/>
  <c r="N348" i="69"/>
  <c r="N285" i="69"/>
  <c r="N191" i="69"/>
  <c r="N156" i="69"/>
  <c r="N95" i="69"/>
  <c r="N16" i="69"/>
  <c r="N66" i="69"/>
  <c r="N58" i="69"/>
  <c r="N43" i="69"/>
  <c r="N35" i="69"/>
  <c r="N31" i="69"/>
  <c r="N602" i="69"/>
  <c r="N575" i="69"/>
  <c r="N499" i="69"/>
  <c r="N461" i="69"/>
  <c r="N360" i="69"/>
  <c r="N350" i="69"/>
  <c r="N347" i="69"/>
  <c r="N332" i="69"/>
  <c r="N301" i="69"/>
  <c r="N294" i="69"/>
  <c r="N279" i="69"/>
  <c r="N272" i="69"/>
  <c r="N261" i="69"/>
  <c r="N222" i="69"/>
  <c r="N157" i="69"/>
  <c r="N65" i="69"/>
  <c r="N61" i="69"/>
  <c r="N38" i="69"/>
  <c r="N567" i="69"/>
  <c r="N564" i="69"/>
  <c r="N363" i="69"/>
  <c r="N353" i="69"/>
  <c r="N346" i="69"/>
  <c r="N342" i="69"/>
  <c r="N331" i="69"/>
  <c r="N327" i="69"/>
  <c r="N297" i="69"/>
  <c r="N271" i="69"/>
  <c r="N267" i="69"/>
  <c r="N260" i="69"/>
  <c r="N246" i="69"/>
  <c r="N225" i="69"/>
  <c r="N174" i="69"/>
  <c r="N140" i="69"/>
  <c r="N125" i="69"/>
  <c r="N64" i="69"/>
  <c r="N49" i="69"/>
  <c r="N41" i="69"/>
  <c r="N37" i="69"/>
  <c r="N26" i="69"/>
  <c r="N22" i="69"/>
  <c r="N18" i="69"/>
  <c r="N597" i="69"/>
  <c r="N589" i="69"/>
  <c r="N366" i="69"/>
  <c r="N352" i="69"/>
  <c r="N311" i="69"/>
  <c r="N307" i="69"/>
  <c r="N296" i="69"/>
  <c r="N274" i="69"/>
  <c r="N224" i="69"/>
  <c r="N155" i="69"/>
  <c r="N94" i="69"/>
  <c r="N56" i="69"/>
  <c r="N52" i="69"/>
  <c r="N604" i="69"/>
  <c r="N600" i="69"/>
  <c r="N40" i="69"/>
  <c r="N443" i="69"/>
  <c r="N365" i="69"/>
  <c r="N358" i="69"/>
  <c r="N355" i="69"/>
  <c r="N345" i="69"/>
  <c r="N337" i="69"/>
  <c r="N310" i="69"/>
  <c r="N299" i="69"/>
  <c r="N288" i="69"/>
  <c r="N230" i="69"/>
  <c r="N123" i="69"/>
  <c r="N97" i="69"/>
  <c r="N67" i="69"/>
  <c r="N59" i="69"/>
  <c r="N55" i="69"/>
  <c r="N47" i="69"/>
  <c r="N32" i="69"/>
  <c r="N25" i="69"/>
  <c r="N603" i="69"/>
  <c r="N380" i="69"/>
  <c r="N368" i="69"/>
  <c r="N329" i="69"/>
  <c r="N280" i="69"/>
  <c r="N269" i="69"/>
  <c r="N138" i="69"/>
  <c r="N81" i="69"/>
  <c r="K22" i="72"/>
  <c r="M70" i="39" s="1"/>
  <c r="K21" i="72"/>
  <c r="M69" i="39" s="1"/>
  <c r="K20" i="72"/>
  <c r="M68" i="39" s="1"/>
  <c r="D19" i="43"/>
  <c r="D20" i="43"/>
  <c r="D21" i="43"/>
  <c r="D22" i="43"/>
  <c r="D231" i="73"/>
  <c r="D56" i="68"/>
  <c r="D63" i="50"/>
  <c r="D43" i="73"/>
  <c r="D367" i="73"/>
  <c r="D303" i="73"/>
  <c r="D239" i="73"/>
  <c r="D167" i="73"/>
  <c r="D48" i="68"/>
  <c r="D21" i="76"/>
  <c r="D35" i="73"/>
  <c r="D359" i="73"/>
  <c r="D295" i="73"/>
  <c r="E14" i="2"/>
  <c r="D389" i="73"/>
  <c r="D56" i="76"/>
  <c r="D15" i="76"/>
  <c r="D38" i="50"/>
  <c r="D18" i="68"/>
  <c r="D46" i="68"/>
  <c r="D21" i="64"/>
  <c r="D37" i="64"/>
  <c r="D365" i="73"/>
  <c r="D27" i="73"/>
  <c r="D37" i="76"/>
  <c r="D46" i="50"/>
  <c r="D26" i="68"/>
  <c r="D54" i="68"/>
  <c r="D381" i="73"/>
  <c r="D48" i="76"/>
  <c r="D57" i="50"/>
  <c r="D30" i="50"/>
  <c r="D69" i="68"/>
  <c r="D38" i="68"/>
  <c r="D65" i="68"/>
  <c r="D29" i="64"/>
  <c r="D63" i="73"/>
  <c r="D71" i="73"/>
  <c r="D79" i="73"/>
  <c r="D87" i="73"/>
  <c r="D95" i="73"/>
  <c r="D103" i="73"/>
  <c r="D111" i="73"/>
  <c r="D119" i="73"/>
  <c r="D127" i="73"/>
  <c r="D135" i="73"/>
  <c r="D143" i="73"/>
  <c r="D151" i="73"/>
  <c r="D159" i="73"/>
  <c r="D183" i="73"/>
  <c r="D373" i="73"/>
  <c r="D357" i="73"/>
  <c r="D397" i="73"/>
  <c r="D19" i="73"/>
  <c r="D41" i="73"/>
  <c r="D23" i="76"/>
  <c r="D22" i="50"/>
  <c r="D30" i="68"/>
  <c r="D40" i="68"/>
  <c r="D351" i="73"/>
  <c r="D223" i="73"/>
  <c r="D32" i="68"/>
  <c r="D215" i="73"/>
  <c r="D39" i="64"/>
  <c r="D28" i="50"/>
  <c r="D54" i="76"/>
  <c r="D399" i="73"/>
  <c r="D335" i="73"/>
  <c r="D271" i="73"/>
  <c r="D207" i="73"/>
  <c r="D35" i="76"/>
  <c r="D43" i="76"/>
  <c r="D57" i="73"/>
  <c r="D31" i="64"/>
  <c r="D20" i="68"/>
  <c r="D36" i="50"/>
  <c r="D391" i="73"/>
  <c r="D327" i="73"/>
  <c r="D263" i="73"/>
  <c r="D199" i="73"/>
  <c r="D21" i="73"/>
  <c r="D279" i="73"/>
  <c r="D23" i="64"/>
  <c r="D44" i="50"/>
  <c r="D383" i="73"/>
  <c r="D319" i="73"/>
  <c r="D255" i="73"/>
  <c r="D191" i="73"/>
  <c r="D287" i="73"/>
  <c r="D20" i="50"/>
  <c r="D343" i="73"/>
  <c r="D55" i="50"/>
  <c r="D29" i="76"/>
  <c r="D375" i="73"/>
  <c r="D311" i="73"/>
  <c r="D247" i="73"/>
  <c r="D175" i="73"/>
  <c r="D33" i="64"/>
  <c r="D25" i="64"/>
  <c r="D71" i="68"/>
  <c r="D59" i="68"/>
  <c r="D50" i="68"/>
  <c r="D42" i="68"/>
  <c r="D34" i="68"/>
  <c r="D22" i="68"/>
  <c r="D14" i="68"/>
  <c r="D70" i="68"/>
  <c r="D26" i="50"/>
  <c r="D34" i="50"/>
  <c r="D42" i="50"/>
  <c r="D53" i="50"/>
  <c r="D61" i="50"/>
  <c r="D19" i="76"/>
  <c r="D33" i="76"/>
  <c r="D41" i="76"/>
  <c r="D52" i="76"/>
  <c r="D60" i="76"/>
  <c r="D27" i="76"/>
  <c r="D61" i="76"/>
  <c r="D45" i="73"/>
  <c r="D37" i="73"/>
  <c r="D23" i="73"/>
  <c r="D401" i="73"/>
  <c r="D393" i="73"/>
  <c r="D385" i="73"/>
  <c r="D377" i="73"/>
  <c r="D369" i="73"/>
  <c r="D361" i="73"/>
  <c r="D353" i="73"/>
  <c r="D345" i="73"/>
  <c r="D337" i="73"/>
  <c r="D329" i="73"/>
  <c r="D321" i="73"/>
  <c r="D313" i="73"/>
  <c r="D305" i="73"/>
  <c r="D297" i="73"/>
  <c r="D289" i="73"/>
  <c r="D281" i="73"/>
  <c r="D273" i="73"/>
  <c r="D265" i="73"/>
  <c r="D257" i="73"/>
  <c r="D249" i="73"/>
  <c r="D241" i="73"/>
  <c r="D233" i="73"/>
  <c r="D225" i="73"/>
  <c r="D217" i="73"/>
  <c r="D209" i="73"/>
  <c r="D201" i="73"/>
  <c r="D193" i="73"/>
  <c r="D185" i="73"/>
  <c r="D177" i="73"/>
  <c r="D169" i="73"/>
  <c r="D161" i="73"/>
  <c r="D153" i="73"/>
  <c r="D145" i="73"/>
  <c r="D137" i="73"/>
  <c r="D129" i="73"/>
  <c r="D121" i="73"/>
  <c r="D113" i="73"/>
  <c r="D105" i="73"/>
  <c r="D97" i="73"/>
  <c r="D89" i="73"/>
  <c r="D81" i="73"/>
  <c r="D73" i="73"/>
  <c r="D65" i="73"/>
  <c r="D24" i="71"/>
  <c r="D17" i="64"/>
  <c r="D32" i="64"/>
  <c r="D24" i="64"/>
  <c r="D58" i="68"/>
  <c r="D49" i="68"/>
  <c r="D41" i="68"/>
  <c r="D33" i="68"/>
  <c r="D21" i="68"/>
  <c r="D13" i="68"/>
  <c r="D19" i="50"/>
  <c r="D27" i="50"/>
  <c r="D35" i="50"/>
  <c r="D43" i="50"/>
  <c r="D54" i="50"/>
  <c r="D62" i="50"/>
  <c r="D20" i="76"/>
  <c r="D34" i="76"/>
  <c r="D42" i="76"/>
  <c r="D53" i="76"/>
  <c r="D63" i="76"/>
  <c r="D28" i="76"/>
  <c r="D44" i="73"/>
  <c r="D36" i="73"/>
  <c r="D22" i="73"/>
  <c r="D400" i="73"/>
  <c r="D392" i="73"/>
  <c r="D384" i="73"/>
  <c r="D376" i="73"/>
  <c r="D368" i="73"/>
  <c r="D360" i="73"/>
  <c r="D352" i="73"/>
  <c r="D344" i="73"/>
  <c r="D336" i="73"/>
  <c r="D328" i="73"/>
  <c r="D320" i="73"/>
  <c r="D312" i="73"/>
  <c r="D304" i="73"/>
  <c r="D296" i="73"/>
  <c r="D288" i="73"/>
  <c r="D280" i="73"/>
  <c r="D272" i="73"/>
  <c r="D264" i="73"/>
  <c r="D256" i="73"/>
  <c r="D248" i="73"/>
  <c r="D240" i="73"/>
  <c r="D232" i="73"/>
  <c r="D224" i="73"/>
  <c r="D216" i="73"/>
  <c r="D208" i="73"/>
  <c r="D200" i="73"/>
  <c r="D192" i="73"/>
  <c r="D184" i="73"/>
  <c r="D176" i="73"/>
  <c r="D168" i="73"/>
  <c r="D160" i="73"/>
  <c r="D152" i="73"/>
  <c r="D144" i="73"/>
  <c r="D136" i="73"/>
  <c r="D128" i="73"/>
  <c r="D120" i="73"/>
  <c r="D112" i="73"/>
  <c r="D104" i="73"/>
  <c r="D96" i="73"/>
  <c r="D88" i="73"/>
  <c r="D80" i="73"/>
  <c r="D72" i="73"/>
  <c r="D64" i="73"/>
  <c r="D33" i="73"/>
  <c r="D29" i="73"/>
  <c r="D47" i="73"/>
  <c r="D12" i="68"/>
  <c r="D38" i="64"/>
  <c r="D30" i="64"/>
  <c r="D22" i="64"/>
  <c r="D66" i="68"/>
  <c r="D55" i="68"/>
  <c r="D47" i="68"/>
  <c r="D39" i="68"/>
  <c r="D31" i="68"/>
  <c r="D19" i="68"/>
  <c r="D21" i="50"/>
  <c r="D29" i="50"/>
  <c r="D37" i="50"/>
  <c r="D45" i="50"/>
  <c r="D56" i="50"/>
  <c r="D64" i="50"/>
  <c r="D22" i="76"/>
  <c r="D36" i="76"/>
  <c r="D44" i="76"/>
  <c r="D55" i="76"/>
  <c r="D14" i="76"/>
  <c r="D62" i="76"/>
  <c r="D42" i="73"/>
  <c r="D34" i="73"/>
  <c r="D20" i="73"/>
  <c r="D398" i="73"/>
  <c r="D390" i="73"/>
  <c r="D382" i="73"/>
  <c r="D374" i="73"/>
  <c r="D366" i="73"/>
  <c r="D358" i="73"/>
  <c r="D350" i="73"/>
  <c r="D342" i="73"/>
  <c r="D334" i="73"/>
  <c r="D326" i="73"/>
  <c r="D318" i="73"/>
  <c r="D310" i="73"/>
  <c r="D302" i="73"/>
  <c r="D294" i="73"/>
  <c r="D286" i="73"/>
  <c r="D278" i="73"/>
  <c r="D270" i="73"/>
  <c r="D262" i="73"/>
  <c r="D254" i="73"/>
  <c r="D246" i="73"/>
  <c r="D238" i="73"/>
  <c r="D230" i="73"/>
  <c r="D222" i="73"/>
  <c r="D214" i="73"/>
  <c r="D206" i="73"/>
  <c r="D198" i="73"/>
  <c r="D190" i="73"/>
  <c r="D182" i="73"/>
  <c r="D174" i="73"/>
  <c r="D166" i="73"/>
  <c r="D158" i="73"/>
  <c r="D150" i="73"/>
  <c r="D142" i="73"/>
  <c r="D134" i="73"/>
  <c r="D126" i="73"/>
  <c r="D118" i="73"/>
  <c r="D110" i="73"/>
  <c r="D102" i="73"/>
  <c r="D94" i="73"/>
  <c r="D86" i="73"/>
  <c r="D78" i="73"/>
  <c r="D70" i="73"/>
  <c r="D62" i="73"/>
  <c r="D32" i="73"/>
  <c r="D28" i="73"/>
  <c r="D349" i="73"/>
  <c r="D341" i="73"/>
  <c r="D333" i="73"/>
  <c r="D325" i="73"/>
  <c r="D317" i="73"/>
  <c r="D309" i="73"/>
  <c r="D301" i="73"/>
  <c r="D293" i="73"/>
  <c r="D285" i="73"/>
  <c r="D277" i="73"/>
  <c r="D269" i="73"/>
  <c r="D261" i="73"/>
  <c r="D253" i="73"/>
  <c r="D245" i="73"/>
  <c r="D237" i="73"/>
  <c r="D229" i="73"/>
  <c r="D221" i="73"/>
  <c r="D213" i="73"/>
  <c r="D205" i="73"/>
  <c r="D197" i="73"/>
  <c r="D189" i="73"/>
  <c r="D181" i="73"/>
  <c r="D173" i="73"/>
  <c r="D165" i="73"/>
  <c r="D157" i="73"/>
  <c r="D149" i="73"/>
  <c r="D141" i="73"/>
  <c r="D133" i="73"/>
  <c r="D125" i="73"/>
  <c r="D117" i="73"/>
  <c r="D109" i="73"/>
  <c r="D101" i="73"/>
  <c r="D93" i="73"/>
  <c r="D85" i="73"/>
  <c r="D77" i="73"/>
  <c r="D69" i="73"/>
  <c r="D61" i="73"/>
  <c r="D36" i="64"/>
  <c r="D28" i="64"/>
  <c r="D20" i="64"/>
  <c r="D64" i="68"/>
  <c r="D53" i="68"/>
  <c r="D45" i="68"/>
  <c r="D37" i="68"/>
  <c r="D29" i="68"/>
  <c r="D25" i="68"/>
  <c r="D17" i="68"/>
  <c r="D23" i="50"/>
  <c r="D31" i="50"/>
  <c r="D39" i="50"/>
  <c r="D47" i="50"/>
  <c r="D58" i="50"/>
  <c r="D16" i="76"/>
  <c r="D30" i="76"/>
  <c r="D38" i="76"/>
  <c r="D49" i="76"/>
  <c r="D57" i="76"/>
  <c r="D24" i="76"/>
  <c r="D18" i="73"/>
  <c r="D40" i="73"/>
  <c r="D26" i="73"/>
  <c r="D396" i="73"/>
  <c r="D388" i="73"/>
  <c r="D380" i="73"/>
  <c r="D372" i="73"/>
  <c r="D364" i="73"/>
  <c r="D356" i="73"/>
  <c r="D348" i="73"/>
  <c r="D340" i="73"/>
  <c r="D332" i="73"/>
  <c r="D324" i="73"/>
  <c r="D316" i="73"/>
  <c r="D308" i="73"/>
  <c r="D300" i="73"/>
  <c r="D292" i="73"/>
  <c r="D284" i="73"/>
  <c r="D276" i="73"/>
  <c r="D268" i="73"/>
  <c r="D260" i="73"/>
  <c r="D252" i="73"/>
  <c r="D244" i="73"/>
  <c r="D236" i="73"/>
  <c r="D228" i="73"/>
  <c r="D220" i="73"/>
  <c r="D212" i="73"/>
  <c r="D204" i="73"/>
  <c r="D196" i="73"/>
  <c r="D188" i="73"/>
  <c r="D180" i="73"/>
  <c r="D172" i="73"/>
  <c r="D164" i="73"/>
  <c r="D156" i="73"/>
  <c r="D148" i="73"/>
  <c r="D140" i="73"/>
  <c r="D132" i="73"/>
  <c r="D124" i="73"/>
  <c r="D116" i="73"/>
  <c r="D108" i="73"/>
  <c r="D100" i="73"/>
  <c r="D92" i="73"/>
  <c r="D84" i="73"/>
  <c r="D76" i="73"/>
  <c r="D68" i="73"/>
  <c r="D60" i="73"/>
  <c r="D31" i="73"/>
  <c r="D48" i="73"/>
  <c r="D35" i="64"/>
  <c r="D27" i="64"/>
  <c r="D19" i="64"/>
  <c r="D52" i="68"/>
  <c r="D44" i="68"/>
  <c r="D36" i="68"/>
  <c r="D28" i="68"/>
  <c r="D24" i="68"/>
  <c r="D16" i="68"/>
  <c r="D24" i="50"/>
  <c r="D32" i="50"/>
  <c r="D40" i="50"/>
  <c r="D51" i="50"/>
  <c r="D59" i="50"/>
  <c r="D17" i="76"/>
  <c r="D31" i="76"/>
  <c r="D39" i="76"/>
  <c r="D50" i="76"/>
  <c r="D58" i="76"/>
  <c r="D25" i="76"/>
  <c r="D49" i="73"/>
  <c r="D39" i="73"/>
  <c r="D25" i="73"/>
  <c r="D56" i="73"/>
  <c r="D395" i="73"/>
  <c r="D387" i="73"/>
  <c r="D379" i="73"/>
  <c r="D371" i="73"/>
  <c r="D363" i="73"/>
  <c r="D355" i="73"/>
  <c r="D347" i="73"/>
  <c r="D339" i="73"/>
  <c r="D331" i="73"/>
  <c r="D323" i="73"/>
  <c r="D315" i="73"/>
  <c r="D307" i="73"/>
  <c r="D299" i="73"/>
  <c r="D291" i="73"/>
  <c r="D283" i="73"/>
  <c r="D275" i="73"/>
  <c r="D267" i="73"/>
  <c r="D259" i="73"/>
  <c r="D251" i="73"/>
  <c r="D243" i="73"/>
  <c r="D235" i="73"/>
  <c r="D227" i="73"/>
  <c r="D219" i="73"/>
  <c r="D211" i="73"/>
  <c r="D203" i="73"/>
  <c r="D195" i="73"/>
  <c r="D187" i="73"/>
  <c r="D179" i="73"/>
  <c r="D171" i="73"/>
  <c r="D163" i="73"/>
  <c r="D155" i="73"/>
  <c r="D147" i="73"/>
  <c r="D139" i="73"/>
  <c r="D131" i="73"/>
  <c r="D123" i="73"/>
  <c r="D115" i="73"/>
  <c r="D107" i="73"/>
  <c r="D99" i="73"/>
  <c r="D91" i="73"/>
  <c r="D83" i="73"/>
  <c r="D75" i="73"/>
  <c r="D67" i="73"/>
  <c r="D59" i="73"/>
  <c r="D34" i="64"/>
  <c r="D26" i="64"/>
  <c r="D18" i="64"/>
  <c r="D60" i="68"/>
  <c r="D51" i="68"/>
  <c r="D43" i="68"/>
  <c r="D35" i="68"/>
  <c r="D27" i="68"/>
  <c r="D23" i="68"/>
  <c r="D15" i="68"/>
  <c r="D25" i="50"/>
  <c r="D33" i="50"/>
  <c r="D41" i="50"/>
  <c r="D52" i="50"/>
  <c r="D60" i="50"/>
  <c r="D18" i="76"/>
  <c r="D32" i="76"/>
  <c r="D40" i="76"/>
  <c r="D51" i="76"/>
  <c r="D59" i="76"/>
  <c r="D26" i="76"/>
  <c r="D46" i="73"/>
  <c r="D38" i="73"/>
  <c r="D24" i="73"/>
  <c r="D402" i="73"/>
  <c r="D394" i="73"/>
  <c r="D386" i="73"/>
  <c r="D378" i="73"/>
  <c r="D370" i="73"/>
  <c r="D362" i="73"/>
  <c r="D354" i="73"/>
  <c r="D346" i="73"/>
  <c r="D338" i="73"/>
  <c r="D330" i="73"/>
  <c r="D322" i="73"/>
  <c r="D314" i="73"/>
  <c r="D306" i="73"/>
  <c r="D298" i="73"/>
  <c r="D290" i="73"/>
  <c r="D282" i="73"/>
  <c r="D274" i="73"/>
  <c r="D266" i="73"/>
  <c r="D258" i="73"/>
  <c r="D250" i="73"/>
  <c r="D242" i="73"/>
  <c r="D234" i="73"/>
  <c r="D226" i="73"/>
  <c r="D218" i="73"/>
  <c r="D210" i="73"/>
  <c r="D202" i="73"/>
  <c r="D194" i="73"/>
  <c r="D186" i="73"/>
  <c r="D178" i="73"/>
  <c r="D170" i="73"/>
  <c r="D162" i="73"/>
  <c r="D154" i="73"/>
  <c r="D146" i="73"/>
  <c r="D138" i="73"/>
  <c r="D130" i="73"/>
  <c r="D122" i="73"/>
  <c r="D114" i="73"/>
  <c r="D106" i="73"/>
  <c r="D98" i="73"/>
  <c r="D90" i="73"/>
  <c r="D82" i="73"/>
  <c r="D74" i="73"/>
  <c r="D66" i="73"/>
  <c r="D58" i="73"/>
  <c r="D30" i="73"/>
  <c r="I31" i="73"/>
  <c r="N26" i="39" s="1"/>
  <c r="I48" i="73"/>
  <c r="N61" i="39" s="1"/>
  <c r="I47" i="73"/>
  <c r="N60" i="39" s="1"/>
  <c r="I29" i="73"/>
  <c r="N24" i="39" s="1"/>
  <c r="I32" i="73"/>
  <c r="N27" i="39" s="1"/>
  <c r="I28" i="73"/>
  <c r="N23" i="39" s="1"/>
  <c r="I19" i="73"/>
  <c r="N14" i="39" s="1"/>
  <c r="I20" i="73"/>
  <c r="N15" i="39" s="1"/>
  <c r="I18" i="73"/>
  <c r="N13" i="39" s="1"/>
  <c r="K16" i="72"/>
  <c r="M64" i="39" s="1"/>
  <c r="K15" i="72"/>
  <c r="N599" i="69"/>
  <c r="N596" i="69"/>
  <c r="N545" i="69"/>
  <c r="N481" i="69"/>
  <c r="N323" i="69"/>
  <c r="N313" i="69"/>
  <c r="N278" i="69"/>
  <c r="N268" i="69"/>
  <c r="N251" i="69"/>
  <c r="N179" i="69"/>
  <c r="N83" i="69"/>
  <c r="N30" i="69"/>
  <c r="N281" i="69"/>
  <c r="N178" i="69"/>
  <c r="N82" i="69"/>
  <c r="N68" i="69"/>
  <c r="N601" i="69"/>
  <c r="N591" i="69"/>
  <c r="N588" i="69"/>
  <c r="N571" i="69"/>
  <c r="N379" i="69"/>
  <c r="N362" i="69"/>
  <c r="N328" i="69"/>
  <c r="N318" i="69"/>
  <c r="N315" i="69"/>
  <c r="N305" i="69"/>
  <c r="N158" i="69"/>
  <c r="N60" i="69"/>
  <c r="N50" i="69"/>
  <c r="N36" i="69"/>
  <c r="N99" i="69"/>
  <c r="N594" i="69"/>
  <c r="N587" i="69"/>
  <c r="N540" i="69"/>
  <c r="N395" i="69"/>
  <c r="N344" i="69"/>
  <c r="N290" i="69"/>
  <c r="N276" i="69"/>
  <c r="N259" i="69"/>
  <c r="N242" i="69"/>
  <c r="N160" i="69"/>
  <c r="N142" i="69"/>
  <c r="N80" i="69"/>
  <c r="N28" i="69"/>
  <c r="N24" i="69"/>
  <c r="N569" i="69"/>
  <c r="N275" i="69"/>
  <c r="N258" i="69"/>
  <c r="N248" i="69"/>
  <c r="N176" i="69"/>
  <c r="N48" i="69"/>
  <c r="N34" i="69"/>
  <c r="N20" i="69"/>
  <c r="H43" i="82"/>
  <c r="O27" i="50"/>
  <c r="O63" i="50"/>
  <c r="O30" i="50"/>
  <c r="O32" i="50"/>
  <c r="O29" i="50"/>
  <c r="O31" i="50"/>
  <c r="O28" i="50"/>
  <c r="O19" i="50"/>
  <c r="O20" i="50"/>
  <c r="D28" i="71"/>
  <c r="D30" i="71"/>
  <c r="D50" i="71"/>
  <c r="D27" i="71"/>
  <c r="D16" i="71"/>
  <c r="D51" i="71"/>
  <c r="D26" i="71"/>
  <c r="D17" i="71"/>
  <c r="D29" i="71"/>
  <c r="D25" i="71"/>
  <c r="K26" i="71"/>
  <c r="H25" i="39" s="1"/>
  <c r="K28" i="71"/>
  <c r="H27" i="39" s="1"/>
  <c r="K16" i="71"/>
  <c r="D19" i="71"/>
  <c r="D48" i="71"/>
  <c r="D31" i="44"/>
  <c r="D23" i="44"/>
  <c r="D47" i="71"/>
  <c r="D39" i="71"/>
  <c r="D31" i="71"/>
  <c r="D25" i="44"/>
  <c r="D24" i="44"/>
  <c r="D30" i="44"/>
  <c r="D46" i="71"/>
  <c r="D38" i="71"/>
  <c r="D33" i="71"/>
  <c r="E24" i="39"/>
  <c r="D32" i="43"/>
  <c r="D16" i="44"/>
  <c r="D29" i="44"/>
  <c r="D45" i="71"/>
  <c r="D37" i="71"/>
  <c r="D23" i="71"/>
  <c r="D52" i="71"/>
  <c r="D27" i="43"/>
  <c r="D31" i="43"/>
  <c r="D28" i="44"/>
  <c r="D44" i="71"/>
  <c r="D36" i="71"/>
  <c r="D22" i="71"/>
  <c r="D28" i="43"/>
  <c r="D32" i="71"/>
  <c r="D30" i="43"/>
  <c r="D17" i="44"/>
  <c r="D27" i="44"/>
  <c r="D18" i="71"/>
  <c r="D43" i="71"/>
  <c r="D35" i="71"/>
  <c r="D21" i="71"/>
  <c r="D41" i="71"/>
  <c r="D40" i="71"/>
  <c r="D29" i="43"/>
  <c r="D26" i="44"/>
  <c r="D53" i="71"/>
  <c r="D42" i="71"/>
  <c r="D34" i="71"/>
  <c r="D20" i="71"/>
  <c r="K28" i="43"/>
  <c r="N27" i="43"/>
  <c r="O27" i="43" s="1"/>
  <c r="N30" i="43"/>
  <c r="O30" i="43" s="1"/>
  <c r="N20" i="43"/>
  <c r="O20" i="43" s="1"/>
  <c r="N19" i="43"/>
  <c r="O19" i="43" s="1"/>
  <c r="O37" i="43" s="1"/>
  <c r="E25" i="39"/>
  <c r="E26" i="39"/>
  <c r="E27" i="39"/>
  <c r="E28" i="39"/>
  <c r="E63" i="39"/>
  <c r="E64" i="39"/>
  <c r="E68" i="39"/>
  <c r="E69" i="39"/>
  <c r="E70" i="39"/>
  <c r="E61" i="39"/>
  <c r="E13" i="39"/>
  <c r="E23" i="39"/>
  <c r="E62" i="39"/>
  <c r="E15" i="39"/>
  <c r="E11" i="2"/>
  <c r="E14" i="39"/>
  <c r="H36" i="38"/>
  <c r="N298" i="69" l="1"/>
  <c r="N293" i="69"/>
  <c r="N14" i="69"/>
  <c r="N317" i="69"/>
  <c r="N240" i="69"/>
  <c r="N598" i="69"/>
  <c r="N254" i="69"/>
  <c r="H14" i="39"/>
  <c r="N256" i="69"/>
  <c r="N292" i="69"/>
  <c r="N338" i="69"/>
  <c r="N304" i="69"/>
  <c r="N282" i="69"/>
  <c r="N257" i="69"/>
  <c r="N17" i="69"/>
  <c r="N320" i="69"/>
  <c r="N312" i="69"/>
  <c r="N308" i="69"/>
  <c r="N324" i="69"/>
  <c r="N316" i="69"/>
  <c r="N300" i="69"/>
  <c r="I48" i="50"/>
  <c r="I50" i="50"/>
  <c r="I49" i="50"/>
  <c r="J48" i="50"/>
  <c r="J50" i="50"/>
  <c r="J49" i="50"/>
  <c r="M63" i="39"/>
  <c r="J62" i="50"/>
  <c r="J63" i="50"/>
  <c r="I63" i="50"/>
  <c r="I62" i="50"/>
  <c r="J29" i="50"/>
  <c r="J32" i="50"/>
  <c r="J28" i="50"/>
  <c r="J27" i="50"/>
  <c r="J30" i="50"/>
  <c r="J31" i="50"/>
  <c r="I29" i="50"/>
  <c r="I31" i="50"/>
  <c r="I32" i="50"/>
  <c r="I27" i="50"/>
  <c r="I30" i="50"/>
  <c r="I28" i="50"/>
  <c r="I21" i="50"/>
  <c r="I20" i="50"/>
  <c r="I19" i="50"/>
  <c r="J22" i="50"/>
  <c r="J20" i="50"/>
  <c r="J19" i="50"/>
  <c r="J64" i="50"/>
  <c r="J43" i="50"/>
  <c r="J58" i="50"/>
  <c r="J39" i="50"/>
  <c r="J33" i="50"/>
  <c r="I57" i="50"/>
  <c r="I38" i="50"/>
  <c r="J25" i="50"/>
  <c r="J56" i="50"/>
  <c r="J37" i="50"/>
  <c r="J21" i="50"/>
  <c r="J54" i="50"/>
  <c r="J35" i="50"/>
  <c r="J45" i="50"/>
  <c r="J47" i="50"/>
  <c r="I46" i="50"/>
  <c r="J55" i="50"/>
  <c r="J44" i="50"/>
  <c r="J36" i="50"/>
  <c r="I26" i="50"/>
  <c r="I61" i="50"/>
  <c r="I53" i="50"/>
  <c r="I42" i="50"/>
  <c r="I34" i="50"/>
  <c r="J24" i="50"/>
  <c r="J60" i="50"/>
  <c r="J52" i="50"/>
  <c r="J41" i="50"/>
  <c r="J23" i="50"/>
  <c r="J59" i="50"/>
  <c r="J51" i="50"/>
  <c r="J40" i="50"/>
  <c r="I22" i="50"/>
  <c r="I59" i="50"/>
  <c r="I55" i="50"/>
  <c r="I51" i="50"/>
  <c r="I44" i="50"/>
  <c r="I40" i="50"/>
  <c r="I36" i="50"/>
  <c r="I24" i="50"/>
  <c r="I64" i="50"/>
  <c r="I58" i="50"/>
  <c r="I54" i="50"/>
  <c r="I47" i="50"/>
  <c r="I43" i="50"/>
  <c r="I39" i="50"/>
  <c r="I35" i="50"/>
  <c r="I33" i="50"/>
  <c r="I23" i="50"/>
  <c r="J61" i="50"/>
  <c r="J57" i="50"/>
  <c r="J53" i="50"/>
  <c r="J46" i="50"/>
  <c r="J42" i="50"/>
  <c r="J38" i="50"/>
  <c r="J34" i="50"/>
  <c r="J26" i="50"/>
  <c r="I60" i="50"/>
  <c r="I56" i="50"/>
  <c r="I52" i="50"/>
  <c r="I45" i="50"/>
  <c r="I41" i="50"/>
  <c r="I37" i="50"/>
  <c r="I25" i="50"/>
  <c r="P63" i="50" l="1"/>
  <c r="Q63" i="50" s="1"/>
  <c r="L61" i="39" s="1"/>
  <c r="P49" i="50"/>
  <c r="Q49" i="50" s="1"/>
  <c r="L45" i="39" s="1"/>
  <c r="P50" i="50"/>
  <c r="Q50" i="50" s="1"/>
  <c r="L46" i="39" s="1"/>
  <c r="P30" i="50"/>
  <c r="Q30" i="50" s="1"/>
  <c r="L26" i="39" s="1"/>
  <c r="P48" i="50"/>
  <c r="Q48" i="50" s="1"/>
  <c r="L44" i="39" s="1"/>
  <c r="P27" i="50"/>
  <c r="Q27" i="50" s="1"/>
  <c r="L23" i="39" s="1"/>
  <c r="P28" i="50"/>
  <c r="Q28" i="50" s="1"/>
  <c r="L24" i="39" s="1"/>
  <c r="P32" i="50"/>
  <c r="Q32" i="50" s="1"/>
  <c r="L28" i="39" s="1"/>
  <c r="P31" i="50"/>
  <c r="Q31" i="50" s="1"/>
  <c r="L27" i="39" s="1"/>
  <c r="P29" i="50"/>
  <c r="Q29" i="50" s="1"/>
  <c r="L25" i="39" s="1"/>
  <c r="P19" i="50"/>
  <c r="Q19" i="50" s="1"/>
  <c r="P20" i="50"/>
  <c r="Q20" i="50" s="1"/>
  <c r="L15" i="39" s="1"/>
  <c r="S15" i="81"/>
  <c r="S18" i="81" s="1"/>
  <c r="W15" i="81"/>
  <c r="U15" i="81"/>
  <c r="U17" i="81" s="1"/>
  <c r="B8" i="81"/>
  <c r="A8" i="81"/>
  <c r="B7" i="81"/>
  <c r="A7" i="81"/>
  <c r="B6" i="81"/>
  <c r="A6" i="81"/>
  <c r="B5" i="81"/>
  <c r="A5" i="81"/>
  <c r="B4" i="81"/>
  <c r="A4" i="81"/>
  <c r="B3" i="81"/>
  <c r="A3" i="81"/>
  <c r="B4" i="80"/>
  <c r="B8" i="80"/>
  <c r="B7" i="80"/>
  <c r="B6" i="80"/>
  <c r="B5" i="80"/>
  <c r="B3" i="80"/>
  <c r="A8" i="80"/>
  <c r="A7" i="80"/>
  <c r="A6" i="80"/>
  <c r="A5" i="80"/>
  <c r="A4" i="80"/>
  <c r="A3" i="80"/>
  <c r="B52" i="80"/>
  <c r="B47" i="80"/>
  <c r="B49" i="80" s="1"/>
  <c r="B41" i="80"/>
  <c r="C16" i="80"/>
  <c r="L14" i="39" l="1"/>
  <c r="W17" i="81"/>
  <c r="W18" i="81"/>
  <c r="U18" i="81"/>
  <c r="U19" i="81" s="1"/>
  <c r="S17" i="81"/>
  <c r="S19" i="81" s="1"/>
  <c r="N15" i="81"/>
  <c r="N17" i="81" s="1"/>
  <c r="P15" i="81"/>
  <c r="P17" i="81" s="1"/>
  <c r="L15" i="81"/>
  <c r="L18" i="81" s="1"/>
  <c r="B50" i="80"/>
  <c r="B53" i="80" s="1"/>
  <c r="B51" i="80"/>
  <c r="W19" i="81" l="1"/>
  <c r="L17" i="81"/>
  <c r="L19" i="81" s="1"/>
  <c r="L21" i="81" s="1"/>
  <c r="U21" i="81"/>
  <c r="S21" i="81"/>
  <c r="W21" i="81"/>
  <c r="N18" i="81"/>
  <c r="N19" i="81" s="1"/>
  <c r="P18" i="81"/>
  <c r="P19" i="81" s="1"/>
  <c r="P21" i="81" s="1"/>
  <c r="N21" i="81" l="1"/>
  <c r="E15" i="81"/>
  <c r="E18" i="81" s="1"/>
  <c r="I15" i="81"/>
  <c r="G15" i="81"/>
  <c r="G18" i="81" l="1"/>
  <c r="G17" i="81"/>
  <c r="I17" i="81"/>
  <c r="I18" i="81"/>
  <c r="E17" i="81"/>
  <c r="E19" i="81" s="1"/>
  <c r="E21" i="81" s="1"/>
  <c r="G19" i="81" l="1"/>
  <c r="G21" i="81" s="1"/>
  <c r="I19" i="81"/>
  <c r="I21" i="81" s="1"/>
  <c r="C29" i="80"/>
  <c r="C31" i="80" s="1"/>
  <c r="C34" i="80" s="1"/>
  <c r="C21" i="80" s="1"/>
  <c r="C24" i="80" s="1"/>
  <c r="W22" i="81" l="1"/>
  <c r="W23" i="81" s="1"/>
  <c r="S22" i="81"/>
  <c r="S23" i="81" s="1"/>
  <c r="U22" i="81"/>
  <c r="U23" i="81" s="1"/>
  <c r="N22" i="81"/>
  <c r="N23" i="81" s="1"/>
  <c r="P22" i="81"/>
  <c r="P23" i="81" s="1"/>
  <c r="L22" i="81"/>
  <c r="L23" i="81" s="1"/>
  <c r="I22" i="81"/>
  <c r="I23" i="81" s="1"/>
  <c r="I25" i="81" s="1"/>
  <c r="I26" i="81" s="1"/>
  <c r="E22" i="81"/>
  <c r="G22" i="81"/>
  <c r="G23" i="81" s="1"/>
  <c r="U25" i="81" l="1"/>
  <c r="U26" i="81" s="1"/>
  <c r="S25" i="81"/>
  <c r="S26" i="81" s="1"/>
  <c r="W25" i="81"/>
  <c r="W26" i="81" s="1"/>
  <c r="L25" i="81"/>
  <c r="L26" i="81" s="1"/>
  <c r="P25" i="81"/>
  <c r="P26" i="81" s="1"/>
  <c r="N25" i="81"/>
  <c r="N26" i="81" s="1"/>
  <c r="I31" i="81"/>
  <c r="G25" i="81"/>
  <c r="G26" i="81" s="1"/>
  <c r="E23" i="81"/>
  <c r="E25" i="81" s="1"/>
  <c r="W31" i="81" l="1"/>
  <c r="S31" i="81"/>
  <c r="U31" i="81"/>
  <c r="P31" i="81"/>
  <c r="N31" i="81"/>
  <c r="L31" i="81"/>
  <c r="I43" i="81"/>
  <c r="G31" i="81"/>
  <c r="E26" i="81"/>
  <c r="E31" i="81" s="1"/>
  <c r="U43" i="81" l="1"/>
  <c r="S43" i="81"/>
  <c r="W43" i="81"/>
  <c r="L43" i="81"/>
  <c r="N43" i="81"/>
  <c r="P43" i="81"/>
  <c r="I47" i="81"/>
  <c r="G43" i="81"/>
  <c r="E43" i="81"/>
  <c r="W47" i="81" l="1"/>
  <c r="S47" i="81"/>
  <c r="U47" i="81"/>
  <c r="V43" i="81" s="1"/>
  <c r="N47" i="81"/>
  <c r="J31" i="81"/>
  <c r="J19" i="81"/>
  <c r="J23" i="81"/>
  <c r="J26" i="81"/>
  <c r="J43" i="81"/>
  <c r="J45" i="81"/>
  <c r="E47" i="81"/>
  <c r="F33" i="81" l="1"/>
  <c r="Q33" i="81"/>
  <c r="J33" i="81"/>
  <c r="H33" i="81"/>
  <c r="T45" i="81"/>
  <c r="T19" i="81"/>
  <c r="T23" i="81"/>
  <c r="T26" i="81"/>
  <c r="T31" i="81"/>
  <c r="V19" i="81"/>
  <c r="V23" i="81"/>
  <c r="V26" i="81"/>
  <c r="V31" i="81"/>
  <c r="X45" i="81"/>
  <c r="X19" i="81"/>
  <c r="X23" i="81"/>
  <c r="X26" i="81"/>
  <c r="X31" i="81"/>
  <c r="V45" i="81"/>
  <c r="V47" i="81" s="1"/>
  <c r="X40" i="81"/>
  <c r="T38" i="81"/>
  <c r="V35" i="81"/>
  <c r="V40" i="81"/>
  <c r="X37" i="81"/>
  <c r="T35" i="81"/>
  <c r="X41" i="81"/>
  <c r="V41" i="81"/>
  <c r="X38" i="81"/>
  <c r="X42" i="81"/>
  <c r="T40" i="81"/>
  <c r="V37" i="81"/>
  <c r="X34" i="81"/>
  <c r="V42" i="81"/>
  <c r="X39" i="81"/>
  <c r="T37" i="81"/>
  <c r="V34" i="81"/>
  <c r="T42" i="81"/>
  <c r="V39" i="81"/>
  <c r="X36" i="81"/>
  <c r="T34" i="81"/>
  <c r="T39" i="81"/>
  <c r="V36" i="81"/>
  <c r="T36" i="81"/>
  <c r="T41" i="81"/>
  <c r="V38" i="81"/>
  <c r="X35" i="81"/>
  <c r="T43" i="81"/>
  <c r="X43" i="81"/>
  <c r="O19" i="81"/>
  <c r="O23" i="81"/>
  <c r="O26" i="81"/>
  <c r="O31" i="81"/>
  <c r="O43" i="81"/>
  <c r="P47" i="81"/>
  <c r="Q40" i="81"/>
  <c r="M38" i="81"/>
  <c r="O35" i="81"/>
  <c r="O40" i="81"/>
  <c r="Q37" i="81"/>
  <c r="M35" i="81"/>
  <c r="Q35" i="81"/>
  <c r="Q42" i="81"/>
  <c r="M40" i="81"/>
  <c r="O37" i="81"/>
  <c r="Q34" i="81"/>
  <c r="O42" i="81"/>
  <c r="Q39" i="81"/>
  <c r="M37" i="81"/>
  <c r="O34" i="81"/>
  <c r="M42" i="81"/>
  <c r="O39" i="81"/>
  <c r="Q36" i="81"/>
  <c r="M34" i="81"/>
  <c r="M36" i="81"/>
  <c r="M41" i="81"/>
  <c r="Q41" i="81"/>
  <c r="M39" i="81"/>
  <c r="O36" i="81"/>
  <c r="O41" i="81"/>
  <c r="Q38" i="81"/>
  <c r="O38" i="81"/>
  <c r="O45" i="81"/>
  <c r="L47" i="81"/>
  <c r="J47" i="81"/>
  <c r="J35" i="81"/>
  <c r="J42" i="81"/>
  <c r="J34" i="81"/>
  <c r="J41" i="81"/>
  <c r="J37" i="81"/>
  <c r="J40" i="81"/>
  <c r="J39" i="81"/>
  <c r="J36" i="81"/>
  <c r="J38" i="81"/>
  <c r="G47" i="81"/>
  <c r="H42" i="81"/>
  <c r="H34" i="81"/>
  <c r="H41" i="81"/>
  <c r="H37" i="81"/>
  <c r="H40" i="81"/>
  <c r="H38" i="81"/>
  <c r="H39" i="81"/>
  <c r="H36" i="81"/>
  <c r="H35" i="81"/>
  <c r="F36" i="81"/>
  <c r="F42" i="81"/>
  <c r="F40" i="81"/>
  <c r="F37" i="81"/>
  <c r="F38" i="81"/>
  <c r="F35" i="81"/>
  <c r="F39" i="81"/>
  <c r="F41" i="81"/>
  <c r="F34" i="81"/>
  <c r="F19" i="81"/>
  <c r="F23" i="81"/>
  <c r="F26" i="81"/>
  <c r="F31" i="81"/>
  <c r="F43" i="81"/>
  <c r="F45" i="81"/>
  <c r="X47" i="81" l="1"/>
  <c r="T47" i="81"/>
  <c r="Q19" i="81"/>
  <c r="Q23" i="81"/>
  <c r="Q26" i="81"/>
  <c r="M45" i="81"/>
  <c r="M19" i="81"/>
  <c r="M23" i="81"/>
  <c r="M26" i="81"/>
  <c r="Q31" i="81"/>
  <c r="Q43" i="81"/>
  <c r="Q45" i="81"/>
  <c r="M31" i="81"/>
  <c r="M43" i="81"/>
  <c r="O47" i="81"/>
  <c r="H19" i="81"/>
  <c r="H23" i="81"/>
  <c r="H26" i="81"/>
  <c r="H31" i="81"/>
  <c r="H43" i="81"/>
  <c r="H45" i="81"/>
  <c r="F47" i="81"/>
  <c r="M47" i="81" l="1"/>
  <c r="Q47" i="81"/>
  <c r="H47" i="81"/>
  <c r="C39" i="64" l="1"/>
  <c r="F34" i="73" l="1"/>
  <c r="F35" i="73"/>
  <c r="F36" i="73"/>
  <c r="F38" i="73"/>
  <c r="F39" i="73"/>
  <c r="F40" i="73"/>
  <c r="F41" i="73"/>
  <c r="F42" i="73"/>
  <c r="F43" i="73"/>
  <c r="F44" i="73"/>
  <c r="F45" i="73"/>
  <c r="F46" i="73"/>
  <c r="F49" i="73"/>
  <c r="F21" i="73"/>
  <c r="F22" i="73"/>
  <c r="F23" i="73"/>
  <c r="F24" i="73"/>
  <c r="F25" i="73"/>
  <c r="F26" i="73"/>
  <c r="F27" i="73"/>
  <c r="M85" i="39"/>
  <c r="L85" i="39"/>
  <c r="J85" i="39"/>
  <c r="H85" i="39"/>
  <c r="E85" i="39"/>
  <c r="J41" i="44"/>
  <c r="L68" i="68"/>
  <c r="J68" i="68"/>
  <c r="L71" i="68"/>
  <c r="J71" i="68"/>
  <c r="B9" i="78"/>
  <c r="B8" i="78"/>
  <c r="B7" i="78"/>
  <c r="B6" i="78"/>
  <c r="B5" i="78"/>
  <c r="B3" i="78"/>
  <c r="B4" i="78"/>
  <c r="H17" i="76"/>
  <c r="H18" i="76"/>
  <c r="M21" i="50" s="1"/>
  <c r="P21" i="50" s="1"/>
  <c r="H19" i="76"/>
  <c r="M22" i="50" s="1"/>
  <c r="P22" i="50" s="1"/>
  <c r="H20" i="76"/>
  <c r="M23" i="50" s="1"/>
  <c r="P23" i="50" s="1"/>
  <c r="H21" i="76"/>
  <c r="M24" i="50" s="1"/>
  <c r="P24" i="50" s="1"/>
  <c r="H22" i="76"/>
  <c r="M25" i="50" s="1"/>
  <c r="P25" i="50" s="1"/>
  <c r="H23" i="76"/>
  <c r="M26" i="50" s="1"/>
  <c r="P26" i="50" s="1"/>
  <c r="H30" i="76"/>
  <c r="M33" i="50" s="1"/>
  <c r="P33" i="50" s="1"/>
  <c r="H31" i="76"/>
  <c r="M34" i="50" s="1"/>
  <c r="P34" i="50" s="1"/>
  <c r="H32" i="76"/>
  <c r="M35" i="50" s="1"/>
  <c r="P35" i="50" s="1"/>
  <c r="H33" i="76"/>
  <c r="M36" i="50" s="1"/>
  <c r="P36" i="50" s="1"/>
  <c r="H34" i="76"/>
  <c r="M37" i="50" s="1"/>
  <c r="P37" i="50" s="1"/>
  <c r="H35" i="76"/>
  <c r="M38" i="50" s="1"/>
  <c r="P38" i="50" s="1"/>
  <c r="H36" i="76"/>
  <c r="M39" i="50" s="1"/>
  <c r="P39" i="50" s="1"/>
  <c r="H37" i="76"/>
  <c r="M40" i="50" s="1"/>
  <c r="P40" i="50" s="1"/>
  <c r="H38" i="76"/>
  <c r="M41" i="50" s="1"/>
  <c r="P41" i="50" s="1"/>
  <c r="H39" i="76"/>
  <c r="M42" i="50" s="1"/>
  <c r="P42" i="50" s="1"/>
  <c r="H40" i="76"/>
  <c r="M43" i="50" s="1"/>
  <c r="P43" i="50" s="1"/>
  <c r="H41" i="76"/>
  <c r="M44" i="50" s="1"/>
  <c r="P44" i="50" s="1"/>
  <c r="H42" i="76"/>
  <c r="M45" i="50" s="1"/>
  <c r="P45" i="50" s="1"/>
  <c r="H43" i="76"/>
  <c r="M46" i="50" s="1"/>
  <c r="P46" i="50" s="1"/>
  <c r="H44" i="76"/>
  <c r="M47" i="50" s="1"/>
  <c r="P47" i="50" s="1"/>
  <c r="H48" i="76"/>
  <c r="M51" i="50" s="1"/>
  <c r="P51" i="50" s="1"/>
  <c r="H49" i="76"/>
  <c r="M52" i="50" s="1"/>
  <c r="P52" i="50" s="1"/>
  <c r="H50" i="76"/>
  <c r="M53" i="50" s="1"/>
  <c r="P53" i="50" s="1"/>
  <c r="H51" i="76"/>
  <c r="H52" i="76"/>
  <c r="M54" i="50" s="1"/>
  <c r="P54" i="50" s="1"/>
  <c r="H53" i="76"/>
  <c r="M55" i="50" s="1"/>
  <c r="P55" i="50" s="1"/>
  <c r="H54" i="76"/>
  <c r="M56" i="50" s="1"/>
  <c r="P56" i="50" s="1"/>
  <c r="H55" i="76"/>
  <c r="M57" i="50" s="1"/>
  <c r="P57" i="50" s="1"/>
  <c r="H56" i="76"/>
  <c r="M58" i="50" s="1"/>
  <c r="P58" i="50" s="1"/>
  <c r="H57" i="76"/>
  <c r="M59" i="50" s="1"/>
  <c r="P59" i="50" s="1"/>
  <c r="H58" i="76"/>
  <c r="M60" i="50" s="1"/>
  <c r="P60" i="50" s="1"/>
  <c r="H59" i="76"/>
  <c r="M61" i="50" s="1"/>
  <c r="P61" i="50" s="1"/>
  <c r="H60" i="76"/>
  <c r="H63" i="76"/>
  <c r="B9" i="77"/>
  <c r="B8" i="77"/>
  <c r="B7" i="77"/>
  <c r="B6" i="77"/>
  <c r="B4" i="77"/>
  <c r="B3" i="77"/>
  <c r="J28" i="72"/>
  <c r="I28" i="72"/>
  <c r="L81" i="39"/>
  <c r="H81" i="39"/>
  <c r="G81" i="39"/>
  <c r="E81" i="39"/>
  <c r="L76" i="39"/>
  <c r="H76" i="39"/>
  <c r="G76" i="39"/>
  <c r="E76" i="39"/>
  <c r="F37" i="73"/>
  <c r="C9" i="76"/>
  <c r="C8" i="76"/>
  <c r="C7" i="76"/>
  <c r="C6" i="76"/>
  <c r="C5" i="76"/>
  <c r="C3" i="76"/>
  <c r="C4" i="76"/>
  <c r="L53" i="68"/>
  <c r="J53" i="68"/>
  <c r="L44" i="68"/>
  <c r="J44" i="68"/>
  <c r="I391" i="69"/>
  <c r="I390" i="69"/>
  <c r="M49" i="39"/>
  <c r="E49" i="39"/>
  <c r="H16" i="39"/>
  <c r="H29" i="39"/>
  <c r="H30" i="39"/>
  <c r="H36" i="39"/>
  <c r="H40" i="39"/>
  <c r="H41" i="39"/>
  <c r="H42" i="39"/>
  <c r="H43" i="39"/>
  <c r="H58" i="39"/>
  <c r="H65" i="39"/>
  <c r="H66" i="39"/>
  <c r="H67" i="39"/>
  <c r="H71" i="39"/>
  <c r="H72" i="39"/>
  <c r="H73" i="39"/>
  <c r="H74" i="39"/>
  <c r="H75" i="39"/>
  <c r="M59" i="39"/>
  <c r="L59" i="39"/>
  <c r="G59" i="39"/>
  <c r="E59" i="39"/>
  <c r="J40" i="71"/>
  <c r="I40" i="71"/>
  <c r="D19" i="44"/>
  <c r="D32" i="44"/>
  <c r="D40" i="44"/>
  <c r="C9" i="73"/>
  <c r="C8" i="73"/>
  <c r="C7" i="73"/>
  <c r="C6" i="73"/>
  <c r="C5" i="73"/>
  <c r="C4" i="73"/>
  <c r="A32" i="38" s="1"/>
  <c r="C3" i="73"/>
  <c r="M60" i="39"/>
  <c r="M58" i="39"/>
  <c r="M57" i="39"/>
  <c r="M56" i="39"/>
  <c r="M55" i="39"/>
  <c r="M54" i="39"/>
  <c r="M53" i="39"/>
  <c r="M52" i="39"/>
  <c r="M51" i="39"/>
  <c r="M50" i="39"/>
  <c r="M48" i="39"/>
  <c r="M47" i="39"/>
  <c r="M43" i="39"/>
  <c r="M42" i="39"/>
  <c r="M41" i="39"/>
  <c r="M40" i="39"/>
  <c r="M39" i="39"/>
  <c r="M38" i="39"/>
  <c r="M37" i="39"/>
  <c r="M36" i="39"/>
  <c r="M35" i="39"/>
  <c r="M34" i="39"/>
  <c r="M33" i="39"/>
  <c r="M32" i="39"/>
  <c r="M31" i="39"/>
  <c r="M30" i="39"/>
  <c r="M29" i="39"/>
  <c r="M22" i="39"/>
  <c r="M21" i="39"/>
  <c r="M20" i="39"/>
  <c r="M19" i="39"/>
  <c r="M18" i="39"/>
  <c r="M17" i="39"/>
  <c r="M16" i="39"/>
  <c r="J27" i="72"/>
  <c r="J23" i="72"/>
  <c r="J26" i="72"/>
  <c r="I27" i="72"/>
  <c r="I26" i="72"/>
  <c r="I25" i="72"/>
  <c r="I24" i="72"/>
  <c r="I23" i="72"/>
  <c r="I19" i="72"/>
  <c r="I18" i="72"/>
  <c r="I17" i="72"/>
  <c r="H35" i="73"/>
  <c r="H36" i="73"/>
  <c r="H21" i="73"/>
  <c r="H37" i="73"/>
  <c r="H22" i="73"/>
  <c r="H38" i="73"/>
  <c r="H23" i="73"/>
  <c r="H39" i="73"/>
  <c r="H24" i="73"/>
  <c r="H40" i="73"/>
  <c r="H25" i="73"/>
  <c r="H41" i="73"/>
  <c r="H26" i="73"/>
  <c r="H42" i="73"/>
  <c r="H27" i="73"/>
  <c r="H43" i="73"/>
  <c r="H44" i="73"/>
  <c r="H45" i="73"/>
  <c r="H46" i="73"/>
  <c r="H49" i="73"/>
  <c r="H34" i="73"/>
  <c r="J17" i="72"/>
  <c r="J24" i="72"/>
  <c r="J18" i="72"/>
  <c r="J25" i="72"/>
  <c r="J19" i="72"/>
  <c r="C9" i="72"/>
  <c r="C8" i="72"/>
  <c r="C7" i="72"/>
  <c r="C6" i="72"/>
  <c r="C5" i="72"/>
  <c r="C4" i="72"/>
  <c r="A30" i="38" s="1"/>
  <c r="C3" i="72"/>
  <c r="B3" i="43"/>
  <c r="B6" i="43"/>
  <c r="G34" i="67"/>
  <c r="H34" i="67" s="1"/>
  <c r="G33" i="67"/>
  <c r="H33" i="67" s="1"/>
  <c r="G20" i="67"/>
  <c r="G19" i="67"/>
  <c r="G18" i="67"/>
  <c r="G21" i="67"/>
  <c r="G22" i="67"/>
  <c r="C9" i="71"/>
  <c r="C8" i="71"/>
  <c r="C7" i="71"/>
  <c r="C6" i="71"/>
  <c r="C5" i="71"/>
  <c r="C4" i="71"/>
  <c r="A20" i="38" s="1"/>
  <c r="C3" i="71"/>
  <c r="I30" i="71"/>
  <c r="J30" i="71"/>
  <c r="I31" i="71"/>
  <c r="J31" i="71"/>
  <c r="I32" i="71"/>
  <c r="J32" i="71"/>
  <c r="I33" i="71"/>
  <c r="J33" i="71"/>
  <c r="I34" i="71"/>
  <c r="J34" i="71"/>
  <c r="I35" i="71"/>
  <c r="J35" i="71"/>
  <c r="I36" i="71"/>
  <c r="J36" i="71"/>
  <c r="I37" i="71"/>
  <c r="J37" i="71"/>
  <c r="I18" i="71"/>
  <c r="J18" i="71"/>
  <c r="I19" i="71"/>
  <c r="J19" i="71"/>
  <c r="I20" i="71"/>
  <c r="J20" i="71"/>
  <c r="I21" i="71"/>
  <c r="J21" i="71"/>
  <c r="I22" i="71"/>
  <c r="J22" i="71"/>
  <c r="I23" i="71"/>
  <c r="J23" i="71"/>
  <c r="I38" i="71"/>
  <c r="J38" i="71"/>
  <c r="I39" i="71"/>
  <c r="J39" i="71"/>
  <c r="I41" i="71"/>
  <c r="J41" i="71"/>
  <c r="I42" i="71"/>
  <c r="J42" i="71"/>
  <c r="I43" i="71"/>
  <c r="J43" i="71"/>
  <c r="I44" i="71"/>
  <c r="J44" i="71"/>
  <c r="I45" i="71"/>
  <c r="J45" i="71"/>
  <c r="I46" i="71"/>
  <c r="J46" i="71"/>
  <c r="I47" i="71"/>
  <c r="J47" i="71"/>
  <c r="I48" i="71"/>
  <c r="J48" i="71"/>
  <c r="I52" i="71"/>
  <c r="J52" i="71"/>
  <c r="I53" i="71"/>
  <c r="J53" i="71"/>
  <c r="J19" i="44"/>
  <c r="J32" i="44"/>
  <c r="J40" i="44"/>
  <c r="I581" i="69"/>
  <c r="I580" i="69"/>
  <c r="I579" i="69"/>
  <c r="I578" i="69"/>
  <c r="I577" i="69"/>
  <c r="I563" i="69"/>
  <c r="I562" i="69"/>
  <c r="I561" i="69"/>
  <c r="I560" i="69"/>
  <c r="I559" i="69"/>
  <c r="I558" i="69"/>
  <c r="I557" i="69"/>
  <c r="I556" i="69"/>
  <c r="I555" i="69"/>
  <c r="I554" i="69"/>
  <c r="I553" i="69"/>
  <c r="I552" i="69"/>
  <c r="I551" i="69"/>
  <c r="I550" i="69"/>
  <c r="I549" i="69"/>
  <c r="I548" i="69"/>
  <c r="I547" i="69"/>
  <c r="I546" i="69"/>
  <c r="I544" i="69"/>
  <c r="I543" i="69"/>
  <c r="I542" i="69"/>
  <c r="I539" i="69"/>
  <c r="I538" i="69"/>
  <c r="I537" i="69"/>
  <c r="I536" i="69"/>
  <c r="I535" i="69"/>
  <c r="I534" i="69"/>
  <c r="I532" i="69"/>
  <c r="I531" i="69"/>
  <c r="I530" i="69"/>
  <c r="I529" i="69"/>
  <c r="I528" i="69"/>
  <c r="I527" i="69"/>
  <c r="I526" i="69"/>
  <c r="I525" i="69"/>
  <c r="I524" i="69"/>
  <c r="I523" i="69"/>
  <c r="I522" i="69"/>
  <c r="I521" i="69"/>
  <c r="I520" i="69"/>
  <c r="I519" i="69"/>
  <c r="I518" i="69"/>
  <c r="I516" i="69"/>
  <c r="I515" i="69"/>
  <c r="I514" i="69"/>
  <c r="I513" i="69"/>
  <c r="I512" i="69"/>
  <c r="I511" i="69"/>
  <c r="I510" i="69"/>
  <c r="I509" i="69"/>
  <c r="I508" i="69"/>
  <c r="I507" i="69"/>
  <c r="I506" i="69"/>
  <c r="I505" i="69"/>
  <c r="I504" i="69"/>
  <c r="I503" i="69"/>
  <c r="I502" i="69"/>
  <c r="I501" i="69"/>
  <c r="I500" i="69"/>
  <c r="I498" i="69"/>
  <c r="I497" i="69"/>
  <c r="I496" i="69"/>
  <c r="I495" i="69"/>
  <c r="I494" i="69"/>
  <c r="I493" i="69"/>
  <c r="I492" i="69"/>
  <c r="I491" i="69"/>
  <c r="I490" i="69"/>
  <c r="I489" i="69"/>
  <c r="I488" i="69"/>
  <c r="I487" i="69"/>
  <c r="I486" i="69"/>
  <c r="I485" i="69"/>
  <c r="I484" i="69"/>
  <c r="I483" i="69"/>
  <c r="I482" i="69"/>
  <c r="I480" i="69"/>
  <c r="I479" i="69"/>
  <c r="I478" i="69"/>
  <c r="I477" i="69"/>
  <c r="I476" i="69"/>
  <c r="I475" i="69"/>
  <c r="I474" i="69"/>
  <c r="I473" i="69"/>
  <c r="I472" i="69"/>
  <c r="I471" i="69"/>
  <c r="I470" i="69"/>
  <c r="I469" i="69"/>
  <c r="I468" i="69"/>
  <c r="I467" i="69"/>
  <c r="I466" i="69"/>
  <c r="I465" i="69"/>
  <c r="I464" i="69"/>
  <c r="I463" i="69"/>
  <c r="I462" i="69"/>
  <c r="I460" i="69"/>
  <c r="I459" i="69"/>
  <c r="I458" i="69"/>
  <c r="I457" i="69"/>
  <c r="I456" i="69"/>
  <c r="I455" i="69"/>
  <c r="I454" i="69"/>
  <c r="I453" i="69"/>
  <c r="I452" i="69"/>
  <c r="I451" i="69"/>
  <c r="I450" i="69"/>
  <c r="I449" i="69"/>
  <c r="I448" i="69"/>
  <c r="I447" i="69"/>
  <c r="I446" i="69"/>
  <c r="I445" i="69"/>
  <c r="I444" i="69"/>
  <c r="I442" i="69"/>
  <c r="I441" i="69"/>
  <c r="I440" i="69"/>
  <c r="I439" i="69"/>
  <c r="I438" i="69"/>
  <c r="I437" i="69"/>
  <c r="I436" i="69"/>
  <c r="I435" i="69"/>
  <c r="I434" i="69"/>
  <c r="I433" i="69"/>
  <c r="I432" i="69"/>
  <c r="I431" i="69"/>
  <c r="I430" i="69"/>
  <c r="I429" i="69"/>
  <c r="I428" i="69"/>
  <c r="I427" i="69"/>
  <c r="I426" i="69"/>
  <c r="I425" i="69"/>
  <c r="I423" i="69"/>
  <c r="I422" i="69"/>
  <c r="I421" i="69"/>
  <c r="I420" i="69"/>
  <c r="I419" i="69"/>
  <c r="I418" i="69"/>
  <c r="I417" i="69"/>
  <c r="I416" i="69"/>
  <c r="I413" i="69"/>
  <c r="I412" i="69"/>
  <c r="I411" i="69"/>
  <c r="I410" i="69"/>
  <c r="I409" i="69"/>
  <c r="I408" i="69"/>
  <c r="I406" i="69"/>
  <c r="I405" i="69"/>
  <c r="I404" i="69"/>
  <c r="I403" i="69"/>
  <c r="I402" i="69"/>
  <c r="I401" i="69"/>
  <c r="I400" i="69"/>
  <c r="I399" i="69"/>
  <c r="I398" i="69"/>
  <c r="I397" i="69"/>
  <c r="I396" i="69"/>
  <c r="I393" i="69"/>
  <c r="I392" i="69"/>
  <c r="I389" i="69"/>
  <c r="I388" i="69"/>
  <c r="I387" i="69"/>
  <c r="I386" i="69"/>
  <c r="I385" i="69"/>
  <c r="I384" i="69"/>
  <c r="I383" i="69"/>
  <c r="I382" i="69"/>
  <c r="I378" i="69"/>
  <c r="I377" i="69"/>
  <c r="I376" i="69"/>
  <c r="I375" i="69"/>
  <c r="I374" i="69"/>
  <c r="I372" i="69"/>
  <c r="I371" i="69"/>
  <c r="I370" i="69"/>
  <c r="I369" i="69"/>
  <c r="I236" i="69"/>
  <c r="I235" i="69"/>
  <c r="I233" i="69"/>
  <c r="I232" i="69"/>
  <c r="I227" i="69"/>
  <c r="I226" i="69"/>
  <c r="I221" i="69"/>
  <c r="I220" i="69"/>
  <c r="I219" i="69"/>
  <c r="I218" i="69"/>
  <c r="I217" i="69"/>
  <c r="I216" i="69"/>
  <c r="I215" i="69"/>
  <c r="I214" i="69"/>
  <c r="I212" i="69"/>
  <c r="I211" i="69"/>
  <c r="I210" i="69"/>
  <c r="I209" i="69"/>
  <c r="I208" i="69"/>
  <c r="I207" i="69"/>
  <c r="I206" i="69"/>
  <c r="I205" i="69"/>
  <c r="I204" i="69"/>
  <c r="I203" i="69"/>
  <c r="I202" i="69"/>
  <c r="I201" i="69"/>
  <c r="I200" i="69"/>
  <c r="I199" i="69"/>
  <c r="I198" i="69"/>
  <c r="I197" i="69"/>
  <c r="I196" i="69"/>
  <c r="I195" i="69"/>
  <c r="I190" i="69"/>
  <c r="I189" i="69"/>
  <c r="I188" i="69"/>
  <c r="I187" i="69"/>
  <c r="I186" i="69"/>
  <c r="I185" i="69"/>
  <c r="I184" i="69"/>
  <c r="I183" i="69"/>
  <c r="I182" i="69"/>
  <c r="I181" i="69"/>
  <c r="I180" i="69"/>
  <c r="I172" i="69"/>
  <c r="I171" i="69"/>
  <c r="I170" i="69"/>
  <c r="I169" i="69"/>
  <c r="I168" i="69"/>
  <c r="I167" i="69"/>
  <c r="I166" i="69"/>
  <c r="I165" i="69"/>
  <c r="I164" i="69"/>
  <c r="I163" i="69"/>
  <c r="I162" i="69"/>
  <c r="I161" i="69"/>
  <c r="I154" i="69"/>
  <c r="I153" i="69"/>
  <c r="I152" i="69"/>
  <c r="I151" i="69"/>
  <c r="I150" i="69"/>
  <c r="I149" i="69"/>
  <c r="I148" i="69"/>
  <c r="I147" i="69"/>
  <c r="I146" i="69"/>
  <c r="I145" i="69"/>
  <c r="I144" i="69"/>
  <c r="I143" i="69"/>
  <c r="I137" i="69"/>
  <c r="I136" i="69"/>
  <c r="I135" i="69"/>
  <c r="I134" i="69"/>
  <c r="I133" i="69"/>
  <c r="I132" i="69"/>
  <c r="I131" i="69"/>
  <c r="I130" i="69"/>
  <c r="I129" i="69"/>
  <c r="I128" i="69"/>
  <c r="I127" i="69"/>
  <c r="I126" i="69"/>
  <c r="I121" i="69"/>
  <c r="I120" i="69"/>
  <c r="I119" i="69"/>
  <c r="I118" i="69"/>
  <c r="I117" i="69"/>
  <c r="I116" i="69"/>
  <c r="I115" i="69"/>
  <c r="I114" i="69"/>
  <c r="I113" i="69"/>
  <c r="I112" i="69"/>
  <c r="I111" i="69"/>
  <c r="I110" i="69"/>
  <c r="I108" i="69"/>
  <c r="I107" i="69"/>
  <c r="I106" i="69"/>
  <c r="I105" i="69"/>
  <c r="I104" i="69"/>
  <c r="I103" i="69"/>
  <c r="I102" i="69"/>
  <c r="I100" i="69"/>
  <c r="I93" i="69"/>
  <c r="I92" i="69"/>
  <c r="I91" i="69"/>
  <c r="I90" i="69"/>
  <c r="I89" i="69"/>
  <c r="I88" i="69"/>
  <c r="I87" i="69"/>
  <c r="I86" i="69"/>
  <c r="I85" i="69"/>
  <c r="I84" i="69"/>
  <c r="I79" i="69"/>
  <c r="I78" i="69"/>
  <c r="I77" i="69"/>
  <c r="I76" i="69"/>
  <c r="I75" i="69"/>
  <c r="I74" i="69"/>
  <c r="I73" i="69"/>
  <c r="I72" i="69"/>
  <c r="I71" i="69"/>
  <c r="I70" i="69"/>
  <c r="I69" i="69"/>
  <c r="B4" i="69"/>
  <c r="G39" i="64"/>
  <c r="N39" i="64" s="1"/>
  <c r="G38" i="64"/>
  <c r="N38" i="64" s="1"/>
  <c r="G37" i="64"/>
  <c r="N37" i="64" s="1"/>
  <c r="G36" i="64"/>
  <c r="N36" i="64" s="1"/>
  <c r="P36" i="64" s="1"/>
  <c r="I55" i="39" s="1"/>
  <c r="G35" i="64"/>
  <c r="N35" i="64" s="1"/>
  <c r="G34" i="64"/>
  <c r="N34" i="64" s="1"/>
  <c r="G33" i="64"/>
  <c r="N33" i="64" s="1"/>
  <c r="N32" i="64"/>
  <c r="N31" i="64"/>
  <c r="G22" i="64"/>
  <c r="N22" i="64" s="1"/>
  <c r="P22" i="64" s="1"/>
  <c r="N21" i="64"/>
  <c r="P21" i="64" s="1"/>
  <c r="I22" i="39" s="1"/>
  <c r="N18" i="64"/>
  <c r="P18" i="64" s="1"/>
  <c r="I21" i="39" s="1"/>
  <c r="G75" i="39"/>
  <c r="G74" i="39"/>
  <c r="G73" i="39"/>
  <c r="G72" i="39"/>
  <c r="G71" i="39"/>
  <c r="G67" i="39"/>
  <c r="G66" i="39"/>
  <c r="G65" i="39"/>
  <c r="G60" i="39"/>
  <c r="G50" i="39"/>
  <c r="G47" i="39"/>
  <c r="G43" i="39"/>
  <c r="G42" i="39"/>
  <c r="G41" i="39"/>
  <c r="G40" i="39"/>
  <c r="G39" i="39"/>
  <c r="G38" i="39"/>
  <c r="G37" i="39"/>
  <c r="G36" i="39"/>
  <c r="G35" i="39"/>
  <c r="G34" i="39"/>
  <c r="G33" i="39"/>
  <c r="G32" i="39"/>
  <c r="G31" i="39"/>
  <c r="G30" i="39"/>
  <c r="G29" i="39"/>
  <c r="G16" i="39"/>
  <c r="B4" i="43"/>
  <c r="A16" i="38" s="1"/>
  <c r="H64" i="50"/>
  <c r="G64" i="50"/>
  <c r="H61" i="50"/>
  <c r="G61" i="50"/>
  <c r="H60" i="50"/>
  <c r="G60" i="50"/>
  <c r="H59" i="50"/>
  <c r="G59" i="50"/>
  <c r="H58" i="50"/>
  <c r="G58" i="50"/>
  <c r="H57" i="50"/>
  <c r="G57" i="50"/>
  <c r="H56" i="50"/>
  <c r="G56" i="50"/>
  <c r="H55" i="50"/>
  <c r="G55" i="50"/>
  <c r="O55" i="50" s="1"/>
  <c r="Q55" i="50" s="1"/>
  <c r="H54" i="50"/>
  <c r="G54" i="50"/>
  <c r="H53" i="50"/>
  <c r="G53" i="50"/>
  <c r="H52" i="50"/>
  <c r="G52" i="50"/>
  <c r="H51" i="50"/>
  <c r="G51" i="50"/>
  <c r="O51" i="50" s="1"/>
  <c r="Q51" i="50" s="1"/>
  <c r="H47" i="50"/>
  <c r="G47" i="50"/>
  <c r="H46" i="50"/>
  <c r="G46" i="50"/>
  <c r="H45" i="50"/>
  <c r="G45" i="50"/>
  <c r="H44" i="50"/>
  <c r="G44" i="50"/>
  <c r="H43" i="50"/>
  <c r="G43" i="50"/>
  <c r="H42" i="50"/>
  <c r="G42" i="50"/>
  <c r="H41" i="50"/>
  <c r="G41" i="50"/>
  <c r="H40" i="50"/>
  <c r="G40" i="50"/>
  <c r="O40" i="50" s="1"/>
  <c r="Q40" i="50" s="1"/>
  <c r="H39" i="50"/>
  <c r="G39" i="50"/>
  <c r="H38" i="50"/>
  <c r="G38" i="50"/>
  <c r="H37" i="50"/>
  <c r="G37" i="50"/>
  <c r="H36" i="50"/>
  <c r="G36" i="50"/>
  <c r="H35" i="50"/>
  <c r="G35" i="50"/>
  <c r="H34" i="50"/>
  <c r="G34" i="50"/>
  <c r="H33" i="50"/>
  <c r="G33" i="50"/>
  <c r="H26" i="50"/>
  <c r="G26" i="50"/>
  <c r="O26" i="50" s="1"/>
  <c r="Q26" i="50" s="1"/>
  <c r="H25" i="50"/>
  <c r="G25" i="50"/>
  <c r="H24" i="50"/>
  <c r="G24" i="50"/>
  <c r="H23" i="50"/>
  <c r="G23" i="50"/>
  <c r="H22" i="50"/>
  <c r="G22" i="50"/>
  <c r="H21" i="50"/>
  <c r="G21" i="50"/>
  <c r="L41" i="68"/>
  <c r="J41" i="68"/>
  <c r="L40" i="68"/>
  <c r="J40" i="68"/>
  <c r="L39" i="68"/>
  <c r="J39" i="68"/>
  <c r="L38" i="68"/>
  <c r="J38" i="68"/>
  <c r="L37" i="68"/>
  <c r="J37" i="68"/>
  <c r="L36" i="68"/>
  <c r="J36" i="68"/>
  <c r="L35" i="68"/>
  <c r="J35" i="68"/>
  <c r="L34" i="68"/>
  <c r="J34" i="68"/>
  <c r="L33" i="68"/>
  <c r="J33" i="68"/>
  <c r="L32" i="68"/>
  <c r="J32" i="68"/>
  <c r="L31" i="68"/>
  <c r="J31" i="68"/>
  <c r="L30" i="68"/>
  <c r="J30" i="68"/>
  <c r="L29" i="68"/>
  <c r="J29" i="68"/>
  <c r="L28" i="68"/>
  <c r="J28" i="68"/>
  <c r="E43" i="39"/>
  <c r="E42" i="39"/>
  <c r="E41" i="39"/>
  <c r="E40" i="39"/>
  <c r="E39" i="39"/>
  <c r="E38" i="39"/>
  <c r="E37" i="39"/>
  <c r="E36" i="39"/>
  <c r="D39" i="44"/>
  <c r="D38" i="44"/>
  <c r="D37" i="44"/>
  <c r="D36" i="44"/>
  <c r="D35" i="44"/>
  <c r="D34" i="44"/>
  <c r="D33" i="44"/>
  <c r="D22" i="44"/>
  <c r="D21" i="44"/>
  <c r="D20" i="44"/>
  <c r="D18" i="44"/>
  <c r="D36" i="43"/>
  <c r="D35" i="43"/>
  <c r="D34" i="43"/>
  <c r="D33" i="43"/>
  <c r="D26" i="43"/>
  <c r="D25" i="43"/>
  <c r="D24" i="43"/>
  <c r="D23" i="43"/>
  <c r="D3" i="2"/>
  <c r="L75" i="39"/>
  <c r="E75" i="39"/>
  <c r="L74" i="39"/>
  <c r="E74" i="39"/>
  <c r="L73" i="39"/>
  <c r="E73" i="39"/>
  <c r="L72" i="39"/>
  <c r="E72" i="39"/>
  <c r="L71" i="39"/>
  <c r="E71" i="39"/>
  <c r="L67" i="39"/>
  <c r="E67" i="39"/>
  <c r="L66" i="39"/>
  <c r="E66" i="39"/>
  <c r="L65" i="39"/>
  <c r="E65" i="39"/>
  <c r="E60" i="39"/>
  <c r="E58" i="39"/>
  <c r="E57" i="39"/>
  <c r="E56" i="39"/>
  <c r="E55" i="39"/>
  <c r="E54" i="39"/>
  <c r="E53" i="39"/>
  <c r="E52" i="39"/>
  <c r="E51" i="39"/>
  <c r="E50" i="39"/>
  <c r="E48" i="39"/>
  <c r="E47" i="39"/>
  <c r="E30" i="39"/>
  <c r="E29" i="39"/>
  <c r="E35" i="39"/>
  <c r="E34" i="39"/>
  <c r="E33" i="39"/>
  <c r="E32" i="39"/>
  <c r="E31" i="39"/>
  <c r="L50" i="39"/>
  <c r="L67" i="68"/>
  <c r="J67" i="68"/>
  <c r="L66" i="68"/>
  <c r="J66" i="68"/>
  <c r="L65" i="68"/>
  <c r="J65" i="68"/>
  <c r="L64" i="68"/>
  <c r="J64" i="68"/>
  <c r="L60" i="68"/>
  <c r="J60" i="68"/>
  <c r="L59" i="68"/>
  <c r="J59" i="68"/>
  <c r="L58" i="68"/>
  <c r="J58" i="68"/>
  <c r="L55" i="68"/>
  <c r="J55" i="68"/>
  <c r="L54" i="68"/>
  <c r="J54" i="68"/>
  <c r="L52" i="68"/>
  <c r="J52" i="68"/>
  <c r="L51" i="68"/>
  <c r="J51" i="68"/>
  <c r="L50" i="68"/>
  <c r="J50" i="68"/>
  <c r="L49" i="68"/>
  <c r="J49" i="68"/>
  <c r="L48" i="68"/>
  <c r="J48" i="68"/>
  <c r="L47" i="68"/>
  <c r="J47" i="68"/>
  <c r="L46" i="68"/>
  <c r="J46" i="68"/>
  <c r="L45" i="68"/>
  <c r="J45" i="68"/>
  <c r="L43" i="68"/>
  <c r="J43" i="68"/>
  <c r="L42" i="68"/>
  <c r="J42" i="68"/>
  <c r="L21" i="68"/>
  <c r="J21" i="68"/>
  <c r="J39" i="44"/>
  <c r="J38" i="44"/>
  <c r="J37" i="44"/>
  <c r="J36" i="44"/>
  <c r="J35" i="44"/>
  <c r="J34" i="44"/>
  <c r="J33" i="44"/>
  <c r="J31" i="44"/>
  <c r="J36" i="43"/>
  <c r="J35" i="43"/>
  <c r="K35" i="43" s="1"/>
  <c r="J34" i="43"/>
  <c r="K34" i="43" s="1"/>
  <c r="J33" i="43"/>
  <c r="K33" i="43" s="1"/>
  <c r="L36" i="43"/>
  <c r="L33" i="43"/>
  <c r="L34" i="43"/>
  <c r="L35" i="43"/>
  <c r="L16" i="39"/>
  <c r="B9" i="69"/>
  <c r="B8" i="69"/>
  <c r="B7" i="69"/>
  <c r="B6" i="69"/>
  <c r="B5" i="69"/>
  <c r="B3" i="69"/>
  <c r="C9" i="68"/>
  <c r="C8" i="68"/>
  <c r="C7" i="68"/>
  <c r="C6" i="68"/>
  <c r="C5" i="68"/>
  <c r="C3" i="68"/>
  <c r="L20" i="68"/>
  <c r="J20" i="68"/>
  <c r="L19" i="68"/>
  <c r="J19" i="68"/>
  <c r="L18" i="68"/>
  <c r="J18" i="68"/>
  <c r="L17" i="68"/>
  <c r="J17" i="68"/>
  <c r="L16" i="68"/>
  <c r="J16" i="68"/>
  <c r="C4" i="68"/>
  <c r="A24" i="38" s="1"/>
  <c r="B7" i="64"/>
  <c r="F21" i="67"/>
  <c r="F20" i="67"/>
  <c r="F19" i="67"/>
  <c r="F18" i="67"/>
  <c r="F22" i="67"/>
  <c r="H22" i="67" s="1"/>
  <c r="A4" i="43"/>
  <c r="A5" i="43"/>
  <c r="A6" i="43"/>
  <c r="A7" i="43"/>
  <c r="A8" i="43"/>
  <c r="A9" i="43"/>
  <c r="A3" i="43"/>
  <c r="H26" i="67"/>
  <c r="H27" i="67"/>
  <c r="H28" i="67"/>
  <c r="H29" i="67"/>
  <c r="H30" i="67"/>
  <c r="H25" i="67"/>
  <c r="B9" i="67"/>
  <c r="B8" i="67"/>
  <c r="B7" i="67"/>
  <c r="B6" i="67"/>
  <c r="B5" i="67"/>
  <c r="B4" i="67"/>
  <c r="A4" i="67"/>
  <c r="B3" i="67"/>
  <c r="A3" i="67"/>
  <c r="J25" i="43"/>
  <c r="K25" i="43" s="1"/>
  <c r="J26" i="43"/>
  <c r="K26" i="43" s="1"/>
  <c r="C2" i="39"/>
  <c r="C3" i="39"/>
  <c r="C4" i="39"/>
  <c r="B5" i="46" s="1"/>
  <c r="B5" i="77" s="1"/>
  <c r="C5" i="39"/>
  <c r="C6" i="39"/>
  <c r="C7" i="39"/>
  <c r="C8" i="39"/>
  <c r="E16" i="39"/>
  <c r="E17" i="39"/>
  <c r="E20" i="39"/>
  <c r="E21" i="39"/>
  <c r="C6" i="50"/>
  <c r="B6" i="48"/>
  <c r="B6" i="46"/>
  <c r="D5" i="2"/>
  <c r="C7" i="44"/>
  <c r="C7" i="50"/>
  <c r="B9" i="64"/>
  <c r="B8" i="64"/>
  <c r="B6" i="64"/>
  <c r="B5" i="64"/>
  <c r="B4" i="64"/>
  <c r="A22" i="38" s="1"/>
  <c r="B3" i="64"/>
  <c r="C4" i="44"/>
  <c r="A18" i="38" s="1"/>
  <c r="D8" i="2"/>
  <c r="D7" i="2"/>
  <c r="D6" i="2"/>
  <c r="D2" i="2"/>
  <c r="D4" i="2"/>
  <c r="B9" i="43"/>
  <c r="B8" i="43"/>
  <c r="B7" i="43"/>
  <c r="B5" i="43"/>
  <c r="C6" i="44"/>
  <c r="C5" i="44"/>
  <c r="C9" i="44"/>
  <c r="C8" i="44"/>
  <c r="C3" i="44"/>
  <c r="S284" i="2"/>
  <c r="S283" i="2"/>
  <c r="R282" i="2"/>
  <c r="R279" i="2"/>
  <c r="R277" i="2"/>
  <c r="J275" i="2"/>
  <c r="R274" i="2"/>
  <c r="Q273" i="2"/>
  <c r="Q272" i="2"/>
  <c r="Q271" i="2"/>
  <c r="Q270" i="2"/>
  <c r="Q269" i="2"/>
  <c r="Q268" i="2"/>
  <c r="Q267" i="2"/>
  <c r="R266" i="2"/>
  <c r="R265" i="2"/>
  <c r="S264" i="2"/>
  <c r="S263" i="2"/>
  <c r="R262" i="2"/>
  <c r="Q261" i="2"/>
  <c r="Q260" i="2"/>
  <c r="Q259" i="2"/>
  <c r="Q258" i="2"/>
  <c r="Q257" i="2"/>
  <c r="Q256" i="2"/>
  <c r="R255" i="2"/>
  <c r="Q254" i="2"/>
  <c r="Q253" i="2"/>
  <c r="Q252" i="2"/>
  <c r="R251" i="2"/>
  <c r="R250" i="2"/>
  <c r="R249" i="2"/>
  <c r="R248" i="2"/>
  <c r="R247" i="2"/>
  <c r="P246" i="2"/>
  <c r="Q244" i="2"/>
  <c r="R239" i="2"/>
  <c r="R238" i="2"/>
  <c r="P237" i="2"/>
  <c r="Q236" i="2"/>
  <c r="R235" i="2"/>
  <c r="S234" i="2"/>
  <c r="R233" i="2"/>
  <c r="R232" i="2"/>
  <c r="Q231" i="2"/>
  <c r="R230" i="2"/>
  <c r="S229" i="2"/>
  <c r="Q228" i="2"/>
  <c r="Q227" i="2"/>
  <c r="S226" i="2"/>
  <c r="Q225" i="2"/>
  <c r="Q224" i="2"/>
  <c r="S223" i="2"/>
  <c r="S222" i="2"/>
  <c r="Q221" i="2"/>
  <c r="Q220" i="2"/>
  <c r="Q219" i="2"/>
  <c r="R218" i="2"/>
  <c r="Q217" i="2"/>
  <c r="R216" i="2"/>
  <c r="Q213" i="2"/>
  <c r="Q212" i="2"/>
  <c r="Q211" i="2"/>
  <c r="Q210" i="2"/>
  <c r="S209" i="2"/>
  <c r="Q208" i="2"/>
  <c r="S207" i="2"/>
  <c r="K207" i="2"/>
  <c r="R204" i="2"/>
  <c r="R203" i="2"/>
  <c r="Q201" i="2"/>
  <c r="Q200" i="2"/>
  <c r="Q199" i="2"/>
  <c r="Q197" i="2"/>
  <c r="S196" i="2"/>
  <c r="R195" i="2"/>
  <c r="S192" i="2"/>
  <c r="S191" i="2"/>
  <c r="Q187" i="2"/>
  <c r="Q186" i="2"/>
  <c r="Q185" i="2"/>
  <c r="Q181" i="2"/>
  <c r="R179" i="2"/>
  <c r="R178" i="2"/>
  <c r="P173" i="2"/>
  <c r="J172" i="2"/>
  <c r="J171" i="2"/>
  <c r="P168" i="2"/>
  <c r="Q167" i="2"/>
  <c r="Q166" i="2"/>
  <c r="O166" i="2"/>
  <c r="Q165" i="2"/>
  <c r="Q164" i="2"/>
  <c r="O164" i="2"/>
  <c r="P163" i="2"/>
  <c r="O163" i="2"/>
  <c r="Q162" i="2"/>
  <c r="O162" i="2"/>
  <c r="Q161" i="2"/>
  <c r="Q160" i="2"/>
  <c r="O160" i="2"/>
  <c r="P159" i="2"/>
  <c r="P158" i="2"/>
  <c r="M158" i="2"/>
  <c r="P156" i="2"/>
  <c r="R155" i="2"/>
  <c r="Q154" i="2"/>
  <c r="Q153" i="2"/>
  <c r="Q152" i="2"/>
  <c r="R151" i="2"/>
  <c r="K151" i="2"/>
  <c r="R150" i="2"/>
  <c r="K150" i="2"/>
  <c r="P149" i="2"/>
  <c r="M149" i="2"/>
  <c r="Q148" i="2"/>
  <c r="O148" i="2"/>
  <c r="P147" i="2"/>
  <c r="P146" i="2"/>
  <c r="M146" i="2"/>
  <c r="P145" i="2"/>
  <c r="M145" i="2"/>
  <c r="P144" i="2"/>
  <c r="M144" i="2"/>
  <c r="Q143" i="2"/>
  <c r="M143" i="2"/>
  <c r="Q142" i="2"/>
  <c r="O142" i="2"/>
  <c r="P141" i="2"/>
  <c r="O141" i="2"/>
  <c r="Q140" i="2"/>
  <c r="O140" i="2"/>
  <c r="P139" i="2"/>
  <c r="O139" i="2"/>
  <c r="P138" i="2"/>
  <c r="M138" i="2"/>
  <c r="Q137" i="2"/>
  <c r="O137" i="2"/>
  <c r="O132" i="2"/>
  <c r="J132" i="2"/>
  <c r="Q132" i="2" s="1"/>
  <c r="N131" i="2"/>
  <c r="J131" i="2"/>
  <c r="J130" i="2"/>
  <c r="J129" i="2"/>
  <c r="J128" i="2"/>
  <c r="Q126" i="2"/>
  <c r="O126" i="2"/>
  <c r="Q125" i="2"/>
  <c r="Q122" i="2"/>
  <c r="Q121" i="2"/>
  <c r="Q120" i="2"/>
  <c r="O120" i="2"/>
  <c r="Q119" i="2"/>
  <c r="O119" i="2"/>
  <c r="Q118" i="2"/>
  <c r="O118" i="2"/>
  <c r="Q117" i="2"/>
  <c r="O117" i="2"/>
  <c r="Q116" i="2"/>
  <c r="O116" i="2"/>
  <c r="Q115" i="2"/>
  <c r="O114" i="2"/>
  <c r="J114" i="2"/>
  <c r="O113" i="2"/>
  <c r="R109" i="2"/>
  <c r="R108" i="2"/>
  <c r="Q106" i="2"/>
  <c r="Q105" i="2"/>
  <c r="Q104" i="2"/>
  <c r="Q102" i="2"/>
  <c r="S101" i="2"/>
  <c r="R100" i="2"/>
  <c r="S97" i="2"/>
  <c r="S96" i="2"/>
  <c r="Q92" i="2"/>
  <c r="Q91" i="2"/>
  <c r="Q90" i="2"/>
  <c r="Q86" i="2"/>
  <c r="R84" i="2"/>
  <c r="R83" i="2"/>
  <c r="P78" i="2"/>
  <c r="E22" i="39"/>
  <c r="O39" i="46"/>
  <c r="K35" i="46"/>
  <c r="J35" i="46"/>
  <c r="I35" i="46"/>
  <c r="H35" i="46"/>
  <c r="E35" i="46"/>
  <c r="K34" i="46"/>
  <c r="J34" i="46"/>
  <c r="I34" i="46"/>
  <c r="H34" i="46"/>
  <c r="E34" i="46"/>
  <c r="K33" i="46"/>
  <c r="J33" i="46"/>
  <c r="I33" i="46"/>
  <c r="H33" i="46"/>
  <c r="E33" i="46"/>
  <c r="K32" i="46"/>
  <c r="J32" i="46"/>
  <c r="I32" i="46"/>
  <c r="H32" i="46"/>
  <c r="E32" i="46"/>
  <c r="K31" i="46"/>
  <c r="J31" i="46"/>
  <c r="I31" i="46"/>
  <c r="H31" i="46"/>
  <c r="E31" i="46"/>
  <c r="K30" i="46"/>
  <c r="J30" i="46"/>
  <c r="I30" i="46"/>
  <c r="H30" i="46"/>
  <c r="E30" i="46"/>
  <c r="K29" i="46"/>
  <c r="J29" i="46"/>
  <c r="I29" i="46"/>
  <c r="H29" i="46"/>
  <c r="E29" i="46"/>
  <c r="K28" i="46"/>
  <c r="J28" i="46"/>
  <c r="I28" i="46"/>
  <c r="H28" i="46"/>
  <c r="E28" i="46"/>
  <c r="K27" i="46"/>
  <c r="J27" i="46"/>
  <c r="I27" i="46"/>
  <c r="H27" i="46"/>
  <c r="E27" i="46"/>
  <c r="K26" i="46"/>
  <c r="J26" i="46"/>
  <c r="I26" i="46"/>
  <c r="H26" i="46"/>
  <c r="E26" i="46"/>
  <c r="K25" i="46"/>
  <c r="J25" i="46"/>
  <c r="I25" i="46"/>
  <c r="H25" i="46"/>
  <c r="E25" i="46"/>
  <c r="K24" i="46"/>
  <c r="J24" i="46"/>
  <c r="I24" i="46"/>
  <c r="H24" i="46"/>
  <c r="E24" i="46"/>
  <c r="K23" i="46"/>
  <c r="M23" i="46" s="1"/>
  <c r="P23" i="46" s="1"/>
  <c r="J23" i="46"/>
  <c r="I23" i="46"/>
  <c r="H23" i="46"/>
  <c r="E23" i="46"/>
  <c r="K22" i="46"/>
  <c r="J22" i="46"/>
  <c r="I22" i="46"/>
  <c r="H22" i="46"/>
  <c r="E22" i="46"/>
  <c r="K21" i="46"/>
  <c r="J21" i="46"/>
  <c r="I21" i="46"/>
  <c r="H21" i="46"/>
  <c r="E21" i="46"/>
  <c r="K20" i="46"/>
  <c r="J20" i="46"/>
  <c r="I20" i="46"/>
  <c r="H20" i="46"/>
  <c r="E20" i="46"/>
  <c r="K19" i="46"/>
  <c r="J19" i="46"/>
  <c r="I19" i="46"/>
  <c r="H19" i="46"/>
  <c r="E19" i="46"/>
  <c r="K18" i="46"/>
  <c r="J18" i="46"/>
  <c r="I18" i="46"/>
  <c r="E18" i="46"/>
  <c r="H18" i="46" s="1"/>
  <c r="K17" i="46"/>
  <c r="J17" i="46"/>
  <c r="I17" i="46"/>
  <c r="E17" i="46"/>
  <c r="H17" i="46" s="1"/>
  <c r="K16" i="46"/>
  <c r="J16" i="46"/>
  <c r="I16" i="46"/>
  <c r="E16" i="46"/>
  <c r="H16" i="46" s="1"/>
  <c r="K15" i="46"/>
  <c r="J15" i="46"/>
  <c r="I15" i="46"/>
  <c r="E15" i="46"/>
  <c r="H15" i="46" s="1"/>
  <c r="B9" i="46"/>
  <c r="B8" i="46"/>
  <c r="B7" i="46"/>
  <c r="C9" i="50"/>
  <c r="B9" i="48"/>
  <c r="B8" i="48"/>
  <c r="B7" i="48"/>
  <c r="C5" i="50"/>
  <c r="C8" i="50"/>
  <c r="C3" i="50"/>
  <c r="C4" i="50"/>
  <c r="A28" i="38" s="1"/>
  <c r="B3" i="48"/>
  <c r="B3" i="46" s="1"/>
  <c r="B4" i="48"/>
  <c r="B4" i="46"/>
  <c r="A26" i="38" s="1"/>
  <c r="A6" i="46"/>
  <c r="A6" i="48" s="1"/>
  <c r="A6" i="82" s="1"/>
  <c r="A7" i="46"/>
  <c r="A7" i="48" s="1"/>
  <c r="A7" i="82" s="1"/>
  <c r="A8" i="46"/>
  <c r="A8" i="77" s="1"/>
  <c r="A9" i="46"/>
  <c r="A9" i="48" s="1"/>
  <c r="A9" i="82" s="1"/>
  <c r="A5" i="46"/>
  <c r="A5" i="77" s="1"/>
  <c r="K37" i="46"/>
  <c r="J37" i="46"/>
  <c r="I37" i="46"/>
  <c r="E37" i="46"/>
  <c r="H37" i="46"/>
  <c r="K36" i="46"/>
  <c r="J36" i="46"/>
  <c r="I36" i="46"/>
  <c r="E36" i="46"/>
  <c r="H36" i="46"/>
  <c r="M36" i="46" s="1"/>
  <c r="P36" i="46" s="1"/>
  <c r="K14" i="46"/>
  <c r="J14" i="46"/>
  <c r="I14" i="46"/>
  <c r="E14" i="46"/>
  <c r="H14" i="46"/>
  <c r="B4" i="38"/>
  <c r="J21" i="43"/>
  <c r="K21" i="43" s="1"/>
  <c r="J22" i="43"/>
  <c r="J23" i="43"/>
  <c r="K23" i="43" s="1"/>
  <c r="J24" i="43"/>
  <c r="K24" i="43" s="1"/>
  <c r="L25" i="43"/>
  <c r="L26" i="43"/>
  <c r="L23" i="43"/>
  <c r="L21" i="43"/>
  <c r="L24" i="43"/>
  <c r="L22" i="43"/>
  <c r="J18" i="44"/>
  <c r="K18" i="44" s="1"/>
  <c r="J21" i="44"/>
  <c r="J23" i="44"/>
  <c r="J22" i="44"/>
  <c r="J20" i="44"/>
  <c r="G17" i="39" l="1"/>
  <c r="M74" i="69"/>
  <c r="N74" i="69" s="1"/>
  <c r="L74" i="69"/>
  <c r="M86" i="69"/>
  <c r="N86" i="69" s="1"/>
  <c r="L86" i="69"/>
  <c r="M100" i="69"/>
  <c r="L100" i="69"/>
  <c r="L118" i="69"/>
  <c r="M118" i="69"/>
  <c r="L130" i="69"/>
  <c r="M130" i="69"/>
  <c r="M143" i="69"/>
  <c r="N143" i="69" s="1"/>
  <c r="L143" i="69"/>
  <c r="M151" i="69"/>
  <c r="L151" i="69"/>
  <c r="M165" i="69"/>
  <c r="L165" i="69"/>
  <c r="L180" i="69"/>
  <c r="M180" i="69"/>
  <c r="N180" i="69" s="1"/>
  <c r="L188" i="69"/>
  <c r="M188" i="69"/>
  <c r="L200" i="69"/>
  <c r="M200" i="69"/>
  <c r="L208" i="69"/>
  <c r="M208" i="69"/>
  <c r="M217" i="69"/>
  <c r="L217" i="69"/>
  <c r="L233" i="69"/>
  <c r="M233" i="69"/>
  <c r="M375" i="69"/>
  <c r="L375" i="69"/>
  <c r="L386" i="69"/>
  <c r="M386" i="69"/>
  <c r="L398" i="69"/>
  <c r="M398" i="69"/>
  <c r="N398" i="69" s="1"/>
  <c r="L406" i="69"/>
  <c r="M406" i="69"/>
  <c r="L416" i="69"/>
  <c r="M416" i="69"/>
  <c r="M425" i="69"/>
  <c r="L425" i="69"/>
  <c r="M433" i="69"/>
  <c r="L433" i="69"/>
  <c r="M441" i="69"/>
  <c r="L441" i="69"/>
  <c r="M450" i="69"/>
  <c r="L450" i="69"/>
  <c r="M458" i="69"/>
  <c r="L458" i="69"/>
  <c r="L467" i="69"/>
  <c r="M467" i="69"/>
  <c r="L475" i="69"/>
  <c r="M475" i="69"/>
  <c r="M484" i="69"/>
  <c r="L484" i="69"/>
  <c r="L492" i="69"/>
  <c r="M492" i="69"/>
  <c r="M501" i="69"/>
  <c r="N501" i="69" s="1"/>
  <c r="L501" i="69"/>
  <c r="L509" i="69"/>
  <c r="M509" i="69"/>
  <c r="L518" i="69"/>
  <c r="M518" i="69"/>
  <c r="L526" i="69"/>
  <c r="M526" i="69"/>
  <c r="L535" i="69"/>
  <c r="N535" i="69" s="1"/>
  <c r="M535" i="69"/>
  <c r="L546" i="69"/>
  <c r="M546" i="69"/>
  <c r="L554" i="69"/>
  <c r="M554" i="69"/>
  <c r="L562" i="69"/>
  <c r="M562" i="69"/>
  <c r="L391" i="69"/>
  <c r="M391" i="69"/>
  <c r="L390" i="69"/>
  <c r="M390" i="69"/>
  <c r="L75" i="69"/>
  <c r="M75" i="69"/>
  <c r="L87" i="69"/>
  <c r="M87" i="69"/>
  <c r="L102" i="69"/>
  <c r="M102" i="69"/>
  <c r="M111" i="69"/>
  <c r="L111" i="69"/>
  <c r="M119" i="69"/>
  <c r="L119" i="69"/>
  <c r="M131" i="69"/>
  <c r="L131" i="69"/>
  <c r="L144" i="69"/>
  <c r="M144" i="69"/>
  <c r="L152" i="69"/>
  <c r="M152" i="69"/>
  <c r="L166" i="69"/>
  <c r="M166" i="69"/>
  <c r="M181" i="69"/>
  <c r="L181" i="69"/>
  <c r="M189" i="69"/>
  <c r="N189" i="69" s="1"/>
  <c r="L189" i="69"/>
  <c r="M201" i="69"/>
  <c r="L201" i="69"/>
  <c r="M209" i="69"/>
  <c r="L209" i="69"/>
  <c r="L218" i="69"/>
  <c r="M218" i="69"/>
  <c r="M235" i="69"/>
  <c r="N235" i="69" s="1"/>
  <c r="L235" i="69"/>
  <c r="M376" i="69"/>
  <c r="L376" i="69"/>
  <c r="L387" i="69"/>
  <c r="M387" i="69"/>
  <c r="L399" i="69"/>
  <c r="M399" i="69"/>
  <c r="M408" i="69"/>
  <c r="N408" i="69" s="1"/>
  <c r="L408" i="69"/>
  <c r="M417" i="69"/>
  <c r="L417" i="69"/>
  <c r="M426" i="69"/>
  <c r="L426" i="69"/>
  <c r="M434" i="69"/>
  <c r="L434" i="69"/>
  <c r="M442" i="69"/>
  <c r="N442" i="69" s="1"/>
  <c r="L442" i="69"/>
  <c r="L451" i="69"/>
  <c r="M451" i="69"/>
  <c r="L459" i="69"/>
  <c r="M459" i="69"/>
  <c r="L468" i="69"/>
  <c r="M468" i="69"/>
  <c r="M476" i="69"/>
  <c r="N476" i="69" s="1"/>
  <c r="L476" i="69"/>
  <c r="L485" i="69"/>
  <c r="M485" i="69"/>
  <c r="L493" i="69"/>
  <c r="M493" i="69"/>
  <c r="M502" i="69"/>
  <c r="L502" i="69"/>
  <c r="M510" i="69"/>
  <c r="N510" i="69" s="1"/>
  <c r="L510" i="69"/>
  <c r="L519" i="69"/>
  <c r="M519" i="69"/>
  <c r="L527" i="69"/>
  <c r="M527" i="69"/>
  <c r="M536" i="69"/>
  <c r="L536" i="69"/>
  <c r="L547" i="69"/>
  <c r="M547" i="69"/>
  <c r="L555" i="69"/>
  <c r="M555" i="69"/>
  <c r="L563" i="69"/>
  <c r="M563" i="69"/>
  <c r="M76" i="69"/>
  <c r="L76" i="69"/>
  <c r="M88" i="69"/>
  <c r="N88" i="69" s="1"/>
  <c r="L88" i="69"/>
  <c r="M103" i="69"/>
  <c r="L103" i="69"/>
  <c r="L112" i="69"/>
  <c r="M112" i="69"/>
  <c r="L120" i="69"/>
  <c r="M120" i="69"/>
  <c r="L132" i="69"/>
  <c r="M132" i="69"/>
  <c r="M145" i="69"/>
  <c r="L145" i="69"/>
  <c r="M153" i="69"/>
  <c r="L153" i="69"/>
  <c r="M167" i="69"/>
  <c r="L167" i="69"/>
  <c r="L182" i="69"/>
  <c r="M182" i="69"/>
  <c r="L190" i="69"/>
  <c r="M190" i="69"/>
  <c r="L202" i="69"/>
  <c r="M202" i="69"/>
  <c r="L210" i="69"/>
  <c r="M210" i="69"/>
  <c r="M219" i="69"/>
  <c r="L219" i="69"/>
  <c r="L236" i="69"/>
  <c r="M236" i="69"/>
  <c r="M377" i="69"/>
  <c r="L377" i="69"/>
  <c r="M388" i="69"/>
  <c r="L388" i="69"/>
  <c r="M400" i="69"/>
  <c r="N400" i="69" s="1"/>
  <c r="L400" i="69"/>
  <c r="M409" i="69"/>
  <c r="L409" i="69"/>
  <c r="M418" i="69"/>
  <c r="L418" i="69"/>
  <c r="L427" i="69"/>
  <c r="M427" i="69"/>
  <c r="L435" i="69"/>
  <c r="M435" i="69"/>
  <c r="L444" i="69"/>
  <c r="M444" i="69"/>
  <c r="L452" i="69"/>
  <c r="M452" i="69"/>
  <c r="M460" i="69"/>
  <c r="L460" i="69"/>
  <c r="L469" i="69"/>
  <c r="M469" i="69"/>
  <c r="N469" i="69" s="1"/>
  <c r="L477" i="69"/>
  <c r="M477" i="69"/>
  <c r="M486" i="69"/>
  <c r="L486" i="69"/>
  <c r="M494" i="69"/>
  <c r="L494" i="69"/>
  <c r="L503" i="69"/>
  <c r="M503" i="69"/>
  <c r="N503" i="69" s="1"/>
  <c r="L511" i="69"/>
  <c r="M511" i="69"/>
  <c r="M520" i="69"/>
  <c r="L520" i="69"/>
  <c r="M528" i="69"/>
  <c r="L528" i="69"/>
  <c r="L537" i="69"/>
  <c r="M537" i="69"/>
  <c r="N537" i="69" s="1"/>
  <c r="M548" i="69"/>
  <c r="L548" i="69"/>
  <c r="M556" i="69"/>
  <c r="L556" i="69"/>
  <c r="L577" i="69"/>
  <c r="M577" i="69"/>
  <c r="L85" i="69"/>
  <c r="M85" i="69"/>
  <c r="N85" i="69" s="1"/>
  <c r="L93" i="69"/>
  <c r="M93" i="69"/>
  <c r="M129" i="69"/>
  <c r="L129" i="69"/>
  <c r="L164" i="69"/>
  <c r="M164" i="69"/>
  <c r="M187" i="69"/>
  <c r="L187" i="69"/>
  <c r="M199" i="69"/>
  <c r="L199" i="69"/>
  <c r="L374" i="69"/>
  <c r="M374" i="69"/>
  <c r="M385" i="69"/>
  <c r="L385" i="69"/>
  <c r="M405" i="69"/>
  <c r="L405" i="69"/>
  <c r="L423" i="69"/>
  <c r="M423" i="69"/>
  <c r="L432" i="69"/>
  <c r="M432" i="69"/>
  <c r="L449" i="69"/>
  <c r="M449" i="69"/>
  <c r="L457" i="69"/>
  <c r="M457" i="69"/>
  <c r="M474" i="69"/>
  <c r="L474" i="69"/>
  <c r="L500" i="69"/>
  <c r="M500" i="69"/>
  <c r="M516" i="69"/>
  <c r="L516" i="69"/>
  <c r="L534" i="69"/>
  <c r="M534" i="69"/>
  <c r="M544" i="69"/>
  <c r="L544" i="69"/>
  <c r="L553" i="69"/>
  <c r="M553" i="69"/>
  <c r="L561" i="69"/>
  <c r="M561" i="69"/>
  <c r="L69" i="69"/>
  <c r="M69" i="69"/>
  <c r="L77" i="69"/>
  <c r="M77" i="69"/>
  <c r="N77" i="69" s="1"/>
  <c r="L89" i="69"/>
  <c r="M89" i="69"/>
  <c r="L104" i="69"/>
  <c r="M104" i="69"/>
  <c r="M113" i="69"/>
  <c r="L113" i="69"/>
  <c r="M121" i="69"/>
  <c r="L121" i="69"/>
  <c r="N121" i="69" s="1"/>
  <c r="M133" i="69"/>
  <c r="L133" i="69"/>
  <c r="L146" i="69"/>
  <c r="M146" i="69"/>
  <c r="L154" i="69"/>
  <c r="M154" i="69"/>
  <c r="L168" i="69"/>
  <c r="M168" i="69"/>
  <c r="N168" i="69" s="1"/>
  <c r="M183" i="69"/>
  <c r="L183" i="69"/>
  <c r="M195" i="69"/>
  <c r="L195" i="69"/>
  <c r="M203" i="69"/>
  <c r="L203" i="69"/>
  <c r="M211" i="69"/>
  <c r="L211" i="69"/>
  <c r="L220" i="69"/>
  <c r="M220" i="69"/>
  <c r="M369" i="69"/>
  <c r="L369" i="69"/>
  <c r="L378" i="69"/>
  <c r="M378" i="69"/>
  <c r="N378" i="69" s="1"/>
  <c r="M389" i="69"/>
  <c r="L389" i="69"/>
  <c r="M401" i="69"/>
  <c r="L401" i="69"/>
  <c r="L410" i="69"/>
  <c r="M410" i="69"/>
  <c r="L419" i="69"/>
  <c r="M419" i="69"/>
  <c r="N419" i="69" s="1"/>
  <c r="L428" i="69"/>
  <c r="M428" i="69"/>
  <c r="N428" i="69" s="1"/>
  <c r="M436" i="69"/>
  <c r="L436" i="69"/>
  <c r="L445" i="69"/>
  <c r="M445" i="69"/>
  <c r="L453" i="69"/>
  <c r="M453" i="69"/>
  <c r="N453" i="69" s="1"/>
  <c r="M462" i="69"/>
  <c r="L462" i="69"/>
  <c r="M470" i="69"/>
  <c r="L470" i="69"/>
  <c r="M478" i="69"/>
  <c r="L478" i="69"/>
  <c r="L487" i="69"/>
  <c r="M487" i="69"/>
  <c r="N487" i="69" s="1"/>
  <c r="L495" i="69"/>
  <c r="M495" i="69"/>
  <c r="N495" i="69" s="1"/>
  <c r="L504" i="69"/>
  <c r="M504" i="69"/>
  <c r="M512" i="69"/>
  <c r="L512" i="69"/>
  <c r="L521" i="69"/>
  <c r="M521" i="69"/>
  <c r="N521" i="69" s="1"/>
  <c r="L529" i="69"/>
  <c r="M529" i="69"/>
  <c r="N529" i="69" s="1"/>
  <c r="L538" i="69"/>
  <c r="F53" i="68" s="1"/>
  <c r="M538" i="69"/>
  <c r="L549" i="69"/>
  <c r="M549" i="69"/>
  <c r="L557" i="69"/>
  <c r="M557" i="69"/>
  <c r="N557" i="69" s="1"/>
  <c r="L578" i="69"/>
  <c r="M578" i="69"/>
  <c r="N578" i="69" s="1"/>
  <c r="L110" i="69"/>
  <c r="M110" i="69"/>
  <c r="M70" i="69"/>
  <c r="L70" i="69"/>
  <c r="M78" i="69"/>
  <c r="L78" i="69"/>
  <c r="M90" i="69"/>
  <c r="L90" i="69"/>
  <c r="M105" i="69"/>
  <c r="L105" i="69"/>
  <c r="L114" i="69"/>
  <c r="M114" i="69"/>
  <c r="L126" i="69"/>
  <c r="M126" i="69"/>
  <c r="N126" i="69" s="1"/>
  <c r="L134" i="69"/>
  <c r="M134" i="69"/>
  <c r="N134" i="69" s="1"/>
  <c r="M147" i="69"/>
  <c r="L147" i="69"/>
  <c r="M161" i="69"/>
  <c r="L161" i="69"/>
  <c r="M169" i="69"/>
  <c r="L169" i="69"/>
  <c r="L184" i="69"/>
  <c r="M184" i="69"/>
  <c r="N184" i="69" s="1"/>
  <c r="L196" i="69"/>
  <c r="M196" i="69"/>
  <c r="L204" i="69"/>
  <c r="M204" i="69"/>
  <c r="L212" i="69"/>
  <c r="M212" i="69"/>
  <c r="N212" i="69" s="1"/>
  <c r="M221" i="69"/>
  <c r="L221" i="69"/>
  <c r="L370" i="69"/>
  <c r="M370" i="69"/>
  <c r="L382" i="69"/>
  <c r="M382" i="69"/>
  <c r="M392" i="69"/>
  <c r="L392" i="69"/>
  <c r="L402" i="69"/>
  <c r="M402" i="69"/>
  <c r="N402" i="69" s="1"/>
  <c r="M411" i="69"/>
  <c r="L411" i="69"/>
  <c r="M420" i="69"/>
  <c r="L420" i="69"/>
  <c r="M429" i="69"/>
  <c r="L429" i="69"/>
  <c r="M437" i="69"/>
  <c r="L437" i="69"/>
  <c r="M446" i="69"/>
  <c r="L446" i="69"/>
  <c r="M454" i="69"/>
  <c r="L454" i="69"/>
  <c r="L463" i="69"/>
  <c r="M463" i="69"/>
  <c r="N463" i="69" s="1"/>
  <c r="L471" i="69"/>
  <c r="M471" i="69"/>
  <c r="N471" i="69" s="1"/>
  <c r="M479" i="69"/>
  <c r="L479" i="69"/>
  <c r="M488" i="69"/>
  <c r="L488" i="69"/>
  <c r="M496" i="69"/>
  <c r="L496" i="69"/>
  <c r="L505" i="69"/>
  <c r="M505" i="69"/>
  <c r="N505" i="69" s="1"/>
  <c r="M513" i="69"/>
  <c r="L513" i="69"/>
  <c r="L522" i="69"/>
  <c r="M522" i="69"/>
  <c r="L530" i="69"/>
  <c r="M530" i="69"/>
  <c r="L539" i="69"/>
  <c r="M539" i="69"/>
  <c r="L550" i="69"/>
  <c r="M550" i="69"/>
  <c r="L558" i="69"/>
  <c r="M558" i="69"/>
  <c r="L579" i="69"/>
  <c r="M579" i="69"/>
  <c r="M72" i="69"/>
  <c r="L72" i="69"/>
  <c r="M84" i="69"/>
  <c r="L84" i="69"/>
  <c r="M92" i="69"/>
  <c r="L92" i="69"/>
  <c r="M107" i="69"/>
  <c r="L107" i="69"/>
  <c r="L116" i="69"/>
  <c r="M116" i="69"/>
  <c r="L128" i="69"/>
  <c r="M128" i="69"/>
  <c r="L136" i="69"/>
  <c r="M136" i="69"/>
  <c r="M149" i="69"/>
  <c r="L149" i="69"/>
  <c r="M163" i="69"/>
  <c r="L163" i="69"/>
  <c r="M171" i="69"/>
  <c r="L171" i="69"/>
  <c r="L186" i="69"/>
  <c r="M186" i="69"/>
  <c r="L198" i="69"/>
  <c r="M198" i="69"/>
  <c r="L206" i="69"/>
  <c r="M206" i="69"/>
  <c r="M215" i="69"/>
  <c r="L215" i="69"/>
  <c r="M227" i="69"/>
  <c r="L227" i="69"/>
  <c r="M372" i="69"/>
  <c r="L372" i="69"/>
  <c r="M384" i="69"/>
  <c r="L384" i="69"/>
  <c r="M396" i="69"/>
  <c r="L396" i="69"/>
  <c r="M404" i="69"/>
  <c r="L404" i="69"/>
  <c r="M413" i="69"/>
  <c r="L413" i="69"/>
  <c r="M422" i="69"/>
  <c r="L422" i="69"/>
  <c r="L431" i="69"/>
  <c r="M431" i="69"/>
  <c r="L439" i="69"/>
  <c r="M439" i="69"/>
  <c r="L448" i="69"/>
  <c r="M448" i="69"/>
  <c r="L456" i="69"/>
  <c r="M456" i="69"/>
  <c r="N456" i="69" s="1"/>
  <c r="L465" i="69"/>
  <c r="M465" i="69"/>
  <c r="L473" i="69"/>
  <c r="M473" i="69"/>
  <c r="M482" i="69"/>
  <c r="L482" i="69"/>
  <c r="M490" i="69"/>
  <c r="L490" i="69"/>
  <c r="M498" i="69"/>
  <c r="L498" i="69"/>
  <c r="M507" i="69"/>
  <c r="L507" i="69"/>
  <c r="L515" i="69"/>
  <c r="M515" i="69"/>
  <c r="M524" i="69"/>
  <c r="L524" i="69"/>
  <c r="M532" i="69"/>
  <c r="L532" i="69"/>
  <c r="L543" i="69"/>
  <c r="M543" i="69"/>
  <c r="M552" i="69"/>
  <c r="L552" i="69"/>
  <c r="M560" i="69"/>
  <c r="L560" i="69"/>
  <c r="L581" i="69"/>
  <c r="M581" i="69"/>
  <c r="L73" i="69"/>
  <c r="F15" i="68" s="1"/>
  <c r="M73" i="69"/>
  <c r="L108" i="69"/>
  <c r="M108" i="69"/>
  <c r="M117" i="69"/>
  <c r="L117" i="69"/>
  <c r="N117" i="69" s="1"/>
  <c r="M137" i="69"/>
  <c r="L137" i="69"/>
  <c r="L150" i="69"/>
  <c r="M150" i="69"/>
  <c r="L172" i="69"/>
  <c r="M172" i="69"/>
  <c r="M207" i="69"/>
  <c r="L207" i="69"/>
  <c r="L216" i="69"/>
  <c r="M216" i="69"/>
  <c r="L232" i="69"/>
  <c r="M232" i="69"/>
  <c r="M397" i="69"/>
  <c r="L397" i="69"/>
  <c r="L415" i="69"/>
  <c r="M415" i="69"/>
  <c r="N415" i="69" s="1"/>
  <c r="L440" i="69"/>
  <c r="M440" i="69"/>
  <c r="M466" i="69"/>
  <c r="L466" i="69"/>
  <c r="L483" i="69"/>
  <c r="M483" i="69"/>
  <c r="M491" i="69"/>
  <c r="L491" i="69"/>
  <c r="L508" i="69"/>
  <c r="M508" i="69"/>
  <c r="L525" i="69"/>
  <c r="M525" i="69"/>
  <c r="L71" i="69"/>
  <c r="M71" i="69"/>
  <c r="L79" i="69"/>
  <c r="M79" i="69"/>
  <c r="N79" i="69" s="1"/>
  <c r="L91" i="69"/>
  <c r="M91" i="69"/>
  <c r="L106" i="69"/>
  <c r="M106" i="69"/>
  <c r="M115" i="69"/>
  <c r="L115" i="69"/>
  <c r="M127" i="69"/>
  <c r="L127" i="69"/>
  <c r="M135" i="69"/>
  <c r="L135" i="69"/>
  <c r="L148" i="69"/>
  <c r="M148" i="69"/>
  <c r="L162" i="69"/>
  <c r="M162" i="69"/>
  <c r="L170" i="69"/>
  <c r="M170" i="69"/>
  <c r="N170" i="69" s="1"/>
  <c r="M185" i="69"/>
  <c r="L185" i="69"/>
  <c r="M197" i="69"/>
  <c r="L197" i="69"/>
  <c r="M205" i="69"/>
  <c r="L205" i="69"/>
  <c r="L214" i="69"/>
  <c r="M214" i="69"/>
  <c r="N214" i="69" s="1"/>
  <c r="L226" i="69"/>
  <c r="M226" i="69"/>
  <c r="M371" i="69"/>
  <c r="L371" i="69"/>
  <c r="L383" i="69"/>
  <c r="M383" i="69"/>
  <c r="M393" i="69"/>
  <c r="L393" i="69"/>
  <c r="M403" i="69"/>
  <c r="L403" i="69"/>
  <c r="M412" i="69"/>
  <c r="L412" i="69"/>
  <c r="M421" i="69"/>
  <c r="L421" i="69"/>
  <c r="M430" i="69"/>
  <c r="L430" i="69"/>
  <c r="M438" i="69"/>
  <c r="L438" i="69"/>
  <c r="L447" i="69"/>
  <c r="M447" i="69"/>
  <c r="L455" i="69"/>
  <c r="M455" i="69"/>
  <c r="L464" i="69"/>
  <c r="M464" i="69"/>
  <c r="N464" i="69" s="1"/>
  <c r="M472" i="69"/>
  <c r="L472" i="69"/>
  <c r="L480" i="69"/>
  <c r="M480" i="69"/>
  <c r="L489" i="69"/>
  <c r="M489" i="69"/>
  <c r="L497" i="69"/>
  <c r="M497" i="69"/>
  <c r="N497" i="69" s="1"/>
  <c r="M506" i="69"/>
  <c r="L506" i="69"/>
  <c r="L514" i="69"/>
  <c r="M514" i="69"/>
  <c r="L523" i="69"/>
  <c r="M523" i="69"/>
  <c r="L531" i="69"/>
  <c r="M531" i="69"/>
  <c r="N531" i="69" s="1"/>
  <c r="L542" i="69"/>
  <c r="M542" i="69"/>
  <c r="L551" i="69"/>
  <c r="M551" i="69"/>
  <c r="L559" i="69"/>
  <c r="M559" i="69"/>
  <c r="M580" i="69"/>
  <c r="L580" i="69"/>
  <c r="P32" i="64"/>
  <c r="I51" i="39" s="1"/>
  <c r="P33" i="64"/>
  <c r="I52" i="39" s="1"/>
  <c r="P34" i="64"/>
  <c r="I53" i="39" s="1"/>
  <c r="P37" i="64"/>
  <c r="I56" i="39" s="1"/>
  <c r="P38" i="64"/>
  <c r="I57" i="39" s="1"/>
  <c r="P35" i="64"/>
  <c r="I54" i="39" s="1"/>
  <c r="P31" i="64"/>
  <c r="I47" i="39" s="1"/>
  <c r="P39" i="64"/>
  <c r="I60" i="39" s="1"/>
  <c r="O40" i="64"/>
  <c r="H65" i="76"/>
  <c r="N40" i="64"/>
  <c r="O59" i="50"/>
  <c r="Q59" i="50" s="1"/>
  <c r="O22" i="50"/>
  <c r="Q22" i="50" s="1"/>
  <c r="O36" i="50"/>
  <c r="Q36" i="50" s="1"/>
  <c r="O44" i="50"/>
  <c r="Q44" i="50" s="1"/>
  <c r="M64" i="50"/>
  <c r="P64" i="50" s="1"/>
  <c r="M62" i="50"/>
  <c r="O23" i="50"/>
  <c r="Q23" i="50" s="1"/>
  <c r="O33" i="50"/>
  <c r="Q33" i="50" s="1"/>
  <c r="O37" i="50"/>
  <c r="Q37" i="50" s="1"/>
  <c r="O41" i="50"/>
  <c r="Q41" i="50" s="1"/>
  <c r="O45" i="50"/>
  <c r="Q45" i="50" s="1"/>
  <c r="O52" i="50"/>
  <c r="Q52" i="50" s="1"/>
  <c r="O56" i="50"/>
  <c r="Q56" i="50" s="1"/>
  <c r="O60" i="50"/>
  <c r="Q60" i="50" s="1"/>
  <c r="L57" i="39" s="1"/>
  <c r="F69" i="68"/>
  <c r="E69" i="68"/>
  <c r="G70" i="68"/>
  <c r="M70" i="68" s="1"/>
  <c r="J61" i="39" s="1"/>
  <c r="G69" i="68"/>
  <c r="M69" i="68" s="1"/>
  <c r="F70" i="68"/>
  <c r="E70" i="68"/>
  <c r="F62" i="68"/>
  <c r="E62" i="68"/>
  <c r="F63" i="68"/>
  <c r="E61" i="68"/>
  <c r="G63" i="68"/>
  <c r="M63" i="68" s="1"/>
  <c r="G62" i="68"/>
  <c r="M62" i="68" s="1"/>
  <c r="G61" i="68"/>
  <c r="M61" i="68" s="1"/>
  <c r="E63" i="68"/>
  <c r="F61" i="68"/>
  <c r="E56" i="68"/>
  <c r="E57" i="68"/>
  <c r="G57" i="68"/>
  <c r="M57" i="68" s="1"/>
  <c r="G56" i="68"/>
  <c r="M56" i="68" s="1"/>
  <c r="F57" i="68"/>
  <c r="F56" i="68"/>
  <c r="G26" i="68"/>
  <c r="M26" i="68" s="1"/>
  <c r="G25" i="68"/>
  <c r="M25" i="68" s="1"/>
  <c r="G22" i="68"/>
  <c r="M22" i="68" s="1"/>
  <c r="G23" i="68"/>
  <c r="M23" i="68" s="1"/>
  <c r="G27" i="68"/>
  <c r="M27" i="68" s="1"/>
  <c r="G24" i="68"/>
  <c r="M24" i="68" s="1"/>
  <c r="F27" i="68"/>
  <c r="F26" i="68"/>
  <c r="F25" i="68"/>
  <c r="F24" i="68"/>
  <c r="F23" i="68"/>
  <c r="F22" i="68"/>
  <c r="E27" i="68"/>
  <c r="E26" i="68"/>
  <c r="E25" i="68"/>
  <c r="E24" i="68"/>
  <c r="E23" i="68"/>
  <c r="E22" i="68"/>
  <c r="G12" i="68"/>
  <c r="M12" i="68" s="1"/>
  <c r="G13" i="68"/>
  <c r="M13" i="68" s="1"/>
  <c r="F12" i="68"/>
  <c r="F13" i="68"/>
  <c r="E12" i="68"/>
  <c r="E13" i="68"/>
  <c r="E15" i="68"/>
  <c r="E14" i="68"/>
  <c r="F14" i="68"/>
  <c r="K53" i="71"/>
  <c r="K35" i="44"/>
  <c r="G53" i="39" s="1"/>
  <c r="K32" i="44"/>
  <c r="G49" i="39" s="1"/>
  <c r="K34" i="44"/>
  <c r="G52" i="39" s="1"/>
  <c r="K37" i="44"/>
  <c r="G55" i="39" s="1"/>
  <c r="K36" i="44"/>
  <c r="G54" i="39" s="1"/>
  <c r="K22" i="44"/>
  <c r="G21" i="39" s="1"/>
  <c r="K23" i="44"/>
  <c r="G22" i="39" s="1"/>
  <c r="K38" i="44"/>
  <c r="G56" i="39" s="1"/>
  <c r="K40" i="44"/>
  <c r="G58" i="39" s="1"/>
  <c r="K20" i="44"/>
  <c r="G19" i="39" s="1"/>
  <c r="K39" i="44"/>
  <c r="G57" i="39" s="1"/>
  <c r="K19" i="44"/>
  <c r="K21" i="44"/>
  <c r="G20" i="39" s="1"/>
  <c r="K31" i="44"/>
  <c r="G48" i="39" s="1"/>
  <c r="K41" i="44"/>
  <c r="G85" i="39" s="1"/>
  <c r="K33" i="44"/>
  <c r="G51" i="39" s="1"/>
  <c r="F28" i="39"/>
  <c r="F13" i="39"/>
  <c r="F69" i="39"/>
  <c r="F14" i="39"/>
  <c r="F63" i="39"/>
  <c r="F15" i="39"/>
  <c r="F68" i="39"/>
  <c r="F64" i="39"/>
  <c r="F23" i="39"/>
  <c r="F24" i="39"/>
  <c r="F25" i="39"/>
  <c r="F70" i="39"/>
  <c r="F26" i="39"/>
  <c r="F62" i="39"/>
  <c r="F61" i="39"/>
  <c r="F27" i="39"/>
  <c r="N26" i="43"/>
  <c r="O26" i="43" s="1"/>
  <c r="E19" i="39"/>
  <c r="O24" i="50"/>
  <c r="Q24" i="50" s="1"/>
  <c r="O34" i="50"/>
  <c r="Q34" i="50" s="1"/>
  <c r="L30" i="39" s="1"/>
  <c r="O38" i="50"/>
  <c r="Q38" i="50" s="1"/>
  <c r="L34" i="39" s="1"/>
  <c r="O42" i="50"/>
  <c r="Q42" i="50" s="1"/>
  <c r="L38" i="39" s="1"/>
  <c r="O46" i="50"/>
  <c r="Q46" i="50" s="1"/>
  <c r="L42" i="39" s="1"/>
  <c r="O53" i="50"/>
  <c r="Q53" i="50" s="1"/>
  <c r="O57" i="50"/>
  <c r="Q57" i="50" s="1"/>
  <c r="L54" i="39" s="1"/>
  <c r="O61" i="50"/>
  <c r="Q61" i="50" s="1"/>
  <c r="L58" i="39" s="1"/>
  <c r="O25" i="50"/>
  <c r="Q25" i="50" s="1"/>
  <c r="O35" i="50"/>
  <c r="Q35" i="50" s="1"/>
  <c r="L31" i="39" s="1"/>
  <c r="O39" i="50"/>
  <c r="Q39" i="50" s="1"/>
  <c r="O43" i="50"/>
  <c r="Q43" i="50" s="1"/>
  <c r="L39" i="39" s="1"/>
  <c r="O47" i="50"/>
  <c r="Q47" i="50" s="1"/>
  <c r="L43" i="39" s="1"/>
  <c r="O54" i="50"/>
  <c r="Q54" i="50" s="1"/>
  <c r="O58" i="50"/>
  <c r="Q58" i="50" s="1"/>
  <c r="H19" i="67"/>
  <c r="H21" i="67"/>
  <c r="L48" i="39"/>
  <c r="L52" i="39"/>
  <c r="O21" i="50"/>
  <c r="Q21" i="50" s="1"/>
  <c r="A6" i="77"/>
  <c r="M15" i="46"/>
  <c r="P15" i="46" s="1"/>
  <c r="M20" i="46"/>
  <c r="P20" i="46" s="1"/>
  <c r="M22" i="46"/>
  <c r="P22" i="46" s="1"/>
  <c r="M25" i="46"/>
  <c r="P25" i="46" s="1"/>
  <c r="M28" i="46"/>
  <c r="P28" i="46" s="1"/>
  <c r="M30" i="46"/>
  <c r="P30" i="46" s="1"/>
  <c r="M33" i="46"/>
  <c r="P33" i="46" s="1"/>
  <c r="H20" i="67"/>
  <c r="I46" i="73"/>
  <c r="N59" i="39" s="1"/>
  <c r="I38" i="73"/>
  <c r="N51" i="39" s="1"/>
  <c r="I49" i="73"/>
  <c r="N62" i="39" s="1"/>
  <c r="K17" i="72"/>
  <c r="K18" i="71"/>
  <c r="K34" i="71"/>
  <c r="H35" i="39" s="1"/>
  <c r="K23" i="72"/>
  <c r="M71" i="39" s="1"/>
  <c r="K28" i="72"/>
  <c r="K30" i="71"/>
  <c r="H31" i="39" s="1"/>
  <c r="K21" i="71"/>
  <c r="H20" i="39" s="1"/>
  <c r="K33" i="71"/>
  <c r="H34" i="39" s="1"/>
  <c r="K31" i="71"/>
  <c r="H32" i="39" s="1"/>
  <c r="N25" i="43"/>
  <c r="O25" i="43" s="1"/>
  <c r="N23" i="43"/>
  <c r="O23" i="43" s="1"/>
  <c r="F19" i="39" s="1"/>
  <c r="I42" i="73"/>
  <c r="N55" i="39" s="1"/>
  <c r="I26" i="73"/>
  <c r="N21" i="39" s="1"/>
  <c r="I43" i="73"/>
  <c r="N56" i="39" s="1"/>
  <c r="I39" i="73"/>
  <c r="N52" i="39" s="1"/>
  <c r="I37" i="73"/>
  <c r="N50" i="39" s="1"/>
  <c r="K39" i="71"/>
  <c r="H48" i="39" s="1"/>
  <c r="K35" i="71"/>
  <c r="H37" i="39" s="1"/>
  <c r="N36" i="43"/>
  <c r="O36" i="43" s="1"/>
  <c r="F58" i="39" s="1"/>
  <c r="A8" i="48"/>
  <c r="A8" i="82" s="1"/>
  <c r="F59" i="39"/>
  <c r="K20" i="71"/>
  <c r="H19" i="39" s="1"/>
  <c r="K36" i="71"/>
  <c r="H38" i="39" s="1"/>
  <c r="I27" i="73"/>
  <c r="N22" i="39" s="1"/>
  <c r="I40" i="73"/>
  <c r="N53" i="39" s="1"/>
  <c r="K19" i="72"/>
  <c r="M67" i="39" s="1"/>
  <c r="K40" i="71"/>
  <c r="H49" i="39" s="1"/>
  <c r="N33" i="43"/>
  <c r="O33" i="43" s="1"/>
  <c r="F48" i="39" s="1"/>
  <c r="K41" i="71"/>
  <c r="H50" i="39" s="1"/>
  <c r="I45" i="73"/>
  <c r="N58" i="39" s="1"/>
  <c r="I22" i="73"/>
  <c r="N17" i="39" s="1"/>
  <c r="M34" i="46"/>
  <c r="P34" i="46" s="1"/>
  <c r="F52" i="39"/>
  <c r="K23" i="71"/>
  <c r="H22" i="39" s="1"/>
  <c r="M27" i="46"/>
  <c r="P27" i="46" s="1"/>
  <c r="F71" i="39"/>
  <c r="H18" i="67"/>
  <c r="K36" i="43"/>
  <c r="I234" i="69"/>
  <c r="M19" i="46"/>
  <c r="P19" i="46" s="1"/>
  <c r="M21" i="46"/>
  <c r="P21" i="46" s="1"/>
  <c r="M24" i="46"/>
  <c r="P24" i="46" s="1"/>
  <c r="M29" i="46"/>
  <c r="P29" i="46" s="1"/>
  <c r="M32" i="46"/>
  <c r="P32" i="46" s="1"/>
  <c r="A5" i="48"/>
  <c r="A5" i="82" s="1"/>
  <c r="N22" i="43"/>
  <c r="O22" i="43" s="1"/>
  <c r="F18" i="39" s="1"/>
  <c r="M37" i="46"/>
  <c r="P37" i="46" s="1"/>
  <c r="F76" i="39"/>
  <c r="E18" i="39"/>
  <c r="B5" i="48"/>
  <c r="M17" i="46"/>
  <c r="P17" i="46" s="1"/>
  <c r="L56" i="39"/>
  <c r="K37" i="71"/>
  <c r="H39" i="39" s="1"/>
  <c r="K24" i="72"/>
  <c r="M72" i="39" s="1"/>
  <c r="I35" i="73"/>
  <c r="N48" i="39" s="1"/>
  <c r="K25" i="72"/>
  <c r="M73" i="39" s="1"/>
  <c r="K48" i="71"/>
  <c r="H57" i="39" s="1"/>
  <c r="K44" i="71"/>
  <c r="H53" i="39" s="1"/>
  <c r="K22" i="71"/>
  <c r="H21" i="39" s="1"/>
  <c r="K19" i="71"/>
  <c r="H18" i="39" s="1"/>
  <c r="K32" i="71"/>
  <c r="H33" i="39" s="1"/>
  <c r="F65" i="68"/>
  <c r="F58" i="68"/>
  <c r="F40" i="68"/>
  <c r="F34" i="68"/>
  <c r="F32" i="68"/>
  <c r="F39" i="68"/>
  <c r="F31" i="68"/>
  <c r="F71" i="68"/>
  <c r="F54" i="68"/>
  <c r="F38" i="68"/>
  <c r="F30" i="68"/>
  <c r="F68" i="68"/>
  <c r="F45" i="68"/>
  <c r="F37" i="68"/>
  <c r="F29" i="68"/>
  <c r="F67" i="68"/>
  <c r="F36" i="68"/>
  <c r="F28" i="68"/>
  <c r="F66" i="68"/>
  <c r="F59" i="68"/>
  <c r="F35" i="68"/>
  <c r="F21" i="68"/>
  <c r="F64" i="68"/>
  <c r="F41" i="68"/>
  <c r="F33" i="68"/>
  <c r="A9" i="67"/>
  <c r="A6" i="67"/>
  <c r="A7" i="67"/>
  <c r="F16" i="39"/>
  <c r="F57" i="39"/>
  <c r="F74" i="39"/>
  <c r="I101" i="69"/>
  <c r="A7" i="77"/>
  <c r="F60" i="39"/>
  <c r="F36" i="39"/>
  <c r="A9" i="77"/>
  <c r="F30" i="39"/>
  <c r="F72" i="39"/>
  <c r="F41" i="39"/>
  <c r="N35" i="43"/>
  <c r="O35" i="43" s="1"/>
  <c r="F54" i="39" s="1"/>
  <c r="M16" i="46"/>
  <c r="P16" i="46" s="1"/>
  <c r="M35" i="46"/>
  <c r="P35" i="46" s="1"/>
  <c r="F32" i="39"/>
  <c r="N34" i="43"/>
  <c r="O34" i="43" s="1"/>
  <c r="F49" i="39" s="1"/>
  <c r="F42" i="39"/>
  <c r="N24" i="43"/>
  <c r="O24" i="43" s="1"/>
  <c r="F20" i="39" s="1"/>
  <c r="F35" i="39"/>
  <c r="F29" i="39"/>
  <c r="F43" i="39"/>
  <c r="F81" i="39"/>
  <c r="K22" i="43"/>
  <c r="F66" i="39"/>
  <c r="M18" i="46"/>
  <c r="P18" i="46" s="1"/>
  <c r="M26" i="46"/>
  <c r="P26" i="46" s="1"/>
  <c r="M31" i="46"/>
  <c r="P31" i="46" s="1"/>
  <c r="F33" i="39"/>
  <c r="F85" i="39"/>
  <c r="K18" i="72"/>
  <c r="M66" i="39" s="1"/>
  <c r="I24" i="73"/>
  <c r="N19" i="39" s="1"/>
  <c r="K47" i="71"/>
  <c r="H56" i="39" s="1"/>
  <c r="K43" i="71"/>
  <c r="H52" i="39" s="1"/>
  <c r="K38" i="71"/>
  <c r="H47" i="39" s="1"/>
  <c r="K46" i="71"/>
  <c r="H55" i="39" s="1"/>
  <c r="K42" i="71"/>
  <c r="H51" i="39" s="1"/>
  <c r="K52" i="71"/>
  <c r="K45" i="71"/>
  <c r="H54" i="39" s="1"/>
  <c r="I41" i="73"/>
  <c r="N54" i="39" s="1"/>
  <c r="I44" i="73"/>
  <c r="N57" i="39" s="1"/>
  <c r="I36" i="73"/>
  <c r="N49" i="39" s="1"/>
  <c r="I34" i="73"/>
  <c r="N47" i="39" s="1"/>
  <c r="I25" i="73"/>
  <c r="N20" i="39" s="1"/>
  <c r="I23" i="73"/>
  <c r="N18" i="39" s="1"/>
  <c r="I21" i="73"/>
  <c r="N16" i="39" s="1"/>
  <c r="K26" i="72"/>
  <c r="M74" i="39" s="1"/>
  <c r="K27" i="72"/>
  <c r="L18" i="39"/>
  <c r="L22" i="39"/>
  <c r="L36" i="39"/>
  <c r="M14" i="46"/>
  <c r="P14" i="46" s="1"/>
  <c r="N21" i="43"/>
  <c r="O21" i="43" s="1"/>
  <c r="F17" i="39" s="1"/>
  <c r="G34" i="68"/>
  <c r="M34" i="68" s="1"/>
  <c r="E17" i="68"/>
  <c r="F22" i="39"/>
  <c r="F21" i="39"/>
  <c r="F31" i="39"/>
  <c r="F34" i="39"/>
  <c r="F51" i="39"/>
  <c r="F67" i="39"/>
  <c r="F75" i="39"/>
  <c r="F53" i="39"/>
  <c r="F55" i="39"/>
  <c r="F47" i="39"/>
  <c r="F50" i="39"/>
  <c r="F56" i="39"/>
  <c r="F65" i="39"/>
  <c r="F73" i="39"/>
  <c r="F40" i="39"/>
  <c r="F37" i="39"/>
  <c r="F38" i="39"/>
  <c r="F39" i="39"/>
  <c r="E18" i="68"/>
  <c r="E60" i="68"/>
  <c r="E65" i="68"/>
  <c r="G58" i="68"/>
  <c r="M58" i="68" s="1"/>
  <c r="E36" i="68"/>
  <c r="E41" i="68"/>
  <c r="G68" i="68"/>
  <c r="M68" i="68" s="1"/>
  <c r="E71" i="68"/>
  <c r="E44" i="68"/>
  <c r="E38" i="68"/>
  <c r="G40" i="68"/>
  <c r="M40" i="68" s="1"/>
  <c r="E37" i="68"/>
  <c r="E35" i="68"/>
  <c r="E29" i="68"/>
  <c r="E32" i="68"/>
  <c r="G39" i="68"/>
  <c r="M39" i="68" s="1"/>
  <c r="E30" i="68"/>
  <c r="E55" i="68"/>
  <c r="E46" i="68"/>
  <c r="G66" i="68"/>
  <c r="M66" i="68" s="1"/>
  <c r="G64" i="68"/>
  <c r="M64" i="68" s="1"/>
  <c r="G59" i="68"/>
  <c r="M59" i="68" s="1"/>
  <c r="E54" i="68"/>
  <c r="E47" i="68"/>
  <c r="E45" i="68"/>
  <c r="E21" i="68"/>
  <c r="E66" i="68"/>
  <c r="E59" i="68"/>
  <c r="E52" i="68"/>
  <c r="E43" i="68"/>
  <c r="G65" i="68"/>
  <c r="M65" i="68" s="1"/>
  <c r="E68" i="68"/>
  <c r="E53" i="68"/>
  <c r="E39" i="68"/>
  <c r="E33" i="68"/>
  <c r="E34" i="68"/>
  <c r="E40" i="68"/>
  <c r="E28" i="68"/>
  <c r="E48" i="68"/>
  <c r="E67" i="68"/>
  <c r="E58" i="68"/>
  <c r="E51" i="68"/>
  <c r="E50" i="68"/>
  <c r="E19" i="68"/>
  <c r="G67" i="68"/>
  <c r="M67" i="68" s="1"/>
  <c r="J81" i="39" s="1"/>
  <c r="E64" i="68"/>
  <c r="E42" i="68"/>
  <c r="E49" i="68"/>
  <c r="G41" i="68"/>
  <c r="M41" i="68" s="1"/>
  <c r="E31" i="68"/>
  <c r="G71" i="68"/>
  <c r="M71" i="68" s="1"/>
  <c r="J62" i="39" s="1"/>
  <c r="N542" i="69" l="1"/>
  <c r="N438" i="69"/>
  <c r="N226" i="69"/>
  <c r="N91" i="69"/>
  <c r="N508" i="69"/>
  <c r="N440" i="69"/>
  <c r="N216" i="69"/>
  <c r="N581" i="69"/>
  <c r="N465" i="69"/>
  <c r="N431" i="69"/>
  <c r="N215" i="69"/>
  <c r="N128" i="69"/>
  <c r="N550" i="69"/>
  <c r="N370" i="69"/>
  <c r="N196" i="69"/>
  <c r="N110" i="69"/>
  <c r="N538" i="69"/>
  <c r="N504" i="69"/>
  <c r="N220" i="69"/>
  <c r="N89" i="69"/>
  <c r="N553" i="69"/>
  <c r="N500" i="69"/>
  <c r="N432" i="69"/>
  <c r="N374" i="69"/>
  <c r="N452" i="69"/>
  <c r="N202" i="69"/>
  <c r="N112" i="69"/>
  <c r="N563" i="69"/>
  <c r="N527" i="69"/>
  <c r="N493" i="69"/>
  <c r="N459" i="69"/>
  <c r="N387" i="69"/>
  <c r="G44" i="68" s="1"/>
  <c r="M44" i="68" s="1"/>
  <c r="N166" i="69"/>
  <c r="N75" i="69"/>
  <c r="N554" i="69"/>
  <c r="N518" i="69"/>
  <c r="N416" i="69"/>
  <c r="N200" i="69"/>
  <c r="N206" i="69"/>
  <c r="N116" i="69"/>
  <c r="N539" i="69"/>
  <c r="N423" i="69"/>
  <c r="N511" i="69"/>
  <c r="N477" i="69"/>
  <c r="N444" i="69"/>
  <c r="N236" i="69"/>
  <c r="N190" i="69"/>
  <c r="N421" i="69"/>
  <c r="N115" i="69"/>
  <c r="N397" i="69"/>
  <c r="N552" i="69"/>
  <c r="N482" i="69"/>
  <c r="N413" i="69"/>
  <c r="N372" i="69"/>
  <c r="N149" i="69"/>
  <c r="N405" i="69"/>
  <c r="N433" i="69"/>
  <c r="N551" i="69"/>
  <c r="N514" i="69"/>
  <c r="N480" i="69"/>
  <c r="N447" i="69"/>
  <c r="N148" i="69"/>
  <c r="N106" i="69"/>
  <c r="N525" i="69"/>
  <c r="N232" i="69"/>
  <c r="N150" i="69"/>
  <c r="N73" i="69"/>
  <c r="N543" i="69"/>
  <c r="N473" i="69"/>
  <c r="N439" i="69"/>
  <c r="N186" i="69"/>
  <c r="N136" i="69"/>
  <c r="N558" i="69"/>
  <c r="N522" i="69"/>
  <c r="N382" i="69"/>
  <c r="N204" i="69"/>
  <c r="N114" i="69"/>
  <c r="N549" i="69"/>
  <c r="N445" i="69"/>
  <c r="N410" i="69"/>
  <c r="N146" i="69"/>
  <c r="N104" i="69"/>
  <c r="N561" i="69"/>
  <c r="N449" i="69"/>
  <c r="N164" i="69"/>
  <c r="N577" i="69"/>
  <c r="N427" i="69"/>
  <c r="N210" i="69"/>
  <c r="N120" i="69"/>
  <c r="N468" i="69"/>
  <c r="N399" i="69"/>
  <c r="N218" i="69"/>
  <c r="N87" i="69"/>
  <c r="N562" i="69"/>
  <c r="N526" i="69"/>
  <c r="N492" i="69"/>
  <c r="N386" i="69"/>
  <c r="N208" i="69"/>
  <c r="N118" i="69"/>
  <c r="H17" i="39"/>
  <c r="K54" i="71"/>
  <c r="H20" i="38" s="1"/>
  <c r="H59" i="39"/>
  <c r="H61" i="39"/>
  <c r="K42" i="44"/>
  <c r="N406" i="69"/>
  <c r="N199" i="69"/>
  <c r="N548" i="69"/>
  <c r="N145" i="69"/>
  <c r="N417" i="69"/>
  <c r="N376" i="69"/>
  <c r="N201" i="69"/>
  <c r="N111" i="69"/>
  <c r="N559" i="69"/>
  <c r="N523" i="69"/>
  <c r="N383" i="69"/>
  <c r="N198" i="69"/>
  <c r="N579" i="69"/>
  <c r="N530" i="69"/>
  <c r="N435" i="69"/>
  <c r="N113" i="69"/>
  <c r="N187" i="69"/>
  <c r="N412" i="69"/>
  <c r="N371" i="69"/>
  <c r="N197" i="69"/>
  <c r="N466" i="69"/>
  <c r="N507" i="69"/>
  <c r="N404" i="69"/>
  <c r="N227" i="69"/>
  <c r="N92" i="69"/>
  <c r="N488" i="69"/>
  <c r="N454" i="69"/>
  <c r="N420" i="69"/>
  <c r="N161" i="69"/>
  <c r="N70" i="69"/>
  <c r="N512" i="69"/>
  <c r="N478" i="69"/>
  <c r="N369" i="69"/>
  <c r="N195" i="69"/>
  <c r="N516" i="69"/>
  <c r="N385" i="69"/>
  <c r="N528" i="69"/>
  <c r="N494" i="69"/>
  <c r="N460" i="69"/>
  <c r="N388" i="69"/>
  <c r="N167" i="69"/>
  <c r="N76" i="69"/>
  <c r="N536" i="69"/>
  <c r="N502" i="69"/>
  <c r="N434" i="69"/>
  <c r="N181" i="69"/>
  <c r="N131" i="69"/>
  <c r="N458" i="69"/>
  <c r="N425" i="69"/>
  <c r="N165" i="69"/>
  <c r="N506" i="69"/>
  <c r="N472" i="69"/>
  <c r="N403" i="69"/>
  <c r="N185" i="69"/>
  <c r="N135" i="69"/>
  <c r="N137" i="69"/>
  <c r="N532" i="69"/>
  <c r="N498" i="69"/>
  <c r="N396" i="69"/>
  <c r="N171" i="69"/>
  <c r="N84" i="69"/>
  <c r="N513" i="69"/>
  <c r="N479" i="69"/>
  <c r="N446" i="69"/>
  <c r="N411" i="69"/>
  <c r="N147" i="69"/>
  <c r="N105" i="69"/>
  <c r="N470" i="69"/>
  <c r="N436" i="69"/>
  <c r="N401" i="69"/>
  <c r="N183" i="69"/>
  <c r="N133" i="69"/>
  <c r="N129" i="69"/>
  <c r="N556" i="69"/>
  <c r="N520" i="69"/>
  <c r="N486" i="69"/>
  <c r="N418" i="69"/>
  <c r="N377" i="69"/>
  <c r="N153" i="69"/>
  <c r="N426" i="69"/>
  <c r="N209" i="69"/>
  <c r="N119" i="69"/>
  <c r="N484" i="69"/>
  <c r="N450" i="69"/>
  <c r="N375" i="69"/>
  <c r="N151" i="69"/>
  <c r="N100" i="69"/>
  <c r="N93" i="69"/>
  <c r="N555" i="69"/>
  <c r="N519" i="69"/>
  <c r="N485" i="69"/>
  <c r="N451" i="69"/>
  <c r="N152" i="69"/>
  <c r="N390" i="69"/>
  <c r="N546" i="69"/>
  <c r="N509" i="69"/>
  <c r="N475" i="69"/>
  <c r="N233" i="69"/>
  <c r="N188" i="69"/>
  <c r="N580" i="69"/>
  <c r="N430" i="69"/>
  <c r="N393" i="69"/>
  <c r="N127" i="69"/>
  <c r="N491" i="69"/>
  <c r="N207" i="69"/>
  <c r="N560" i="69"/>
  <c r="N524" i="69"/>
  <c r="N490" i="69"/>
  <c r="N422" i="69"/>
  <c r="N384" i="69"/>
  <c r="N163" i="69"/>
  <c r="N72" i="69"/>
  <c r="N437" i="69"/>
  <c r="N221" i="69"/>
  <c r="N90" i="69"/>
  <c r="N462" i="69"/>
  <c r="N389" i="69"/>
  <c r="N211" i="69"/>
  <c r="N544" i="69"/>
  <c r="N474" i="69"/>
  <c r="N409" i="69"/>
  <c r="N103" i="69"/>
  <c r="N441" i="69"/>
  <c r="N489" i="69"/>
  <c r="N455" i="69"/>
  <c r="N162" i="69"/>
  <c r="N71" i="69"/>
  <c r="N483" i="69"/>
  <c r="N172" i="69"/>
  <c r="N108" i="69"/>
  <c r="N515" i="69"/>
  <c r="N448" i="69"/>
  <c r="N154" i="69"/>
  <c r="N69" i="69"/>
  <c r="G14" i="68" s="1"/>
  <c r="M14" i="68" s="1"/>
  <c r="N534" i="69"/>
  <c r="G53" i="68" s="1"/>
  <c r="M53" i="68" s="1"/>
  <c r="N457" i="69"/>
  <c r="N182" i="69"/>
  <c r="N132" i="69"/>
  <c r="N547" i="69"/>
  <c r="N144" i="69"/>
  <c r="N102" i="69"/>
  <c r="N391" i="69"/>
  <c r="N467" i="69"/>
  <c r="N130" i="69"/>
  <c r="N205" i="69"/>
  <c r="N107" i="69"/>
  <c r="N496" i="69"/>
  <c r="N429" i="69"/>
  <c r="N392" i="69"/>
  <c r="N169" i="69"/>
  <c r="N78" i="69"/>
  <c r="N203" i="69"/>
  <c r="N219" i="69"/>
  <c r="N217" i="69"/>
  <c r="P40" i="64"/>
  <c r="O64" i="50"/>
  <c r="Q64" i="50" s="1"/>
  <c r="J46" i="39"/>
  <c r="O46" i="39" s="1"/>
  <c r="J45" i="39"/>
  <c r="O45" i="39" s="1"/>
  <c r="J44" i="39"/>
  <c r="O44" i="39" s="1"/>
  <c r="M81" i="39"/>
  <c r="M76" i="39"/>
  <c r="M78" i="39"/>
  <c r="M75" i="39"/>
  <c r="M77" i="39"/>
  <c r="L101" i="69"/>
  <c r="M101" i="69"/>
  <c r="N101" i="69" s="1"/>
  <c r="L234" i="69"/>
  <c r="M234" i="69"/>
  <c r="M65" i="39"/>
  <c r="K37" i="72"/>
  <c r="H30" i="38" s="1"/>
  <c r="J79" i="39"/>
  <c r="O79" i="39" s="1"/>
  <c r="J78" i="39"/>
  <c r="J77" i="39"/>
  <c r="J80" i="39"/>
  <c r="O80" i="39" s="1"/>
  <c r="E88" i="39"/>
  <c r="I50" i="73"/>
  <c r="H32" i="38" s="1"/>
  <c r="J70" i="39"/>
  <c r="O70" i="39" s="1"/>
  <c r="L17" i="39"/>
  <c r="O62" i="50"/>
  <c r="P62" i="50"/>
  <c r="J63" i="39"/>
  <c r="O63" i="39" s="1"/>
  <c r="L62" i="39"/>
  <c r="O61" i="39"/>
  <c r="J68" i="39"/>
  <c r="O68" i="39" s="1"/>
  <c r="J64" i="39"/>
  <c r="O64" i="39" s="1"/>
  <c r="J69" i="39"/>
  <c r="O69" i="39" s="1"/>
  <c r="F42" i="68"/>
  <c r="H60" i="39"/>
  <c r="H62" i="39"/>
  <c r="H18" i="38"/>
  <c r="G18" i="39"/>
  <c r="G88" i="39" s="1"/>
  <c r="I88" i="39"/>
  <c r="F88" i="39"/>
  <c r="H35" i="67"/>
  <c r="L37" i="39"/>
  <c r="L35" i="39"/>
  <c r="L47" i="39"/>
  <c r="L51" i="39"/>
  <c r="L29" i="39"/>
  <c r="L33" i="39"/>
  <c r="L53" i="39"/>
  <c r="L21" i="39"/>
  <c r="F50" i="68"/>
  <c r="E20" i="68"/>
  <c r="F47" i="68"/>
  <c r="L41" i="39"/>
  <c r="L49" i="39"/>
  <c r="L19" i="39"/>
  <c r="L32" i="39"/>
  <c r="L55" i="39"/>
  <c r="L40" i="39"/>
  <c r="F46" i="68"/>
  <c r="F49" i="68"/>
  <c r="F51" i="68"/>
  <c r="H16" i="38"/>
  <c r="A8" i="67"/>
  <c r="L20" i="39"/>
  <c r="E16" i="68"/>
  <c r="F43" i="68"/>
  <c r="G28" i="68"/>
  <c r="M28" i="68" s="1"/>
  <c r="J30" i="39" s="1"/>
  <c r="G38" i="68"/>
  <c r="M38" i="68" s="1"/>
  <c r="J40" i="39" s="1"/>
  <c r="G21" i="68"/>
  <c r="M21" i="68" s="1"/>
  <c r="J29" i="39" s="1"/>
  <c r="G33" i="68"/>
  <c r="M33" i="68" s="1"/>
  <c r="F17" i="68"/>
  <c r="F44" i="68"/>
  <c r="G45" i="68"/>
  <c r="M45" i="68" s="1"/>
  <c r="G30" i="68"/>
  <c r="M30" i="68" s="1"/>
  <c r="F48" i="68"/>
  <c r="F55" i="68"/>
  <c r="F60" i="68"/>
  <c r="G29" i="68"/>
  <c r="M29" i="68" s="1"/>
  <c r="G32" i="68"/>
  <c r="M32" i="68" s="1"/>
  <c r="F52" i="68"/>
  <c r="A5" i="67"/>
  <c r="G37" i="68"/>
  <c r="M37" i="68" s="1"/>
  <c r="G54" i="68"/>
  <c r="M54" i="68" s="1"/>
  <c r="G31" i="68"/>
  <c r="M31" i="68" s="1"/>
  <c r="F19" i="68"/>
  <c r="J74" i="39"/>
  <c r="J73" i="39"/>
  <c r="J41" i="39"/>
  <c r="J66" i="39"/>
  <c r="J42" i="39"/>
  <c r="J75" i="39"/>
  <c r="J71" i="39"/>
  <c r="J65" i="39"/>
  <c r="J36" i="39"/>
  <c r="J43" i="39"/>
  <c r="J72" i="39"/>
  <c r="J76" i="39"/>
  <c r="F18" i="68"/>
  <c r="G36" i="68"/>
  <c r="M36" i="68" s="1"/>
  <c r="P39" i="46"/>
  <c r="K86" i="39" s="1"/>
  <c r="G60" i="68"/>
  <c r="M60" i="68" s="1"/>
  <c r="G35" i="68"/>
  <c r="M35" i="68" s="1"/>
  <c r="H26" i="38" l="1"/>
  <c r="G46" i="68"/>
  <c r="M46" i="68" s="1"/>
  <c r="G19" i="68"/>
  <c r="M19" i="68" s="1"/>
  <c r="J21" i="39" s="1"/>
  <c r="G52" i="68"/>
  <c r="M52" i="68" s="1"/>
  <c r="J57" i="39" s="1"/>
  <c r="G47" i="68"/>
  <c r="M47" i="68" s="1"/>
  <c r="J52" i="39" s="1"/>
  <c r="G18" i="68"/>
  <c r="M18" i="68" s="1"/>
  <c r="J20" i="39" s="1"/>
  <c r="O20" i="39" s="1"/>
  <c r="G15" i="68"/>
  <c r="M15" i="68" s="1"/>
  <c r="J17" i="39" s="1"/>
  <c r="O17" i="39" s="1"/>
  <c r="O77" i="39"/>
  <c r="O78" i="39"/>
  <c r="M88" i="39"/>
  <c r="N234" i="69"/>
  <c r="G20" i="68" s="1"/>
  <c r="M20" i="68" s="1"/>
  <c r="J22" i="39" s="1"/>
  <c r="H88" i="39"/>
  <c r="N88" i="39"/>
  <c r="Q62" i="50"/>
  <c r="Q66" i="50" s="1"/>
  <c r="H28" i="38" s="1"/>
  <c r="O62" i="39"/>
  <c r="O86" i="39"/>
  <c r="K88" i="39"/>
  <c r="J27" i="39"/>
  <c r="O27" i="39" s="1"/>
  <c r="J23" i="39"/>
  <c r="O23" i="39" s="1"/>
  <c r="J26" i="39"/>
  <c r="O26" i="39" s="1"/>
  <c r="J24" i="39"/>
  <c r="O24" i="39" s="1"/>
  <c r="J25" i="39"/>
  <c r="O25" i="39" s="1"/>
  <c r="J28" i="39"/>
  <c r="O28" i="39" s="1"/>
  <c r="J16" i="39"/>
  <c r="J14" i="39"/>
  <c r="O14" i="39" s="1"/>
  <c r="J15" i="39"/>
  <c r="O15" i="39" s="1"/>
  <c r="J13" i="39"/>
  <c r="O13" i="39" s="1"/>
  <c r="O81" i="39"/>
  <c r="O75" i="39"/>
  <c r="O85" i="39"/>
  <c r="F20" i="68"/>
  <c r="G55" i="68"/>
  <c r="M55" i="68" s="1"/>
  <c r="J60" i="39" s="1"/>
  <c r="G48" i="68"/>
  <c r="M48" i="68" s="1"/>
  <c r="J53" i="39" s="1"/>
  <c r="O53" i="39" s="1"/>
  <c r="G42" i="68"/>
  <c r="M42" i="68" s="1"/>
  <c r="J47" i="39" s="1"/>
  <c r="G16" i="68"/>
  <c r="M16" i="68" s="1"/>
  <c r="G51" i="68"/>
  <c r="M51" i="68" s="1"/>
  <c r="J56" i="39" s="1"/>
  <c r="O56" i="39" s="1"/>
  <c r="G43" i="68"/>
  <c r="M43" i="68" s="1"/>
  <c r="J48" i="39" s="1"/>
  <c r="G49" i="68"/>
  <c r="M49" i="68" s="1"/>
  <c r="J54" i="39" s="1"/>
  <c r="O54" i="39" s="1"/>
  <c r="G50" i="68"/>
  <c r="M50" i="68" s="1"/>
  <c r="J55" i="39" s="1"/>
  <c r="O55" i="39" s="1"/>
  <c r="J32" i="39"/>
  <c r="O32" i="39" s="1"/>
  <c r="J50" i="39"/>
  <c r="O50" i="39" s="1"/>
  <c r="J35" i="39"/>
  <c r="O35" i="39" s="1"/>
  <c r="G17" i="68"/>
  <c r="M17" i="68" s="1"/>
  <c r="F16" i="68"/>
  <c r="J59" i="39"/>
  <c r="O59" i="39" s="1"/>
  <c r="J31" i="39"/>
  <c r="J34" i="39"/>
  <c r="O34" i="39" s="1"/>
  <c r="O41" i="39"/>
  <c r="N607" i="69"/>
  <c r="J39" i="39"/>
  <c r="J33" i="39"/>
  <c r="O33" i="39" s="1"/>
  <c r="O66" i="39"/>
  <c r="O43" i="39"/>
  <c r="O71" i="39"/>
  <c r="O74" i="39"/>
  <c r="O65" i="39"/>
  <c r="O36" i="39"/>
  <c r="O76" i="39"/>
  <c r="O72" i="39"/>
  <c r="O40" i="39"/>
  <c r="J38" i="39"/>
  <c r="O38" i="39" s="1"/>
  <c r="O30" i="39"/>
  <c r="O29" i="39"/>
  <c r="J67" i="39"/>
  <c r="O67" i="39" s="1"/>
  <c r="J37" i="39"/>
  <c r="O37" i="39" s="1"/>
  <c r="J58" i="39"/>
  <c r="O58" i="39" s="1"/>
  <c r="J51" i="39"/>
  <c r="O51" i="39" s="1"/>
  <c r="J49" i="39"/>
  <c r="O49" i="39" s="1"/>
  <c r="O42" i="39"/>
  <c r="O73" i="39"/>
  <c r="L60" i="39" l="1"/>
  <c r="L88" i="39" s="1"/>
  <c r="J18" i="39"/>
  <c r="O18" i="39" s="1"/>
  <c r="M72" i="68"/>
  <c r="H24" i="38" s="1"/>
  <c r="H38" i="38" s="1"/>
  <c r="O16" i="38" s="1"/>
  <c r="O16" i="39"/>
  <c r="O48" i="39"/>
  <c r="O39" i="39"/>
  <c r="O47" i="39"/>
  <c r="J19" i="39"/>
  <c r="O19" i="39" s="1"/>
  <c r="O21" i="39"/>
  <c r="O31" i="39"/>
  <c r="O22" i="39"/>
  <c r="O52" i="39"/>
  <c r="O57" i="39"/>
  <c r="M17" i="38" l="1"/>
  <c r="M19" i="38"/>
  <c r="O19" i="38" s="1"/>
  <c r="M20" i="38"/>
  <c r="O20" i="38" s="1"/>
  <c r="M21" i="38"/>
  <c r="O21" i="38" s="1"/>
  <c r="M22" i="38"/>
  <c r="O22" i="38" s="1"/>
  <c r="M23" i="38"/>
  <c r="O23" i="38" s="1"/>
  <c r="M24" i="38"/>
  <c r="O24" i="38" s="1"/>
  <c r="M18" i="38"/>
  <c r="O18" i="38" s="1"/>
  <c r="O60" i="39"/>
  <c r="O88" i="39" s="1"/>
  <c r="J88" i="39"/>
  <c r="H39" i="38"/>
  <c r="H40" i="38" s="1"/>
  <c r="O17" i="38" l="1"/>
  <c r="O25" i="38" s="1"/>
</calcChain>
</file>

<file path=xl/sharedStrings.xml><?xml version="1.0" encoding="utf-8"?>
<sst xmlns="http://schemas.openxmlformats.org/spreadsheetml/2006/main" count="12152" uniqueCount="1456">
  <si>
    <t>Invoervelden</t>
  </si>
  <si>
    <t>Naam opdrachtgever</t>
  </si>
  <si>
    <t>GVB Infra B.V.</t>
  </si>
  <si>
    <t>Calculatie onderdeel</t>
  </si>
  <si>
    <t>Gebouw/plaats</t>
  </si>
  <si>
    <t>Diverse</t>
  </si>
  <si>
    <t>Referentienummer</t>
  </si>
  <si>
    <t>2024-20</t>
  </si>
  <si>
    <t>Naam leverancier</t>
  </si>
  <si>
    <t>Prijspeil</t>
  </si>
  <si>
    <t>1 januari 2025</t>
  </si>
  <si>
    <t>Perceel</t>
  </si>
  <si>
    <t>2 Specialistiche schoonmaak</t>
  </si>
  <si>
    <t>Versie</t>
  </si>
  <si>
    <t>NVI 2</t>
  </si>
  <si>
    <t>JAARPRIJS TECHNISCHE SCHOONMAAK</t>
  </si>
  <si>
    <t>Vaststelling fictieve inschrijfprijs</t>
  </si>
  <si>
    <t>Prijs per jaar</t>
  </si>
  <si>
    <t>Omschrijving</t>
  </si>
  <si>
    <t>Bedrag</t>
  </si>
  <si>
    <t>Weging</t>
  </si>
  <si>
    <t>Fictieve prijs</t>
  </si>
  <si>
    <t>Eenmalige 0 beurt periodieke werkzaamheden</t>
  </si>
  <si>
    <t>Inschrijfbedrag jaar 1</t>
  </si>
  <si>
    <t>Inschrijfbedrag jaar 2</t>
  </si>
  <si>
    <t>Inschrijfbedrag jaar 3</t>
  </si>
  <si>
    <t>Inschrijfbedrag jaar 4</t>
  </si>
  <si>
    <t>Inschrijfbedrag jaar 5</t>
  </si>
  <si>
    <t>Inschrijfbedrag jaar 6</t>
  </si>
  <si>
    <t>Inschrijfbedrag jaar 7</t>
  </si>
  <si>
    <t>Inschrijfbedrag jaar 8</t>
  </si>
  <si>
    <t>Fictieve inchrijfprijs (beoordelingsbedrag)</t>
  </si>
  <si>
    <t>Uren per week</t>
  </si>
  <si>
    <t>Tarief</t>
  </si>
  <si>
    <t>Administratieve verwerking in GRIP</t>
  </si>
  <si>
    <t>EINDTOTAAL KOSTEN PER JAAR VAST ONDERHOUD EXCLUSIEF BTW</t>
  </si>
  <si>
    <t>Inschrijvingsbedrag *</t>
  </si>
  <si>
    <t>B.T.W.</t>
  </si>
  <si>
    <t>Totale kosten per jaar inclusief B.T.W.</t>
  </si>
  <si>
    <t>Eenmalige 0-beurt periodieke werkzaamheden stations</t>
  </si>
  <si>
    <t>* De inschrijver draagt er zorg voor dat de totstandkoming van het inschrijvingsbedrag overeenkomt met de onderliggende tabbladen. Indien dit niet het geval is wordt de inschrijving ongeldig verklaard.</t>
  </si>
  <si>
    <t>* Het door de inschrijver ingediende inschrijfbedrag is de maximale vergoeding voor het gevraagde in de aanbestedingsdocumenten.</t>
  </si>
  <si>
    <t>Datum:</t>
  </si>
  <si>
    <t>Handtekening rechtsgeldig vertegenwoordiger:</t>
  </si>
  <si>
    <t>Naam:</t>
  </si>
  <si>
    <t>Functie:</t>
  </si>
  <si>
    <t>Organisatie:</t>
  </si>
  <si>
    <t>Besteknummer</t>
  </si>
  <si>
    <t>Kosten per locatie</t>
  </si>
  <si>
    <t>Station nummer</t>
  </si>
  <si>
    <t>Station</t>
  </si>
  <si>
    <t>Lijn</t>
  </si>
  <si>
    <t>m2 vloer</t>
  </si>
  <si>
    <t>4-Kosten reinigen vloeren</t>
  </si>
  <si>
    <t>5-Kosten aanvullende werkzaamheden</t>
  </si>
  <si>
    <t>6-Liftbodems</t>
  </si>
  <si>
    <t>7-Kosten geveldelen 
en wanden 
per jaar</t>
  </si>
  <si>
    <t>8b-Kosten  Glasbewassing per jaar</t>
  </si>
  <si>
    <t>9-Kosten machines</t>
  </si>
  <si>
    <t>10a-Kosten periodieke 
beurt per jaar</t>
  </si>
  <si>
    <t>12-Kosten  schoonmaak Gelijkrichter 
per jaar</t>
  </si>
  <si>
    <t>13- Kosten schoonmaak technische ruimten
per jaar</t>
  </si>
  <si>
    <t>Totaal kosten 
per jaar</t>
  </si>
  <si>
    <t>Amstel</t>
  </si>
  <si>
    <t>Spaklerweg</t>
  </si>
  <si>
    <t>Van der Madeweg</t>
  </si>
  <si>
    <t>Duivendrecht</t>
  </si>
  <si>
    <t>Strandvliet</t>
  </si>
  <si>
    <t>Bijlmer</t>
  </si>
  <si>
    <t>Bullewijk</t>
  </si>
  <si>
    <t>Holendrecht</t>
  </si>
  <si>
    <t>Reigersbos</t>
  </si>
  <si>
    <t>Gein</t>
  </si>
  <si>
    <t>Venserpolder</t>
  </si>
  <si>
    <t>Diemen Zuid</t>
  </si>
  <si>
    <t>Verrijn Stuartweg</t>
  </si>
  <si>
    <t>Ganzenhoef</t>
  </si>
  <si>
    <t>Kraaiennest</t>
  </si>
  <si>
    <t>Gaasperplas</t>
  </si>
  <si>
    <t>A.J. Ernsstraat</t>
  </si>
  <si>
    <t>Van Boshuizenstraat</t>
  </si>
  <si>
    <t>Uilenstede</t>
  </si>
  <si>
    <t>Kronenburg</t>
  </si>
  <si>
    <t>Zonnestein</t>
  </si>
  <si>
    <t>Onderuit</t>
  </si>
  <si>
    <t>Oranjebaan</t>
  </si>
  <si>
    <t>Stadshart</t>
  </si>
  <si>
    <t>Ouderkerkerlaan</t>
  </si>
  <si>
    <t>Sportlaan</t>
  </si>
  <si>
    <t>Meent</t>
  </si>
  <si>
    <t>Brink</t>
  </si>
  <si>
    <t>Poortwachter</t>
  </si>
  <si>
    <t>Sacharovlaan</t>
  </si>
  <si>
    <t>Westwijk</t>
  </si>
  <si>
    <t>215a</t>
  </si>
  <si>
    <t>Aan de Zoom</t>
  </si>
  <si>
    <t>215b</t>
  </si>
  <si>
    <t>Uithoorn Station</t>
  </si>
  <si>
    <t>215c</t>
  </si>
  <si>
    <t>Uithoorn Centrum</t>
  </si>
  <si>
    <t>Overamstel</t>
  </si>
  <si>
    <t>Rai</t>
  </si>
  <si>
    <t>Zuid</t>
  </si>
  <si>
    <t>303a</t>
  </si>
  <si>
    <t>Strawinskylaan</t>
  </si>
  <si>
    <t>Amstelveenseweg</t>
  </si>
  <si>
    <t>Henk Sneevlietweg</t>
  </si>
  <si>
    <t>Heemstedestraat</t>
  </si>
  <si>
    <t>Lelylaan</t>
  </si>
  <si>
    <t>Postjesweg</t>
  </si>
  <si>
    <t>Jan van Galenstraat</t>
  </si>
  <si>
    <t>De Vluchtlaan</t>
  </si>
  <si>
    <t>Sloterdijk</t>
  </si>
  <si>
    <t>311a</t>
  </si>
  <si>
    <t>Carrascoplein</t>
  </si>
  <si>
    <t>Isolatorweg</t>
  </si>
  <si>
    <t>Bim Huis</t>
  </si>
  <si>
    <t>Rietlandpark</t>
  </si>
  <si>
    <t>Gelijkrichter Ringvaart</t>
  </si>
  <si>
    <t>Gelijkrichter CVL terrein</t>
  </si>
  <si>
    <t>Reigerbos</t>
  </si>
  <si>
    <t>Gelijkrichter Kraaiennest</t>
  </si>
  <si>
    <t>Gelijkrichter Verrijn Stuartweg</t>
  </si>
  <si>
    <t>Gelijkrichter Venserpolder</t>
  </si>
  <si>
    <t>Haarlemmerweg</t>
  </si>
  <si>
    <t>Rozenoordbrug</t>
  </si>
  <si>
    <t>Schinkelbrug</t>
  </si>
  <si>
    <t>306a</t>
  </si>
  <si>
    <t>306b</t>
  </si>
  <si>
    <t>312a</t>
  </si>
  <si>
    <t>Uithoorn</t>
  </si>
  <si>
    <t>Amsterdamseweg</t>
  </si>
  <si>
    <t>Legmeerpolder 1</t>
  </si>
  <si>
    <t>Legmeerpolder 2</t>
  </si>
  <si>
    <t>Legmeerpolder 3</t>
  </si>
  <si>
    <t>416a</t>
  </si>
  <si>
    <t>Legmeerpolder Tech. Ruimte</t>
  </si>
  <si>
    <t>Zandvangers</t>
  </si>
  <si>
    <t>Algemeen</t>
  </si>
  <si>
    <t>Eind totaal</t>
  </si>
  <si>
    <t>Opgave m2 is indicatief, werkelijkheid kan afwijken</t>
  </si>
  <si>
    <t>Stations deel</t>
  </si>
  <si>
    <t>Ruimteomschrijving GVB</t>
  </si>
  <si>
    <t>Ruimte nummer</t>
  </si>
  <si>
    <t>Vloer soort</t>
  </si>
  <si>
    <t>M2 
VLOER</t>
  </si>
  <si>
    <t>M2 
wand betegeld</t>
  </si>
  <si>
    <t>M2 
wand gecoat</t>
  </si>
  <si>
    <t>M2 
wand onbehandeld</t>
  </si>
  <si>
    <t>M2 
wand RVS</t>
  </si>
  <si>
    <t>M2 
wand
schilder werk</t>
  </si>
  <si>
    <t>M2 perron kap</t>
  </si>
  <si>
    <t>M2 plafond
kaal</t>
  </si>
  <si>
    <t>M2 plafond
geschilderd</t>
  </si>
  <si>
    <t>M2 
plafond
panelen</t>
  </si>
  <si>
    <t>OPMERKING/ AANDACHTSPUNT</t>
  </si>
  <si>
    <t>Oostlijn bovengronds</t>
  </si>
  <si>
    <t>dienstgang</t>
  </si>
  <si>
    <t>0 0201</t>
  </si>
  <si>
    <t>Tegels</t>
  </si>
  <si>
    <t>telecom</t>
  </si>
  <si>
    <t>0 0401</t>
  </si>
  <si>
    <t>Marmoleum</t>
  </si>
  <si>
    <t>signaleringsruimte s en t</t>
  </si>
  <si>
    <t>0 0301</t>
  </si>
  <si>
    <t>ruimte voor luchtbehandeling</t>
  </si>
  <si>
    <t>0 1001</t>
  </si>
  <si>
    <t>magazijnruimte s en t</t>
  </si>
  <si>
    <t>0 1301</t>
  </si>
  <si>
    <t>Perron oost</t>
  </si>
  <si>
    <t>1.0102</t>
  </si>
  <si>
    <t>coating</t>
  </si>
  <si>
    <t>Perron west</t>
  </si>
  <si>
    <t>1.0103</t>
  </si>
  <si>
    <t>Roltrap Oost</t>
  </si>
  <si>
    <t>onbekend</t>
  </si>
  <si>
    <t>staal</t>
  </si>
  <si>
    <t>Roltrap West</t>
  </si>
  <si>
    <t>Trap</t>
  </si>
  <si>
    <t>1.0104</t>
  </si>
  <si>
    <t>steen</t>
  </si>
  <si>
    <t>Wanden zijn meegenomen bij de hallen</t>
  </si>
  <si>
    <t>1.0105</t>
  </si>
  <si>
    <t>Liftmachinekamer</t>
  </si>
  <si>
    <t>1.1003</t>
  </si>
  <si>
    <t>Niet makkelijk toegankelijk, doet schoonmaak niks mee</t>
  </si>
  <si>
    <t>1.1004</t>
  </si>
  <si>
    <t>Hal</t>
  </si>
  <si>
    <t>0.0101</t>
  </si>
  <si>
    <t>m2 wand uit MJOB, compleet?</t>
  </si>
  <si>
    <t>Gang</t>
  </si>
  <si>
    <t>0.0201</t>
  </si>
  <si>
    <t>0.0202</t>
  </si>
  <si>
    <t>Voorportaal</t>
  </si>
  <si>
    <t>0.0203</t>
  </si>
  <si>
    <t>Telecomruimte</t>
  </si>
  <si>
    <t>0.0401</t>
  </si>
  <si>
    <t>Laagspanningsverdeelruimte</t>
  </si>
  <si>
    <t>0.0501</t>
  </si>
  <si>
    <t>Traforuimte</t>
  </si>
  <si>
    <t>0.0601</t>
  </si>
  <si>
    <t>Vuilopslag/schoonmakersruimte</t>
  </si>
  <si>
    <t>0.0801</t>
  </si>
  <si>
    <t>Lift</t>
  </si>
  <si>
    <t>Lift 12</t>
  </si>
  <si>
    <t>traanplaat</t>
  </si>
  <si>
    <t>RVS</t>
  </si>
  <si>
    <t>Lift 22</t>
  </si>
  <si>
    <t>Opslag EV</t>
  </si>
  <si>
    <t>0.13.201</t>
  </si>
  <si>
    <t>Magazijn SB</t>
  </si>
  <si>
    <t>0.1301</t>
  </si>
  <si>
    <t>Berging</t>
  </si>
  <si>
    <t>0.1302</t>
  </si>
  <si>
    <t>beton</t>
  </si>
  <si>
    <t>Werkplaats E.I.</t>
  </si>
  <si>
    <t>0.1801</t>
  </si>
  <si>
    <t>Kaartverkoop</t>
  </si>
  <si>
    <t>0.1901</t>
  </si>
  <si>
    <t>Oude toiletten niet meegerekend enkel voorportaal + ticket. Toilet: V=1,2 m2 lino *2 W=11,5 m2 tegel *2</t>
  </si>
  <si>
    <t>Kabelschacht</t>
  </si>
  <si>
    <t>0.1902</t>
  </si>
  <si>
    <t>Beton</t>
  </si>
  <si>
    <t>0.1903</t>
  </si>
  <si>
    <t>Perron Oost</t>
  </si>
  <si>
    <t>2.0102</t>
  </si>
  <si>
    <t>Perron West</t>
  </si>
  <si>
    <t>2.0103</t>
  </si>
  <si>
    <t>Trap Oost</t>
  </si>
  <si>
    <t>2.0104</t>
  </si>
  <si>
    <t>Trap West</t>
  </si>
  <si>
    <t>2.0105</t>
  </si>
  <si>
    <t>2.1009</t>
  </si>
  <si>
    <t>2.1010</t>
  </si>
  <si>
    <t>1.0101</t>
  </si>
  <si>
    <t>m2 wand niet nagemeten, uit MJOB.</t>
  </si>
  <si>
    <t>1.0202</t>
  </si>
  <si>
    <t>Schoonmaakruimte</t>
  </si>
  <si>
    <t>1.0801</t>
  </si>
  <si>
    <t>Vuilopslag</t>
  </si>
  <si>
    <t>1.0802</t>
  </si>
  <si>
    <t>Kantine</t>
  </si>
  <si>
    <t>1.0901</t>
  </si>
  <si>
    <t>Toilet heren</t>
  </si>
  <si>
    <t>1.0902</t>
  </si>
  <si>
    <t>epoxy</t>
  </si>
  <si>
    <t>Toilet dames</t>
  </si>
  <si>
    <t>1.0903</t>
  </si>
  <si>
    <t>Berging SB</t>
  </si>
  <si>
    <t>1.1302</t>
  </si>
  <si>
    <t>1.1905</t>
  </si>
  <si>
    <t>betontegel</t>
  </si>
  <si>
    <t>Signaleringsruimte 1</t>
  </si>
  <si>
    <t>0.0301</t>
  </si>
  <si>
    <t>Telecommunicatieruimte</t>
  </si>
  <si>
    <t>Sectieschakelruimte</t>
  </si>
  <si>
    <t>0.0602</t>
  </si>
  <si>
    <t>hout</t>
  </si>
  <si>
    <t>Roltrap Serviceruimte</t>
  </si>
  <si>
    <t>0.1001</t>
  </si>
  <si>
    <t>Liftpompruimte 1</t>
  </si>
  <si>
    <t>0.1002</t>
  </si>
  <si>
    <t>Roltrap Serviceruimte 2</t>
  </si>
  <si>
    <t>0.1003</t>
  </si>
  <si>
    <t>Liftpompruimte 2</t>
  </si>
  <si>
    <t>0.1004</t>
  </si>
  <si>
    <t>Lift 1</t>
  </si>
  <si>
    <t>Lift 13</t>
  </si>
  <si>
    <t>Lift 2</t>
  </si>
  <si>
    <t>Lift 14</t>
  </si>
  <si>
    <t>Lift 3</t>
  </si>
  <si>
    <t>Lift 23</t>
  </si>
  <si>
    <t>Liftpompruimte 3</t>
  </si>
  <si>
    <t>0.1008</t>
  </si>
  <si>
    <t>Opslag Otis</t>
  </si>
  <si>
    <t>Ruimte is opgesplitst. Bereikbare gedeelte 48,8 m2 vloer en 36,0 m2 wand onbehandeld</t>
  </si>
  <si>
    <t>Watermeterkast</t>
  </si>
  <si>
    <t>0.1401</t>
  </si>
  <si>
    <t>Luik</t>
  </si>
  <si>
    <t>Toegangstrap</t>
  </si>
  <si>
    <t>geen</t>
  </si>
  <si>
    <t>laagspanning</t>
  </si>
  <si>
    <t>0 0501</t>
  </si>
  <si>
    <t>lgsp</t>
  </si>
  <si>
    <t>0 0902</t>
  </si>
  <si>
    <t xml:space="preserve">0 0402 </t>
  </si>
  <si>
    <t>telecom gvb</t>
  </si>
  <si>
    <t>Buitenruimte tourniquets</t>
  </si>
  <si>
    <t>bestrating</t>
  </si>
  <si>
    <t>Perron</t>
  </si>
  <si>
    <t>Beton (coating)</t>
  </si>
  <si>
    <t>Trap noordzijde</t>
  </si>
  <si>
    <t>Noord</t>
  </si>
  <si>
    <t>Trap zuidzijde</t>
  </si>
  <si>
    <t>Roltrap noordzijde</t>
  </si>
  <si>
    <t>Roltrap zuidzijde</t>
  </si>
  <si>
    <t>Staal</t>
  </si>
  <si>
    <t>Hal zuid</t>
  </si>
  <si>
    <t>Hal noord</t>
  </si>
  <si>
    <t>0.0102</t>
  </si>
  <si>
    <t xml:space="preserve">Zuid Er staat ook nog 48m2 metselwerk in de MJOB, al het metselwerk is geschilderd. </t>
  </si>
  <si>
    <t>Voorportaal E.I.</t>
  </si>
  <si>
    <t>Signaleringsruimte + UPS</t>
  </si>
  <si>
    <t>Accuruimte E.I.</t>
  </si>
  <si>
    <t>Zuid, staat vol lichtbakken? Staan geen accu's</t>
  </si>
  <si>
    <t>Laagspanningsverdeeltuimte 1</t>
  </si>
  <si>
    <t>0.0502</t>
  </si>
  <si>
    <t>Laagspanningsverdeeltuimte 2</t>
  </si>
  <si>
    <t>0.0503</t>
  </si>
  <si>
    <t>0.0802</t>
  </si>
  <si>
    <t>Zuid. Er staat een afwijkend nummer op de deur 348?</t>
  </si>
  <si>
    <t>0.0901</t>
  </si>
  <si>
    <t>0.0902</t>
  </si>
  <si>
    <t>Toegang roltrapserviceruimte</t>
  </si>
  <si>
    <t>Wanden meegenomen bij roltrapserviceruimte, kelder niveau</t>
  </si>
  <si>
    <t>Zuid (Plafond geschilderd 5,4 m2)</t>
  </si>
  <si>
    <t xml:space="preserve">Lift </t>
  </si>
  <si>
    <t>Traanplaat</t>
  </si>
  <si>
    <t>Zuid RVS</t>
  </si>
  <si>
    <t>0.1005</t>
  </si>
  <si>
    <t xml:space="preserve">LMK is er wel, maar er is geen lift aan deze zijde. Geen apparatuur of afwerking in deze ruimte.  </t>
  </si>
  <si>
    <t>0.1006</t>
  </si>
  <si>
    <t>nvt</t>
  </si>
  <si>
    <t xml:space="preserve">Ruimte niet betreedbaar. </t>
  </si>
  <si>
    <t xml:space="preserve">Noord, geen lift aanwezig. </t>
  </si>
  <si>
    <t>Magazijn E.I.</t>
  </si>
  <si>
    <t>0.05.201</t>
  </si>
  <si>
    <t xml:space="preserve">Zuid. Er staat 0.1301 op de plattegrond. Betreft een accuruimte. </t>
  </si>
  <si>
    <t>0.1303</t>
  </si>
  <si>
    <t>Personeelsverblijfruimte</t>
  </si>
  <si>
    <t>Bovenste roltrapserviceruimte</t>
  </si>
  <si>
    <t>1.1007</t>
  </si>
  <si>
    <t>1.1008</t>
  </si>
  <si>
    <t>Onderste roltrapserviceruimte</t>
  </si>
  <si>
    <t>1.1001</t>
  </si>
  <si>
    <t>Noord (Plafond geschilderd 13,1m2)</t>
  </si>
  <si>
    <t>1.1002</t>
  </si>
  <si>
    <t>Zuid (Plafond geschilderd 13,1m2)</t>
  </si>
  <si>
    <t>Schoonmaak opslag</t>
  </si>
  <si>
    <t>Voorportaal liftmachinekamer</t>
  </si>
  <si>
    <t>Voorportaal technischeruimte</t>
  </si>
  <si>
    <t>1.0204</t>
  </si>
  <si>
    <t>Laagspanningsruimte</t>
  </si>
  <si>
    <t>1.0501</t>
  </si>
  <si>
    <t>Hoogspanning / tractieruimte</t>
  </si>
  <si>
    <t>1.0602</t>
  </si>
  <si>
    <t>1.0601</t>
  </si>
  <si>
    <t>1.0401</t>
  </si>
  <si>
    <t>Sanitaire ruimte</t>
  </si>
  <si>
    <t>perron</t>
  </si>
  <si>
    <t>hal</t>
  </si>
  <si>
    <t>Tickets &amp; Info</t>
  </si>
  <si>
    <t>0.1201</t>
  </si>
  <si>
    <t>linoleum</t>
  </si>
  <si>
    <t>Lege ruimte</t>
  </si>
  <si>
    <t>1.19.101</t>
  </si>
  <si>
    <t>Roltrap 1</t>
  </si>
  <si>
    <t>Roltrap 2</t>
  </si>
  <si>
    <t>Roltrap 3</t>
  </si>
  <si>
    <t>MER ruimte</t>
  </si>
  <si>
    <t xml:space="preserve">Onderste roltrapservice ruimte </t>
  </si>
  <si>
    <t>Garderobe</t>
  </si>
  <si>
    <t>Telecommunicatie ruimte</t>
  </si>
  <si>
    <t>Gelijkrichter ruimte</t>
  </si>
  <si>
    <t>0.0402</t>
  </si>
  <si>
    <t>beton (coating)</t>
  </si>
  <si>
    <t>0.0403</t>
  </si>
  <si>
    <t>computervloer</t>
  </si>
  <si>
    <t>0.0803</t>
  </si>
  <si>
    <t>Roltrapserviceruimte (voorportaal)</t>
  </si>
  <si>
    <t>Liftmachinekamer 1 (34)</t>
  </si>
  <si>
    <t>Lift 34</t>
  </si>
  <si>
    <t>Liftmachinekamer (leeg, geen lift)</t>
  </si>
  <si>
    <t>Lift (geen lift aanwezig)</t>
  </si>
  <si>
    <t xml:space="preserve">Ruimte is dichtgezet. </t>
  </si>
  <si>
    <t>Accuruimte</t>
  </si>
  <si>
    <t>Personeelsverblijf</t>
  </si>
  <si>
    <t>leeg (ruimte bij entree)</t>
  </si>
  <si>
    <t>Voorportaal S en T 3</t>
  </si>
  <si>
    <t>Accuruimte S en T</t>
  </si>
  <si>
    <t>1.0301</t>
  </si>
  <si>
    <t>Relaisruimte</t>
  </si>
  <si>
    <t>1.0302</t>
  </si>
  <si>
    <t>Bovenste roltrapserviceruimte 1</t>
  </si>
  <si>
    <t>Bovenste roltrapserviceruimte 2</t>
  </si>
  <si>
    <t>Luchtbehandelingsruimte</t>
  </si>
  <si>
    <t>1.1009</t>
  </si>
  <si>
    <t>Trap noord</t>
  </si>
  <si>
    <t>Trap zuid</t>
  </si>
  <si>
    <t xml:space="preserve">Roltrap </t>
  </si>
  <si>
    <t>Roltrap</t>
  </si>
  <si>
    <t>2.1011</t>
  </si>
  <si>
    <t>Noord RVS</t>
  </si>
  <si>
    <t>hal oost</t>
  </si>
  <si>
    <t>oost</t>
  </si>
  <si>
    <t>hal west</t>
  </si>
  <si>
    <t>west</t>
  </si>
  <si>
    <t>voorruimte toilet</t>
  </si>
  <si>
    <t>gang</t>
  </si>
  <si>
    <t>Coating / Tegels</t>
  </si>
  <si>
    <t>0.0204</t>
  </si>
  <si>
    <t>toegang kelder</t>
  </si>
  <si>
    <t>0.0205</t>
  </si>
  <si>
    <t>Steeg No</t>
  </si>
  <si>
    <t>0.0206</t>
  </si>
  <si>
    <t>stoeptegel</t>
  </si>
  <si>
    <t>Steeg Zo</t>
  </si>
  <si>
    <t>0.0207</t>
  </si>
  <si>
    <t>UPS Ruimte</t>
  </si>
  <si>
    <t>Ook met nr: 0.05.201</t>
  </si>
  <si>
    <t>Telecomruimte/ BMK</t>
  </si>
  <si>
    <t>Laagspannings/ hoofdverdeelruimte</t>
  </si>
  <si>
    <t>Kantoor Schoonmaak (Pantry)</t>
  </si>
  <si>
    <t>Kantoor Schoonmaak</t>
  </si>
  <si>
    <t>Containerruimte</t>
  </si>
  <si>
    <t>0.0804</t>
  </si>
  <si>
    <t>Toilet (MIVA)</t>
  </si>
  <si>
    <t>Installatieruimte luchtbehandeling</t>
  </si>
  <si>
    <t>Coating</t>
  </si>
  <si>
    <t>Liftmachinekamer 34</t>
  </si>
  <si>
    <t>34 (0.1003)</t>
  </si>
  <si>
    <t>oost RVS</t>
  </si>
  <si>
    <t>Roltrapserviceruimte entree 34</t>
  </si>
  <si>
    <t>Ventilatieruimte</t>
  </si>
  <si>
    <t>Roltrapserviceruimte entree 31</t>
  </si>
  <si>
    <t>Liftmachinekamer 31</t>
  </si>
  <si>
    <t>0.1007</t>
  </si>
  <si>
    <t>Lift 31</t>
  </si>
  <si>
    <t>31 (0.1008)</t>
  </si>
  <si>
    <t>west RVS</t>
  </si>
  <si>
    <t>Roltrapserviceruimte boven 34</t>
  </si>
  <si>
    <t>0.1009</t>
  </si>
  <si>
    <t>Opslag (SB)</t>
  </si>
  <si>
    <t>Roltrapserviceruimte 31</t>
  </si>
  <si>
    <t>1006</t>
  </si>
  <si>
    <t>Roltrapserviceruimte onder 34</t>
  </si>
  <si>
    <t>1009</t>
  </si>
  <si>
    <t>Trap oost</t>
  </si>
  <si>
    <t>?</t>
  </si>
  <si>
    <t>niet op plattegrond, m2 uit MJOB</t>
  </si>
  <si>
    <t>Trap west</t>
  </si>
  <si>
    <t>Roltrap oost</t>
  </si>
  <si>
    <t>niet op plattegrond, m2 uit oud calculatiebestand</t>
  </si>
  <si>
    <t>Roltrap west</t>
  </si>
  <si>
    <t>Oostlijn Bovengronds</t>
  </si>
  <si>
    <t xml:space="preserve">west </t>
  </si>
  <si>
    <t>0.0103</t>
  </si>
  <si>
    <t>garderobe</t>
  </si>
  <si>
    <t>west, wordt gebruikt als vuilopslag</t>
  </si>
  <si>
    <t>Landhoofd</t>
  </si>
  <si>
    <t>accuruimte S en T</t>
  </si>
  <si>
    <t>0.03.704</t>
  </si>
  <si>
    <t>relaisruimte</t>
  </si>
  <si>
    <t>rekenmachinekamer</t>
  </si>
  <si>
    <t>0.0302</t>
  </si>
  <si>
    <t>gelijkrichtersruimte</t>
  </si>
  <si>
    <t>0.0303</t>
  </si>
  <si>
    <t>telecomruimte</t>
  </si>
  <si>
    <t>laagspanningsverdeelruimte</t>
  </si>
  <si>
    <t>traforuimte</t>
  </si>
  <si>
    <t>vuilopslag</t>
  </si>
  <si>
    <t>west, wordt niet gebruikt als vuilopslag</t>
  </si>
  <si>
    <t>berging exploitatie</t>
  </si>
  <si>
    <t>schoonmaakruimte</t>
  </si>
  <si>
    <t>toilet heren</t>
  </si>
  <si>
    <t>toilet dames</t>
  </si>
  <si>
    <t>roltrap serviceruimte</t>
  </si>
  <si>
    <t>liftmachinekamer</t>
  </si>
  <si>
    <t>ruimte werktuigen</t>
  </si>
  <si>
    <t>luchtbehandelingsruimte</t>
  </si>
  <si>
    <t>hoofd</t>
  </si>
  <si>
    <t>Berging werktuigen</t>
  </si>
  <si>
    <t>oost, Is eigenlijks een gang</t>
  </si>
  <si>
    <t>berging</t>
  </si>
  <si>
    <t>Berging exploitatie 2</t>
  </si>
  <si>
    <t>oost, Hago? Werkkast?</t>
  </si>
  <si>
    <t>Sektie Schakelruimte E.I.</t>
  </si>
  <si>
    <t>0.15.201</t>
  </si>
  <si>
    <t>werkplaats S en T</t>
  </si>
  <si>
    <t>0.18.302</t>
  </si>
  <si>
    <t>pvr</t>
  </si>
  <si>
    <t>0.1911</t>
  </si>
  <si>
    <t>trap naar perron</t>
  </si>
  <si>
    <t>oost (m2 wand van kelder tot aan 2 verdiepingen daarboven (1 aaneengesloten ruimte)</t>
  </si>
  <si>
    <t>roltrap naar perron</t>
  </si>
  <si>
    <t>1.1301</t>
  </si>
  <si>
    <t>lift 31</t>
  </si>
  <si>
    <t>31 (0.1005)</t>
  </si>
  <si>
    <t>lift 34</t>
  </si>
  <si>
    <t>34</t>
  </si>
  <si>
    <t>Roltrapserviceruimte</t>
  </si>
  <si>
    <t>1-1001</t>
  </si>
  <si>
    <t>1-1002</t>
  </si>
  <si>
    <t>Kelder 3</t>
  </si>
  <si>
    <t>1-1901</t>
  </si>
  <si>
    <t>Kelder traforuimte</t>
  </si>
  <si>
    <t>1-1902</t>
  </si>
  <si>
    <t>Kelder 1</t>
  </si>
  <si>
    <t>1-1903</t>
  </si>
  <si>
    <t>Kabelschacht 1</t>
  </si>
  <si>
    <t>1-1904</t>
  </si>
  <si>
    <t>Kruipruimte onder hal</t>
  </si>
  <si>
    <t>1-1905</t>
  </si>
  <si>
    <t>Kelder 4</t>
  </si>
  <si>
    <t>1-1906</t>
  </si>
  <si>
    <t>0 0101</t>
  </si>
  <si>
    <t>0 0102</t>
  </si>
  <si>
    <t>wand afwerking zit in gang/hal</t>
  </si>
  <si>
    <t>Dienstgang</t>
  </si>
  <si>
    <t>0 0202</t>
  </si>
  <si>
    <t>0 0601</t>
  </si>
  <si>
    <t>Vuilopslagruimte</t>
  </si>
  <si>
    <t>0 0801</t>
  </si>
  <si>
    <t>0 0802</t>
  </si>
  <si>
    <t>Heren toilet</t>
  </si>
  <si>
    <t>0 0901</t>
  </si>
  <si>
    <t>Dames toilet</t>
  </si>
  <si>
    <t>0 1003</t>
  </si>
  <si>
    <t>m2 verwerkt in de onder en bovenste roltrapruimte 1-1001 en 1 1005</t>
  </si>
  <si>
    <t>0 1004</t>
  </si>
  <si>
    <t>Kruipruimte 2</t>
  </si>
  <si>
    <t>0 1907</t>
  </si>
  <si>
    <t>0 1908</t>
  </si>
  <si>
    <t>Trappenhuis</t>
  </si>
  <si>
    <t>1 0103</t>
  </si>
  <si>
    <t>1 0203</t>
  </si>
  <si>
    <t>Signaleringsruimte</t>
  </si>
  <si>
    <t>1 0401</t>
  </si>
  <si>
    <t>1 1005</t>
  </si>
  <si>
    <t>Verbindingstrap roltrapserviceruimte</t>
  </si>
  <si>
    <t>1 1006</t>
  </si>
  <si>
    <t>Kast</t>
  </si>
  <si>
    <t>1 1909</t>
  </si>
  <si>
    <t>1 1910</t>
  </si>
  <si>
    <t>Kabelschacht 2</t>
  </si>
  <si>
    <t>1 1911</t>
  </si>
  <si>
    <t>Staal (rooster)</t>
  </si>
  <si>
    <t>2 0104</t>
  </si>
  <si>
    <t>RT 31</t>
  </si>
  <si>
    <t>1-0201</t>
  </si>
  <si>
    <t>1-0202</t>
  </si>
  <si>
    <t>1-0301</t>
  </si>
  <si>
    <t>Telecom ruimte</t>
  </si>
  <si>
    <t>1-0401</t>
  </si>
  <si>
    <t>1-0501</t>
  </si>
  <si>
    <t>1-0502</t>
  </si>
  <si>
    <t>1-0601</t>
  </si>
  <si>
    <t>Onderste Roltrapserviceruimte</t>
  </si>
  <si>
    <t>Liftmachineruimte</t>
  </si>
  <si>
    <t>1-1003</t>
  </si>
  <si>
    <t>Container opslag</t>
  </si>
  <si>
    <t>1-1301</t>
  </si>
  <si>
    <t>Watermeterput</t>
  </si>
  <si>
    <t>1-1401</t>
  </si>
  <si>
    <t>Kruipruimte hal</t>
  </si>
  <si>
    <t>Geen</t>
  </si>
  <si>
    <t>Kelder laagspanningsruimte</t>
  </si>
  <si>
    <t>Fietsenstalling</t>
  </si>
  <si>
    <t>Trap bordes m2 verwerkt in ruimte er onder 1-0201</t>
  </si>
  <si>
    <t>0 0203</t>
  </si>
  <si>
    <t>Rekenmachineruimte</t>
  </si>
  <si>
    <t xml:space="preserve">Liftmachineruimte </t>
  </si>
  <si>
    <t>0 1006</t>
  </si>
  <si>
    <t>ventilatieruimte</t>
  </si>
  <si>
    <t>0 1007</t>
  </si>
  <si>
    <t xml:space="preserve">Roltrapserviceruimte midden </t>
  </si>
  <si>
    <t>0 1008</t>
  </si>
  <si>
    <t>Personeelsruimte</t>
  </si>
  <si>
    <t>0 1905</t>
  </si>
  <si>
    <t>Bordes</t>
  </si>
  <si>
    <t>0 1906</t>
  </si>
  <si>
    <t>Leeg</t>
  </si>
  <si>
    <t>Opslag S&amp;B</t>
  </si>
  <si>
    <t>1 0202</t>
  </si>
  <si>
    <t>1 0302</t>
  </si>
  <si>
    <t>1 0303</t>
  </si>
  <si>
    <t>Bovenste roltrapmachineruimte</t>
  </si>
  <si>
    <t>1 1009</t>
  </si>
  <si>
    <t>1 1010</t>
  </si>
  <si>
    <t>1 1011</t>
  </si>
  <si>
    <t>Kruipruimte perron</t>
  </si>
  <si>
    <t>Kruipruimte Trap</t>
  </si>
  <si>
    <t>2 0103</t>
  </si>
  <si>
    <t>31</t>
  </si>
  <si>
    <t>RT 33</t>
  </si>
  <si>
    <t>onbekend N</t>
  </si>
  <si>
    <t>onbekend Z</t>
  </si>
  <si>
    <t>Kelder trap en relaisruimte</t>
  </si>
  <si>
    <t>Kelder laagspanningsverdeelruimte</t>
  </si>
  <si>
    <t>Kelder accuruimte</t>
  </si>
  <si>
    <t>Kelder natte ruimte</t>
  </si>
  <si>
    <t xml:space="preserve">0 0501 </t>
  </si>
  <si>
    <t>Accu- en opslagruimte</t>
  </si>
  <si>
    <t>0 0502</t>
  </si>
  <si>
    <t>Damestoilet</t>
  </si>
  <si>
    <t>Herentoilet</t>
  </si>
  <si>
    <t>Toegang Roltrapserviceruimten</t>
  </si>
  <si>
    <t>Werkkast</t>
  </si>
  <si>
    <t>1 0102</t>
  </si>
  <si>
    <t>Trap hal/perron</t>
  </si>
  <si>
    <t>Bovenste Roltrapserviceruimte</t>
  </si>
  <si>
    <t>UPS ruimte</t>
  </si>
  <si>
    <t>Hoogspanningsruimte</t>
  </si>
  <si>
    <t>0 0602</t>
  </si>
  <si>
    <t>Schoonmaak ruimte</t>
  </si>
  <si>
    <t>Toilet</t>
  </si>
  <si>
    <t>lift</t>
  </si>
  <si>
    <t>0 1002</t>
  </si>
  <si>
    <t>Roltrap 14</t>
  </si>
  <si>
    <t>Roltrap 34</t>
  </si>
  <si>
    <t>Roltrap 24</t>
  </si>
  <si>
    <t>0 1005</t>
  </si>
  <si>
    <t>Vluchtweg</t>
  </si>
  <si>
    <t>1 1903</t>
  </si>
  <si>
    <t>2 0202</t>
  </si>
  <si>
    <t>Ventilatie ruimte</t>
  </si>
  <si>
    <t>2 1006</t>
  </si>
  <si>
    <t>3 0102</t>
  </si>
  <si>
    <t>Glas in glasstaat</t>
  </si>
  <si>
    <t>3 1007</t>
  </si>
  <si>
    <t>Noodtrappenhuis</t>
  </si>
  <si>
    <t>Dienstgang (trappenhuis)</t>
  </si>
  <si>
    <t>0 05.101</t>
  </si>
  <si>
    <t>0 05.302</t>
  </si>
  <si>
    <t>0 08.101</t>
  </si>
  <si>
    <t>Opslag SB</t>
  </si>
  <si>
    <t>0 13.101</t>
  </si>
  <si>
    <t>1 04.101</t>
  </si>
  <si>
    <t>1 10.302</t>
  </si>
  <si>
    <t>2 0901</t>
  </si>
  <si>
    <t>2 0902</t>
  </si>
  <si>
    <t>asfalt</t>
  </si>
  <si>
    <t>RT 13</t>
  </si>
  <si>
    <t>RT 23</t>
  </si>
  <si>
    <t>0 0204</t>
  </si>
  <si>
    <t>0 0302</t>
  </si>
  <si>
    <t>Gelijkrichtersruimte</t>
  </si>
  <si>
    <t>0 0303</t>
  </si>
  <si>
    <t>0 0304</t>
  </si>
  <si>
    <t>0 0402 / 0 0301</t>
  </si>
  <si>
    <t>Laagspanning onderverdeelruimte</t>
  </si>
  <si>
    <t>0 0503 / 0 05.203</t>
  </si>
  <si>
    <t>Sektie schakelruimte</t>
  </si>
  <si>
    <t>0 0602 / 0 15.201</t>
  </si>
  <si>
    <t>Berging schoonmaak</t>
  </si>
  <si>
    <t>0 0803</t>
  </si>
  <si>
    <t>Roltrap ruimte</t>
  </si>
  <si>
    <t>Liftmachine ruimte</t>
  </si>
  <si>
    <t>0 1004 / geen nr.</t>
  </si>
  <si>
    <t>0 1801</t>
  </si>
  <si>
    <t>Personeelsverblijf ruimte</t>
  </si>
  <si>
    <t>0 1901</t>
  </si>
  <si>
    <t>Opslag S&amp;C</t>
  </si>
  <si>
    <t>0 1905 / 0 1802</t>
  </si>
  <si>
    <t>Amstellijn</t>
  </si>
  <si>
    <t>0 0101 / 0 0102</t>
  </si>
  <si>
    <t>klinker/straattegel</t>
  </si>
  <si>
    <t xml:space="preserve">0 0101 </t>
  </si>
  <si>
    <t>Trappen</t>
  </si>
  <si>
    <t>Gele klinker</t>
  </si>
  <si>
    <t>RVS vloerplaat</t>
  </si>
  <si>
    <t>klinker</t>
  </si>
  <si>
    <t>trappen</t>
  </si>
  <si>
    <t>0.0101/0.0102</t>
  </si>
  <si>
    <t>Trappen incl bordes</t>
  </si>
  <si>
    <t>0 0103</t>
  </si>
  <si>
    <t>Klinker</t>
  </si>
  <si>
    <t>Ringlijn</t>
  </si>
  <si>
    <t>trap</t>
  </si>
  <si>
    <t xml:space="preserve">perron </t>
  </si>
  <si>
    <t>1 0101</t>
  </si>
  <si>
    <t>T-ruimte</t>
  </si>
  <si>
    <t>LSP-ruimte</t>
  </si>
  <si>
    <t>service kast</t>
  </si>
  <si>
    <t>binnen areeal mv</t>
  </si>
  <si>
    <t>lift  mv (Talud zijde)</t>
  </si>
  <si>
    <t>ri itw</t>
  </si>
  <si>
    <t>lift mv (midden)</t>
  </si>
  <si>
    <t>ri centr</t>
  </si>
  <si>
    <t>Ticket &amp;info (incl sanitair)</t>
  </si>
  <si>
    <t>tegelvloer toilet 5m2 ….wordt gerenoveerd 2017</t>
  </si>
  <si>
    <t>roltrap</t>
  </si>
  <si>
    <t>1 1002</t>
  </si>
  <si>
    <t>gang/hal</t>
  </si>
  <si>
    <t>vloer oppbinn poortjes is 52 m2</t>
  </si>
  <si>
    <t>e/S&amp;T ruimte</t>
  </si>
  <si>
    <t>houten plafond</t>
  </si>
  <si>
    <t>roltrapserviceruimte</t>
  </si>
  <si>
    <t>liftmachine kamer bordes</t>
  </si>
  <si>
    <t xml:space="preserve">lift </t>
  </si>
  <si>
    <t>trap (2x)</t>
  </si>
  <si>
    <t>tegels/coating alles in gang hal opgenomen</t>
  </si>
  <si>
    <t>richting lift</t>
  </si>
  <si>
    <t>aluminium met coating</t>
  </si>
  <si>
    <t>1 0105</t>
  </si>
  <si>
    <t>Kaartverkoop ticket en info</t>
  </si>
  <si>
    <t>??</t>
  </si>
  <si>
    <t>gang/hal mv gvb terrein  (trap)</t>
  </si>
  <si>
    <t>wand 17 m2 golplaat</t>
  </si>
  <si>
    <t>accu</t>
  </si>
  <si>
    <t>0 03.7</t>
  </si>
  <si>
    <t>0 0201.4</t>
  </si>
  <si>
    <t>0 0901,1</t>
  </si>
  <si>
    <t>0 0201.1</t>
  </si>
  <si>
    <t>roltrap/lift machineruimte</t>
  </si>
  <si>
    <t>onbenoemde lege ruimte</t>
  </si>
  <si>
    <t>lift richt itw</t>
  </si>
  <si>
    <t>golfplaten wand hal en perron</t>
  </si>
  <si>
    <t>2 trappen 76  in tot</t>
  </si>
  <si>
    <t>composiet / gietasfalt</t>
  </si>
  <si>
    <t>perron (onder luifel)</t>
  </si>
  <si>
    <t>hardsteen / betontegel</t>
  </si>
  <si>
    <t>perron (randen)</t>
  </si>
  <si>
    <t>Kaartverkoop rvs huisje</t>
  </si>
  <si>
    <t>1 1901</t>
  </si>
  <si>
    <t>2 roltrap 31  in tota</t>
  </si>
  <si>
    <t>HSP ruimte</t>
  </si>
  <si>
    <t>hal achter gateline</t>
  </si>
  <si>
    <t>2 x 45  in totaal</t>
  </si>
  <si>
    <t>straattegels</t>
  </si>
  <si>
    <t>1. 0101</t>
  </si>
  <si>
    <t>hal (mv-straat)</t>
  </si>
  <si>
    <t>wandafwerking staat onder perron</t>
  </si>
  <si>
    <t>1. 0102</t>
  </si>
  <si>
    <t>1. 0103</t>
  </si>
  <si>
    <t>perron cabine</t>
  </si>
  <si>
    <t>1. 1901</t>
  </si>
  <si>
    <t>0. 1001</t>
  </si>
  <si>
    <t>0. 0201</t>
  </si>
  <si>
    <t>0. 0401</t>
  </si>
  <si>
    <t>0. 0801</t>
  </si>
  <si>
    <t>laagspanningsruimte</t>
  </si>
  <si>
    <t>0. 0501</t>
  </si>
  <si>
    <t xml:space="preserve">roltrap </t>
  </si>
  <si>
    <t>0. 0202</t>
  </si>
  <si>
    <t>s-ruimte</t>
  </si>
  <si>
    <t>0. 0301</t>
  </si>
  <si>
    <t>Gelijkrichter station</t>
  </si>
  <si>
    <t>transformator ruimte</t>
  </si>
  <si>
    <t>0. 0601</t>
  </si>
  <si>
    <t>gelijkrichter</t>
  </si>
  <si>
    <t>0-0602</t>
  </si>
  <si>
    <t xml:space="preserve">bestrating </t>
  </si>
  <si>
    <t>1  0102</t>
  </si>
  <si>
    <t>T&amp;I</t>
  </si>
  <si>
    <t>0 1201</t>
  </si>
  <si>
    <t>liftroltrapmachinekmr</t>
  </si>
  <si>
    <t>toilet</t>
  </si>
  <si>
    <t>werkkast</t>
  </si>
  <si>
    <t>vluchtgang</t>
  </si>
  <si>
    <t xml:space="preserve">0 0201 </t>
  </si>
  <si>
    <t>lsp</t>
  </si>
  <si>
    <t>4 st</t>
  </si>
  <si>
    <t>Transformatorruimte</t>
  </si>
  <si>
    <t>Gelijkrichterruimte</t>
  </si>
  <si>
    <t>(perron (randen)</t>
  </si>
  <si>
    <t>gang / hal</t>
  </si>
  <si>
    <t>1 1003</t>
  </si>
  <si>
    <t>perron ( onder luifel)</t>
  </si>
  <si>
    <t>S-ruimte</t>
  </si>
  <si>
    <t>1 0102 + 1 0101</t>
  </si>
  <si>
    <t>staal met antislipcoating</t>
  </si>
  <si>
    <t>perron excl gla\en bouwsteen</t>
  </si>
  <si>
    <t>perron incl glazen bwsteen</t>
  </si>
  <si>
    <t>1 0201</t>
  </si>
  <si>
    <t>1 0801</t>
  </si>
  <si>
    <t>1 0901</t>
  </si>
  <si>
    <t>stalen platen</t>
  </si>
  <si>
    <t>1-0501-1 en 2</t>
  </si>
  <si>
    <t>perron verlenging tegelwerk straat</t>
  </si>
  <si>
    <t>lift machineruimte</t>
  </si>
  <si>
    <t xml:space="preserve">zie tunnelwand </t>
  </si>
  <si>
    <t>Ijtram</t>
  </si>
  <si>
    <t>Perron A</t>
  </si>
  <si>
    <t>Steen</t>
  </si>
  <si>
    <t>metaal</t>
  </si>
  <si>
    <t>1-0204</t>
  </si>
  <si>
    <t>Liftmachine</t>
  </si>
  <si>
    <t>Serverruimte</t>
  </si>
  <si>
    <t>1-0801</t>
  </si>
  <si>
    <t>opslag</t>
  </si>
  <si>
    <t>nb</t>
  </si>
  <si>
    <t>Schakelruimte</t>
  </si>
  <si>
    <t>Meterkast</t>
  </si>
  <si>
    <t xml:space="preserve">gang  </t>
  </si>
  <si>
    <t>rooster</t>
  </si>
  <si>
    <t xml:space="preserve">technische ruimte </t>
  </si>
  <si>
    <t>leeg</t>
  </si>
  <si>
    <t xml:space="preserve">berging </t>
  </si>
  <si>
    <t>Perron B</t>
  </si>
  <si>
    <t xml:space="preserve">toilet </t>
  </si>
  <si>
    <t xml:space="preserve">trap </t>
  </si>
  <si>
    <t>0.001</t>
  </si>
  <si>
    <t>Personeelruimte</t>
  </si>
  <si>
    <t>0.002</t>
  </si>
  <si>
    <t>0.003</t>
  </si>
  <si>
    <t>0.004</t>
  </si>
  <si>
    <t>Werkplaats</t>
  </si>
  <si>
    <t>0.005</t>
  </si>
  <si>
    <t>Accu</t>
  </si>
  <si>
    <t>0.006</t>
  </si>
  <si>
    <t>Eigen beheer</t>
  </si>
  <si>
    <t>0.007</t>
  </si>
  <si>
    <t>Sectie Schakelruimte</t>
  </si>
  <si>
    <t>0.008</t>
  </si>
  <si>
    <t>gelijkrichterruimte 1</t>
  </si>
  <si>
    <t>0.009</t>
  </si>
  <si>
    <t>Trafo</t>
  </si>
  <si>
    <t>0.010</t>
  </si>
  <si>
    <t>gelijkrichterruimte 2</t>
  </si>
  <si>
    <t>0.011</t>
  </si>
  <si>
    <t>0.012</t>
  </si>
  <si>
    <t>0.013</t>
  </si>
  <si>
    <t>10 K.V.</t>
  </si>
  <si>
    <t>0.014</t>
  </si>
  <si>
    <t>0.015</t>
  </si>
  <si>
    <t>0.016</t>
  </si>
  <si>
    <t>Kleedruimte</t>
  </si>
  <si>
    <t>0.017</t>
  </si>
  <si>
    <t>Magazijn</t>
  </si>
  <si>
    <t>Eigenbeheer</t>
  </si>
  <si>
    <t xml:space="preserve">gelijkrichterruimte </t>
  </si>
  <si>
    <t>0.018</t>
  </si>
  <si>
    <t>keuken</t>
  </si>
  <si>
    <t>werkruimte</t>
  </si>
  <si>
    <t>0 0604</t>
  </si>
  <si>
    <t>ict</t>
  </si>
  <si>
    <t>0 0701</t>
  </si>
  <si>
    <t>trafo</t>
  </si>
  <si>
    <t>0 0605</t>
  </si>
  <si>
    <t>0 0607</t>
  </si>
  <si>
    <t>0 0606</t>
  </si>
  <si>
    <t>kast</t>
  </si>
  <si>
    <t>0 0903</t>
  </si>
  <si>
    <t>trap kelder</t>
  </si>
  <si>
    <t>0 0608</t>
  </si>
  <si>
    <t xml:space="preserve"> 0 0609</t>
  </si>
  <si>
    <t xml:space="preserve"> 0 0610</t>
  </si>
  <si>
    <t>0 0611</t>
  </si>
  <si>
    <t>L.S. Ruimte</t>
  </si>
  <si>
    <t>10 K.V. Schakelruimte</t>
  </si>
  <si>
    <t xml:space="preserve">Traforuimte </t>
  </si>
  <si>
    <t>Entree</t>
  </si>
  <si>
    <t>Trafo ruimte</t>
  </si>
  <si>
    <t>Portaal</t>
  </si>
  <si>
    <t>Schakel ruimte</t>
  </si>
  <si>
    <t>transformatieruimte</t>
  </si>
  <si>
    <t>bestrating rondom</t>
  </si>
  <si>
    <t>nuon ruimte (geen toegang)</t>
  </si>
  <si>
    <t>lsp ruimte</t>
  </si>
  <si>
    <t>onderdeel van 0 0202</t>
  </si>
  <si>
    <t>transformatorruimte</t>
  </si>
  <si>
    <t>bordes</t>
  </si>
  <si>
    <t>B5</t>
  </si>
  <si>
    <t xml:space="preserve">apparatenruimte </t>
  </si>
  <si>
    <t>B6</t>
  </si>
  <si>
    <t>systeem vloer</t>
  </si>
  <si>
    <t>B7</t>
  </si>
  <si>
    <t>geen toegang tot deze ruimte</t>
  </si>
  <si>
    <t>gelijkrichterruimte</t>
  </si>
  <si>
    <t>0.01</t>
  </si>
  <si>
    <t>0.02</t>
  </si>
  <si>
    <t>tractie trafo</t>
  </si>
  <si>
    <t>0.03</t>
  </si>
  <si>
    <t>eigenbedrijf trafo ruimte</t>
  </si>
  <si>
    <t>0.04</t>
  </si>
  <si>
    <t>opslag ruimte</t>
  </si>
  <si>
    <t>0.05</t>
  </si>
  <si>
    <t xml:space="preserve">hoogspanningsverdeelruimte </t>
  </si>
  <si>
    <t>0.06</t>
  </si>
  <si>
    <t>kabelkelder laagspanningsruimte</t>
  </si>
  <si>
    <t>0.07</t>
  </si>
  <si>
    <t xml:space="preserve">kabelkelder gelijkrichterruimte </t>
  </si>
  <si>
    <t>0.08</t>
  </si>
  <si>
    <t>kabelkelder transformatorruimte</t>
  </si>
  <si>
    <t>0.09</t>
  </si>
  <si>
    <t xml:space="preserve">kabelkelder hoogspanningsverdeelruimte  </t>
  </si>
  <si>
    <t>0.10</t>
  </si>
  <si>
    <t xml:space="preserve">MS-ruimte </t>
  </si>
  <si>
    <t xml:space="preserve">kabelkelder tractie trafo </t>
  </si>
  <si>
    <t xml:space="preserve">kabelkelder MS-ruimte </t>
  </si>
  <si>
    <t xml:space="preserve">schakelruimte </t>
  </si>
  <si>
    <t>00601</t>
  </si>
  <si>
    <t>Computervloer</t>
  </si>
  <si>
    <t xml:space="preserve">trafo ruimte </t>
  </si>
  <si>
    <t>00602</t>
  </si>
  <si>
    <t xml:space="preserve">opslag ruimte </t>
  </si>
  <si>
    <t>00603</t>
  </si>
  <si>
    <t xml:space="preserve">laagspanning ruimte </t>
  </si>
  <si>
    <t xml:space="preserve">tractie trafo </t>
  </si>
  <si>
    <t>inkoopruimte</t>
  </si>
  <si>
    <t xml:space="preserve">kabelkelder inkoop-ruimte </t>
  </si>
  <si>
    <t>Bijzonderheden</t>
  </si>
  <si>
    <t>Uitvoering op maandag t/m vrijdag</t>
  </si>
  <si>
    <t>Norm tbv reinigen</t>
  </si>
  <si>
    <t>in m² per uur</t>
  </si>
  <si>
    <t>Uurtarieven</t>
  </si>
  <si>
    <t>Tijdstip tussen</t>
  </si>
  <si>
    <t>Prijs per uur</t>
  </si>
  <si>
    <t>Medewerker uitvoering</t>
  </si>
  <si>
    <t>06:00 - 21:30 uur</t>
  </si>
  <si>
    <t>21:30 - 06:00 uur</t>
  </si>
  <si>
    <t>Stationsnummer</t>
  </si>
  <si>
    <t>Tijdstip</t>
  </si>
  <si>
    <t>Freq</t>
  </si>
  <si>
    <t>Bewerking</t>
  </si>
  <si>
    <t>Perron m²</t>
  </si>
  <si>
    <t>Hallen m²</t>
  </si>
  <si>
    <t>Uren per keer</t>
  </si>
  <si>
    <t>Uren per jaar</t>
  </si>
  <si>
    <t>Prijs per uur dag</t>
  </si>
  <si>
    <t>Prijs per uur nacht</t>
  </si>
  <si>
    <t>Kosten per beurt</t>
  </si>
  <si>
    <t>Kosten per jaar</t>
  </si>
  <si>
    <t>dag 9.00 tot 15.00</t>
  </si>
  <si>
    <t>Reinigen</t>
  </si>
  <si>
    <t>van der Madeweg</t>
  </si>
  <si>
    <t>Totaal</t>
  </si>
  <si>
    <t>Omschrijving opdracht</t>
  </si>
  <si>
    <t>Stationnummer</t>
  </si>
  <si>
    <t>Activiteit</t>
  </si>
  <si>
    <t>Aantal</t>
  </si>
  <si>
    <t>Frequentie
omschrijving
ma-vr</t>
  </si>
  <si>
    <t>Uren per beurt per stuk</t>
  </si>
  <si>
    <t xml:space="preserve">Reistijd per beurt
ma-vr
in uren
</t>
  </si>
  <si>
    <t>Roltraptreden vrij van gehecht vuil (incl. groeven)</t>
  </si>
  <si>
    <t>Reinigen zandvangers (1 per locatie)</t>
  </si>
  <si>
    <t>Aantal 
liften</t>
  </si>
  <si>
    <t>Frequentie
omschrijving</t>
  </si>
  <si>
    <t>Uren per beurt per lift</t>
  </si>
  <si>
    <t>Uren 
per jaar</t>
  </si>
  <si>
    <t>Kosten totaal</t>
  </si>
  <si>
    <t>reinigen liftbodem</t>
  </si>
  <si>
    <t>Te reinigen onderdeel</t>
  </si>
  <si>
    <t>Aantal m2</t>
  </si>
  <si>
    <t>Uren per beurt 06.00 - 21.30</t>
  </si>
  <si>
    <t>Uren per beurt 21.30 - 06.00</t>
  </si>
  <si>
    <t>Kosten bereikbaar heidsmiddelen 
per jaar 06.00 - 21.30</t>
  </si>
  <si>
    <t>Kosten bereikbaar heidsmiddelen 
per jaar 21.30 - 06.00</t>
  </si>
  <si>
    <t>Frequentie per jaar</t>
  </si>
  <si>
    <t>Kosten per jaar 06.00 - 21.30</t>
  </si>
  <si>
    <t>Kosten per jaar 21.30 - 06.00</t>
  </si>
  <si>
    <t>Kosten totaal 
per jaar</t>
  </si>
  <si>
    <t>reinigen betegelde geveldelen buiten het station op straatniveau</t>
  </si>
  <si>
    <t xml:space="preserve">gevel beplating boven entree buitenzijde </t>
  </si>
  <si>
    <t>wanden binnenzijde hoge stationshal</t>
  </si>
  <si>
    <t>plafond binnenzijde hoge stationshal incl. constructie, lampen en speakers</t>
  </si>
  <si>
    <t>gevel landhoofd</t>
  </si>
  <si>
    <t>gevel westkant</t>
  </si>
  <si>
    <t>reinigen betegelde en geverfde geveldelen buiten het station op straat niveau</t>
  </si>
  <si>
    <t>gevel onderzijde station parkeerplaatszijde</t>
  </si>
  <si>
    <t>Buitenzijde stationshal</t>
  </si>
  <si>
    <t>overzijde entree tussen de regenpijpen</t>
  </si>
  <si>
    <t>wanden , ingangen-trappen landhoofd</t>
  </si>
  <si>
    <t xml:space="preserve">Ruimte nummer </t>
  </si>
  <si>
    <t>Soort</t>
  </si>
  <si>
    <t>Specificatie</t>
  </si>
  <si>
    <t>Was
frequentie per jaar</t>
  </si>
  <si>
    <t>Opp. M2</t>
  </si>
  <si>
    <t>In de nacht</t>
  </si>
  <si>
    <t>Op merkingen</t>
  </si>
  <si>
    <t>Kosten per beurt 06:00 -21:30 uur</t>
  </si>
  <si>
    <t>Kosten per beurt 21:30 -06:00 uur</t>
  </si>
  <si>
    <t>Glassoort</t>
  </si>
  <si>
    <t>m² prijs per beurt uitvoering 06:00 - 21:30</t>
  </si>
  <si>
    <t>m² prijs per beurt uitvoering 21:30 - 06:00</t>
  </si>
  <si>
    <t>Separatieglas</t>
  </si>
  <si>
    <t>vide tussen sporen perron Oost</t>
  </si>
  <si>
    <t>ja</t>
  </si>
  <si>
    <t>Binnenglas (dak/kap)</t>
  </si>
  <si>
    <t>vide tussen sporen perron West</t>
  </si>
  <si>
    <t>Binnenglas (gevel/perron)</t>
  </si>
  <si>
    <t>Lichtkoepels binnenzijde</t>
  </si>
  <si>
    <t>lichtstraat, plexiglas</t>
  </si>
  <si>
    <t>50% in spoor</t>
  </si>
  <si>
    <t>Buitenglas (dak/kap)</t>
  </si>
  <si>
    <t>Lichtkoepels buitenzijde</t>
  </si>
  <si>
    <t>Buitenglas (gevel/perron)</t>
  </si>
  <si>
    <t>Glas winkels</t>
  </si>
  <si>
    <t>Glaslamellen</t>
  </si>
  <si>
    <t>Liftschacht binnenzijde</t>
  </si>
  <si>
    <t>hal, voorzijde schacht</t>
  </si>
  <si>
    <t>nee</t>
  </si>
  <si>
    <t>Liftschacht buitenzijde</t>
  </si>
  <si>
    <t>Liftkooi binnenzijde</t>
  </si>
  <si>
    <t>liftkooi, deuren</t>
  </si>
  <si>
    <t>Liftkooi buitenzijde</t>
  </si>
  <si>
    <t>Toegang oost binnen</t>
  </si>
  <si>
    <t>Toegang oost buiten</t>
  </si>
  <si>
    <t>Toegang west binnen</t>
  </si>
  <si>
    <t>Toegang west buiten</t>
  </si>
  <si>
    <t>fixed barriers (1,70 meter hoog)</t>
  </si>
  <si>
    <t>Fixed barriers</t>
  </si>
  <si>
    <t>Van Der Madeweg</t>
  </si>
  <si>
    <t>Liftschacht binnenzijde mv</t>
  </si>
  <si>
    <t>Liftschacht buitenzijde mv</t>
  </si>
  <si>
    <t>Liftkooi binnenzijde mv</t>
  </si>
  <si>
    <t>Liftschacht binnenzijde oost</t>
  </si>
  <si>
    <t>Liftschacht buitenzijde oost</t>
  </si>
  <si>
    <t>Liftkooi binnenzijde oost</t>
  </si>
  <si>
    <t>Liftschacht binnenzijde west</t>
  </si>
  <si>
    <t>Liftschacht buitenzijde west</t>
  </si>
  <si>
    <t>Liftkooi binnenzijde west</t>
  </si>
  <si>
    <t>Expo ruimte gevel binnen</t>
  </si>
  <si>
    <t>Expo ruimte gevel buiten</t>
  </si>
  <si>
    <t>Expo ruimte verdeelhal binnen</t>
  </si>
  <si>
    <t>Expo ruimte verdeelhal buiten</t>
  </si>
  <si>
    <t>Glasgevel boven fietspad binnen oost</t>
  </si>
  <si>
    <t>Glasgevel boven fietspad buiten oost</t>
  </si>
  <si>
    <t>Glasgevel boven fietspad binnen west</t>
  </si>
  <si>
    <t>Glaswand pvr-verdeelhal binnen</t>
  </si>
  <si>
    <t>Glaswand pvr-verdeelhal buiten</t>
  </si>
  <si>
    <t>Twee glazen deuren binnen</t>
  </si>
  <si>
    <t>Twee glazen deuren buiten</t>
  </si>
  <si>
    <t>Balustrade verdeelhal binn en buiten</t>
  </si>
  <si>
    <t>Balustrade perron lift oost bin en buiten</t>
  </si>
  <si>
    <t>Lichtstraat boven trappen oost</t>
  </si>
  <si>
    <t>Lichtstraat boven trappen west</t>
  </si>
  <si>
    <t>gevelkozijn, entreehal West (vide-spoor)</t>
  </si>
  <si>
    <t>gevelkozijn, entreehal West (perron-spoor)</t>
  </si>
  <si>
    <t>gevelkozijn, entreehal Oost (vide-spoor)</t>
  </si>
  <si>
    <t>gevelkozijn, entreehal Oost (perron-spoor)</t>
  </si>
  <si>
    <t>Strandvliet / ArenA</t>
  </si>
  <si>
    <t>gevelkozijn, entreehal Noord (begane grond)</t>
  </si>
  <si>
    <t>boven entree</t>
  </si>
  <si>
    <t>enkelzijdig</t>
  </si>
  <si>
    <t>boven perrondak</t>
  </si>
  <si>
    <t>gevelkozijn, entreehal Noord (vide-spoor)</t>
  </si>
  <si>
    <t>gevelkozijn, entreehal Noord (perron-spoor)</t>
  </si>
  <si>
    <t>lichtstraat boven trappen Noord</t>
  </si>
  <si>
    <t>niet ingemeten, vanaf tekening</t>
  </si>
  <si>
    <t>Kunst</t>
  </si>
  <si>
    <t>lichtkoepels in perronkap</t>
  </si>
  <si>
    <t>gevelkozijn, entreehal Zuid (begane grond)</t>
  </si>
  <si>
    <t>gevelkozijn, entreehal Zuid (vide-spoor)</t>
  </si>
  <si>
    <t>gevelkozijn, entreehal Zuid (perron-spoor)</t>
  </si>
  <si>
    <t>lichtstraat boven trappen Zuid</t>
  </si>
  <si>
    <t>geen ruimtenummer bekend</t>
  </si>
  <si>
    <t>balustrade perron - vide vluchttrap</t>
  </si>
  <si>
    <t>perron spoorzijde</t>
  </si>
  <si>
    <t>hal - perron</t>
  </si>
  <si>
    <t>liftkooi</t>
  </si>
  <si>
    <t>gevelkozijn, Ticket &amp; Info begane grond</t>
  </si>
  <si>
    <t>gevelkozijn, personeelsruimte 1e verdieping</t>
  </si>
  <si>
    <t>0 1903</t>
  </si>
  <si>
    <t>toegang tot 0 0202</t>
  </si>
  <si>
    <t>hal, voorzijde schacht Noord</t>
  </si>
  <si>
    <t>liftkooi, deuren Noord</t>
  </si>
  <si>
    <t>gevelkozijn, entreehal West (begane grond)</t>
  </si>
  <si>
    <t>gevelkozijn, entreehal West (boven entree)</t>
  </si>
  <si>
    <t>gevelkozijn, entreehal West (boven barriers)</t>
  </si>
  <si>
    <t>lichtstraat boven trappen West</t>
  </si>
  <si>
    <t>lichtstraat boven trappen / hal Oost</t>
  </si>
  <si>
    <t>balustrade perron - vide trap hal Oost</t>
  </si>
  <si>
    <t>gevelkozijn, entreehal Oost (roltrap-spoor)</t>
  </si>
  <si>
    <t>gevelkozijn, entreehal Oost (liftschacht-spoor)</t>
  </si>
  <si>
    <t>liftschacht, entreehal Oost</t>
  </si>
  <si>
    <t>gevelkozijn, entreehal Oost (begane grond)</t>
  </si>
  <si>
    <t>gevelkozijn, entreehal Oost (winkels)</t>
  </si>
  <si>
    <t>gevelkozijn, entreehal Oost (personeelsruimte)</t>
  </si>
  <si>
    <t>gevelkozijn, entreehal Oost (voorruimte-0 0802)</t>
  </si>
  <si>
    <t>lichtstraat boven trappen / hal West</t>
  </si>
  <si>
    <t xml:space="preserve">Westhal, voorzijde schacht </t>
  </si>
  <si>
    <t>Oosthal, voorzijde schacht</t>
  </si>
  <si>
    <t>personeelshuisje op perron</t>
  </si>
  <si>
    <t>luifel achterzijde personeelshuisje</t>
  </si>
  <si>
    <t>gevelkozijn, entreehal (begane grond)</t>
  </si>
  <si>
    <t>gevelkozijn, entreehal (personeelsruimte)</t>
  </si>
  <si>
    <t>gevelkozijn, dakopbouw</t>
  </si>
  <si>
    <t>Balustrade op perron</t>
  </si>
  <si>
    <t xml:space="preserve">Entreehal, voorzijde schacht </t>
  </si>
  <si>
    <t>gevelkozijn, Westhal (begane grond)</t>
  </si>
  <si>
    <t>boven entree Westhal</t>
  </si>
  <si>
    <t>boven perrondak Westhal</t>
  </si>
  <si>
    <t>balustrade perron - trap hal West</t>
  </si>
  <si>
    <t>voorzijde en zijkant schacht Westhal</t>
  </si>
  <si>
    <t>boven entree Oosthal</t>
  </si>
  <si>
    <t>boven perrondak Oosthal</t>
  </si>
  <si>
    <t>balustrade perron - trap hal Oost</t>
  </si>
  <si>
    <t>voorzijde en zijkant schacht Oosthal</t>
  </si>
  <si>
    <t>kozijn tussen 0 0102 en 0 0203</t>
  </si>
  <si>
    <t>gevelkozijn, dienstgang Oosthal</t>
  </si>
  <si>
    <t>Personeelruimte maaiveld</t>
  </si>
  <si>
    <t>gevelkozijn, (buitenbordes-Oosthal)</t>
  </si>
  <si>
    <t>gevelkozijn, personeelsruimte (begane grond)</t>
  </si>
  <si>
    <t>gevelkozijn, entreehal (vide-spoor)</t>
  </si>
  <si>
    <t>gevelkozijn, entreehal (perron-spoor)</t>
  </si>
  <si>
    <t>lichtstraat boven trappen</t>
  </si>
  <si>
    <t>hal, voorzijde en zijkant schacht</t>
  </si>
  <si>
    <t>balustrade perron - trap hal</t>
  </si>
  <si>
    <t>Verrijn stuartweg</t>
  </si>
  <si>
    <t>glazen dak boven perron</t>
  </si>
  <si>
    <t>glazen dak boven perron - spoor</t>
  </si>
  <si>
    <t>beglazing buitenzijde spoor</t>
  </si>
  <si>
    <t>beglazing kopkanten boven perron</t>
  </si>
  <si>
    <t>beglazing kopkanten boven perron - spoor</t>
  </si>
  <si>
    <t>gevelkozijn, voorzijde entreehal</t>
  </si>
  <si>
    <t>gevelkozijn, zijgevels entreehal</t>
  </si>
  <si>
    <t>totale schacht</t>
  </si>
  <si>
    <t>beglazing binnenkozijnen hal</t>
  </si>
  <si>
    <t>gevelkozijn, zijgevels perron</t>
  </si>
  <si>
    <t>beglazing deuren van o.a. 0 1901, 1 1903</t>
  </si>
  <si>
    <t>glazen dak boven roltrap - lift</t>
  </si>
  <si>
    <t>schacht hal</t>
  </si>
  <si>
    <t>schacht perron</t>
  </si>
  <si>
    <t>beglazing personeelsruimte - gevel</t>
  </si>
  <si>
    <t>Amstelveenlijn</t>
  </si>
  <si>
    <t>balustradeglas incl leuning</t>
  </si>
  <si>
    <t>Glas oppervlak lift binnen</t>
  </si>
  <si>
    <t>Glas oppervlak lift buiten</t>
  </si>
  <si>
    <t>Glas in balustrade bij bordes</t>
  </si>
  <si>
    <t>Liftopbouw</t>
  </si>
  <si>
    <t>Maaiveld</t>
  </si>
  <si>
    <t>RAI</t>
  </si>
  <si>
    <t>Opgang, perron</t>
  </si>
  <si>
    <t>Binnenzijde ruimte</t>
  </si>
  <si>
    <t>Buitengevel, spoorzijde</t>
  </si>
  <si>
    <t>Buitengevel, perron</t>
  </si>
  <si>
    <t>Opgang</t>
  </si>
  <si>
    <t>Buitengevel</t>
  </si>
  <si>
    <t>Wanden techruimten</t>
  </si>
  <si>
    <t>Binnenzijde, opgang naast NS</t>
  </si>
  <si>
    <t>Buitenzijde, opgang naast NS, in spoor</t>
  </si>
  <si>
    <t>Buitenzijde, opgang naast NS</t>
  </si>
  <si>
    <t>Plat, opgang naast NS</t>
  </si>
  <si>
    <t>Ronding, opgang naast NS</t>
  </si>
  <si>
    <t>lift, opgang naast NS</t>
  </si>
  <si>
    <t>Binnenzijde opgang</t>
  </si>
  <si>
    <t>Buitenzijde opgang, in spoor</t>
  </si>
  <si>
    <t>Buitenzijde opgang</t>
  </si>
  <si>
    <t>Plat</t>
  </si>
  <si>
    <t>Ronding</t>
  </si>
  <si>
    <t>Sheddak in hal</t>
  </si>
  <si>
    <t>Puien trap - perron, spoorzijde</t>
  </si>
  <si>
    <t>Puien trap - perron, perronzijde</t>
  </si>
  <si>
    <t>Puien trap - perron, trapzijde</t>
  </si>
  <si>
    <t>Gebogen puien trap - perron, spoorzijde</t>
  </si>
  <si>
    <t>Gebogen puien trap - perron, perronzijde</t>
  </si>
  <si>
    <t>Gebogen puien trap - perron, trapzijde</t>
  </si>
  <si>
    <t>Pui perron naast lift</t>
  </si>
  <si>
    <t>Gevelsglas spoorzijde eindpunt voorziening</t>
  </si>
  <si>
    <t>Trap / Liftschacht</t>
  </si>
  <si>
    <t>Entree perron</t>
  </si>
  <si>
    <t>Zijkant schacht op perron</t>
  </si>
  <si>
    <t>Voorzijde schacht vanaf maaiveld</t>
  </si>
  <si>
    <t>Zijkant schacht naast trap</t>
  </si>
  <si>
    <t>Puien boven trap entree, trapzijde</t>
  </si>
  <si>
    <t>Puien boven trap entree, buitenzijde</t>
  </si>
  <si>
    <t>Balustrade perron - trap</t>
  </si>
  <si>
    <t>Zijkant schacht in spoor</t>
  </si>
  <si>
    <t>Balustrade perron - trap, 2e toegang</t>
  </si>
  <si>
    <t>Henk sneelvlietweg</t>
  </si>
  <si>
    <t>Balustrade perron - trappen</t>
  </si>
  <si>
    <t>Balustrade kop perron, spoorzijde</t>
  </si>
  <si>
    <t>Balustrade kop perron, perronzijde</t>
  </si>
  <si>
    <t>Ronde ramen in schacht</t>
  </si>
  <si>
    <t>Liftkooi</t>
  </si>
  <si>
    <t>Kap</t>
  </si>
  <si>
    <t>Dienstgang maaiveld</t>
  </si>
  <si>
    <t>0-0202</t>
  </si>
  <si>
    <t>0-0201</t>
  </si>
  <si>
    <t>Jan v. Gaalenstraat</t>
  </si>
  <si>
    <t>Kap spoor</t>
  </si>
  <si>
    <t>Middenkap</t>
  </si>
  <si>
    <t>Balustrade perron trap H = 0,6 m¹</t>
  </si>
  <si>
    <t>Balustrade perron trap H = 2,15 m¹</t>
  </si>
  <si>
    <t>Toegang</t>
  </si>
  <si>
    <t>Balustrade trap</t>
  </si>
  <si>
    <t>Gevelpuien entreehal, binnenzijde</t>
  </si>
  <si>
    <t>Personeelsruimte kop perron</t>
  </si>
  <si>
    <t>Balustrade vide - trap entree</t>
  </si>
  <si>
    <t>Gelijkrichterstations</t>
  </si>
  <si>
    <t>0201</t>
  </si>
  <si>
    <t>gevelkozijn, entree</t>
  </si>
  <si>
    <t>plexiglas, glas van deuren in toiletruimten GR RVT niet opgenomen (2x 0,35x 0,70 enkelzijdig gemeten)</t>
  </si>
  <si>
    <t>plexiglas</t>
  </si>
  <si>
    <t>0604</t>
  </si>
  <si>
    <t>gevelkozijnen, werkplaats</t>
  </si>
  <si>
    <t>0901</t>
  </si>
  <si>
    <t>gevelkozijnen, personeelsruimte</t>
  </si>
  <si>
    <t>glas van deuren in toiletruimten GR SLW niet opgenomen (2x 0,35x 0,70 enkelzijdig gemeten)</t>
  </si>
  <si>
    <t>traliewerk 2x 1,0x 2,1 m¹</t>
  </si>
  <si>
    <t>Gelijkrichter Reigersbos</t>
  </si>
  <si>
    <t>glas van deuren in toiletruimten GR RGB niet opgenomen (2x 0,35x 0,70 enkelzijdig gemeten)</t>
  </si>
  <si>
    <t>traliewerk 2x 1,0x 3,0 m¹</t>
  </si>
  <si>
    <t>glas van deuren in toiletruimten GR KEN niet opgenomen (2x 0,35x 0,70 enkelzijdig gemeten)</t>
  </si>
  <si>
    <t>glas van deuren in toiletruimten GR VSW niet opgenomen (2x 0,35x 0,70 enkelzijdig gemeten)</t>
  </si>
  <si>
    <t>traliewerk 1x 1,0x 2,1 m¹</t>
  </si>
  <si>
    <t>glas van deuren in toiletruimten GR VPD niet opgenomen (2x 0,35x 0,70 enkelzijdig gemeten)</t>
  </si>
  <si>
    <t>schacht</t>
  </si>
  <si>
    <t>deuren</t>
  </si>
  <si>
    <t>M2 Glas</t>
  </si>
  <si>
    <t>Kosten bereikbaarheids middelen 
per beurt</t>
  </si>
  <si>
    <t>Aantal beurten 
per jaar</t>
  </si>
  <si>
    <t>Kosten bereikbaarheids middelen 
per jaar</t>
  </si>
  <si>
    <t>Kosten veiligheidspersoon / leider lokale veiligheid per beurt</t>
  </si>
  <si>
    <t>Kosten veiligheidspersoon / leider lokale veiligheid per jaar</t>
  </si>
  <si>
    <t>2</t>
  </si>
  <si>
    <t>Gelijkrichter Strandvliet</t>
  </si>
  <si>
    <t>Gelijkrichter Bullewijk</t>
  </si>
  <si>
    <t>Gelijkrichter Haarlemmerweg</t>
  </si>
  <si>
    <t>Gelijkrichter Rozenoordbrug</t>
  </si>
  <si>
    <t>Gelijkrichter Schinkelbrug</t>
  </si>
  <si>
    <t>Gelijkrichter Heemstedestraat</t>
  </si>
  <si>
    <t>Gelijkrichter Postjesweg</t>
  </si>
  <si>
    <t>Gelijkrichter Isolatorweg</t>
  </si>
  <si>
    <t>Eindtotaal</t>
  </si>
  <si>
    <t>Machine*</t>
  </si>
  <si>
    <t>Catalogusprijs</t>
  </si>
  <si>
    <t>Korting</t>
  </si>
  <si>
    <t>Netto aanschafprijs</t>
  </si>
  <si>
    <t xml:space="preserve">Afschrijvingstermijn in jaren </t>
  </si>
  <si>
    <t>Restwaarde</t>
  </si>
  <si>
    <t>Afschrijvingskosten per jaar</t>
  </si>
  <si>
    <t>Onderhoudskosten per jaar</t>
  </si>
  <si>
    <t xml:space="preserve">Renteverlies per jaar </t>
  </si>
  <si>
    <t xml:space="preserve">Verzekeringskosten per jaar </t>
  </si>
  <si>
    <t>Totaal kosten bij koop per jaar per machine</t>
  </si>
  <si>
    <t>Inzet van het aantal machines [stuks]</t>
  </si>
  <si>
    <t>Totaal kosten bij koop per jaar voor GVB</t>
  </si>
  <si>
    <t>* Het door de inschrijver, bij de inschrijving, opgegeven bedrag aan machinekosten zijn de maximale machinekosten die bij GVB in rekening worden gebracht.</t>
  </si>
  <si>
    <t>Veiligheidspersoon</t>
  </si>
  <si>
    <t>Uren per beurt
uitvoering</t>
  </si>
  <si>
    <t>Uren per beurt veiligheidspersoon / leider lokale veiligheid</t>
  </si>
  <si>
    <t>Tarief dag uitvoering</t>
  </si>
  <si>
    <t>Tarief dag veiligheids persoon</t>
  </si>
  <si>
    <t>Tarief nacht uitvoering</t>
  </si>
  <si>
    <t>Tarief nacht veiligheids persoon</t>
  </si>
  <si>
    <t>Percentage uitvoering dag</t>
  </si>
  <si>
    <t>Percentage uitvoering nacht</t>
  </si>
  <si>
    <t>Kosten bereikbaarheids voorzieningen per beurt</t>
  </si>
  <si>
    <t>Freq.</t>
  </si>
  <si>
    <t>Prijs per jaar dag</t>
  </si>
  <si>
    <t>Prijs per jaar nacht</t>
  </si>
  <si>
    <t>4</t>
  </si>
  <si>
    <t>Alle prijzen inclusief machines, materialen en middelen, autokosten en overige bijkomende kosten.</t>
  </si>
  <si>
    <t>Kosten inzet bereikbaarheidsvoorzieningen voor de uitvoering van periodieke werkzaamheden</t>
  </si>
  <si>
    <t>Kosten hoogwerkers per beurt</t>
  </si>
  <si>
    <t>Kosten steigers (incl. opbouw) per beurt</t>
  </si>
  <si>
    <t>Aantal dagen inzet per beurt</t>
  </si>
  <si>
    <t>Totaal kosten 
per beurt</t>
  </si>
  <si>
    <t>Alle prijzen inclusief autokosten en overige bijkomende kosten.</t>
  </si>
  <si>
    <t>Alle prijzen exclusief btw</t>
  </si>
  <si>
    <t>Prijsvorming Regie werkzaamheden graffitiverwijderen binnen PVR</t>
  </si>
  <si>
    <t>Afroepprijzen graffitiverwijderen binnen PVR uitvoering tussen 21.30 uur en 06.00 uur</t>
  </si>
  <si>
    <t>Prijs p/m2  excl. btw</t>
  </si>
  <si>
    <t>Indicatief aantal</t>
  </si>
  <si>
    <t>Ondergrond</t>
  </si>
  <si>
    <t>0,2-0,5 m2</t>
  </si>
  <si>
    <t>0,5-1 m2</t>
  </si>
  <si>
    <t>1-3 m2</t>
  </si>
  <si>
    <t>&gt; 3m2</t>
  </si>
  <si>
    <t>Beton &amp; steen glad</t>
  </si>
  <si>
    <t>Beton &amp; Steen ruw gecoat</t>
  </si>
  <si>
    <t>Beton &amp; Steen ruw ongecoat</t>
  </si>
  <si>
    <t>Geschilderde oppervlakken</t>
  </si>
  <si>
    <t>Glas oppervlakken</t>
  </si>
  <si>
    <t>Houten oppervlakken</t>
  </si>
  <si>
    <t>Kunststof oppervlakken</t>
  </si>
  <si>
    <t>Metalen oppervlakken</t>
  </si>
  <si>
    <t>Prijsvorming Regie werkzaamheden  ( Vloeronderhoud is inclusief uit-/inruimen van het meubilair)</t>
  </si>
  <si>
    <t>Toelichting</t>
  </si>
  <si>
    <t>0-100m2</t>
  </si>
  <si>
    <t>101-500m2</t>
  </si>
  <si>
    <t>Lino-/marmoleum conserveren</t>
  </si>
  <si>
    <t>2 lagen</t>
  </si>
  <si>
    <t>Lino-/marmoleum sprayen</t>
  </si>
  <si>
    <t>geheel</t>
  </si>
  <si>
    <t>Steen/PVC schrobben</t>
  </si>
  <si>
    <t>Tapijt sproeiextraheren</t>
  </si>
  <si>
    <t>Medewerker</t>
  </si>
  <si>
    <t>Dag van de week</t>
  </si>
  <si>
    <t>Prijs p/uur  excl. btw</t>
  </si>
  <si>
    <t>Medewerker regulier onderhoud</t>
  </si>
  <si>
    <t>Maandag</t>
  </si>
  <si>
    <t>00:00 - 06:00 uur</t>
  </si>
  <si>
    <t>dinsdag t/m vrijdag</t>
  </si>
  <si>
    <t>maandag t/m vrijdag</t>
  </si>
  <si>
    <t>00:06 - 21:30 uur</t>
  </si>
  <si>
    <t>maandag t/m donderdag</t>
  </si>
  <si>
    <t>21:30 - 24:00 uur</t>
  </si>
  <si>
    <t>Vrijdag</t>
  </si>
  <si>
    <t>Medewerker specialistisch onderhoud</t>
  </si>
  <si>
    <t>Veiligheidspersoon / leider lokale veiligheid</t>
  </si>
  <si>
    <t>Alle prijzen inclusief materialen en middelen, voorrijkosten en overige bijkomende kosten.</t>
  </si>
  <si>
    <t>Schoonmaak</t>
  </si>
  <si>
    <t>Element</t>
  </si>
  <si>
    <t>Eenheid</t>
  </si>
  <si>
    <t>Uren per eenheid</t>
  </si>
  <si>
    <t>Uren per beurt</t>
  </si>
  <si>
    <t>Prijs per beurt</t>
  </si>
  <si>
    <t>Perronoverkapping</t>
  </si>
  <si>
    <t>Houten delen inclusief constructie boven de 2,5 meter</t>
  </si>
  <si>
    <t>m2</t>
  </si>
  <si>
    <t>Glas binnenzijde boven perron</t>
  </si>
  <si>
    <t>Glas binnenzijde boven spoor, uitvoering in het spoor</t>
  </si>
  <si>
    <t>Glas buitenzijde boven perron</t>
  </si>
  <si>
    <t>Glas buitenzijde boven spoor</t>
  </si>
  <si>
    <t>Materialen en bereikbaarheidsvoorzieningen</t>
  </si>
  <si>
    <t>Prijs per eenheid</t>
  </si>
  <si>
    <t>Toezicht</t>
  </si>
  <si>
    <t>Inzet spoorweg veiligheid</t>
  </si>
  <si>
    <t>Inzet LWB/veiligheidspersoon / leider lokale veiligheid spoor 2</t>
  </si>
  <si>
    <t>Stationsgebouw</t>
  </si>
  <si>
    <t>Decoratief opengewerkt RVS Hekwerk buitenzijde</t>
  </si>
  <si>
    <t>Decoratief opengewerkt RVS Hekwerk binnenzijde</t>
  </si>
  <si>
    <t>Vlakke RVS beplating</t>
  </si>
  <si>
    <t>RVS beplating boeideel spoor 1</t>
  </si>
  <si>
    <t>RVs beplating boeideel spoor 2</t>
  </si>
  <si>
    <t>RVS beplating kopgevel zuidzijde ( bereikbaar steiger)</t>
  </si>
  <si>
    <t>RVS beplating kopgevel noordzijde ( bereikbaar hoogwerker)</t>
  </si>
  <si>
    <t>Producten</t>
  </si>
  <si>
    <t>Liter</t>
  </si>
  <si>
    <t>Steiger</t>
  </si>
  <si>
    <t>Hoogwerker</t>
  </si>
  <si>
    <t>Diversen</t>
  </si>
  <si>
    <t>Voorgeschreven methodiek</t>
  </si>
  <si>
    <t>Afspoelen met leiding water</t>
  </si>
  <si>
    <t>Handmatig polijsten met N-creme</t>
  </si>
  <si>
    <t>Innevelen met AL 10</t>
  </si>
  <si>
    <t>Afspoelen warm water ( HD)</t>
  </si>
  <si>
    <t>Conserveren met RenoCoat</t>
  </si>
  <si>
    <t>Gelijkrichter stations</t>
  </si>
  <si>
    <t>Gebruiksruimten
Opp in m2 
freq 12 x p.j.</t>
  </si>
  <si>
    <t>Overige ruimten
Opp in m2
freq 2 x p.j.</t>
  </si>
  <si>
    <t>Sanitair
uren/beurt
freq 12 x p.j.</t>
  </si>
  <si>
    <t>Overige ruimten
uren/beurt
freq 2 x p.j.</t>
  </si>
  <si>
    <t>Uren/jaar</t>
  </si>
  <si>
    <t>Kosten/jaar</t>
  </si>
  <si>
    <t>Ruimtestaat Gelijkrichter stations</t>
  </si>
  <si>
    <t>Ruimte categorie</t>
  </si>
  <si>
    <t>M2 VLOER</t>
  </si>
  <si>
    <t>Kantoren/spreekkamers</t>
  </si>
  <si>
    <t>Sanitair</t>
  </si>
  <si>
    <t>Gangen</t>
  </si>
  <si>
    <t>Technische ruimte</t>
  </si>
  <si>
    <t>Berging/opslag/magazijn</t>
  </si>
  <si>
    <t>Niet van toepassing</t>
  </si>
  <si>
    <t>Bestrating</t>
  </si>
  <si>
    <t>Norm tbv jaarlijks reinigen
dienstruimten</t>
  </si>
  <si>
    <t>Technische ruimte m2</t>
  </si>
  <si>
    <t>Reinigen
Uren/beurt</t>
  </si>
  <si>
    <t>Freq. Per jaar</t>
  </si>
  <si>
    <t>3</t>
  </si>
  <si>
    <t>5</t>
  </si>
  <si>
    <t>6</t>
  </si>
  <si>
    <t>7</t>
  </si>
  <si>
    <t>8</t>
  </si>
  <si>
    <t xml:space="preserve">Sociale verzekeringen </t>
  </si>
  <si>
    <t>Bedrijfsgemiddelde</t>
  </si>
  <si>
    <t>WIA Basispremie</t>
  </si>
  <si>
    <t>WGA</t>
  </si>
  <si>
    <t>ZW-flex</t>
  </si>
  <si>
    <t>WW premie- Algemeen Werkeloosheidsfonds (Awf)</t>
  </si>
  <si>
    <t>Transitievergoeding</t>
  </si>
  <si>
    <t>Zorgverzekeringswet (Zvw)</t>
  </si>
  <si>
    <t>OP/NP</t>
  </si>
  <si>
    <t>Kinderopvang</t>
  </si>
  <si>
    <t>RAS premie</t>
  </si>
  <si>
    <t>Totaal opslag sociale lasten</t>
  </si>
  <si>
    <t xml:space="preserve">Sociale verzekeringen - Ouderdomspensioen (OP/NP) </t>
  </si>
  <si>
    <t>werkgeversdeel</t>
  </si>
  <si>
    <t>SV uurloon inclusief toeslagen</t>
  </si>
  <si>
    <t>Franchise OP-premie per uur</t>
  </si>
  <si>
    <t>Let op -/- bedrag</t>
  </si>
  <si>
    <t>Grondslag loon voor berekening OP premie</t>
  </si>
  <si>
    <t>Premie Ouderdomspensioen (OP)</t>
  </si>
  <si>
    <t>Effectieve OP premie</t>
  </si>
  <si>
    <t>Berekening werkbare dagen</t>
  </si>
  <si>
    <t>Aantal kalenderdagen</t>
  </si>
  <si>
    <t>Weekenddagen</t>
  </si>
  <si>
    <t>Werkdagen per jaar</t>
  </si>
  <si>
    <t>Nat. feestdagen, kort verzuim, bijz. CAO</t>
  </si>
  <si>
    <t>Vakantiedagen</t>
  </si>
  <si>
    <t>Ziektedagen</t>
  </si>
  <si>
    <t>Vorstverlet</t>
  </si>
  <si>
    <t>Werkbare dagen per jaar</t>
  </si>
  <si>
    <t>Nat. feestdagen, kort verzuim, bijz CAO</t>
  </si>
  <si>
    <t>Totaal % opslag werkbare dagen</t>
  </si>
  <si>
    <t xml:space="preserve">Het aantal werkbare dagen per jaar is een gemiddelde over 5 jaar. Er vindt geen periodieke verrekening plaats in verband met schrikkeljaren. </t>
  </si>
  <si>
    <t>Tariefopbouw schoonmaak</t>
  </si>
  <si>
    <t>Tarief medewerker uitvoering 06.00 uur - 21.30 uur</t>
  </si>
  <si>
    <t>Tarief medewerker uitvoering 21.30 uur - 00.00 uur</t>
  </si>
  <si>
    <t>Tarief medewerker uitvoering 00.00 uur - 06.00 uur</t>
  </si>
  <si>
    <t>Tarief medewerker toezicht 06.00 uur - 21.30 uur</t>
  </si>
  <si>
    <t>Tarief medewerker toezicht 21.30 uur - 00.00 uur</t>
  </si>
  <si>
    <t>Tarief medewerker toezicht 00.00 uur - 06.00 uur</t>
  </si>
  <si>
    <t>Tarief veiligheidspersoon 06.00 uur - 21.30 uur</t>
  </si>
  <si>
    <t>Tarief veiligheidspersoon 21.30 uur - 00.00 uur</t>
  </si>
  <si>
    <t>Tarief veiligheidspersoon 00.00 uur - 06.00 uur</t>
  </si>
  <si>
    <t xml:space="preserve"> </t>
  </si>
  <si>
    <t>Basisuurloon</t>
  </si>
  <si>
    <t>CAO gebonden kosten</t>
  </si>
  <si>
    <t>Specialistentoeslag</t>
  </si>
  <si>
    <t>Suppletiekosten toeslag</t>
  </si>
  <si>
    <t>Bruto uurloon</t>
  </si>
  <si>
    <t xml:space="preserve">Vakantietoeslag </t>
  </si>
  <si>
    <t xml:space="preserve">Structurele eindejaarsuitkering </t>
  </si>
  <si>
    <t>Bruto uurloon inclusief toeslagen</t>
  </si>
  <si>
    <t>SV-loon grondslag voor berekening sociale verzekeringen</t>
  </si>
  <si>
    <t>Premies Sociale Verzekeringen</t>
  </si>
  <si>
    <t>[zie premies en opslagen]</t>
  </si>
  <si>
    <t>Subtotaal loonkosten per uur inclusief sociale verzekeringen</t>
  </si>
  <si>
    <t>Opslag niet werkbare dagen</t>
  </si>
  <si>
    <t>Totaal loonkosten per uur</t>
  </si>
  <si>
    <t>Materiaal/- en middelen</t>
  </si>
  <si>
    <t>Projectgebonden!</t>
  </si>
  <si>
    <t>Werkkleding en uitrusting</t>
  </si>
  <si>
    <t>Totaal directe kosten</t>
  </si>
  <si>
    <t>Direct toezicht</t>
  </si>
  <si>
    <t>Indirect toezicht</t>
  </si>
  <si>
    <t>Managementkosten</t>
  </si>
  <si>
    <t>P.Z. kosten</t>
  </si>
  <si>
    <t>Opleiding</t>
  </si>
  <si>
    <t>Administratiekosten</t>
  </si>
  <si>
    <t>Huisvestingskosten</t>
  </si>
  <si>
    <t>Reiskosten/autokosten</t>
  </si>
  <si>
    <t>Kosten verzuimbegeleiding</t>
  </si>
  <si>
    <t>Totaal indirecte kosten</t>
  </si>
  <si>
    <t>Risico en winst</t>
  </si>
  <si>
    <t>Totaal eindtarief normale werktijden [06.00-21.30 uur]</t>
  </si>
  <si>
    <t>Uurlonen 1 januari 2025</t>
  </si>
  <si>
    <t>17 jaar en jonger</t>
  </si>
  <si>
    <t>18 jaar</t>
  </si>
  <si>
    <t>19 jaar</t>
  </si>
  <si>
    <t>Vakvolwassen 1 dienstjaar</t>
  </si>
  <si>
    <t>Vakvolwassen 2 dienstjaren</t>
  </si>
  <si>
    <t>Vakvolwassen 3 dienstjaren</t>
  </si>
  <si>
    <t>Vakvolwassen 4 dienstjaren</t>
  </si>
  <si>
    <t>Percentage per loongroep voor gemiddeld tarief</t>
  </si>
  <si>
    <t>Totaal per loongroepen</t>
  </si>
  <si>
    <t>Opbouw gemiddeld tarief</t>
  </si>
  <si>
    <t>Gemiddeld uurtarief</t>
  </si>
  <si>
    <t xml:space="preserve">De dienstverlener geeft aan voor welke merk en productlijn onderstaande prijzen gelden. </t>
  </si>
  <si>
    <t>Levering verbruiksartikelen</t>
  </si>
  <si>
    <t>Merk en productlijn</t>
  </si>
  <si>
    <t>Reken Eenheid</t>
  </si>
  <si>
    <t>Kosten per eenheid</t>
  </si>
  <si>
    <t>Papieren handdoekjes</t>
  </si>
  <si>
    <t>2-laags, flushable Z vouw</t>
  </si>
  <si>
    <t>pakket 250 handdoekjes</t>
  </si>
  <si>
    <t>Toiletrollen</t>
  </si>
  <si>
    <t>2-laags, flushable</t>
  </si>
  <si>
    <t>rol, 200 vel per rol</t>
  </si>
  <si>
    <t>Handzeep</t>
  </si>
  <si>
    <t>vloeibaar, Huidvriendelijk en PH neutraal</t>
  </si>
  <si>
    <t xml:space="preserve"> 1 ltr.</t>
  </si>
  <si>
    <t>Toiletbrilreiniger</t>
  </si>
  <si>
    <t>Alcoholreiniger</t>
  </si>
  <si>
    <t>Dames hygiëne zakjes</t>
  </si>
  <si>
    <t>universeel</t>
  </si>
  <si>
    <t>per 100 stuks</t>
  </si>
  <si>
    <t>Toiletverfrisser</t>
  </si>
  <si>
    <t xml:space="preserve">luchtverfrisser navulling pearl white 3000 sprays </t>
  </si>
  <si>
    <t>100 ml</t>
  </si>
  <si>
    <t xml:space="preserve">Alle prijzen zijn all-in, inclusief loonkosten, materiaal, reis- en verblijfskosten, sociale lasten, voorrijkosten, parkeerkosten, reserveringskosten, transportkosten, aflever- en (de)montagekosten, verpakkingen, milieubelastingen, administratie, andere belastingen dan btw, verzekeringpremies 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</si>
</sst>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quot;€&quot;\ * #,##0.00_-;_-&quot;€&quot;\ * #,##0.00\-;_-&quot;€&quot;\ * &quot;-&quot;??_-;_-@_-"/>
    <numFmt numFmtId="166" formatCode="_-* #,##0.00_-;_-* #,##0.00\-;_-* &quot;-&quot;??_-;_-@_-"/>
    <numFmt numFmtId="167" formatCode="_(* #,##0.00_);_(* \(#,##0.00\);_(* &quot;-&quot;??_);_(@_)"/>
    <numFmt numFmtId="168" formatCode="_-* #,##0_-;_-* #,##0\-;_-* &quot;-&quot;??_-;_-@_-"/>
    <numFmt numFmtId="169" formatCode="000"/>
    <numFmt numFmtId="170" formatCode="_-&quot;ƒ&quot;\ * #,##0.00_-;_-&quot;ƒ&quot;\ * #,##0.00\-;_-&quot;ƒ&quot;\ * &quot;-&quot;??_-;_-@_-"/>
    <numFmt numFmtId="171" formatCode="_-&quot;€&quot;* #,##0.00_-;\-&quot;€&quot;* #,##0.00_-;_-&quot;€&quot;* &quot;-&quot;??_-;_-@_-"/>
    <numFmt numFmtId="172" formatCode="[$-413]d\-mmm\-yy;@"/>
    <numFmt numFmtId="173" formatCode="_-* #,##0.0_-;_-* #,##0.0\-;_-* &quot;-&quot;??_-;_-@_-"/>
    <numFmt numFmtId="174" formatCode="_-[$€-2]\ * #,##0.00_ ;_-[$€-2]\ * \-#,##0.00\ ;_-[$€-2]\ * &quot;-&quot;??_ ;_-@_ "/>
    <numFmt numFmtId="175" formatCode="_(&quot;ƒ&quot;* #,##0.00_);_(&quot;ƒ&quot;* \(#,##0.00\);_(&quot;ƒ&quot;* &quot;-&quot;??_);_(@_)"/>
    <numFmt numFmtId="176" formatCode="_([$€-2]\ * #,##0.00_);_([$€-2]\ * \(#,##0.00\);_([$€-2]\ * &quot;-&quot;??_);_(@_)"/>
    <numFmt numFmtId="177" formatCode="_ [$€-2]\ * #,##0.00_ ;_ [$€-2]\ * \-#,##0.00_ ;_ [$€-2]\ * &quot;-&quot;??_ ;_ @_ "/>
    <numFmt numFmtId="178" formatCode="0_)"/>
    <numFmt numFmtId="179" formatCode="00,000"/>
    <numFmt numFmtId="180" formatCode="_ [$€-413]\ * #,##0.00_ ;_ [$€-413]\ * \-#,##0.00_ ;_ [$€-413]\ * &quot;-&quot;??_ ;_ @_ "/>
    <numFmt numFmtId="181" formatCode="#,##0_ ;\-#,##0\ "/>
    <numFmt numFmtId="182" formatCode="_-[$€]\ * #,##0.00_-;_-[$€]\ * #,##0.00\-;_-[$€]\ * &quot;-&quot;??_-;_-@_-"/>
    <numFmt numFmtId="183" formatCode="_-[$€-2]\ * #,##0.00_-;_-[$€-2]\ * #,##0.00\-;_-[$€-2]\ * &quot;-&quot;??_-;_-@_-"/>
    <numFmt numFmtId="184" formatCode="&quot;fl&quot;\ #,##0_-;[Red]&quot;fl&quot;\ #,##0\-"/>
    <numFmt numFmtId="185" formatCode="0\ &quot;m2&quot;"/>
    <numFmt numFmtId="186" formatCode="[$-409]d/mmm/yy;@"/>
    <numFmt numFmtId="187" formatCode="_ &quot;€&quot;\ * #,##0_ ;_ &quot;€&quot;\ * \-#,##0_ ;_ &quot;€&quot;\ * &quot;-&quot;??_ ;_ @_ "/>
    <numFmt numFmtId="188" formatCode="0.0"/>
    <numFmt numFmtId="189" formatCode="0.000%"/>
    <numFmt numFmtId="190" formatCode="0.0000000"/>
    <numFmt numFmtId="191" formatCode="_-* #,##0.00_-;\-* #,##0.00_-;_-* &quot;-&quot;??_-;_-@_-"/>
    <numFmt numFmtId="192" formatCode="0.0%"/>
    <numFmt numFmtId="193" formatCode="0.00_)"/>
  </numFmts>
  <fonts count="123">
    <font>
      <sz val="10"/>
      <name val="MS Sans Serif"/>
    </font>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indexed="8"/>
      <name val="Calibri"/>
      <family val="2"/>
    </font>
    <font>
      <sz val="11"/>
      <color indexed="8"/>
      <name val="Calibri"/>
      <family val="2"/>
    </font>
    <font>
      <sz val="10"/>
      <name val="MS Sans Serif"/>
      <family val="2"/>
    </font>
    <font>
      <sz val="10"/>
      <name val="Helvetica"/>
    </font>
    <font>
      <sz val="10"/>
      <name val="Geneva"/>
    </font>
    <font>
      <sz val="10"/>
      <name val="Arial"/>
      <family val="2"/>
    </font>
    <font>
      <sz val="10"/>
      <name val="Courier"/>
      <family val="3"/>
    </font>
    <font>
      <sz val="8"/>
      <name val="MS Sans Serif"/>
      <family val="2"/>
    </font>
    <font>
      <sz val="9"/>
      <name val="Geneva"/>
    </font>
    <font>
      <sz val="10"/>
      <name val="Verdana"/>
      <family val="2"/>
    </font>
    <font>
      <u/>
      <sz val="10"/>
      <color indexed="36"/>
      <name val="Arial"/>
      <family val="2"/>
      <charset val="204"/>
    </font>
    <font>
      <sz val="10"/>
      <color indexed="12"/>
      <name val="Times New Roman"/>
      <family val="1"/>
    </font>
    <font>
      <sz val="10"/>
      <name val="MS Sans Serif"/>
      <family val="2"/>
    </font>
    <font>
      <sz val="10"/>
      <color theme="1"/>
      <name val="Arial"/>
      <family val="2"/>
    </font>
    <font>
      <sz val="10"/>
      <name val="MS Sans Serif"/>
      <family val="2"/>
    </font>
    <font>
      <sz val="10"/>
      <name val="Helv"/>
    </font>
    <font>
      <sz val="12"/>
      <name val="Arial Narrow"/>
      <family val="2"/>
    </font>
    <font>
      <b/>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b/>
      <sz val="10"/>
      <name val="Arial"/>
      <family val="2"/>
    </font>
    <font>
      <sz val="11"/>
      <color indexed="52"/>
      <name val="Calibri"/>
      <family val="2"/>
    </font>
    <font>
      <sz val="11"/>
      <color indexed="60"/>
      <name val="Calibri"/>
      <family val="2"/>
    </font>
    <font>
      <sz val="12"/>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Times New Roman"/>
      <family val="1"/>
    </font>
    <font>
      <sz val="10"/>
      <color indexed="10"/>
      <name val="Century Gothic"/>
      <family val="2"/>
    </font>
    <font>
      <sz val="10"/>
      <name val="Century Gothic"/>
      <family val="2"/>
    </font>
    <font>
      <sz val="10"/>
      <color indexed="18"/>
      <name val="Century Gothic"/>
      <family val="2"/>
    </font>
    <font>
      <b/>
      <sz val="10"/>
      <color indexed="18"/>
      <name val="Century Gothic"/>
      <family val="2"/>
    </font>
    <font>
      <b/>
      <sz val="10"/>
      <color rgb="FFFF0000"/>
      <name val="Century Gothic"/>
      <family val="2"/>
    </font>
    <font>
      <sz val="10"/>
      <color indexed="8"/>
      <name val="Century Gothic"/>
      <family val="2"/>
    </font>
    <font>
      <sz val="8"/>
      <name val="MS Sans Serif"/>
    </font>
    <font>
      <sz val="10"/>
      <name val="Arial Black"/>
      <family val="2"/>
    </font>
    <font>
      <sz val="10"/>
      <color indexed="10"/>
      <name val="Georgia"/>
      <family val="1"/>
    </font>
    <font>
      <sz val="10"/>
      <name val="Georgia"/>
      <family val="1"/>
    </font>
    <font>
      <b/>
      <sz val="12"/>
      <name val="Arial Black"/>
      <family val="2"/>
    </font>
    <font>
      <sz val="12"/>
      <name val="Georgia"/>
      <family val="1"/>
    </font>
    <font>
      <b/>
      <sz val="10"/>
      <name val="Georgia"/>
      <family val="1"/>
    </font>
    <font>
      <b/>
      <sz val="12"/>
      <name val="Georgia"/>
      <family val="1"/>
    </font>
    <font>
      <b/>
      <sz val="10"/>
      <color indexed="20"/>
      <name val="Century Gothic"/>
      <family val="2"/>
    </font>
    <font>
      <b/>
      <sz val="12"/>
      <color indexed="18"/>
      <name val="Arial Black"/>
      <family val="2"/>
    </font>
    <font>
      <b/>
      <sz val="14"/>
      <color theme="0"/>
      <name val="Arial Black"/>
      <family val="2"/>
    </font>
    <font>
      <sz val="10"/>
      <name val="Times"/>
    </font>
    <font>
      <sz val="10"/>
      <color theme="0"/>
      <name val="Georgia"/>
      <family val="1"/>
    </font>
    <font>
      <b/>
      <sz val="10"/>
      <name val="Times New Roman"/>
      <family val="1"/>
    </font>
    <font>
      <b/>
      <sz val="10"/>
      <color indexed="18"/>
      <name val="Georgia"/>
      <family val="1"/>
    </font>
    <font>
      <sz val="10"/>
      <color indexed="8"/>
      <name val="Times New Roman"/>
      <family val="1"/>
    </font>
    <font>
      <sz val="10"/>
      <color rgb="FFFF0000"/>
      <name val="Georgia"/>
      <family val="1"/>
    </font>
    <font>
      <b/>
      <sz val="12"/>
      <color theme="0"/>
      <name val="Arial Black"/>
      <family val="2"/>
    </font>
    <font>
      <sz val="10"/>
      <color theme="0"/>
      <name val="Arial Black"/>
      <family val="2"/>
    </font>
    <font>
      <b/>
      <sz val="10"/>
      <color theme="0"/>
      <name val="Arial Black"/>
      <family val="2"/>
    </font>
    <font>
      <sz val="10"/>
      <color indexed="8"/>
      <name val="Georgia"/>
      <family val="1"/>
    </font>
    <font>
      <b/>
      <sz val="10"/>
      <color indexed="8"/>
      <name val="Georgia"/>
      <family val="1"/>
    </font>
    <font>
      <b/>
      <sz val="10"/>
      <color indexed="10"/>
      <name val="Georgia"/>
      <family val="1"/>
    </font>
    <font>
      <sz val="11"/>
      <name val="Georgia"/>
      <family val="1"/>
    </font>
    <font>
      <b/>
      <sz val="9"/>
      <color indexed="20"/>
      <name val="Arial Black"/>
      <family val="2"/>
    </font>
    <font>
      <b/>
      <sz val="9"/>
      <color indexed="20"/>
      <name val="Georgia"/>
      <family val="1"/>
    </font>
    <font>
      <b/>
      <sz val="9"/>
      <name val="Georgia"/>
      <family val="1"/>
    </font>
    <font>
      <sz val="14"/>
      <name val="Georgia"/>
      <family val="1"/>
    </font>
    <font>
      <b/>
      <sz val="9"/>
      <color indexed="18"/>
      <name val="Georgia"/>
      <family val="1"/>
    </font>
    <font>
      <b/>
      <sz val="12"/>
      <color indexed="18"/>
      <name val="Georgia"/>
      <family val="1"/>
    </font>
    <font>
      <sz val="12"/>
      <color indexed="18"/>
      <name val="Georgia"/>
      <family val="1"/>
    </font>
    <font>
      <sz val="10"/>
      <color indexed="18"/>
      <name val="Georgia"/>
      <family val="1"/>
    </font>
    <font>
      <b/>
      <sz val="9"/>
      <color theme="0"/>
      <name val="Arial Black"/>
      <family val="2"/>
    </font>
    <font>
      <b/>
      <sz val="9"/>
      <color indexed="18"/>
      <name val="Arial Black"/>
      <family val="2"/>
    </font>
    <font>
      <b/>
      <sz val="8"/>
      <color indexed="18"/>
      <name val="Georgia"/>
      <family val="1"/>
    </font>
    <font>
      <sz val="10"/>
      <color indexed="18"/>
      <name val="Times New Roman"/>
      <family val="1"/>
    </font>
    <font>
      <sz val="9"/>
      <color rgb="FFFF0000"/>
      <name val="Georgia"/>
      <family val="1"/>
    </font>
    <font>
      <sz val="9"/>
      <color indexed="10"/>
      <name val="Georgia"/>
      <family val="1"/>
    </font>
    <font>
      <sz val="9"/>
      <color indexed="8"/>
      <name val="Georgia"/>
      <family val="1"/>
    </font>
    <font>
      <sz val="9"/>
      <name val="Georgia"/>
      <family val="1"/>
    </font>
    <font>
      <sz val="9"/>
      <color indexed="8"/>
      <name val="Times New Roman"/>
      <family val="1"/>
    </font>
    <font>
      <sz val="9"/>
      <color indexed="23"/>
      <name val="Times New Roman"/>
      <family val="1"/>
    </font>
    <font>
      <b/>
      <sz val="9"/>
      <color indexed="10"/>
      <name val="Georgia"/>
      <family val="1"/>
    </font>
    <font>
      <i/>
      <sz val="10"/>
      <color indexed="10"/>
      <name val="Times New Roman"/>
      <family val="1"/>
    </font>
    <font>
      <sz val="10"/>
      <color indexed="10"/>
      <name val="Times New Roman"/>
      <family val="1"/>
    </font>
    <font>
      <sz val="9"/>
      <color rgb="FF0AAAFF"/>
      <name val="Georgia"/>
      <family val="1"/>
    </font>
    <font>
      <sz val="10"/>
      <color theme="0" tint="-0.499984740745262"/>
      <name val="Times New Roman"/>
      <family val="1"/>
    </font>
    <font>
      <sz val="10"/>
      <color indexed="62"/>
      <name val="Georgia"/>
      <family val="1"/>
    </font>
    <font>
      <b/>
      <sz val="12"/>
      <color indexed="10"/>
      <name val="Georgia"/>
      <family val="1"/>
    </font>
    <font>
      <b/>
      <sz val="12"/>
      <color theme="0"/>
      <name val="Georgia"/>
      <family val="1"/>
    </font>
    <font>
      <b/>
      <sz val="10"/>
      <color theme="0"/>
      <name val="Georgia"/>
      <family val="1"/>
    </font>
    <font>
      <b/>
      <sz val="11"/>
      <name val="Georgia"/>
      <family val="1"/>
    </font>
    <font>
      <b/>
      <sz val="10"/>
      <color rgb="FFFF0000"/>
      <name val="Georgia"/>
      <family val="1"/>
    </font>
    <font>
      <b/>
      <sz val="12"/>
      <color rgb="FFFF0000"/>
      <name val="Georgia"/>
      <family val="1"/>
    </font>
    <font>
      <b/>
      <sz val="9"/>
      <color rgb="FFFF0000"/>
      <name val="Georgia"/>
      <family val="1"/>
    </font>
    <font>
      <sz val="10"/>
      <color theme="1"/>
      <name val="Georgia"/>
      <family val="1"/>
    </font>
    <font>
      <sz val="8"/>
      <name val="Georgia"/>
      <family val="1"/>
    </font>
    <font>
      <b/>
      <sz val="8"/>
      <name val="Georgia"/>
      <family val="1"/>
    </font>
    <font>
      <b/>
      <sz val="10"/>
      <color theme="1"/>
      <name val="Georgia"/>
      <family val="1"/>
    </font>
    <font>
      <sz val="16"/>
      <color theme="1"/>
      <name val="Georgia"/>
      <family val="1"/>
    </font>
    <font>
      <sz val="10"/>
      <color theme="3" tint="-0.249977111117893"/>
      <name val="Georgia"/>
      <family val="1"/>
    </font>
    <font>
      <b/>
      <sz val="10"/>
      <color theme="3" tint="-0.249977111117893"/>
      <name val="Georgia"/>
      <family val="1"/>
    </font>
    <font>
      <sz val="12"/>
      <color indexed="18"/>
      <name val="Times New Roman"/>
      <family val="1"/>
    </font>
    <font>
      <b/>
      <sz val="10"/>
      <color indexed="8"/>
      <name val="Times New Roman"/>
      <family val="1"/>
    </font>
    <font>
      <sz val="9"/>
      <name val="Times New Roman"/>
      <family val="1"/>
    </font>
    <font>
      <sz val="8"/>
      <name val="Times New Roman"/>
      <family val="1"/>
    </font>
    <font>
      <b/>
      <sz val="8"/>
      <name val="Times New Roman"/>
      <family val="1"/>
    </font>
    <font>
      <sz val="10"/>
      <color theme="1"/>
      <name val="Times New Roman"/>
      <family val="1"/>
    </font>
    <font>
      <b/>
      <sz val="10"/>
      <color indexed="18"/>
      <name val="Times New Roman"/>
      <family val="1"/>
    </font>
    <font>
      <sz val="10"/>
      <name val="MS Sans Serif"/>
    </font>
    <font>
      <sz val="8"/>
      <color theme="1"/>
      <name val="Georgia"/>
      <family val="1"/>
    </font>
    <font>
      <sz val="8"/>
      <color indexed="8"/>
      <name val="Times New Roman"/>
      <family val="1"/>
    </font>
    <font>
      <sz val="12"/>
      <color theme="1"/>
      <name val="Georgia"/>
      <family val="1"/>
    </font>
    <font>
      <b/>
      <sz val="10"/>
      <color rgb="FFFF0000"/>
      <name val="Times New Roman"/>
      <family val="1"/>
    </font>
    <font>
      <sz val="10"/>
      <color rgb="FFFF0000"/>
      <name val="Times New Roman"/>
      <family val="1"/>
    </font>
  </fonts>
  <fills count="2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E6E6E6"/>
        <bgColor indexed="64"/>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47"/>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15"/>
        <bgColor indexed="64"/>
      </patternFill>
    </fill>
    <fill>
      <patternFill patternType="solid">
        <fgColor theme="2" tint="-0.249977111117893"/>
        <bgColor indexed="64"/>
      </patternFill>
    </fill>
    <fill>
      <patternFill patternType="solid">
        <fgColor rgb="FFFFFF00"/>
        <bgColor indexed="64"/>
      </patternFill>
    </fill>
    <fill>
      <patternFill patternType="solid">
        <fgColor indexed="9"/>
        <bgColor indexed="64"/>
      </patternFill>
    </fill>
    <fill>
      <patternFill patternType="solid">
        <fgColor rgb="FFE8E2D3"/>
        <bgColor indexed="64"/>
      </patternFill>
    </fill>
    <fill>
      <patternFill patternType="solid">
        <fgColor rgb="FF0A4983"/>
        <bgColor indexed="64"/>
      </patternFill>
    </fill>
    <fill>
      <patternFill patternType="solid">
        <fgColor theme="1" tint="0.34998626667073579"/>
        <bgColor indexed="64"/>
      </patternFill>
    </fill>
    <fill>
      <patternFill patternType="solid">
        <fgColor rgb="FFE8E2D3"/>
        <bgColor indexed="24"/>
      </patternFill>
    </fill>
    <fill>
      <patternFill patternType="solid">
        <fgColor theme="1"/>
        <bgColor indexed="24"/>
      </patternFill>
    </fill>
    <fill>
      <patternFill patternType="solid">
        <fgColor theme="2" tint="-9.9978637043366805E-2"/>
        <bgColor indexed="64"/>
      </patternFill>
    </fill>
    <fill>
      <patternFill patternType="solid">
        <fgColor theme="2" tint="-9.9978637043366805E-2"/>
        <bgColor indexed="2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double">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top style="double">
        <color indexed="64"/>
      </top>
      <bottom/>
      <diagonal/>
    </border>
    <border>
      <left/>
      <right/>
      <top style="thin">
        <color indexed="49"/>
      </top>
      <bottom style="double">
        <color indexed="49"/>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9"/>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auto="1"/>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6">
    <xf numFmtId="0" fontId="0" fillId="0" borderId="0"/>
    <xf numFmtId="164" fontId="8" fillId="0" borderId="0" applyFont="0" applyFill="0" applyBorder="0" applyAlignment="0" applyProtection="0"/>
    <xf numFmtId="167" fontId="9"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0" fontId="16" fillId="0" borderId="0" applyNumberFormat="0" applyFill="0" applyBorder="0" applyAlignment="0" applyProtection="0">
      <alignment vertical="top"/>
      <protection locked="0"/>
    </xf>
    <xf numFmtId="166" fontId="8" fillId="0" borderId="0" applyFont="0" applyFill="0" applyBorder="0" applyAlignment="0" applyProtection="0"/>
    <xf numFmtId="166" fontId="8" fillId="0" borderId="0" applyFont="0" applyFill="0" applyBorder="0" applyAlignment="0" applyProtection="0"/>
    <xf numFmtId="0" fontId="17" fillId="2" borderId="0"/>
    <xf numFmtId="0" fontId="14" fillId="0" borderId="0"/>
    <xf numFmtId="0" fontId="9" fillId="0" borderId="0"/>
    <xf numFmtId="0" fontId="9" fillId="0" borderId="0"/>
    <xf numFmtId="0" fontId="12" fillId="0" borderId="0"/>
    <xf numFmtId="9"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0" fontId="8" fillId="0" borderId="0"/>
    <xf numFmtId="0" fontId="8" fillId="0" borderId="0"/>
    <xf numFmtId="0" fontId="7" fillId="0" borderId="0"/>
    <xf numFmtId="0" fontId="6" fillId="0" borderId="0"/>
    <xf numFmtId="0" fontId="8" fillId="0" borderId="0"/>
    <xf numFmtId="0" fontId="8" fillId="0" borderId="0"/>
    <xf numFmtId="0" fontId="8" fillId="0" borderId="0"/>
    <xf numFmtId="0" fontId="7" fillId="0" borderId="0"/>
    <xf numFmtId="0" fontId="11" fillId="0" borderId="0"/>
    <xf numFmtId="0" fontId="8" fillId="0" borderId="0"/>
    <xf numFmtId="0" fontId="15" fillId="0" borderId="0"/>
    <xf numFmtId="0" fontId="10" fillId="0" borderId="0"/>
    <xf numFmtId="165" fontId="8" fillId="0" borderId="0" applyFont="0" applyFill="0" applyBorder="0" applyAlignment="0" applyProtection="0"/>
    <xf numFmtId="170" fontId="8" fillId="0" borderId="0" applyFont="0" applyFill="0" applyBorder="0" applyAlignment="0" applyProtection="0"/>
    <xf numFmtId="0" fontId="18" fillId="0" borderId="0"/>
    <xf numFmtId="166" fontId="18" fillId="0" borderId="0" applyFont="0" applyFill="0" applyBorder="0" applyAlignment="0" applyProtection="0"/>
    <xf numFmtId="0" fontId="19" fillId="0" borderId="0"/>
    <xf numFmtId="44" fontId="20" fillId="0" borderId="0" applyFont="0" applyFill="0" applyBorder="0" applyAlignment="0" applyProtection="0"/>
    <xf numFmtId="175" fontId="21" fillId="0" borderId="0" applyFont="0" applyFill="0" applyBorder="0" applyAlignment="0" applyProtection="0"/>
    <xf numFmtId="0" fontId="14" fillId="0" borderId="0"/>
    <xf numFmtId="0" fontId="9" fillId="0" borderId="0"/>
    <xf numFmtId="0" fontId="9" fillId="0" borderId="0"/>
    <xf numFmtId="0" fontId="9" fillId="0" borderId="0"/>
    <xf numFmtId="0" fontId="9" fillId="0" borderId="0"/>
    <xf numFmtId="0" fontId="6" fillId="0" borderId="0"/>
    <xf numFmtId="0" fontId="8" fillId="0" borderId="0"/>
    <xf numFmtId="166" fontId="8" fillId="0" borderId="0" applyFont="0" applyFill="0" applyBorder="0" applyAlignment="0" applyProtection="0"/>
    <xf numFmtId="182" fontId="22" fillId="0" borderId="0" applyFont="0" applyFill="0" applyBorder="0" applyAlignment="0" applyProtection="0"/>
    <xf numFmtId="183" fontId="8" fillId="0" borderId="0"/>
    <xf numFmtId="0" fontId="11" fillId="0" borderId="0"/>
    <xf numFmtId="182" fontId="22" fillId="0" borderId="0" applyFont="0" applyFill="0" applyBorder="0" applyAlignment="0" applyProtection="0"/>
    <xf numFmtId="0" fontId="21" fillId="0" borderId="0"/>
    <xf numFmtId="0" fontId="21" fillId="0" borderId="0"/>
    <xf numFmtId="0" fontId="5" fillId="0" borderId="0"/>
    <xf numFmtId="43" fontId="5" fillId="0" borderId="0" applyFont="0" applyFill="0" applyBorder="0" applyAlignment="0" applyProtection="0"/>
    <xf numFmtId="164" fontId="8" fillId="0" borderId="0" applyFont="0" applyFill="0" applyBorder="0" applyAlignment="0" applyProtection="0"/>
    <xf numFmtId="0" fontId="12" fillId="0" borderId="0"/>
    <xf numFmtId="0" fontId="11" fillId="0" borderId="0"/>
    <xf numFmtId="182"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0" fontId="24" fillId="6" borderId="0" applyNumberFormat="0" applyBorder="0" applyAlignment="0" applyProtection="0"/>
    <xf numFmtId="0" fontId="25" fillId="7" borderId="8" applyNumberFormat="0" applyAlignment="0" applyProtection="0"/>
    <xf numFmtId="0" fontId="26" fillId="8" borderId="9" applyNumberFormat="0" applyAlignment="0" applyProtection="0"/>
    <xf numFmtId="184" fontId="10" fillId="0" borderId="0" applyFont="0" applyFill="0" applyBorder="0" applyAlignment="0" applyProtection="0"/>
    <xf numFmtId="0" fontId="27" fillId="0" borderId="0" applyNumberFormat="0" applyFill="0" applyBorder="0" applyAlignment="0" applyProtection="0"/>
    <xf numFmtId="0" fontId="28" fillId="9" borderId="0" applyNumberFormat="0" applyBorder="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1" fillId="0" borderId="0" applyNumberFormat="0" applyFill="0" applyBorder="0" applyAlignment="0" applyProtection="0"/>
    <xf numFmtId="0" fontId="32" fillId="10" borderId="8" applyNumberFormat="0" applyAlignment="0" applyProtection="0"/>
    <xf numFmtId="166" fontId="23" fillId="0" borderId="0">
      <alignment horizontal="center" vertical="center" textRotation="90" wrapText="1"/>
    </xf>
    <xf numFmtId="0" fontId="33" fillId="11" borderId="13"/>
    <xf numFmtId="0" fontId="34" fillId="0" borderId="14" applyNumberFormat="0" applyFill="0" applyAlignment="0" applyProtection="0"/>
    <xf numFmtId="185" fontId="33" fillId="0" borderId="0"/>
    <xf numFmtId="0" fontId="35" fillId="12" borderId="0" applyNumberFormat="0" applyBorder="0" applyAlignment="0" applyProtection="0"/>
    <xf numFmtId="0" fontId="36" fillId="13" borderId="15" applyNumberFormat="0" applyFont="0" applyAlignment="0" applyProtection="0"/>
    <xf numFmtId="0" fontId="37" fillId="7" borderId="16" applyNumberFormat="0" applyAlignment="0" applyProtection="0"/>
    <xf numFmtId="0" fontId="33" fillId="14" borderId="17" applyNumberFormat="0" applyFont="0" applyBorder="0">
      <alignment horizontal="center"/>
    </xf>
    <xf numFmtId="0" fontId="8" fillId="0" borderId="0"/>
    <xf numFmtId="0" fontId="38" fillId="0" borderId="0" applyNumberFormat="0" applyFill="0" applyBorder="0" applyAlignment="0" applyProtection="0"/>
    <xf numFmtId="0" fontId="39" fillId="0" borderId="18" applyNumberFormat="0" applyFill="0" applyAlignment="0" applyProtection="0"/>
    <xf numFmtId="0" fontId="40"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182" fontId="1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64" fontId="8" fillId="0" borderId="0" applyFont="0" applyFill="0" applyBorder="0" applyAlignment="0" applyProtection="0"/>
    <xf numFmtId="9" fontId="11" fillId="0" borderId="0" applyFont="0" applyFill="0" applyBorder="0" applyAlignment="0" applyProtection="0"/>
    <xf numFmtId="183" fontId="8" fillId="0" borderId="0"/>
    <xf numFmtId="183" fontId="8" fillId="0" borderId="0"/>
    <xf numFmtId="0" fontId="41" fillId="0" borderId="0" applyFill="0" applyBorder="0"/>
    <xf numFmtId="183" fontId="8" fillId="0" borderId="0"/>
    <xf numFmtId="183" fontId="5" fillId="0" borderId="0"/>
    <xf numFmtId="44" fontId="8" fillId="0" borderId="0" applyFont="0" applyFill="0" applyBorder="0" applyAlignment="0" applyProtection="0"/>
    <xf numFmtId="165" fontId="6" fillId="0" borderId="0" applyFont="0" applyFill="0" applyBorder="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25" fillId="7"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2" fillId="10" borderId="20" applyNumberForma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6" fillId="13" borderId="21" applyNumberFormat="0" applyFon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37" fillId="7" borderId="22" applyNumberFormat="0" applyAlignment="0" applyProtection="0"/>
    <xf numFmtId="0" fontId="19" fillId="0" borderId="0"/>
    <xf numFmtId="0" fontId="19" fillId="0" borderId="0"/>
    <xf numFmtId="0" fontId="19" fillId="0" borderId="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7" fillId="7" borderId="30" applyNumberFormat="0" applyAlignment="0" applyProtection="0"/>
    <xf numFmtId="0" fontId="37" fillId="7" borderId="34" applyNumberFormat="0" applyAlignment="0" applyProtection="0"/>
    <xf numFmtId="0" fontId="39" fillId="0" borderId="35" applyNumberFormat="0" applyFill="0" applyAlignment="0" applyProtection="0"/>
    <xf numFmtId="0" fontId="1" fillId="0" borderId="0"/>
    <xf numFmtId="0" fontId="32" fillId="10" borderId="32" applyNumberFormat="0" applyAlignment="0" applyProtection="0"/>
    <xf numFmtId="0" fontId="39" fillId="0" borderId="31" applyNumberFormat="0" applyFill="0" applyAlignment="0" applyProtection="0"/>
    <xf numFmtId="0" fontId="25" fillId="7" borderId="28" applyNumberFormat="0" applyAlignment="0" applyProtection="0"/>
    <xf numFmtId="0" fontId="25" fillId="7" borderId="24" applyNumberFormat="0" applyAlignment="0" applyProtection="0"/>
    <xf numFmtId="0" fontId="36" fillId="13" borderId="29" applyNumberFormat="0" applyFont="0" applyAlignment="0" applyProtection="0"/>
    <xf numFmtId="0" fontId="25" fillId="7" borderId="32" applyNumberFormat="0" applyAlignment="0" applyProtection="0"/>
    <xf numFmtId="0" fontId="32" fillId="10" borderId="28" applyNumberFormat="0" applyAlignment="0" applyProtection="0"/>
    <xf numFmtId="0" fontId="32" fillId="10" borderId="24" applyNumberFormat="0" applyAlignment="0" applyProtection="0"/>
    <xf numFmtId="0" fontId="36" fillId="13" borderId="25" applyNumberFormat="0" applyFont="0" applyAlignment="0" applyProtection="0"/>
    <xf numFmtId="0" fontId="37" fillId="7" borderId="26" applyNumberFormat="0" applyAlignment="0" applyProtection="0"/>
    <xf numFmtId="0" fontId="39" fillId="0" borderId="27"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36" fillId="13" borderId="33" applyNumberFormat="0" applyFont="0" applyAlignment="0" applyProtection="0"/>
    <xf numFmtId="0" fontId="59" fillId="0" borderId="0"/>
    <xf numFmtId="191" fontId="21" fillId="0" borderId="0" applyFont="0" applyFill="0" applyBorder="0" applyAlignment="0" applyProtection="0"/>
    <xf numFmtId="175" fontId="59" fillId="0" borderId="0" applyFont="0" applyFill="0" applyBorder="0" applyAlignment="0" applyProtection="0"/>
    <xf numFmtId="9" fontId="117" fillId="0" borderId="0" applyFont="0" applyFill="0" applyBorder="0" applyAlignment="0" applyProtection="0"/>
    <xf numFmtId="0" fontId="9" fillId="0" borderId="0"/>
    <xf numFmtId="0" fontId="14" fillId="0" borderId="0"/>
    <xf numFmtId="0" fontId="9" fillId="0" borderId="0"/>
  </cellStyleXfs>
  <cellXfs count="827">
    <xf numFmtId="0" fontId="0" fillId="0" borderId="0" xfId="0"/>
    <xf numFmtId="0" fontId="43" fillId="0" borderId="0" xfId="0" applyFont="1"/>
    <xf numFmtId="0" fontId="46" fillId="0" borderId="0" xfId="0" applyFont="1"/>
    <xf numFmtId="0" fontId="43" fillId="0" borderId="0" xfId="0" applyFont="1" applyAlignment="1">
      <alignment vertical="center"/>
    </xf>
    <xf numFmtId="0" fontId="50" fillId="0" borderId="0" xfId="48" applyFont="1" applyProtection="1">
      <protection hidden="1"/>
    </xf>
    <xf numFmtId="0" fontId="51" fillId="0" borderId="0" xfId="48" applyFont="1" applyProtection="1">
      <protection hidden="1"/>
    </xf>
    <xf numFmtId="0" fontId="43" fillId="0" borderId="0" xfId="48" applyFont="1" applyProtection="1">
      <protection hidden="1"/>
    </xf>
    <xf numFmtId="2" fontId="52" fillId="0" borderId="0" xfId="49" applyNumberFormat="1" applyFont="1"/>
    <xf numFmtId="2" fontId="53" fillId="0" borderId="0" xfId="49" applyNumberFormat="1" applyFont="1"/>
    <xf numFmtId="0" fontId="46" fillId="0" borderId="0" xfId="48" applyFont="1" applyProtection="1">
      <protection hidden="1"/>
    </xf>
    <xf numFmtId="0" fontId="54" fillId="0" borderId="0" xfId="0" applyFont="1" applyAlignment="1">
      <alignment horizontal="center"/>
    </xf>
    <xf numFmtId="0" fontId="43" fillId="0" borderId="0" xfId="48" applyFont="1" applyAlignment="1" applyProtection="1">
      <alignment vertical="center"/>
      <protection hidden="1"/>
    </xf>
    <xf numFmtId="2" fontId="55" fillId="0" borderId="0" xfId="49" applyNumberFormat="1" applyFont="1"/>
    <xf numFmtId="2" fontId="43" fillId="0" borderId="0" xfId="0" applyNumberFormat="1" applyFont="1" applyAlignment="1">
      <alignment vertical="center"/>
    </xf>
    <xf numFmtId="2" fontId="43" fillId="0" borderId="0" xfId="48" applyNumberFormat="1" applyFont="1" applyAlignment="1" applyProtection="1">
      <alignment vertical="center"/>
      <protection hidden="1"/>
    </xf>
    <xf numFmtId="0" fontId="56" fillId="0" borderId="0" xfId="48" applyFont="1" applyAlignment="1" applyProtection="1">
      <alignment horizontal="right" vertical="center"/>
      <protection hidden="1"/>
    </xf>
    <xf numFmtId="2" fontId="54" fillId="0" borderId="0" xfId="0" applyNumberFormat="1" applyFont="1" applyAlignment="1">
      <alignment horizontal="center"/>
    </xf>
    <xf numFmtId="2" fontId="46" fillId="0" borderId="0" xfId="48" applyNumberFormat="1" applyFont="1" applyAlignment="1" applyProtection="1">
      <alignment vertical="center"/>
      <protection hidden="1"/>
    </xf>
    <xf numFmtId="0" fontId="46" fillId="0" borderId="0" xfId="48" applyFont="1" applyAlignment="1" applyProtection="1">
      <alignment horizontal="right" vertical="center"/>
      <protection hidden="1"/>
    </xf>
    <xf numFmtId="0" fontId="46" fillId="0" borderId="0" xfId="48" applyFont="1" applyAlignment="1" applyProtection="1">
      <alignment vertical="center"/>
      <protection hidden="1"/>
    </xf>
    <xf numFmtId="2" fontId="51" fillId="0" borderId="0" xfId="48" applyNumberFormat="1" applyFont="1" applyAlignment="1" applyProtection="1">
      <alignment vertical="center"/>
      <protection hidden="1"/>
    </xf>
    <xf numFmtId="2" fontId="57" fillId="0" borderId="0" xfId="48" applyNumberFormat="1" applyFont="1" applyAlignment="1" applyProtection="1">
      <alignment vertical="center"/>
      <protection locked="0"/>
    </xf>
    <xf numFmtId="2" fontId="51" fillId="0" borderId="38" xfId="209" applyNumberFormat="1" applyFont="1" applyBorder="1" applyProtection="1">
      <protection hidden="1"/>
    </xf>
    <xf numFmtId="2" fontId="51" fillId="0" borderId="0" xfId="209" applyNumberFormat="1" applyFont="1" applyProtection="1">
      <protection hidden="1"/>
    </xf>
    <xf numFmtId="189" fontId="43" fillId="3" borderId="0" xfId="209" applyNumberFormat="1" applyFont="1" applyFill="1" applyAlignment="1" applyProtection="1">
      <alignment vertical="center"/>
      <protection hidden="1"/>
    </xf>
    <xf numFmtId="0" fontId="62" fillId="0" borderId="38" xfId="48" applyFont="1" applyBorder="1" applyAlignment="1" applyProtection="1">
      <alignment horizontal="left" vertical="center"/>
      <protection hidden="1"/>
    </xf>
    <xf numFmtId="0" fontId="51" fillId="0" borderId="0" xfId="0" applyFont="1" applyAlignment="1">
      <alignment vertical="center"/>
    </xf>
    <xf numFmtId="0" fontId="62" fillId="0" borderId="0" xfId="48" applyFont="1" applyAlignment="1" applyProtection="1">
      <alignment horizontal="left" vertical="center"/>
      <protection hidden="1"/>
    </xf>
    <xf numFmtId="0" fontId="47" fillId="0" borderId="0" xfId="48" applyFont="1" applyAlignment="1" applyProtection="1">
      <alignment vertical="center"/>
      <protection hidden="1"/>
    </xf>
    <xf numFmtId="176" fontId="63" fillId="0" borderId="7" xfId="48" applyNumberFormat="1" applyFont="1" applyBorder="1" applyAlignment="1" applyProtection="1">
      <alignment horizontal="left" vertical="center"/>
      <protection hidden="1"/>
    </xf>
    <xf numFmtId="0" fontId="51" fillId="0" borderId="2" xfId="0" applyFont="1" applyBorder="1"/>
    <xf numFmtId="10" fontId="47" fillId="0" borderId="0" xfId="14" applyNumberFormat="1" applyFont="1" applyFill="1" applyBorder="1" applyAlignment="1" applyProtection="1">
      <alignment horizontal="right" vertical="center"/>
      <protection hidden="1"/>
    </xf>
    <xf numFmtId="190" fontId="41" fillId="0" borderId="0" xfId="209" applyNumberFormat="1" applyFont="1" applyProtection="1">
      <protection hidden="1"/>
    </xf>
    <xf numFmtId="2" fontId="43" fillId="0" borderId="0" xfId="209" applyNumberFormat="1" applyFont="1" applyProtection="1">
      <protection hidden="1"/>
    </xf>
    <xf numFmtId="10" fontId="45" fillId="0" borderId="0" xfId="14" applyNumberFormat="1" applyFont="1" applyFill="1" applyBorder="1" applyAlignment="1"/>
    <xf numFmtId="176" fontId="43" fillId="0" borderId="0" xfId="48" applyNumberFormat="1" applyFont="1" applyAlignment="1" applyProtection="1">
      <alignment vertical="center"/>
      <protection hidden="1"/>
    </xf>
    <xf numFmtId="188" fontId="44" fillId="0" borderId="0" xfId="48" applyNumberFormat="1" applyFont="1" applyAlignment="1" applyProtection="1">
      <alignment vertical="center"/>
      <protection hidden="1"/>
    </xf>
    <xf numFmtId="188" fontId="43" fillId="0" borderId="0" xfId="48" applyNumberFormat="1" applyFont="1" applyAlignment="1" applyProtection="1">
      <alignment vertical="center"/>
      <protection hidden="1"/>
    </xf>
    <xf numFmtId="189" fontId="43" fillId="0" borderId="0" xfId="48" applyNumberFormat="1" applyFont="1" applyAlignment="1" applyProtection="1">
      <alignment horizontal="right" vertical="center"/>
      <protection hidden="1"/>
    </xf>
    <xf numFmtId="0" fontId="43" fillId="0" borderId="0" xfId="48" applyFont="1" applyAlignment="1" applyProtection="1">
      <alignment horizontal="right" vertical="center"/>
      <protection hidden="1"/>
    </xf>
    <xf numFmtId="0" fontId="70" fillId="0" borderId="0" xfId="48" applyFont="1" applyProtection="1">
      <protection hidden="1"/>
    </xf>
    <xf numFmtId="0" fontId="71" fillId="0" borderId="0" xfId="0" applyFont="1" applyAlignment="1">
      <alignment horizontal="left" indent="3"/>
    </xf>
    <xf numFmtId="0" fontId="71" fillId="0" borderId="0" xfId="0" applyFont="1"/>
    <xf numFmtId="0" fontId="51" fillId="0" borderId="0" xfId="0" applyFont="1"/>
    <xf numFmtId="0" fontId="71" fillId="0" borderId="0" xfId="0" applyFont="1" applyAlignment="1">
      <alignment horizontal="left" indent="1"/>
    </xf>
    <xf numFmtId="180" fontId="71" fillId="0" borderId="0" xfId="0" applyNumberFormat="1" applyFont="1"/>
    <xf numFmtId="176" fontId="71" fillId="0" borderId="0" xfId="0" applyNumberFormat="1" applyFont="1"/>
    <xf numFmtId="0" fontId="72" fillId="0" borderId="0" xfId="48" applyFont="1" applyProtection="1">
      <protection hidden="1"/>
    </xf>
    <xf numFmtId="0" fontId="73" fillId="0" borderId="0" xfId="48" applyFont="1" applyAlignment="1" applyProtection="1">
      <alignment horizontal="center"/>
      <protection hidden="1"/>
    </xf>
    <xf numFmtId="0" fontId="73" fillId="0" borderId="0" xfId="48" applyFont="1" applyAlignment="1" applyProtection="1">
      <alignment horizontal="right"/>
      <protection hidden="1"/>
    </xf>
    <xf numFmtId="191" fontId="73" fillId="0" borderId="0" xfId="210" applyFont="1" applyFill="1" applyBorder="1" applyAlignment="1" applyProtection="1">
      <alignment horizontal="center"/>
      <protection hidden="1"/>
    </xf>
    <xf numFmtId="192" fontId="73" fillId="0" borderId="0" xfId="210" applyNumberFormat="1" applyFont="1" applyFill="1" applyBorder="1" applyAlignment="1" applyProtection="1">
      <alignment horizontal="center"/>
      <protection hidden="1"/>
    </xf>
    <xf numFmtId="0" fontId="74" fillId="0" borderId="0" xfId="48" applyFont="1" applyAlignment="1" applyProtection="1">
      <alignment horizontal="right"/>
      <protection hidden="1"/>
    </xf>
    <xf numFmtId="0" fontId="75" fillId="0" borderId="0" xfId="0" applyFont="1" applyAlignment="1">
      <alignment horizontal="center" vertical="center"/>
    </xf>
    <xf numFmtId="192" fontId="75" fillId="0" borderId="0" xfId="0" applyNumberFormat="1" applyFont="1" applyAlignment="1">
      <alignment horizontal="center" vertical="center"/>
    </xf>
    <xf numFmtId="2" fontId="74" fillId="0" borderId="0" xfId="48" applyNumberFormat="1" applyFont="1" applyAlignment="1" applyProtection="1">
      <alignment horizontal="right"/>
      <protection hidden="1"/>
    </xf>
    <xf numFmtId="2" fontId="76" fillId="0" borderId="0" xfId="48" applyNumberFormat="1" applyFont="1" applyAlignment="1" applyProtection="1">
      <alignment horizontal="center"/>
      <protection hidden="1"/>
    </xf>
    <xf numFmtId="0" fontId="51" fillId="0" borderId="0" xfId="0" applyFont="1" applyAlignment="1">
      <alignment vertical="top" wrapText="1"/>
    </xf>
    <xf numFmtId="0" fontId="51" fillId="0" borderId="0" xfId="0" applyFont="1" applyAlignment="1">
      <alignment horizontal="center" wrapText="1"/>
    </xf>
    <xf numFmtId="2" fontId="77" fillId="0" borderId="0" xfId="0" applyNumberFormat="1" applyFont="1"/>
    <xf numFmtId="1" fontId="78" fillId="0" borderId="0" xfId="0" applyNumberFormat="1" applyFont="1" applyAlignment="1">
      <alignment horizontal="left"/>
    </xf>
    <xf numFmtId="2" fontId="76" fillId="0" borderId="0" xfId="48" applyNumberFormat="1" applyFont="1" applyAlignment="1" applyProtection="1">
      <alignment horizontal="right"/>
      <protection hidden="1"/>
    </xf>
    <xf numFmtId="2" fontId="79" fillId="0" borderId="0" xfId="0" applyNumberFormat="1" applyFont="1" applyAlignment="1">
      <alignment horizontal="center" vertical="center"/>
    </xf>
    <xf numFmtId="192" fontId="79" fillId="0" borderId="0" xfId="0" applyNumberFormat="1" applyFont="1" applyAlignment="1">
      <alignment horizontal="center" vertical="center"/>
    </xf>
    <xf numFmtId="2" fontId="81" fillId="0" borderId="0" xfId="48" applyNumberFormat="1" applyFont="1" applyAlignment="1" applyProtection="1">
      <alignment horizontal="center" wrapText="1"/>
      <protection hidden="1"/>
    </xf>
    <xf numFmtId="0" fontId="49" fillId="0" borderId="0" xfId="0" applyFont="1" applyAlignment="1">
      <alignment horizontal="center" wrapText="1"/>
    </xf>
    <xf numFmtId="0" fontId="43" fillId="0" borderId="0" xfId="0" applyFont="1" applyAlignment="1">
      <alignment horizontal="center" wrapText="1"/>
    </xf>
    <xf numFmtId="192" fontId="83" fillId="0" borderId="39" xfId="0" applyNumberFormat="1" applyFont="1" applyBorder="1" applyAlignment="1">
      <alignment horizontal="center" vertical="center"/>
    </xf>
    <xf numFmtId="2" fontId="74" fillId="0" borderId="0" xfId="48" applyNumberFormat="1" applyFont="1" applyAlignment="1" applyProtection="1">
      <alignment horizontal="center"/>
      <protection hidden="1"/>
    </xf>
    <xf numFmtId="2" fontId="90" fillId="0" borderId="0" xfId="48" applyNumberFormat="1" applyFont="1" applyAlignment="1" applyProtection="1">
      <alignment horizontal="center"/>
      <protection hidden="1"/>
    </xf>
    <xf numFmtId="192" fontId="92" fillId="0" borderId="39" xfId="0" applyNumberFormat="1" applyFont="1" applyBorder="1" applyAlignment="1">
      <alignment horizontal="center" vertical="center"/>
    </xf>
    <xf numFmtId="0" fontId="50" fillId="0" borderId="0" xfId="0" applyFont="1"/>
    <xf numFmtId="0" fontId="42" fillId="0" borderId="0" xfId="0" applyFont="1"/>
    <xf numFmtId="0" fontId="41" fillId="0" borderId="0" xfId="0" applyFont="1"/>
    <xf numFmtId="192" fontId="94" fillId="0" borderId="39" xfId="0" applyNumberFormat="1" applyFont="1" applyBorder="1" applyAlignment="1">
      <alignment horizontal="center" vertical="center"/>
    </xf>
    <xf numFmtId="192" fontId="41" fillId="0" borderId="39" xfId="0" applyNumberFormat="1" applyFont="1" applyBorder="1"/>
    <xf numFmtId="176" fontId="61" fillId="0" borderId="40" xfId="211" applyNumberFormat="1" applyFont="1" applyFill="1" applyBorder="1" applyAlignment="1" applyProtection="1">
      <protection hidden="1"/>
    </xf>
    <xf numFmtId="192" fontId="41" fillId="0" borderId="7" xfId="0" applyNumberFormat="1" applyFont="1" applyBorder="1" applyAlignment="1">
      <alignment horizontal="center" vertical="center"/>
    </xf>
    <xf numFmtId="0" fontId="87" fillId="0" borderId="0" xfId="0" applyFont="1"/>
    <xf numFmtId="192" fontId="41" fillId="0" borderId="0" xfId="0" applyNumberFormat="1" applyFont="1"/>
    <xf numFmtId="0" fontId="85" fillId="0" borderId="0" xfId="0" applyFont="1"/>
    <xf numFmtId="0" fontId="85" fillId="0" borderId="0" xfId="0" applyFont="1" applyAlignment="1">
      <alignment horizontal="right"/>
    </xf>
    <xf numFmtId="192" fontId="50" fillId="0" borderId="0" xfId="0" applyNumberFormat="1" applyFont="1"/>
    <xf numFmtId="0" fontId="50" fillId="0" borderId="0" xfId="0" applyFont="1" applyAlignment="1">
      <alignment horizontal="right"/>
    </xf>
    <xf numFmtId="192" fontId="83" fillId="0" borderId="0" xfId="0" applyNumberFormat="1" applyFont="1" applyAlignment="1">
      <alignment horizontal="center" vertical="center"/>
    </xf>
    <xf numFmtId="192" fontId="89" fillId="0" borderId="0" xfId="14" applyNumberFormat="1" applyFont="1" applyFill="1" applyBorder="1" applyAlignment="1" applyProtection="1">
      <alignment horizontal="center"/>
      <protection hidden="1"/>
    </xf>
    <xf numFmtId="192" fontId="92" fillId="0" borderId="0" xfId="0" applyNumberFormat="1" applyFont="1" applyAlignment="1">
      <alignment horizontal="center" vertical="center"/>
    </xf>
    <xf numFmtId="192" fontId="94" fillId="0" borderId="0" xfId="0" applyNumberFormat="1" applyFont="1" applyAlignment="1">
      <alignment horizontal="center" vertical="center"/>
    </xf>
    <xf numFmtId="192" fontId="41" fillId="0" borderId="0" xfId="0" applyNumberFormat="1" applyFont="1" applyAlignment="1">
      <alignment horizontal="center" vertical="center"/>
    </xf>
    <xf numFmtId="0" fontId="70" fillId="0" borderId="0" xfId="12" applyFont="1"/>
    <xf numFmtId="0" fontId="51" fillId="0" borderId="0" xfId="12" applyFont="1"/>
    <xf numFmtId="49" fontId="95" fillId="0" borderId="0" xfId="11" applyNumberFormat="1" applyFont="1" applyAlignment="1" applyProtection="1">
      <alignment horizontal="left" vertical="top"/>
      <protection hidden="1"/>
    </xf>
    <xf numFmtId="49" fontId="55" fillId="0" borderId="0" xfId="12" applyNumberFormat="1" applyFont="1"/>
    <xf numFmtId="2" fontId="53" fillId="0" borderId="0" xfId="12" applyNumberFormat="1" applyFont="1"/>
    <xf numFmtId="2" fontId="78" fillId="0" borderId="0" xfId="12" applyNumberFormat="1" applyFont="1"/>
    <xf numFmtId="2" fontId="78" fillId="0" borderId="0" xfId="12" applyNumberFormat="1" applyFont="1" applyAlignment="1">
      <alignment horizontal="left"/>
    </xf>
    <xf numFmtId="0" fontId="78" fillId="0" borderId="0" xfId="12" applyFont="1"/>
    <xf numFmtId="186" fontId="96" fillId="0" borderId="0" xfId="12" quotePrefix="1" applyNumberFormat="1" applyFont="1" applyAlignment="1">
      <alignment horizontal="left"/>
    </xf>
    <xf numFmtId="1" fontId="96" fillId="0" borderId="0" xfId="12" applyNumberFormat="1" applyFont="1" applyAlignment="1">
      <alignment horizontal="left"/>
    </xf>
    <xf numFmtId="49" fontId="78" fillId="0" borderId="0" xfId="12" applyNumberFormat="1" applyFont="1"/>
    <xf numFmtId="49" fontId="51" fillId="0" borderId="0" xfId="11" applyNumberFormat="1" applyFont="1" applyAlignment="1" applyProtection="1">
      <alignment horizontal="left" vertical="top"/>
      <protection hidden="1"/>
    </xf>
    <xf numFmtId="0" fontId="51" fillId="0" borderId="0" xfId="11" applyFont="1" applyAlignment="1" applyProtection="1">
      <alignment horizontal="center" vertical="justify"/>
      <protection hidden="1"/>
    </xf>
    <xf numFmtId="0" fontId="51" fillId="0" borderId="0" xfId="12" applyFont="1" applyAlignment="1">
      <alignment horizontal="left"/>
    </xf>
    <xf numFmtId="49" fontId="51" fillId="0" borderId="0" xfId="12" applyNumberFormat="1" applyFont="1"/>
    <xf numFmtId="0" fontId="62" fillId="0" borderId="0" xfId="11" applyFont="1" applyAlignment="1" applyProtection="1">
      <alignment horizontal="left"/>
      <protection hidden="1"/>
    </xf>
    <xf numFmtId="2" fontId="51" fillId="0" borderId="0" xfId="12" applyNumberFormat="1" applyFont="1"/>
    <xf numFmtId="10" fontId="51" fillId="0" borderId="0" xfId="12" applyNumberFormat="1" applyFont="1" applyAlignment="1">
      <alignment horizontal="left"/>
    </xf>
    <xf numFmtId="0" fontId="51" fillId="0" borderId="0" xfId="38" applyFont="1"/>
    <xf numFmtId="0" fontId="51" fillId="0" borderId="0" xfId="17" applyFont="1"/>
    <xf numFmtId="0" fontId="87" fillId="0" borderId="0" xfId="36" applyFont="1" applyAlignment="1">
      <alignment horizontal="center"/>
    </xf>
    <xf numFmtId="0" fontId="78" fillId="0" borderId="0" xfId="38" applyFont="1" applyAlignment="1">
      <alignment horizontal="center"/>
    </xf>
    <xf numFmtId="2" fontId="55" fillId="0" borderId="0" xfId="38" applyNumberFormat="1" applyFont="1"/>
    <xf numFmtId="2" fontId="87" fillId="0" borderId="0" xfId="36" applyNumberFormat="1" applyFont="1"/>
    <xf numFmtId="2" fontId="77" fillId="0" borderId="0" xfId="36" applyNumberFormat="1" applyFont="1" applyAlignment="1">
      <alignment vertical="center"/>
    </xf>
    <xf numFmtId="2" fontId="101" fillId="0" borderId="0" xfId="12" applyNumberFormat="1" applyFont="1"/>
    <xf numFmtId="2" fontId="55" fillId="0" borderId="0" xfId="12" applyNumberFormat="1" applyFont="1"/>
    <xf numFmtId="2" fontId="53" fillId="0" borderId="0" xfId="36" applyNumberFormat="1" applyFont="1" applyAlignment="1">
      <alignment vertical="center"/>
    </xf>
    <xf numFmtId="0" fontId="78" fillId="0" borderId="0" xfId="36" applyFont="1" applyAlignment="1">
      <alignment horizontal="center" vertical="center"/>
    </xf>
    <xf numFmtId="2" fontId="77" fillId="0" borderId="0" xfId="38" applyNumberFormat="1" applyFont="1"/>
    <xf numFmtId="2" fontId="78" fillId="0" borderId="0" xfId="36" applyNumberFormat="1" applyFont="1" applyAlignment="1">
      <alignment vertical="center"/>
    </xf>
    <xf numFmtId="2" fontId="77" fillId="0" borderId="0" xfId="36" applyNumberFormat="1" applyFont="1" applyAlignment="1">
      <alignment vertical="center" wrapText="1"/>
    </xf>
    <xf numFmtId="0" fontId="74" fillId="0" borderId="0" xfId="36" applyFont="1"/>
    <xf numFmtId="0" fontId="87" fillId="0" borderId="0" xfId="36" applyFont="1"/>
    <xf numFmtId="176" fontId="74" fillId="0" borderId="0" xfId="36" applyNumberFormat="1" applyFont="1"/>
    <xf numFmtId="0" fontId="51" fillId="0" borderId="0" xfId="0" applyFont="1" applyAlignment="1">
      <alignment horizontal="left"/>
    </xf>
    <xf numFmtId="49" fontId="51" fillId="0" borderId="0" xfId="0" applyNumberFormat="1" applyFont="1" applyAlignment="1">
      <alignment horizontal="left" vertical="top"/>
    </xf>
    <xf numFmtId="0" fontId="64" fillId="0" borderId="0" xfId="0" applyFont="1"/>
    <xf numFmtId="173" fontId="51" fillId="0" borderId="0" xfId="7" applyNumberFormat="1" applyFont="1" applyAlignment="1">
      <alignment horizontal="center"/>
    </xf>
    <xf numFmtId="2" fontId="54" fillId="0" borderId="0" xfId="0" applyNumberFormat="1" applyFont="1"/>
    <xf numFmtId="2" fontId="54" fillId="0" borderId="0" xfId="0" applyNumberFormat="1" applyFont="1" applyAlignment="1">
      <alignment horizontal="left"/>
    </xf>
    <xf numFmtId="49" fontId="54" fillId="0" borderId="0" xfId="0" applyNumberFormat="1" applyFont="1" applyAlignment="1">
      <alignment horizontal="left" vertical="top"/>
    </xf>
    <xf numFmtId="0" fontId="100" fillId="0" borderId="0" xfId="0" applyFont="1"/>
    <xf numFmtId="0" fontId="54" fillId="0" borderId="0" xfId="0" applyFont="1"/>
    <xf numFmtId="173" fontId="54" fillId="0" borderId="0" xfId="0" applyNumberFormat="1" applyFont="1"/>
    <xf numFmtId="173" fontId="54" fillId="0" borderId="0" xfId="7" applyNumberFormat="1" applyFont="1" applyFill="1" applyAlignment="1">
      <alignment horizontal="center"/>
    </xf>
    <xf numFmtId="173" fontId="51" fillId="0" borderId="0" xfId="7" applyNumberFormat="1" applyFont="1"/>
    <xf numFmtId="186" fontId="96" fillId="0" borderId="0" xfId="12" applyNumberFormat="1" applyFont="1" applyAlignment="1">
      <alignment horizontal="left"/>
    </xf>
    <xf numFmtId="2" fontId="55" fillId="0" borderId="0" xfId="12" applyNumberFormat="1" applyFont="1" applyAlignment="1">
      <alignment vertical="top"/>
    </xf>
    <xf numFmtId="1" fontId="96" fillId="0" borderId="0" xfId="12" applyNumberFormat="1" applyFont="1" applyAlignment="1">
      <alignment horizontal="left" vertical="top"/>
    </xf>
    <xf numFmtId="49" fontId="55" fillId="0" borderId="0" xfId="0" applyNumberFormat="1" applyFont="1" applyAlignment="1">
      <alignment horizontal="left" vertical="top"/>
    </xf>
    <xf numFmtId="2" fontId="54" fillId="0" borderId="0" xfId="0" applyNumberFormat="1" applyFont="1" applyAlignment="1">
      <alignment horizontal="center" vertical="top" wrapText="1"/>
    </xf>
    <xf numFmtId="2" fontId="54" fillId="0" borderId="0" xfId="0" applyNumberFormat="1" applyFont="1" applyAlignment="1">
      <alignment vertical="top" wrapText="1"/>
    </xf>
    <xf numFmtId="2" fontId="54" fillId="0" borderId="0" xfId="0" applyNumberFormat="1" applyFont="1" applyAlignment="1">
      <alignment horizontal="left" vertical="top" wrapText="1"/>
    </xf>
    <xf numFmtId="0" fontId="100" fillId="0" borderId="0" xfId="0" applyFont="1" applyAlignment="1">
      <alignment vertical="top" wrapText="1"/>
    </xf>
    <xf numFmtId="0" fontId="54" fillId="0" borderId="0" xfId="0" applyFont="1" applyAlignment="1">
      <alignment vertical="top" wrapText="1"/>
    </xf>
    <xf numFmtId="0" fontId="103" fillId="0" borderId="0" xfId="33" applyFont="1"/>
    <xf numFmtId="0" fontId="103" fillId="0" borderId="1" xfId="33" applyFont="1" applyBorder="1"/>
    <xf numFmtId="0" fontId="51" fillId="0" borderId="1" xfId="0" applyFont="1" applyBorder="1"/>
    <xf numFmtId="41" fontId="51" fillId="0" borderId="0" xfId="0" applyNumberFormat="1" applyFont="1"/>
    <xf numFmtId="0" fontId="51" fillId="3" borderId="1" xfId="0" applyFont="1" applyFill="1" applyBorder="1" applyAlignment="1">
      <alignment horizontal="left"/>
    </xf>
    <xf numFmtId="0" fontId="51" fillId="0" borderId="0" xfId="36" applyFont="1"/>
    <xf numFmtId="169" fontId="51" fillId="3" borderId="1" xfId="0" applyNumberFormat="1" applyFont="1" applyFill="1" applyBorder="1" applyAlignment="1">
      <alignment horizontal="left"/>
    </xf>
    <xf numFmtId="49" fontId="51" fillId="3" borderId="1" xfId="0" applyNumberFormat="1" applyFont="1" applyFill="1" applyBorder="1" applyAlignment="1">
      <alignment horizontal="left" vertical="top"/>
    </xf>
    <xf numFmtId="0" fontId="51" fillId="3" borderId="1" xfId="0" applyFont="1" applyFill="1" applyBorder="1"/>
    <xf numFmtId="49" fontId="51" fillId="3" borderId="1" xfId="0" applyNumberFormat="1" applyFont="1" applyFill="1" applyBorder="1" applyAlignment="1">
      <alignment horizontal="left"/>
    </xf>
    <xf numFmtId="43" fontId="51" fillId="0" borderId="0" xfId="0" applyNumberFormat="1" applyFont="1"/>
    <xf numFmtId="44" fontId="51" fillId="0" borderId="0" xfId="0" applyNumberFormat="1" applyFont="1"/>
    <xf numFmtId="44" fontId="54" fillId="0" borderId="0" xfId="0" applyNumberFormat="1" applyFont="1"/>
    <xf numFmtId="0" fontId="104" fillId="0" borderId="0" xfId="25" applyFont="1"/>
    <xf numFmtId="0" fontId="104" fillId="0" borderId="0" xfId="25" applyFont="1" applyAlignment="1">
      <alignment horizontal="center"/>
    </xf>
    <xf numFmtId="0" fontId="85" fillId="0" borderId="0" xfId="36" applyFont="1"/>
    <xf numFmtId="2" fontId="53" fillId="0" borderId="0" xfId="12" applyNumberFormat="1" applyFont="1" applyAlignment="1">
      <alignment horizontal="left"/>
    </xf>
    <xf numFmtId="0" fontId="51" fillId="0" borderId="0" xfId="25" applyFont="1"/>
    <xf numFmtId="0" fontId="105" fillId="0" borderId="0" xfId="25" applyFont="1"/>
    <xf numFmtId="0" fontId="105" fillId="0" borderId="0" xfId="25" applyFont="1" applyAlignment="1">
      <alignment horizontal="center"/>
    </xf>
    <xf numFmtId="2" fontId="77" fillId="0" borderId="0" xfId="12" applyNumberFormat="1" applyFont="1"/>
    <xf numFmtId="2" fontId="77" fillId="0" borderId="0" xfId="36" applyNumberFormat="1" applyFont="1" applyAlignment="1">
      <alignment horizontal="right" vertical="center"/>
    </xf>
    <xf numFmtId="0" fontId="79" fillId="0" borderId="0" xfId="40" applyFont="1"/>
    <xf numFmtId="2" fontId="79" fillId="0" borderId="0" xfId="40" applyNumberFormat="1" applyFont="1"/>
    <xf numFmtId="177" fontId="51" fillId="0" borderId="0" xfId="0" applyNumberFormat="1" applyFont="1"/>
    <xf numFmtId="0" fontId="68" fillId="0" borderId="0" xfId="11" applyFont="1" applyAlignment="1" applyProtection="1">
      <alignment horizontal="center"/>
      <protection hidden="1"/>
    </xf>
    <xf numFmtId="0" fontId="68" fillId="0" borderId="0" xfId="11" applyFont="1" applyAlignment="1" applyProtection="1">
      <alignment horizontal="left"/>
      <protection hidden="1"/>
    </xf>
    <xf numFmtId="176" fontId="87" fillId="0" borderId="0" xfId="36" applyNumberFormat="1" applyFont="1"/>
    <xf numFmtId="168" fontId="51" fillId="0" borderId="0" xfId="7" applyNumberFormat="1" applyFont="1" applyFill="1" applyAlignment="1"/>
    <xf numFmtId="2" fontId="53" fillId="0" borderId="0" xfId="38" applyNumberFormat="1" applyFont="1" applyAlignment="1">
      <alignment horizontal="left"/>
    </xf>
    <xf numFmtId="168" fontId="78" fillId="0" borderId="0" xfId="7" applyNumberFormat="1" applyFont="1" applyFill="1" applyAlignment="1"/>
    <xf numFmtId="168" fontId="78" fillId="0" borderId="0" xfId="12" applyNumberFormat="1" applyFont="1"/>
    <xf numFmtId="2" fontId="101" fillId="0" borderId="0" xfId="38" applyNumberFormat="1" applyFont="1" applyAlignment="1">
      <alignment horizontal="left"/>
    </xf>
    <xf numFmtId="49" fontId="77" fillId="0" borderId="0" xfId="12" applyNumberFormat="1" applyFont="1"/>
    <xf numFmtId="168" fontId="77" fillId="0" borderId="0" xfId="7" applyNumberFormat="1" applyFont="1" applyFill="1" applyAlignment="1"/>
    <xf numFmtId="0" fontId="77" fillId="0" borderId="0" xfId="12" applyFont="1"/>
    <xf numFmtId="0" fontId="54" fillId="0" borderId="0" xfId="12" applyFont="1"/>
    <xf numFmtId="168" fontId="51" fillId="0" borderId="0" xfId="7" applyNumberFormat="1" applyFont="1"/>
    <xf numFmtId="0" fontId="54" fillId="3" borderId="4" xfId="0" applyFont="1" applyFill="1" applyBorder="1"/>
    <xf numFmtId="0" fontId="54" fillId="3" borderId="3" xfId="0" applyFont="1" applyFill="1" applyBorder="1"/>
    <xf numFmtId="0" fontId="64" fillId="3" borderId="0" xfId="0" applyFont="1" applyFill="1"/>
    <xf numFmtId="168" fontId="64" fillId="3" borderId="0" xfId="7" applyNumberFormat="1" applyFont="1" applyFill="1"/>
    <xf numFmtId="0" fontId="51" fillId="0" borderId="0" xfId="17" applyFont="1" applyAlignment="1">
      <alignment horizontal="left"/>
    </xf>
    <xf numFmtId="49" fontId="51" fillId="0" borderId="0" xfId="7" applyNumberFormat="1" applyFont="1" applyAlignment="1">
      <alignment horizontal="center"/>
    </xf>
    <xf numFmtId="172" fontId="96" fillId="0" borderId="0" xfId="12" applyNumberFormat="1" applyFont="1" applyAlignment="1">
      <alignment horizontal="left"/>
    </xf>
    <xf numFmtId="0" fontId="54" fillId="0" borderId="0" xfId="17" applyFont="1"/>
    <xf numFmtId="180" fontId="51" fillId="0" borderId="0" xfId="17" applyNumberFormat="1" applyFont="1"/>
    <xf numFmtId="0" fontId="51" fillId="0" borderId="0" xfId="26" applyFont="1"/>
    <xf numFmtId="0" fontId="51" fillId="0" borderId="0" xfId="0" applyFont="1" applyAlignment="1">
      <alignment wrapText="1"/>
    </xf>
    <xf numFmtId="49" fontId="54" fillId="0" borderId="0" xfId="7" applyNumberFormat="1" applyFont="1" applyBorder="1" applyAlignment="1">
      <alignment horizontal="center"/>
    </xf>
    <xf numFmtId="165" fontId="54" fillId="0" borderId="0" xfId="0" applyNumberFormat="1" applyFont="1"/>
    <xf numFmtId="44" fontId="51" fillId="0" borderId="0" xfId="34" applyFont="1"/>
    <xf numFmtId="0" fontId="51" fillId="0" borderId="0" xfId="42" applyFont="1"/>
    <xf numFmtId="44" fontId="51" fillId="0" borderId="0" xfId="98" applyFont="1"/>
    <xf numFmtId="0" fontId="51" fillId="0" borderId="0" xfId="42" applyFont="1" applyAlignment="1">
      <alignment vertical="top"/>
    </xf>
    <xf numFmtId="44" fontId="51" fillId="0" borderId="0" xfId="42" applyNumberFormat="1" applyFont="1"/>
    <xf numFmtId="2" fontId="53" fillId="0" borderId="0" xfId="49" applyNumberFormat="1" applyFont="1" applyAlignment="1">
      <alignment horizontal="left"/>
    </xf>
    <xf numFmtId="172" fontId="101" fillId="0" borderId="0" xfId="12" applyNumberFormat="1" applyFont="1" applyAlignment="1">
      <alignment horizontal="left"/>
    </xf>
    <xf numFmtId="44" fontId="51" fillId="0" borderId="0" xfId="98" applyFont="1" applyFill="1" applyBorder="1" applyAlignment="1">
      <alignment horizontal="left"/>
    </xf>
    <xf numFmtId="44" fontId="51" fillId="0" borderId="0" xfId="98" applyFont="1" applyFill="1" applyBorder="1" applyAlignment="1">
      <alignment horizontal="center"/>
    </xf>
    <xf numFmtId="168" fontId="51" fillId="0" borderId="0" xfId="7" applyNumberFormat="1" applyFont="1" applyAlignment="1">
      <alignment horizontal="left"/>
    </xf>
    <xf numFmtId="0" fontId="51" fillId="0" borderId="0" xfId="23" applyFont="1"/>
    <xf numFmtId="2" fontId="78" fillId="0" borderId="0" xfId="38" applyNumberFormat="1" applyFont="1" applyAlignment="1">
      <alignment horizontal="left"/>
    </xf>
    <xf numFmtId="2" fontId="78" fillId="0" borderId="0" xfId="38" applyNumberFormat="1" applyFont="1"/>
    <xf numFmtId="0" fontId="78" fillId="0" borderId="0" xfId="38" applyFont="1" applyAlignment="1">
      <alignment horizontal="left"/>
    </xf>
    <xf numFmtId="49" fontId="96" fillId="0" borderId="0" xfId="38" applyNumberFormat="1" applyFont="1" applyAlignment="1">
      <alignment horizontal="left"/>
    </xf>
    <xf numFmtId="0" fontId="51" fillId="0" borderId="0" xfId="37" applyFont="1"/>
    <xf numFmtId="0" fontId="51" fillId="3" borderId="19" xfId="0" applyFont="1" applyFill="1" applyBorder="1" applyAlignment="1">
      <alignment horizontal="left"/>
    </xf>
    <xf numFmtId="2" fontId="53" fillId="0" borderId="0" xfId="38" applyNumberFormat="1" applyFont="1"/>
    <xf numFmtId="1" fontId="96" fillId="0" borderId="0" xfId="38" applyNumberFormat="1" applyFont="1" applyAlignment="1">
      <alignment horizontal="left"/>
    </xf>
    <xf numFmtId="0" fontId="51" fillId="3" borderId="19" xfId="0" applyFont="1" applyFill="1" applyBorder="1"/>
    <xf numFmtId="44" fontId="103" fillId="0" borderId="0" xfId="34" applyFont="1"/>
    <xf numFmtId="1" fontId="51" fillId="0" borderId="0" xfId="37" applyNumberFormat="1" applyFont="1" applyAlignment="1">
      <alignment horizontal="center"/>
    </xf>
    <xf numFmtId="0" fontId="107" fillId="0" borderId="0" xfId="33" applyFont="1"/>
    <xf numFmtId="0" fontId="103" fillId="0" borderId="1" xfId="33" applyFont="1" applyBorder="1" applyAlignment="1">
      <alignment horizontal="center"/>
    </xf>
    <xf numFmtId="0" fontId="103" fillId="0" borderId="0" xfId="193" applyFont="1"/>
    <xf numFmtId="0" fontId="51" fillId="0" borderId="19" xfId="193" applyFont="1" applyBorder="1"/>
    <xf numFmtId="0" fontId="51" fillId="0" borderId="19" xfId="33" applyFont="1" applyBorder="1"/>
    <xf numFmtId="0" fontId="106" fillId="0" borderId="0" xfId="33" applyFont="1"/>
    <xf numFmtId="168" fontId="51" fillId="0" borderId="0" xfId="7" applyNumberFormat="1" applyFont="1" applyAlignment="1">
      <alignment horizontal="center"/>
    </xf>
    <xf numFmtId="0" fontId="108" fillId="0" borderId="0" xfId="0" applyFont="1"/>
    <xf numFmtId="2" fontId="70" fillId="0" borderId="0" xfId="0" applyNumberFormat="1" applyFont="1"/>
    <xf numFmtId="0" fontId="109" fillId="0" borderId="0" xfId="0" applyFont="1"/>
    <xf numFmtId="168" fontId="54" fillId="0" borderId="0" xfId="7" applyNumberFormat="1" applyFont="1" applyFill="1" applyAlignment="1">
      <alignment horizontal="center"/>
    </xf>
    <xf numFmtId="0" fontId="109" fillId="0" borderId="0" xfId="0" applyFont="1" applyAlignment="1">
      <alignment vertical="top" wrapText="1"/>
    </xf>
    <xf numFmtId="0" fontId="51" fillId="0" borderId="0" xfId="0" applyFont="1" applyAlignment="1">
      <alignment horizontal="center"/>
    </xf>
    <xf numFmtId="44" fontId="51" fillId="0" borderId="0" xfId="34" applyFont="1" applyFill="1" applyAlignment="1"/>
    <xf numFmtId="0" fontId="51" fillId="0" borderId="0" xfId="12" applyFont="1" applyAlignment="1">
      <alignment horizontal="center" vertical="top"/>
    </xf>
    <xf numFmtId="0" fontId="53" fillId="0" borderId="0" xfId="12" applyFont="1"/>
    <xf numFmtId="44" fontId="78" fillId="0" borderId="0" xfId="34" applyFont="1" applyFill="1" applyAlignment="1"/>
    <xf numFmtId="0" fontId="78" fillId="0" borderId="0" xfId="12" applyFont="1" applyAlignment="1">
      <alignment horizontal="center" vertical="top"/>
    </xf>
    <xf numFmtId="44" fontId="77" fillId="0" borderId="0" xfId="34" applyFont="1" applyFill="1" applyAlignment="1"/>
    <xf numFmtId="0" fontId="51" fillId="0" borderId="0" xfId="0" applyFont="1" applyAlignment="1">
      <alignment horizontal="center" vertical="top"/>
    </xf>
    <xf numFmtId="0" fontId="54" fillId="3" borderId="3" xfId="0" applyFont="1" applyFill="1" applyBorder="1" applyAlignment="1">
      <alignment horizontal="center" vertical="top"/>
    </xf>
    <xf numFmtId="0" fontId="41" fillId="0" borderId="0" xfId="12" applyFont="1"/>
    <xf numFmtId="2" fontId="110" fillId="0" borderId="0" xfId="12" applyNumberFormat="1" applyFont="1" applyAlignment="1">
      <alignment horizontal="left"/>
    </xf>
    <xf numFmtId="0" fontId="110" fillId="0" borderId="0" xfId="12" applyFont="1" applyAlignment="1">
      <alignment horizontal="left"/>
    </xf>
    <xf numFmtId="0" fontId="41" fillId="0" borderId="0" xfId="11" applyFont="1" applyAlignment="1" applyProtection="1">
      <alignment horizontal="right" vertical="justify"/>
      <protection hidden="1"/>
    </xf>
    <xf numFmtId="174" fontId="41" fillId="0" borderId="0" xfId="35" applyNumberFormat="1" applyFont="1" applyFill="1" applyAlignment="1">
      <alignment horizontal="left"/>
    </xf>
    <xf numFmtId="174" fontId="41" fillId="3" borderId="0" xfId="35" applyNumberFormat="1" applyFont="1" applyFill="1" applyAlignment="1">
      <alignment horizontal="left"/>
    </xf>
    <xf numFmtId="174" fontId="41" fillId="0" borderId="2" xfId="35" applyNumberFormat="1" applyFont="1" applyFill="1" applyBorder="1" applyAlignment="1">
      <alignment horizontal="left"/>
    </xf>
    <xf numFmtId="44" fontId="41" fillId="0" borderId="0" xfId="12" applyNumberFormat="1" applyFont="1"/>
    <xf numFmtId="0" fontId="41" fillId="0" borderId="0" xfId="38" applyFont="1"/>
    <xf numFmtId="2" fontId="98" fillId="19" borderId="1" xfId="18" applyNumberFormat="1" applyFont="1" applyFill="1" applyBorder="1" applyAlignment="1">
      <alignment vertical="top" wrapText="1"/>
    </xf>
    <xf numFmtId="2" fontId="98" fillId="19" borderId="19" xfId="0" applyNumberFormat="1" applyFont="1" applyFill="1" applyBorder="1" applyAlignment="1">
      <alignment horizontal="left" vertical="top" wrapText="1"/>
    </xf>
    <xf numFmtId="2" fontId="98" fillId="19" borderId="19" xfId="0" applyNumberFormat="1" applyFont="1" applyFill="1" applyBorder="1" applyAlignment="1">
      <alignment horizontal="center" vertical="top" wrapText="1"/>
    </xf>
    <xf numFmtId="2" fontId="98" fillId="19" borderId="1" xfId="17" applyNumberFormat="1" applyFont="1" applyFill="1" applyBorder="1" applyAlignment="1">
      <alignment horizontal="center" vertical="top" wrapText="1"/>
    </xf>
    <xf numFmtId="0" fontId="41" fillId="3" borderId="19" xfId="0" applyFont="1" applyFill="1" applyBorder="1" applyAlignment="1">
      <alignment horizontal="center"/>
    </xf>
    <xf numFmtId="181" fontId="41" fillId="3" borderId="19" xfId="12" applyNumberFormat="1" applyFont="1" applyFill="1" applyBorder="1" applyAlignment="1">
      <alignment horizontal="center"/>
    </xf>
    <xf numFmtId="181" fontId="41" fillId="0" borderId="19" xfId="12" applyNumberFormat="1" applyFont="1" applyBorder="1" applyAlignment="1">
      <alignment horizontal="center"/>
    </xf>
    <xf numFmtId="165" fontId="41" fillId="0" borderId="19" xfId="29" applyFont="1" applyFill="1" applyBorder="1" applyAlignment="1"/>
    <xf numFmtId="2" fontId="98" fillId="19" borderId="1" xfId="0" applyNumberFormat="1" applyFont="1" applyFill="1" applyBorder="1" applyAlignment="1">
      <alignment horizontal="left" vertical="top" wrapText="1"/>
    </xf>
    <xf numFmtId="0" fontId="41" fillId="0" borderId="0" xfId="42" applyFont="1"/>
    <xf numFmtId="0" fontId="41" fillId="0" borderId="0" xfId="42" applyFont="1" applyAlignment="1">
      <alignment horizontal="center"/>
    </xf>
    <xf numFmtId="44" fontId="41" fillId="0" borderId="0" xfId="98" applyFont="1" applyFill="1" applyBorder="1" applyAlignment="1">
      <alignment horizontal="center"/>
    </xf>
    <xf numFmtId="0" fontId="51" fillId="19" borderId="0" xfId="0" applyFont="1" applyFill="1" applyAlignment="1">
      <alignment wrapText="1"/>
    </xf>
    <xf numFmtId="49" fontId="51" fillId="0" borderId="0" xfId="11" applyNumberFormat="1" applyFont="1" applyAlignment="1" applyProtection="1">
      <alignment horizontal="left"/>
      <protection hidden="1"/>
    </xf>
    <xf numFmtId="168" fontId="113" fillId="0" borderId="6" xfId="7" applyNumberFormat="1" applyFont="1" applyBorder="1" applyProtection="1"/>
    <xf numFmtId="168" fontId="115" fillId="0" borderId="19" xfId="7" applyNumberFormat="1" applyFont="1" applyBorder="1"/>
    <xf numFmtId="4" fontId="115" fillId="0" borderId="19" xfId="193" applyNumberFormat="1" applyFont="1" applyBorder="1"/>
    <xf numFmtId="4" fontId="115" fillId="3" borderId="19" xfId="193" applyNumberFormat="1" applyFont="1" applyFill="1" applyBorder="1"/>
    <xf numFmtId="44" fontId="115" fillId="0" borderId="19" xfId="193" applyNumberFormat="1" applyFont="1" applyBorder="1"/>
    <xf numFmtId="166" fontId="41" fillId="4" borderId="19" xfId="12" applyNumberFormat="1" applyFont="1" applyFill="1" applyBorder="1"/>
    <xf numFmtId="43" fontId="41" fillId="0" borderId="19" xfId="29" applyNumberFormat="1" applyFont="1" applyFill="1" applyBorder="1" applyAlignment="1"/>
    <xf numFmtId="0" fontId="63" fillId="0" borderId="0" xfId="11" applyFont="1" applyAlignment="1" applyProtection="1">
      <alignment horizontal="left" textRotation="90"/>
      <protection hidden="1"/>
    </xf>
    <xf numFmtId="0" fontId="116" fillId="0" borderId="0" xfId="11" applyFont="1" applyAlignment="1" applyProtection="1">
      <alignment horizontal="left" textRotation="90"/>
      <protection hidden="1"/>
    </xf>
    <xf numFmtId="0" fontId="41" fillId="0" borderId="0" xfId="17" applyFont="1"/>
    <xf numFmtId="49" fontId="41" fillId="0" borderId="0" xfId="7" applyNumberFormat="1" applyFont="1" applyAlignment="1">
      <alignment horizontal="center"/>
    </xf>
    <xf numFmtId="0" fontId="61" fillId="0" borderId="0" xfId="17" applyFont="1"/>
    <xf numFmtId="180" fontId="41" fillId="0" borderId="0" xfId="17" applyNumberFormat="1" applyFont="1"/>
    <xf numFmtId="168" fontId="41" fillId="0" borderId="0" xfId="7" applyNumberFormat="1" applyFont="1"/>
    <xf numFmtId="0" fontId="41" fillId="3" borderId="0" xfId="0" applyFont="1" applyFill="1"/>
    <xf numFmtId="41" fontId="41" fillId="0" borderId="1" xfId="0" applyNumberFormat="1" applyFont="1" applyBorder="1"/>
    <xf numFmtId="43" fontId="41" fillId="0" borderId="1" xfId="0" applyNumberFormat="1" applyFont="1" applyBorder="1"/>
    <xf numFmtId="44" fontId="41" fillId="0" borderId="1" xfId="0" applyNumberFormat="1" applyFont="1" applyBorder="1"/>
    <xf numFmtId="49" fontId="41" fillId="0" borderId="1" xfId="0" applyNumberFormat="1" applyFont="1" applyBorder="1" applyAlignment="1">
      <alignment horizontal="center"/>
    </xf>
    <xf numFmtId="0" fontId="41" fillId="3" borderId="1" xfId="0" applyFont="1" applyFill="1" applyBorder="1" applyAlignment="1">
      <alignment horizontal="center"/>
    </xf>
    <xf numFmtId="168" fontId="41" fillId="3" borderId="1" xfId="7" applyNumberFormat="1" applyFont="1" applyFill="1" applyBorder="1" applyAlignment="1">
      <alignment horizontal="right"/>
    </xf>
    <xf numFmtId="0" fontId="41" fillId="0" borderId="0" xfId="12" applyFont="1" applyAlignment="1">
      <alignment vertical="center"/>
    </xf>
    <xf numFmtId="174" fontId="41" fillId="3" borderId="0" xfId="35" applyNumberFormat="1" applyFont="1" applyFill="1" applyAlignment="1">
      <alignment horizontal="left" vertical="center"/>
    </xf>
    <xf numFmtId="49" fontId="50" fillId="0" borderId="0" xfId="7" applyNumberFormat="1" applyFont="1" applyAlignment="1">
      <alignment horizontal="center"/>
    </xf>
    <xf numFmtId="49" fontId="64" fillId="0" borderId="0" xfId="7" applyNumberFormat="1" applyFont="1" applyAlignment="1">
      <alignment horizontal="center"/>
    </xf>
    <xf numFmtId="166" fontId="41" fillId="23" borderId="19" xfId="12" applyNumberFormat="1" applyFont="1" applyFill="1" applyBorder="1"/>
    <xf numFmtId="43" fontId="41" fillId="23" borderId="1" xfId="0" applyNumberFormat="1" applyFont="1" applyFill="1" applyBorder="1"/>
    <xf numFmtId="49" fontId="100" fillId="24" borderId="1" xfId="11" applyNumberFormat="1" applyFont="1" applyFill="1" applyBorder="1" applyAlignment="1" applyProtection="1">
      <alignment horizontal="left" vertical="top"/>
      <protection hidden="1"/>
    </xf>
    <xf numFmtId="0" fontId="51" fillId="0" borderId="41" xfId="0" applyFont="1" applyBorder="1"/>
    <xf numFmtId="2" fontId="98" fillId="19" borderId="41" xfId="17" applyNumberFormat="1" applyFont="1" applyFill="1" applyBorder="1" applyAlignment="1">
      <alignment vertical="top" wrapText="1"/>
    </xf>
    <xf numFmtId="0" fontId="63" fillId="0" borderId="19" xfId="11" applyFont="1" applyBorder="1" applyAlignment="1" applyProtection="1">
      <alignment horizontal="left" textRotation="90"/>
      <protection hidden="1"/>
    </xf>
    <xf numFmtId="9" fontId="63" fillId="23" borderId="19" xfId="14" applyFont="1" applyFill="1" applyBorder="1" applyAlignment="1" applyProtection="1">
      <alignment horizontal="center"/>
      <protection hidden="1"/>
    </xf>
    <xf numFmtId="0" fontId="54" fillId="0" borderId="41" xfId="0" applyFont="1" applyBorder="1"/>
    <xf numFmtId="0" fontId="98" fillId="19" borderId="41" xfId="11" applyFont="1" applyFill="1" applyBorder="1" applyAlignment="1" applyProtection="1">
      <alignment horizontal="left" vertical="center"/>
      <protection hidden="1"/>
    </xf>
    <xf numFmtId="0" fontId="98" fillId="19" borderId="41" xfId="11" applyFont="1" applyFill="1" applyBorder="1" applyAlignment="1" applyProtection="1">
      <alignment horizontal="left" vertical="center" wrapText="1"/>
      <protection hidden="1"/>
    </xf>
    <xf numFmtId="166" fontId="113" fillId="23" borderId="41" xfId="7" applyFont="1" applyFill="1" applyBorder="1"/>
    <xf numFmtId="166" fontId="113" fillId="3" borderId="41" xfId="7" applyFont="1" applyFill="1" applyBorder="1"/>
    <xf numFmtId="2" fontId="104" fillId="23" borderId="1" xfId="7" applyNumberFormat="1" applyFont="1" applyFill="1" applyBorder="1" applyAlignment="1">
      <alignment horizontal="center"/>
    </xf>
    <xf numFmtId="49" fontId="113" fillId="23" borderId="1" xfId="7" applyNumberFormat="1" applyFont="1" applyFill="1" applyBorder="1" applyAlignment="1">
      <alignment horizontal="center"/>
    </xf>
    <xf numFmtId="44" fontId="113" fillId="23" borderId="1" xfId="34" applyFont="1" applyFill="1" applyBorder="1" applyAlignment="1">
      <alignment horizontal="center"/>
    </xf>
    <xf numFmtId="180" fontId="113" fillId="0" borderId="1" xfId="7" applyNumberFormat="1" applyFont="1" applyFill="1" applyBorder="1" applyProtection="1"/>
    <xf numFmtId="49" fontId="104" fillId="23" borderId="1" xfId="7" applyNumberFormat="1" applyFont="1" applyFill="1" applyBorder="1" applyAlignment="1">
      <alignment horizontal="center"/>
    </xf>
    <xf numFmtId="49" fontId="104" fillId="23" borderId="1" xfId="7" applyNumberFormat="1" applyFont="1" applyFill="1" applyBorder="1"/>
    <xf numFmtId="166" fontId="113" fillId="23" borderId="1" xfId="7" applyFont="1" applyFill="1" applyBorder="1"/>
    <xf numFmtId="0" fontId="105" fillId="0" borderId="1" xfId="25" applyFont="1" applyBorder="1" applyAlignment="1">
      <alignment horizontal="center"/>
    </xf>
    <xf numFmtId="182" fontId="114" fillId="0" borderId="1" xfId="44" applyFont="1" applyFill="1" applyBorder="1" applyProtection="1"/>
    <xf numFmtId="44" fontId="41" fillId="23" borderId="1" xfId="34" applyFont="1" applyFill="1" applyBorder="1" applyAlignment="1">
      <alignment horizontal="right"/>
    </xf>
    <xf numFmtId="1" fontId="41" fillId="0" borderId="1" xfId="0" applyNumberFormat="1" applyFont="1" applyBorder="1" applyAlignment="1">
      <alignment horizontal="center"/>
    </xf>
    <xf numFmtId="0" fontId="115" fillId="3" borderId="1" xfId="0" applyFont="1" applyFill="1" applyBorder="1" applyAlignment="1">
      <alignment horizontal="center"/>
    </xf>
    <xf numFmtId="0" fontId="103" fillId="3" borderId="1" xfId="7" applyNumberFormat="1" applyFont="1" applyFill="1" applyBorder="1" applyAlignment="1"/>
    <xf numFmtId="0" fontId="103" fillId="3" borderId="1" xfId="0" applyFont="1" applyFill="1" applyBorder="1"/>
    <xf numFmtId="0" fontId="115" fillId="3" borderId="1" xfId="0" applyFont="1" applyFill="1" applyBorder="1"/>
    <xf numFmtId="0" fontId="41" fillId="3" borderId="1" xfId="0" applyFont="1" applyFill="1" applyBorder="1"/>
    <xf numFmtId="0" fontId="41" fillId="3" borderId="1" xfId="0" applyFont="1" applyFill="1" applyBorder="1" applyAlignment="1">
      <alignment vertical="top" wrapText="1"/>
    </xf>
    <xf numFmtId="4" fontId="51" fillId="0" borderId="1" xfId="28" applyNumberFormat="1" applyFont="1" applyBorder="1"/>
    <xf numFmtId="44" fontId="61" fillId="0" borderId="1" xfId="0" applyNumberFormat="1" applyFont="1" applyBorder="1"/>
    <xf numFmtId="0" fontId="49" fillId="18" borderId="1" xfId="48" applyFont="1" applyFill="1" applyBorder="1" applyProtection="1">
      <protection hidden="1"/>
    </xf>
    <xf numFmtId="189" fontId="41" fillId="18" borderId="1" xfId="209" applyNumberFormat="1" applyFont="1" applyFill="1" applyBorder="1" applyAlignment="1" applyProtection="1">
      <alignment vertical="center"/>
      <protection hidden="1"/>
    </xf>
    <xf numFmtId="189" fontId="61" fillId="0" borderId="1" xfId="209" applyNumberFormat="1" applyFont="1" applyBorder="1" applyAlignment="1" applyProtection="1">
      <alignment vertical="center"/>
      <protection hidden="1"/>
    </xf>
    <xf numFmtId="189" fontId="41" fillId="0" borderId="1" xfId="209" applyNumberFormat="1" applyFont="1" applyBorder="1" applyAlignment="1" applyProtection="1">
      <alignment vertical="center"/>
      <protection hidden="1"/>
    </xf>
    <xf numFmtId="2" fontId="54" fillId="0" borderId="1" xfId="209" applyNumberFormat="1" applyFont="1" applyBorder="1" applyAlignment="1" applyProtection="1">
      <alignment horizontal="center"/>
      <protection hidden="1"/>
    </xf>
    <xf numFmtId="176" fontId="63" fillId="0" borderId="1" xfId="48" applyNumberFormat="1" applyFont="1" applyBorder="1" applyAlignment="1" applyProtection="1">
      <alignment horizontal="left" vertical="center"/>
      <protection hidden="1"/>
    </xf>
    <xf numFmtId="165" fontId="63" fillId="18" borderId="1" xfId="29" applyFont="1" applyFill="1" applyBorder="1" applyAlignment="1" applyProtection="1">
      <alignment horizontal="right" vertical="center"/>
      <protection hidden="1"/>
    </xf>
    <xf numFmtId="10" fontId="41" fillId="18" borderId="1" xfId="209" applyNumberFormat="1" applyFont="1" applyFill="1" applyBorder="1" applyAlignment="1" applyProtection="1">
      <alignment vertical="center"/>
      <protection hidden="1"/>
    </xf>
    <xf numFmtId="10" fontId="61" fillId="0" borderId="1" xfId="14" applyNumberFormat="1" applyFont="1" applyFill="1" applyBorder="1" applyAlignment="1"/>
    <xf numFmtId="0" fontId="67" fillId="19" borderId="1" xfId="48" applyFont="1" applyFill="1" applyBorder="1" applyAlignment="1" applyProtection="1">
      <alignment horizontal="left" vertical="center"/>
      <protection hidden="1"/>
    </xf>
    <xf numFmtId="0" fontId="68" fillId="0" borderId="1" xfId="48" applyFont="1" applyBorder="1" applyAlignment="1" applyProtection="1">
      <alignment horizontal="left" vertical="center"/>
      <protection hidden="1"/>
    </xf>
    <xf numFmtId="2" fontId="63" fillId="3" borderId="1" xfId="48" applyNumberFormat="1" applyFont="1" applyFill="1" applyBorder="1" applyAlignment="1" applyProtection="1">
      <alignment horizontal="right" vertical="center"/>
      <protection hidden="1"/>
    </xf>
    <xf numFmtId="0" fontId="54" fillId="0" borderId="1" xfId="48" applyFont="1" applyBorder="1" applyAlignment="1" applyProtection="1">
      <alignment vertical="center"/>
      <protection hidden="1"/>
    </xf>
    <xf numFmtId="2" fontId="61" fillId="0" borderId="1" xfId="48" applyNumberFormat="1" applyFont="1" applyBorder="1" applyAlignment="1" applyProtection="1">
      <alignment vertical="center"/>
      <protection hidden="1"/>
    </xf>
    <xf numFmtId="0" fontId="62" fillId="0" borderId="1" xfId="48" applyFont="1" applyBorder="1" applyAlignment="1" applyProtection="1">
      <alignment vertical="center"/>
      <protection hidden="1"/>
    </xf>
    <xf numFmtId="0" fontId="41" fillId="0" borderId="1" xfId="0" applyFont="1" applyBorder="1" applyAlignment="1">
      <alignment vertical="center"/>
    </xf>
    <xf numFmtId="2" fontId="63" fillId="18" borderId="1" xfId="48" applyNumberFormat="1" applyFont="1" applyFill="1" applyBorder="1" applyAlignment="1" applyProtection="1">
      <alignment horizontal="right" vertical="center"/>
      <protection hidden="1"/>
    </xf>
    <xf numFmtId="0" fontId="69" fillId="0" borderId="1" xfId="48" applyFont="1" applyBorder="1" applyAlignment="1" applyProtection="1">
      <alignment vertical="center"/>
      <protection hidden="1"/>
    </xf>
    <xf numFmtId="0" fontId="51" fillId="0" borderId="1" xfId="48" applyFont="1" applyBorder="1" applyAlignment="1" applyProtection="1">
      <alignment vertical="center"/>
      <protection hidden="1"/>
    </xf>
    <xf numFmtId="10" fontId="63" fillId="0" borderId="1" xfId="14" applyNumberFormat="1" applyFont="1" applyFill="1" applyBorder="1" applyAlignment="1" applyProtection="1">
      <alignment vertical="center"/>
      <protection hidden="1"/>
    </xf>
    <xf numFmtId="10" fontId="61" fillId="0" borderId="1" xfId="14" applyNumberFormat="1" applyFont="1" applyFill="1" applyBorder="1" applyAlignment="1" applyProtection="1">
      <alignment vertical="center"/>
      <protection hidden="1"/>
    </xf>
    <xf numFmtId="2" fontId="63" fillId="0" borderId="1" xfId="210" applyNumberFormat="1" applyFont="1" applyFill="1" applyBorder="1" applyAlignment="1" applyProtection="1">
      <protection hidden="1"/>
    </xf>
    <xf numFmtId="165" fontId="63" fillId="21" borderId="1" xfId="29" applyFont="1" applyFill="1" applyBorder="1" applyAlignment="1" applyProtection="1">
      <protection locked="0"/>
    </xf>
    <xf numFmtId="165" fontId="41" fillId="18" borderId="1" xfId="29" applyFont="1" applyFill="1" applyBorder="1"/>
    <xf numFmtId="165" fontId="63" fillId="22" borderId="1" xfId="29" applyFont="1" applyFill="1" applyBorder="1" applyAlignment="1" applyProtection="1">
      <protection locked="0"/>
    </xf>
    <xf numFmtId="176" fontId="61" fillId="0" borderId="1" xfId="210" applyNumberFormat="1" applyFont="1" applyFill="1" applyBorder="1" applyAlignment="1" applyProtection="1">
      <protection hidden="1"/>
    </xf>
    <xf numFmtId="191" fontId="63" fillId="0" borderId="1" xfId="210" applyFont="1" applyFill="1" applyBorder="1" applyAlignment="1" applyProtection="1">
      <protection hidden="1"/>
    </xf>
    <xf numFmtId="10" fontId="88" fillId="18" borderId="1" xfId="14" applyNumberFormat="1" applyFont="1" applyFill="1" applyBorder="1" applyAlignment="1" applyProtection="1">
      <alignment horizontal="right"/>
      <protection hidden="1"/>
    </xf>
    <xf numFmtId="165" fontId="63" fillId="0" borderId="1" xfId="29" applyFont="1" applyFill="1" applyBorder="1" applyAlignment="1" applyProtection="1">
      <protection locked="0"/>
    </xf>
    <xf numFmtId="191" fontId="63" fillId="0" borderId="1" xfId="210" applyFont="1" applyFill="1" applyBorder="1" applyAlignment="1" applyProtection="1">
      <protection locked="0"/>
    </xf>
    <xf numFmtId="192" fontId="89" fillId="0" borderId="1" xfId="14" applyNumberFormat="1" applyFont="1" applyFill="1" applyBorder="1" applyAlignment="1" applyProtection="1">
      <alignment horizontal="center"/>
      <protection hidden="1"/>
    </xf>
    <xf numFmtId="165" fontId="91" fillId="3" borderId="1" xfId="29" applyFont="1" applyFill="1" applyBorder="1" applyAlignment="1" applyProtection="1">
      <alignment horizontal="right"/>
      <protection locked="0"/>
    </xf>
    <xf numFmtId="0" fontId="51" fillId="17" borderId="1" xfId="17" applyFont="1" applyFill="1" applyBorder="1" applyAlignment="1">
      <alignment vertical="center"/>
    </xf>
    <xf numFmtId="168" fontId="51" fillId="17" borderId="1" xfId="7" applyNumberFormat="1" applyFont="1" applyFill="1" applyBorder="1" applyAlignment="1" applyProtection="1">
      <alignment horizontal="center" vertical="center" wrapText="1"/>
      <protection hidden="1"/>
    </xf>
    <xf numFmtId="0" fontId="51" fillId="0" borderId="1" xfId="17" applyFont="1" applyBorder="1" applyAlignment="1" applyProtection="1">
      <alignment horizontal="center" vertical="center"/>
      <protection hidden="1"/>
    </xf>
    <xf numFmtId="0" fontId="51" fillId="17" borderId="1" xfId="17" applyFont="1" applyFill="1" applyBorder="1" applyAlignment="1" applyProtection="1">
      <alignment vertical="center"/>
      <protection hidden="1"/>
    </xf>
    <xf numFmtId="168" fontId="51" fillId="17" borderId="1" xfId="7" applyNumberFormat="1" applyFont="1" applyFill="1" applyBorder="1" applyAlignment="1" applyProtection="1">
      <alignment horizontal="center" vertical="center"/>
      <protection hidden="1"/>
    </xf>
    <xf numFmtId="0" fontId="51" fillId="0" borderId="1" xfId="17" applyFont="1" applyBorder="1" applyAlignment="1" applyProtection="1">
      <alignment vertical="center"/>
      <protection hidden="1"/>
    </xf>
    <xf numFmtId="0" fontId="51" fillId="0" borderId="1" xfId="17" applyFont="1" applyBorder="1" applyAlignment="1" applyProtection="1">
      <alignment horizontal="center" vertical="center" wrapText="1"/>
      <protection hidden="1"/>
    </xf>
    <xf numFmtId="169" fontId="51" fillId="0" borderId="1" xfId="0" applyNumberFormat="1" applyFont="1" applyBorder="1" applyAlignment="1">
      <alignment horizontal="left"/>
    </xf>
    <xf numFmtId="1" fontId="51" fillId="0" borderId="1" xfId="0" applyNumberFormat="1" applyFont="1" applyBorder="1" applyAlignment="1">
      <alignment horizontal="center"/>
    </xf>
    <xf numFmtId="0" fontId="41" fillId="0" borderId="1" xfId="0" applyFont="1" applyBorder="1" applyAlignment="1">
      <alignment vertical="top" wrapText="1"/>
    </xf>
    <xf numFmtId="0" fontId="85" fillId="23" borderId="1" xfId="36" applyFont="1" applyFill="1" applyBorder="1"/>
    <xf numFmtId="0" fontId="51" fillId="0" borderId="1" xfId="17" applyFont="1" applyBorder="1"/>
    <xf numFmtId="165" fontId="61" fillId="0" borderId="1" xfId="0" applyNumberFormat="1" applyFont="1" applyBorder="1"/>
    <xf numFmtId="0" fontId="98" fillId="19" borderId="1" xfId="11" applyFont="1" applyFill="1" applyBorder="1" applyAlignment="1" applyProtection="1">
      <alignment horizontal="left" vertical="center" wrapText="1"/>
      <protection hidden="1"/>
    </xf>
    <xf numFmtId="2" fontId="98" fillId="19" borderId="41" xfId="17" applyNumberFormat="1" applyFont="1" applyFill="1" applyBorder="1" applyAlignment="1">
      <alignment vertical="top"/>
    </xf>
    <xf numFmtId="2" fontId="98" fillId="19" borderId="41" xfId="0" applyNumberFormat="1" applyFont="1" applyFill="1" applyBorder="1" applyAlignment="1">
      <alignment horizontal="left" vertical="top" wrapText="1"/>
    </xf>
    <xf numFmtId="0" fontId="51" fillId="3" borderId="41" xfId="0" applyFont="1" applyFill="1" applyBorder="1"/>
    <xf numFmtId="2" fontId="58" fillId="19" borderId="41" xfId="48" applyNumberFormat="1" applyFont="1" applyFill="1" applyBorder="1" applyAlignment="1" applyProtection="1">
      <alignment horizontal="left" vertical="center"/>
      <protection hidden="1"/>
    </xf>
    <xf numFmtId="2" fontId="51" fillId="0" borderId="41" xfId="209" applyNumberFormat="1" applyFont="1" applyBorder="1" applyProtection="1">
      <protection hidden="1"/>
    </xf>
    <xf numFmtId="0" fontId="51" fillId="0" borderId="41" xfId="209" applyFont="1" applyBorder="1" applyAlignment="1" applyProtection="1">
      <alignment vertical="center"/>
      <protection hidden="1"/>
    </xf>
    <xf numFmtId="0" fontId="54" fillId="0" borderId="41" xfId="48" applyFont="1" applyBorder="1" applyAlignment="1" applyProtection="1">
      <alignment vertical="center"/>
      <protection hidden="1"/>
    </xf>
    <xf numFmtId="0" fontId="58" fillId="19" borderId="41" xfId="48" applyFont="1" applyFill="1" applyBorder="1" applyAlignment="1" applyProtection="1">
      <alignment horizontal="left" vertical="center"/>
      <protection hidden="1"/>
    </xf>
    <xf numFmtId="2" fontId="80" fillId="19" borderId="41" xfId="48" applyNumberFormat="1" applyFont="1" applyFill="1" applyBorder="1" applyAlignment="1" applyProtection="1">
      <alignment horizontal="left" vertical="center" wrapText="1"/>
      <protection hidden="1"/>
    </xf>
    <xf numFmtId="2" fontId="51" fillId="0" borderId="41" xfId="48" applyNumberFormat="1" applyFont="1" applyBorder="1" applyProtection="1">
      <protection hidden="1"/>
    </xf>
    <xf numFmtId="0" fontId="54" fillId="0" borderId="41" xfId="48" applyFont="1" applyBorder="1" applyProtection="1">
      <protection hidden="1"/>
    </xf>
    <xf numFmtId="0" fontId="51" fillId="0" borderId="41" xfId="48" applyFont="1" applyBorder="1" applyProtection="1">
      <protection hidden="1"/>
    </xf>
    <xf numFmtId="0" fontId="68" fillId="0" borderId="41" xfId="48" applyFont="1" applyBorder="1" applyProtection="1">
      <protection hidden="1"/>
    </xf>
    <xf numFmtId="0" fontId="50" fillId="0" borderId="41" xfId="48" applyFont="1" applyBorder="1" applyProtection="1">
      <protection hidden="1"/>
    </xf>
    <xf numFmtId="0" fontId="51" fillId="18" borderId="41" xfId="48" applyFont="1" applyFill="1" applyBorder="1" applyProtection="1">
      <protection hidden="1"/>
    </xf>
    <xf numFmtId="0" fontId="104" fillId="0" borderId="42" xfId="25" applyFont="1" applyBorder="1" applyAlignment="1">
      <alignment horizontal="left"/>
    </xf>
    <xf numFmtId="49" fontId="104" fillId="3" borderId="42" xfId="25" applyNumberFormat="1" applyFont="1" applyFill="1" applyBorder="1"/>
    <xf numFmtId="0" fontId="104" fillId="0" borderId="42" xfId="25" applyFont="1" applyBorder="1" applyAlignment="1">
      <alignment horizontal="center"/>
    </xf>
    <xf numFmtId="49" fontId="104" fillId="0" borderId="42" xfId="25" applyNumberFormat="1" applyFont="1" applyBorder="1"/>
    <xf numFmtId="0" fontId="104" fillId="0" borderId="42" xfId="25" applyFont="1" applyBorder="1"/>
    <xf numFmtId="41" fontId="41" fillId="0" borderId="19" xfId="0" applyNumberFormat="1" applyFont="1" applyBorder="1"/>
    <xf numFmtId="0" fontId="51" fillId="0" borderId="19" xfId="0" applyFont="1" applyBorder="1"/>
    <xf numFmtId="43" fontId="41" fillId="0" borderId="19" xfId="0" applyNumberFormat="1" applyFont="1" applyBorder="1"/>
    <xf numFmtId="44" fontId="41" fillId="0" borderId="19" xfId="0" applyNumberFormat="1" applyFont="1" applyBorder="1"/>
    <xf numFmtId="43" fontId="41" fillId="23" borderId="19" xfId="0" applyNumberFormat="1" applyFont="1" applyFill="1" applyBorder="1"/>
    <xf numFmtId="1" fontId="41" fillId="0" borderId="19" xfId="0" applyNumberFormat="1" applyFont="1" applyBorder="1" applyAlignment="1">
      <alignment horizontal="center"/>
    </xf>
    <xf numFmtId="1" fontId="53" fillId="0" borderId="0" xfId="12" applyNumberFormat="1" applyFont="1" applyAlignment="1">
      <alignment horizontal="left"/>
    </xf>
    <xf numFmtId="1" fontId="53" fillId="0" borderId="0" xfId="38" applyNumberFormat="1" applyFont="1" applyAlignment="1">
      <alignment horizontal="left"/>
    </xf>
    <xf numFmtId="1" fontId="53" fillId="0" borderId="0" xfId="12" applyNumberFormat="1" applyFont="1" applyAlignment="1">
      <alignment horizontal="left" vertical="top"/>
    </xf>
    <xf numFmtId="0" fontId="53" fillId="0" borderId="0" xfId="12" applyFont="1" applyAlignment="1">
      <alignment horizontal="left"/>
    </xf>
    <xf numFmtId="0" fontId="41" fillId="0" borderId="1" xfId="0" applyFont="1" applyBorder="1" applyAlignment="1">
      <alignment horizontal="center"/>
    </xf>
    <xf numFmtId="0" fontId="51" fillId="0" borderId="0" xfId="205" applyFont="1"/>
    <xf numFmtId="0" fontId="98" fillId="19" borderId="0" xfId="11" applyFont="1" applyFill="1" applyAlignment="1" applyProtection="1">
      <alignment horizontal="right"/>
      <protection hidden="1"/>
    </xf>
    <xf numFmtId="0" fontId="115" fillId="0" borderId="40" xfId="7" applyNumberFormat="1" applyFont="1" applyFill="1" applyBorder="1" applyAlignment="1" applyProtection="1">
      <alignment horizontal="center"/>
      <protection hidden="1"/>
    </xf>
    <xf numFmtId="0" fontId="118" fillId="0" borderId="1" xfId="193" applyFont="1" applyBorder="1"/>
    <xf numFmtId="0" fontId="118" fillId="0" borderId="1" xfId="193" applyFont="1" applyBorder="1" applyAlignment="1">
      <alignment horizontal="center"/>
    </xf>
    <xf numFmtId="180" fontId="119" fillId="23" borderId="1" xfId="39" applyNumberFormat="1" applyFont="1" applyFill="1" applyBorder="1" applyAlignment="1" applyProtection="1">
      <alignment horizontal="right" vertical="center"/>
      <protection hidden="1"/>
    </xf>
    <xf numFmtId="0" fontId="103" fillId="0" borderId="1" xfId="33" applyFont="1" applyBorder="1" applyAlignment="1">
      <alignment horizontal="right"/>
    </xf>
    <xf numFmtId="1" fontId="120" fillId="0" borderId="0" xfId="12" applyNumberFormat="1" applyFont="1" applyAlignment="1">
      <alignment horizontal="left" vertical="top"/>
    </xf>
    <xf numFmtId="0" fontId="64" fillId="0" borderId="0" xfId="36" applyFont="1"/>
    <xf numFmtId="0" fontId="41" fillId="0" borderId="19" xfId="0" applyFont="1" applyBorder="1" applyAlignment="1">
      <alignment horizontal="center"/>
    </xf>
    <xf numFmtId="2" fontId="101" fillId="0" borderId="0" xfId="49" applyNumberFormat="1" applyFont="1"/>
    <xf numFmtId="2" fontId="101" fillId="3" borderId="0" xfId="49" applyNumberFormat="1" applyFont="1" applyFill="1"/>
    <xf numFmtId="174" fontId="41" fillId="3" borderId="0" xfId="35" applyNumberFormat="1" applyFont="1" applyFill="1" applyBorder="1" applyAlignment="1">
      <alignment horizontal="left"/>
    </xf>
    <xf numFmtId="168" fontId="103" fillId="0" borderId="0" xfId="33" applyNumberFormat="1" applyFont="1"/>
    <xf numFmtId="49" fontId="55" fillId="0" borderId="0" xfId="215" applyNumberFormat="1" applyFont="1"/>
    <xf numFmtId="2" fontId="53" fillId="3" borderId="0" xfId="215" applyNumberFormat="1" applyFont="1" applyFill="1"/>
    <xf numFmtId="0" fontId="51" fillId="3" borderId="41" xfId="12" applyFont="1" applyFill="1" applyBorder="1" applyAlignment="1">
      <alignment horizontal="left"/>
    </xf>
    <xf numFmtId="0" fontId="51" fillId="0" borderId="0" xfId="17" applyFont="1" applyAlignment="1">
      <alignment vertical="center"/>
    </xf>
    <xf numFmtId="0" fontId="51" fillId="0" borderId="45" xfId="17" applyFont="1" applyBorder="1"/>
    <xf numFmtId="0" fontId="104" fillId="0" borderId="1" xfId="25" applyFont="1" applyBorder="1"/>
    <xf numFmtId="0" fontId="114" fillId="0" borderId="1" xfId="25" applyFont="1" applyBorder="1" applyAlignment="1">
      <alignment horizontal="center"/>
    </xf>
    <xf numFmtId="0" fontId="103" fillId="0" borderId="1" xfId="193" applyFont="1" applyBorder="1" applyAlignment="1">
      <alignment horizontal="center"/>
    </xf>
    <xf numFmtId="180" fontId="104" fillId="19" borderId="1" xfId="7" applyNumberFormat="1" applyFont="1" applyFill="1" applyBorder="1" applyProtection="1"/>
    <xf numFmtId="180" fontId="104" fillId="19" borderId="0" xfId="25" applyNumberFormat="1" applyFont="1" applyFill="1"/>
    <xf numFmtId="193" fontId="104" fillId="19" borderId="6" xfId="25" applyNumberFormat="1" applyFont="1" applyFill="1" applyBorder="1"/>
    <xf numFmtId="0" fontId="104" fillId="19" borderId="42" xfId="25" applyFont="1" applyFill="1" applyBorder="1"/>
    <xf numFmtId="49" fontId="104" fillId="19" borderId="42" xfId="25" applyNumberFormat="1" applyFont="1" applyFill="1" applyBorder="1"/>
    <xf numFmtId="0" fontId="104" fillId="19" borderId="42" xfId="25" applyFont="1" applyFill="1" applyBorder="1" applyAlignment="1">
      <alignment horizontal="left"/>
    </xf>
    <xf numFmtId="44" fontId="113" fillId="23" borderId="1" xfId="98" applyFont="1" applyFill="1" applyBorder="1" applyAlignment="1">
      <alignment horizontal="center"/>
    </xf>
    <xf numFmtId="49" fontId="104" fillId="3" borderId="1" xfId="7" applyNumberFormat="1" applyFont="1" applyFill="1" applyBorder="1" applyAlignment="1">
      <alignment horizontal="center"/>
    </xf>
    <xf numFmtId="178" fontId="113" fillId="0" borderId="6" xfId="25" applyNumberFormat="1" applyFont="1" applyBorder="1"/>
    <xf numFmtId="166" fontId="113" fillId="23" borderId="48" xfId="7" applyFont="1" applyFill="1" applyBorder="1"/>
    <xf numFmtId="180" fontId="113" fillId="0" borderId="49" xfId="7" applyNumberFormat="1" applyFont="1" applyFill="1" applyBorder="1" applyProtection="1"/>
    <xf numFmtId="193" fontId="113" fillId="3" borderId="0" xfId="25" applyNumberFormat="1" applyFont="1" applyFill="1"/>
    <xf numFmtId="193" fontId="113" fillId="3" borderId="50" xfId="25" applyNumberFormat="1" applyFont="1" applyFill="1" applyBorder="1"/>
    <xf numFmtId="193" fontId="113" fillId="0" borderId="50" xfId="25" applyNumberFormat="1" applyFont="1" applyBorder="1"/>
    <xf numFmtId="49" fontId="41" fillId="3" borderId="1" xfId="0" applyNumberFormat="1" applyFont="1" applyFill="1" applyBorder="1" applyAlignment="1">
      <alignment horizontal="left"/>
    </xf>
    <xf numFmtId="44" fontId="61" fillId="0" borderId="0" xfId="12" applyNumberFormat="1" applyFont="1"/>
    <xf numFmtId="0" fontId="103" fillId="0" borderId="52" xfId="33" applyFont="1" applyBorder="1"/>
    <xf numFmtId="0" fontId="54" fillId="0" borderId="51" xfId="0" applyFont="1" applyBorder="1"/>
    <xf numFmtId="44" fontId="61" fillId="0" borderId="52" xfId="0" applyNumberFormat="1" applyFont="1" applyBorder="1"/>
    <xf numFmtId="49" fontId="54" fillId="3" borderId="0" xfId="12" applyNumberFormat="1" applyFont="1" applyFill="1"/>
    <xf numFmtId="0" fontId="51" fillId="3" borderId="0" xfId="12" applyFont="1" applyFill="1"/>
    <xf numFmtId="0" fontId="78" fillId="3" borderId="0" xfId="12" applyFont="1" applyFill="1"/>
    <xf numFmtId="1" fontId="61" fillId="0" borderId="1" xfId="48" applyNumberFormat="1" applyFont="1" applyBorder="1" applyAlignment="1" applyProtection="1">
      <alignment horizontal="center"/>
      <protection hidden="1"/>
    </xf>
    <xf numFmtId="9" fontId="63" fillId="18" borderId="1" xfId="14" applyFont="1" applyFill="1" applyBorder="1" applyAlignment="1" applyProtection="1">
      <alignment horizontal="center"/>
      <protection hidden="1"/>
    </xf>
    <xf numFmtId="0" fontId="54" fillId="0" borderId="1" xfId="0" applyFont="1" applyBorder="1"/>
    <xf numFmtId="9" fontId="61" fillId="0" borderId="1" xfId="0" applyNumberFormat="1" applyFont="1" applyBorder="1" applyAlignment="1">
      <alignment horizontal="center"/>
    </xf>
    <xf numFmtId="165" fontId="41" fillId="0" borderId="41" xfId="29" applyFont="1" applyFill="1" applyBorder="1" applyAlignment="1" applyProtection="1">
      <protection hidden="1"/>
    </xf>
    <xf numFmtId="165" fontId="41" fillId="0" borderId="1" xfId="29" applyFont="1" applyFill="1" applyBorder="1" applyAlignment="1" applyProtection="1">
      <protection hidden="1"/>
    </xf>
    <xf numFmtId="165" fontId="61" fillId="0" borderId="1" xfId="29" applyFont="1" applyBorder="1"/>
    <xf numFmtId="0" fontId="54" fillId="0" borderId="52" xfId="0" applyFont="1" applyBorder="1"/>
    <xf numFmtId="0" fontId="51" fillId="3" borderId="41" xfId="48" applyFont="1" applyFill="1" applyBorder="1" applyProtection="1">
      <protection hidden="1"/>
    </xf>
    <xf numFmtId="2" fontId="76" fillId="3" borderId="0" xfId="48" applyNumberFormat="1" applyFont="1" applyFill="1" applyAlignment="1" applyProtection="1">
      <alignment horizontal="center"/>
      <protection hidden="1"/>
    </xf>
    <xf numFmtId="192" fontId="83" fillId="3" borderId="39" xfId="0" applyNumberFormat="1" applyFont="1" applyFill="1" applyBorder="1" applyAlignment="1">
      <alignment horizontal="center" vertical="center"/>
    </xf>
    <xf numFmtId="0" fontId="51" fillId="0" borderId="53" xfId="12" applyFont="1" applyBorder="1"/>
    <xf numFmtId="0" fontId="51" fillId="0" borderId="39" xfId="12" applyFont="1" applyBorder="1"/>
    <xf numFmtId="0" fontId="54" fillId="0" borderId="53" xfId="12" applyFont="1" applyBorder="1"/>
    <xf numFmtId="0" fontId="54" fillId="0" borderId="39" xfId="12" applyFont="1" applyBorder="1"/>
    <xf numFmtId="44" fontId="41" fillId="0" borderId="0" xfId="98" applyFont="1" applyBorder="1"/>
    <xf numFmtId="10" fontId="41" fillId="0" borderId="0" xfId="212" applyNumberFormat="1" applyFont="1" applyBorder="1" applyAlignment="1">
      <alignment horizontal="center"/>
    </xf>
    <xf numFmtId="44" fontId="41" fillId="0" borderId="39" xfId="12" applyNumberFormat="1" applyFont="1" applyBorder="1"/>
    <xf numFmtId="44" fontId="41" fillId="0" borderId="7" xfId="12" applyNumberFormat="1" applyFont="1" applyBorder="1"/>
    <xf numFmtId="0" fontId="51" fillId="0" borderId="36" xfId="12" applyFont="1" applyBorder="1"/>
    <xf numFmtId="0" fontId="51" fillId="0" borderId="2" xfId="12" applyFont="1" applyBorder="1"/>
    <xf numFmtId="0" fontId="51" fillId="0" borderId="7" xfId="12" applyFont="1" applyBorder="1"/>
    <xf numFmtId="0" fontId="64" fillId="0" borderId="0" xfId="12" applyFont="1"/>
    <xf numFmtId="44" fontId="122" fillId="0" borderId="0" xfId="12" applyNumberFormat="1" applyFont="1"/>
    <xf numFmtId="10" fontId="121" fillId="0" borderId="0" xfId="212" applyNumberFormat="1" applyFont="1" applyBorder="1" applyAlignment="1">
      <alignment horizontal="center"/>
    </xf>
    <xf numFmtId="44" fontId="121" fillId="0" borderId="39" xfId="12" applyNumberFormat="1" applyFont="1" applyBorder="1"/>
    <xf numFmtId="0" fontId="100" fillId="0" borderId="53" xfId="12" applyFont="1" applyBorder="1"/>
    <xf numFmtId="2" fontId="51" fillId="0" borderId="54" xfId="12" applyNumberFormat="1" applyFont="1" applyBorder="1"/>
    <xf numFmtId="0" fontId="51" fillId="0" borderId="54" xfId="12" applyFont="1" applyBorder="1"/>
    <xf numFmtId="174" fontId="41" fillId="3" borderId="54" xfId="35" applyNumberFormat="1" applyFont="1" applyFill="1" applyBorder="1" applyAlignment="1">
      <alignment horizontal="left"/>
    </xf>
    <xf numFmtId="0" fontId="51" fillId="0" borderId="55" xfId="193" applyFont="1" applyBorder="1" applyAlignment="1">
      <alignment horizontal="center"/>
    </xf>
    <xf numFmtId="0" fontId="51" fillId="3" borderId="55" xfId="12" applyFont="1" applyFill="1" applyBorder="1" applyAlignment="1">
      <alignment horizontal="center"/>
    </xf>
    <xf numFmtId="0" fontId="51" fillId="3" borderId="55" xfId="12" applyFont="1" applyFill="1" applyBorder="1"/>
    <xf numFmtId="0" fontId="51" fillId="0" borderId="55" xfId="12" applyFont="1" applyBorder="1" applyAlignment="1">
      <alignment horizontal="center"/>
    </xf>
    <xf numFmtId="0" fontId="51" fillId="0" borderId="55" xfId="12" applyFont="1" applyBorder="1"/>
    <xf numFmtId="0" fontId="51" fillId="23" borderId="52" xfId="0" applyFont="1" applyFill="1" applyBorder="1" applyAlignment="1">
      <alignment horizontal="left"/>
    </xf>
    <xf numFmtId="2" fontId="98" fillId="19" borderId="51" xfId="0" applyNumberFormat="1" applyFont="1" applyFill="1" applyBorder="1" applyAlignment="1">
      <alignment horizontal="left" vertical="top" wrapText="1"/>
    </xf>
    <xf numFmtId="0" fontId="51" fillId="0" borderId="51" xfId="0" applyFont="1" applyBorder="1"/>
    <xf numFmtId="0" fontId="51" fillId="0" borderId="55" xfId="0" applyFont="1" applyBorder="1"/>
    <xf numFmtId="0" fontId="51" fillId="0" borderId="54" xfId="0" applyFont="1" applyBorder="1"/>
    <xf numFmtId="0" fontId="41" fillId="0" borderId="51" xfId="0" applyFont="1" applyBorder="1"/>
    <xf numFmtId="41" fontId="41" fillId="0" borderId="51" xfId="0" applyNumberFormat="1" applyFont="1" applyBorder="1"/>
    <xf numFmtId="43" fontId="41" fillId="0" borderId="51" xfId="0" applyNumberFormat="1" applyFont="1" applyBorder="1"/>
    <xf numFmtId="44" fontId="41" fillId="0" borderId="52" xfId="0" applyNumberFormat="1" applyFont="1" applyBorder="1"/>
    <xf numFmtId="0" fontId="103" fillId="0" borderId="52" xfId="33" applyFont="1" applyBorder="1" applyAlignment="1">
      <alignment vertical="center"/>
    </xf>
    <xf numFmtId="0" fontId="41" fillId="23" borderId="52" xfId="37" applyFont="1" applyFill="1" applyBorder="1" applyAlignment="1">
      <alignment horizontal="right" vertical="center"/>
    </xf>
    <xf numFmtId="0" fontId="41" fillId="0" borderId="52" xfId="0" applyFont="1" applyBorder="1"/>
    <xf numFmtId="2" fontId="60" fillId="19" borderId="51" xfId="209" applyNumberFormat="1" applyFont="1" applyFill="1" applyBorder="1" applyProtection="1">
      <protection hidden="1"/>
    </xf>
    <xf numFmtId="2" fontId="60" fillId="19" borderId="52" xfId="209" applyNumberFormat="1" applyFont="1" applyFill="1" applyBorder="1" applyProtection="1">
      <protection hidden="1"/>
    </xf>
    <xf numFmtId="0" fontId="51" fillId="0" borderId="52" xfId="0" applyFont="1" applyBorder="1"/>
    <xf numFmtId="2" fontId="51" fillId="0" borderId="52" xfId="209" applyNumberFormat="1" applyFont="1" applyBorder="1" applyProtection="1">
      <protection hidden="1"/>
    </xf>
    <xf numFmtId="0" fontId="51" fillId="0" borderId="52" xfId="0" applyFont="1" applyBorder="1" applyAlignment="1">
      <alignment horizontal="left"/>
    </xf>
    <xf numFmtId="10" fontId="61" fillId="0" borderId="52" xfId="0" applyNumberFormat="1" applyFont="1" applyBorder="1"/>
    <xf numFmtId="0" fontId="64" fillId="0" borderId="52" xfId="0" applyFont="1" applyBorder="1"/>
    <xf numFmtId="0" fontId="65" fillId="19" borderId="51" xfId="48" applyFont="1" applyFill="1" applyBorder="1" applyAlignment="1" applyProtection="1">
      <alignment horizontal="left" vertical="center"/>
      <protection hidden="1"/>
    </xf>
    <xf numFmtId="9" fontId="66" fillId="19" borderId="52" xfId="48" applyNumberFormat="1" applyFont="1" applyFill="1" applyBorder="1" applyAlignment="1" applyProtection="1">
      <alignment vertical="center"/>
      <protection hidden="1"/>
    </xf>
    <xf numFmtId="2" fontId="80" fillId="19" borderId="51" xfId="48" applyNumberFormat="1" applyFont="1" applyFill="1" applyBorder="1" applyAlignment="1" applyProtection="1">
      <alignment horizontal="center" wrapText="1"/>
      <protection hidden="1"/>
    </xf>
    <xf numFmtId="2" fontId="80" fillId="19" borderId="52" xfId="48" applyNumberFormat="1" applyFont="1" applyFill="1" applyBorder="1" applyAlignment="1" applyProtection="1">
      <alignment horizontal="right" wrapText="1"/>
      <protection hidden="1"/>
    </xf>
    <xf numFmtId="2" fontId="82" fillId="0" borderId="51" xfId="210" applyNumberFormat="1" applyFont="1" applyFill="1" applyBorder="1" applyAlignment="1" applyProtection="1">
      <alignment horizontal="center" vertical="center"/>
      <protection hidden="1"/>
    </xf>
    <xf numFmtId="2" fontId="82" fillId="0" borderId="52" xfId="210" applyNumberFormat="1" applyFont="1" applyFill="1" applyBorder="1" applyAlignment="1" applyProtection="1">
      <alignment horizontal="right" vertical="center"/>
      <protection hidden="1"/>
    </xf>
    <xf numFmtId="192" fontId="83" fillId="0" borderId="56" xfId="0" applyNumberFormat="1" applyFont="1" applyBorder="1" applyAlignment="1">
      <alignment horizontal="center" vertical="center"/>
    </xf>
    <xf numFmtId="192" fontId="83" fillId="0" borderId="54" xfId="0" applyNumberFormat="1" applyFont="1" applyBorder="1" applyAlignment="1">
      <alignment horizontal="center" vertical="center"/>
    </xf>
    <xf numFmtId="2" fontId="84" fillId="0" borderId="51" xfId="210" applyNumberFormat="1" applyFont="1" applyFill="1" applyBorder="1" applyAlignment="1" applyProtection="1">
      <alignment horizontal="left" vertical="center"/>
      <protection hidden="1"/>
    </xf>
    <xf numFmtId="2" fontId="73" fillId="0" borderId="52" xfId="210" applyNumberFormat="1" applyFont="1" applyFill="1" applyBorder="1" applyAlignment="1" applyProtection="1">
      <alignment horizontal="right" vertical="center"/>
      <protection hidden="1"/>
    </xf>
    <xf numFmtId="10" fontId="85" fillId="0" borderId="52" xfId="14" applyNumberFormat="1" applyFont="1" applyFill="1" applyBorder="1" applyAlignment="1" applyProtection="1">
      <alignment horizontal="right"/>
      <protection hidden="1"/>
    </xf>
    <xf numFmtId="2" fontId="84" fillId="3" borderId="51" xfId="210" applyNumberFormat="1" applyFont="1" applyFill="1" applyBorder="1" applyAlignment="1" applyProtection="1">
      <alignment horizontal="left" vertical="center"/>
      <protection hidden="1"/>
    </xf>
    <xf numFmtId="0" fontId="86" fillId="3" borderId="52" xfId="48" applyFont="1" applyFill="1" applyBorder="1" applyAlignment="1" applyProtection="1">
      <alignment horizontal="right"/>
      <protection hidden="1"/>
    </xf>
    <xf numFmtId="0" fontId="87" fillId="0" borderId="51" xfId="48" applyFont="1" applyBorder="1" applyProtection="1">
      <protection hidden="1"/>
    </xf>
    <xf numFmtId="0" fontId="87" fillId="0" borderId="52" xfId="48" applyFont="1" applyBorder="1" applyAlignment="1" applyProtection="1">
      <alignment horizontal="right"/>
      <protection hidden="1"/>
    </xf>
    <xf numFmtId="0" fontId="85" fillId="0" borderId="51" xfId="48" applyFont="1" applyBorder="1" applyAlignment="1" applyProtection="1">
      <alignment horizontal="right"/>
      <protection hidden="1"/>
    </xf>
    <xf numFmtId="0" fontId="85" fillId="0" borderId="52" xfId="48" applyFont="1" applyBorder="1" applyAlignment="1" applyProtection="1">
      <alignment horizontal="right"/>
      <protection hidden="1"/>
    </xf>
    <xf numFmtId="0" fontId="86" fillId="0" borderId="51" xfId="48" applyFont="1" applyBorder="1" applyAlignment="1" applyProtection="1">
      <alignment horizontal="center"/>
      <protection hidden="1"/>
    </xf>
    <xf numFmtId="0" fontId="86" fillId="0" borderId="52" xfId="48" applyFont="1" applyBorder="1" applyAlignment="1" applyProtection="1">
      <alignment horizontal="right"/>
      <protection hidden="1"/>
    </xf>
    <xf numFmtId="10" fontId="85" fillId="0" borderId="51" xfId="48" applyNumberFormat="1" applyFont="1" applyBorder="1" applyAlignment="1" applyProtection="1">
      <alignment horizontal="right"/>
      <protection hidden="1"/>
    </xf>
    <xf numFmtId="192" fontId="86" fillId="0" borderId="52" xfId="14" applyNumberFormat="1" applyFont="1" applyFill="1" applyBorder="1" applyAlignment="1" applyProtection="1">
      <alignment horizontal="right"/>
      <protection hidden="1"/>
    </xf>
    <xf numFmtId="0" fontId="93" fillId="0" borderId="51" xfId="48" applyFont="1" applyBorder="1" applyAlignment="1" applyProtection="1">
      <alignment horizontal="center"/>
      <protection hidden="1"/>
    </xf>
    <xf numFmtId="191" fontId="86" fillId="0" borderId="51" xfId="48" applyNumberFormat="1" applyFont="1" applyBorder="1" applyAlignment="1" applyProtection="1">
      <alignment horizontal="center"/>
      <protection hidden="1"/>
    </xf>
    <xf numFmtId="167" fontId="86" fillId="0" borderId="51" xfId="48" applyNumberFormat="1" applyFont="1" applyBorder="1" applyAlignment="1" applyProtection="1">
      <alignment horizontal="center"/>
      <protection hidden="1"/>
    </xf>
    <xf numFmtId="0" fontId="86" fillId="18" borderId="51" xfId="48" applyFont="1" applyFill="1" applyBorder="1" applyAlignment="1" applyProtection="1">
      <alignment horizontal="center"/>
      <protection hidden="1"/>
    </xf>
    <xf numFmtId="0" fontId="86" fillId="18" borderId="52" xfId="48" applyFont="1" applyFill="1" applyBorder="1" applyAlignment="1" applyProtection="1">
      <alignment horizontal="right"/>
      <protection hidden="1"/>
    </xf>
    <xf numFmtId="166" fontId="86" fillId="0" borderId="52" xfId="7" applyFont="1" applyFill="1" applyBorder="1" applyAlignment="1" applyProtection="1">
      <alignment horizontal="right"/>
      <protection hidden="1"/>
    </xf>
    <xf numFmtId="10" fontId="86" fillId="0" borderId="52" xfId="14" applyNumberFormat="1" applyFont="1" applyFill="1" applyBorder="1" applyAlignment="1" applyProtection="1">
      <alignment horizontal="right"/>
      <protection hidden="1"/>
    </xf>
    <xf numFmtId="10" fontId="86" fillId="18" borderId="52" xfId="14" applyNumberFormat="1" applyFont="1" applyFill="1" applyBorder="1" applyAlignment="1" applyProtection="1">
      <alignment horizontal="right"/>
      <protection hidden="1"/>
    </xf>
    <xf numFmtId="0" fontId="86" fillId="0" borderId="51" xfId="48" applyFont="1" applyBorder="1" applyProtection="1">
      <protection hidden="1"/>
    </xf>
    <xf numFmtId="191" fontId="87" fillId="0" borderId="51" xfId="48" applyNumberFormat="1" applyFont="1" applyBorder="1" applyProtection="1">
      <protection hidden="1"/>
    </xf>
    <xf numFmtId="191" fontId="86" fillId="0" borderId="52" xfId="48" applyNumberFormat="1" applyFont="1" applyBorder="1" applyAlignment="1" applyProtection="1">
      <alignment horizontal="right"/>
      <protection hidden="1"/>
    </xf>
    <xf numFmtId="0" fontId="87" fillId="0" borderId="56" xfId="0" applyFont="1" applyBorder="1" applyAlignment="1">
      <alignment horizontal="right"/>
    </xf>
    <xf numFmtId="0" fontId="51" fillId="0" borderId="1" xfId="0" quotePrefix="1" applyFont="1" applyBorder="1"/>
    <xf numFmtId="44" fontId="41" fillId="0" borderId="0" xfId="34" applyFont="1"/>
    <xf numFmtId="44" fontId="41" fillId="0" borderId="0" xfId="34" applyFont="1" applyBorder="1"/>
    <xf numFmtId="168" fontId="61" fillId="3" borderId="37" xfId="7" applyNumberFormat="1" applyFont="1" applyFill="1" applyBorder="1"/>
    <xf numFmtId="44" fontId="61" fillId="3" borderId="5" xfId="0" applyNumberFormat="1" applyFont="1" applyFill="1" applyBorder="1"/>
    <xf numFmtId="44" fontId="61" fillId="0" borderId="5" xfId="0" applyNumberFormat="1" applyFont="1" applyBorder="1"/>
    <xf numFmtId="0" fontId="41" fillId="3" borderId="55" xfId="0" applyFont="1" applyFill="1" applyBorder="1" applyAlignment="1">
      <alignment horizontal="center" vertical="top"/>
    </xf>
    <xf numFmtId="43" fontId="63" fillId="23" borderId="49" xfId="51" applyFont="1" applyFill="1" applyBorder="1" applyAlignment="1" applyProtection="1">
      <alignment horizontal="right" vertical="center"/>
      <protection hidden="1"/>
    </xf>
    <xf numFmtId="0" fontId="41" fillId="0" borderId="57" xfId="17" applyFont="1" applyBorder="1"/>
    <xf numFmtId="180" fontId="63" fillId="23" borderId="49" xfId="48" applyNumberFormat="1" applyFont="1" applyFill="1" applyBorder="1" applyAlignment="1" applyProtection="1">
      <alignment horizontal="right" vertical="center"/>
      <protection hidden="1"/>
    </xf>
    <xf numFmtId="0" fontId="51" fillId="3" borderId="0" xfId="0" applyFont="1" applyFill="1"/>
    <xf numFmtId="176" fontId="41" fillId="23" borderId="1" xfId="17" applyNumberFormat="1" applyFont="1" applyFill="1" applyBorder="1" applyAlignment="1" applyProtection="1">
      <alignment vertical="center"/>
      <protection hidden="1"/>
    </xf>
    <xf numFmtId="0" fontId="100" fillId="23" borderId="1" xfId="36" applyFont="1" applyFill="1" applyBorder="1"/>
    <xf numFmtId="1" fontId="51" fillId="0" borderId="49" xfId="0" applyNumberFormat="1" applyFont="1" applyBorder="1" applyAlignment="1">
      <alignment horizontal="center"/>
    </xf>
    <xf numFmtId="0" fontId="51" fillId="3" borderId="48" xfId="12" applyFont="1" applyFill="1" applyBorder="1" applyAlignment="1">
      <alignment horizontal="left"/>
    </xf>
    <xf numFmtId="181" fontId="41" fillId="0" borderId="49" xfId="12" applyNumberFormat="1" applyFont="1" applyBorder="1" applyAlignment="1">
      <alignment horizontal="center"/>
    </xf>
    <xf numFmtId="166" fontId="41" fillId="23" borderId="49" xfId="12" applyNumberFormat="1" applyFont="1" applyFill="1" applyBorder="1"/>
    <xf numFmtId="165" fontId="41" fillId="0" borderId="49" xfId="29" applyFont="1" applyFill="1" applyBorder="1" applyAlignment="1"/>
    <xf numFmtId="0" fontId="41" fillId="0" borderId="49" xfId="0" applyFont="1" applyBorder="1" applyAlignment="1">
      <alignment horizontal="center"/>
    </xf>
    <xf numFmtId="0" fontId="51" fillId="3" borderId="49" xfId="0" applyFont="1" applyFill="1" applyBorder="1" applyAlignment="1">
      <alignment horizontal="left"/>
    </xf>
    <xf numFmtId="0" fontId="51" fillId="0" borderId="48" xfId="12" applyFont="1" applyBorder="1"/>
    <xf numFmtId="181" fontId="41" fillId="3" borderId="49" xfId="12" applyNumberFormat="1" applyFont="1" applyFill="1" applyBorder="1" applyAlignment="1">
      <alignment horizontal="center"/>
    </xf>
    <xf numFmtId="43" fontId="41" fillId="0" borderId="49" xfId="29" applyNumberFormat="1" applyFont="1" applyFill="1" applyBorder="1" applyAlignment="1"/>
    <xf numFmtId="169" fontId="51" fillId="0" borderId="49" xfId="0" applyNumberFormat="1" applyFont="1" applyBorder="1" applyAlignment="1">
      <alignment horizontal="left"/>
    </xf>
    <xf numFmtId="49" fontId="51" fillId="0" borderId="49" xfId="0" applyNumberFormat="1" applyFont="1" applyBorder="1" applyAlignment="1">
      <alignment horizontal="left" vertical="top"/>
    </xf>
    <xf numFmtId="0" fontId="51" fillId="0" borderId="49" xfId="0" applyFont="1" applyBorder="1"/>
    <xf numFmtId="49" fontId="51" fillId="0" borderId="49" xfId="0" applyNumberFormat="1" applyFont="1" applyBorder="1" applyAlignment="1">
      <alignment horizontal="left"/>
    </xf>
    <xf numFmtId="168" fontId="41" fillId="0" borderId="49" xfId="7" applyNumberFormat="1" applyFont="1" applyFill="1" applyBorder="1" applyAlignment="1">
      <alignment horizontal="right"/>
    </xf>
    <xf numFmtId="1" fontId="41" fillId="0" borderId="49" xfId="7" applyNumberFormat="1" applyFont="1" applyFill="1" applyBorder="1" applyAlignment="1"/>
    <xf numFmtId="1" fontId="41" fillId="0" borderId="49" xfId="0" applyNumberFormat="1" applyFont="1" applyBorder="1"/>
    <xf numFmtId="2" fontId="51" fillId="0" borderId="49" xfId="0" applyNumberFormat="1" applyFont="1" applyBorder="1" applyAlignment="1">
      <alignment horizontal="left"/>
    </xf>
    <xf numFmtId="49" fontId="98" fillId="19" borderId="55" xfId="38" applyNumberFormat="1" applyFont="1" applyFill="1" applyBorder="1" applyAlignment="1">
      <alignment horizontal="left" vertical="top" wrapText="1"/>
    </xf>
    <xf numFmtId="49" fontId="98" fillId="19" borderId="54" xfId="38" applyNumberFormat="1" applyFont="1" applyFill="1" applyBorder="1" applyAlignment="1">
      <alignment horizontal="left" vertical="top" wrapText="1"/>
    </xf>
    <xf numFmtId="49" fontId="98" fillId="19" borderId="56" xfId="38" applyNumberFormat="1" applyFont="1" applyFill="1" applyBorder="1" applyAlignment="1">
      <alignment horizontal="left" vertical="top" wrapText="1"/>
    </xf>
    <xf numFmtId="49" fontId="98" fillId="19" borderId="36" xfId="38" applyNumberFormat="1" applyFont="1" applyFill="1" applyBorder="1" applyAlignment="1">
      <alignment horizontal="left" vertical="top" wrapText="1"/>
    </xf>
    <xf numFmtId="49" fontId="98" fillId="19" borderId="2" xfId="38" applyNumberFormat="1" applyFont="1" applyFill="1" applyBorder="1" applyAlignment="1">
      <alignment horizontal="left" vertical="top" wrapText="1"/>
    </xf>
    <xf numFmtId="49" fontId="98" fillId="19" borderId="7" xfId="38" applyNumberFormat="1" applyFont="1" applyFill="1" applyBorder="1" applyAlignment="1">
      <alignment horizontal="left" vertical="top" wrapText="1"/>
    </xf>
    <xf numFmtId="49" fontId="104" fillId="23" borderId="41" xfId="7" applyNumberFormat="1" applyFont="1" applyFill="1" applyBorder="1" applyAlignment="1">
      <alignment horizontal="left"/>
    </xf>
    <xf numFmtId="49" fontId="104" fillId="23" borderId="52" xfId="7" applyNumberFormat="1" applyFont="1" applyFill="1" applyBorder="1" applyAlignment="1">
      <alignment horizontal="left"/>
    </xf>
    <xf numFmtId="0" fontId="98" fillId="19" borderId="43" xfId="11" applyFont="1" applyFill="1" applyBorder="1" applyAlignment="1" applyProtection="1">
      <alignment horizontal="left" vertical="center" wrapText="1"/>
      <protection hidden="1"/>
    </xf>
    <xf numFmtId="0" fontId="98" fillId="19" borderId="44" xfId="11" applyFont="1" applyFill="1" applyBorder="1" applyAlignment="1" applyProtection="1">
      <alignment horizontal="left" vertical="center" wrapText="1"/>
      <protection hidden="1"/>
    </xf>
    <xf numFmtId="49" fontId="104" fillId="23" borderId="1" xfId="7" applyNumberFormat="1" applyFont="1" applyFill="1" applyBorder="1" applyAlignment="1">
      <alignment horizontal="left"/>
    </xf>
    <xf numFmtId="0" fontId="98" fillId="19" borderId="47" xfId="11" applyFont="1" applyFill="1" applyBorder="1" applyAlignment="1" applyProtection="1">
      <alignment horizontal="left" vertical="center" wrapText="1"/>
      <protection hidden="1"/>
    </xf>
    <xf numFmtId="0" fontId="98" fillId="19" borderId="46" xfId="11" applyFont="1" applyFill="1" applyBorder="1" applyAlignment="1" applyProtection="1">
      <alignment horizontal="left" vertical="center" wrapText="1"/>
      <protection hidden="1"/>
    </xf>
    <xf numFmtId="0" fontId="103" fillId="0" borderId="41" xfId="33" applyFont="1" applyBorder="1" applyAlignment="1">
      <alignment horizontal="left" wrapText="1"/>
    </xf>
    <xf numFmtId="0" fontId="103" fillId="0" borderId="52" xfId="33" applyFont="1" applyBorder="1" applyAlignment="1">
      <alignment horizontal="left" wrapText="1"/>
    </xf>
    <xf numFmtId="49" fontId="67" fillId="19" borderId="41" xfId="38" applyNumberFormat="1" applyFont="1" applyFill="1" applyBorder="1" applyAlignment="1">
      <alignment horizontal="left" vertical="top" wrapText="1"/>
    </xf>
    <xf numFmtId="49" fontId="67" fillId="20" borderId="51" xfId="38" applyNumberFormat="1" applyFont="1" applyFill="1" applyBorder="1" applyAlignment="1">
      <alignment horizontal="left" vertical="top" wrapText="1"/>
    </xf>
    <xf numFmtId="49" fontId="67" fillId="20" borderId="52" xfId="38" applyNumberFormat="1" applyFont="1" applyFill="1" applyBorder="1" applyAlignment="1">
      <alignment horizontal="left" vertical="top" wrapText="1"/>
    </xf>
    <xf numFmtId="0" fontId="51" fillId="0" borderId="41" xfId="0" applyFont="1" applyBorder="1" applyAlignment="1">
      <alignment horizontal="left"/>
    </xf>
    <xf numFmtId="0" fontId="51" fillId="0" borderId="52" xfId="0" applyFont="1" applyBorder="1" applyAlignment="1">
      <alignment horizontal="left"/>
    </xf>
    <xf numFmtId="0" fontId="54" fillId="0" borderId="41" xfId="48" applyFont="1" applyBorder="1" applyAlignment="1" applyProtection="1">
      <alignment horizontal="left" vertical="center"/>
      <protection hidden="1"/>
    </xf>
    <xf numFmtId="0" fontId="54" fillId="0" borderId="52" xfId="48" applyFont="1" applyBorder="1" applyAlignment="1" applyProtection="1">
      <alignment horizontal="left" vertical="center"/>
      <protection hidden="1"/>
    </xf>
    <xf numFmtId="0" fontId="51" fillId="0" borderId="0" xfId="0" applyFont="1" applyAlignment="1">
      <alignment horizontal="left" vertical="top" wrapText="1"/>
    </xf>
    <xf numFmtId="2" fontId="80" fillId="19" borderId="41" xfId="210" applyNumberFormat="1" applyFont="1" applyFill="1" applyBorder="1" applyAlignment="1" applyProtection="1">
      <alignment horizontal="center" vertical="center" wrapText="1"/>
      <protection hidden="1"/>
    </xf>
    <xf numFmtId="0" fontId="67" fillId="20" borderId="52" xfId="0" applyFont="1" applyFill="1" applyBorder="1" applyAlignment="1">
      <alignment horizontal="center" vertical="center" wrapText="1"/>
    </xf>
    <xf numFmtId="2" fontId="80" fillId="19" borderId="41" xfId="48" applyNumberFormat="1" applyFont="1" applyFill="1" applyBorder="1" applyAlignment="1" applyProtection="1">
      <alignment horizontal="center" vertical="center" wrapText="1"/>
      <protection hidden="1"/>
    </xf>
    <xf numFmtId="2" fontId="80" fillId="20" borderId="51" xfId="48" applyNumberFormat="1" applyFont="1" applyFill="1" applyBorder="1" applyAlignment="1" applyProtection="1">
      <alignment horizontal="center" vertical="center" wrapText="1"/>
      <protection hidden="1"/>
    </xf>
    <xf numFmtId="2" fontId="80" fillId="20" borderId="52" xfId="48" applyNumberFormat="1" applyFont="1" applyFill="1" applyBorder="1" applyAlignment="1" applyProtection="1">
      <alignment horizontal="center" vertical="center" wrapText="1"/>
      <protection hidden="1"/>
    </xf>
    <xf numFmtId="2" fontId="80" fillId="19" borderId="1" xfId="48" applyNumberFormat="1" applyFont="1" applyFill="1" applyBorder="1" applyAlignment="1" applyProtection="1">
      <alignment horizontal="center" vertical="center" wrapText="1"/>
      <protection hidden="1"/>
    </xf>
    <xf numFmtId="2" fontId="80" fillId="20" borderId="1" xfId="48" applyNumberFormat="1" applyFont="1" applyFill="1" applyBorder="1" applyAlignment="1" applyProtection="1">
      <alignment horizontal="center" vertical="center" wrapText="1"/>
      <protection hidden="1"/>
    </xf>
    <xf numFmtId="0" fontId="102" fillId="0" borderId="0" xfId="17" applyFont="1" applyAlignment="1">
      <alignment horizontal="left" vertical="top" wrapText="1"/>
    </xf>
    <xf numFmtId="49" fontId="70" fillId="24" borderId="49" xfId="11" applyNumberFormat="1" applyFont="1" applyFill="1" applyBorder="1" applyAlignment="1" applyProtection="1">
      <alignment horizontal="left" vertical="top"/>
      <protection hidden="1"/>
    </xf>
    <xf numFmtId="2" fontId="53" fillId="23" borderId="0" xfId="38" applyNumberFormat="1" applyFont="1" applyFill="1" applyAlignment="1"/>
    <xf numFmtId="0" fontId="51" fillId="23" borderId="0" xfId="22" applyFont="1" applyFill="1" applyAlignment="1"/>
    <xf numFmtId="0" fontId="97" fillId="19" borderId="48" xfId="38" applyFont="1" applyFill="1" applyBorder="1" applyAlignment="1">
      <alignment horizontal="center"/>
    </xf>
    <xf numFmtId="0" fontId="97" fillId="19" borderId="57" xfId="38" applyFont="1" applyFill="1" applyBorder="1" applyAlignment="1">
      <alignment horizontal="center"/>
    </xf>
    <xf numFmtId="0" fontId="97" fillId="19" borderId="58" xfId="38" applyFont="1" applyFill="1" applyBorder="1" applyAlignment="1">
      <alignment horizontal="center"/>
    </xf>
    <xf numFmtId="0" fontId="60" fillId="19" borderId="49" xfId="12" applyFont="1" applyFill="1" applyBorder="1" applyAlignment="1">
      <alignment horizontal="center" vertical="center"/>
    </xf>
    <xf numFmtId="2" fontId="41" fillId="23" borderId="49" xfId="12" applyNumberFormat="1" applyFont="1" applyFill="1" applyBorder="1" applyAlignment="1">
      <alignment horizontal="center" vertical="center"/>
    </xf>
    <xf numFmtId="44" fontId="41" fillId="23" borderId="49" xfId="34" applyFont="1" applyFill="1" applyBorder="1" applyAlignment="1">
      <alignment vertical="center"/>
    </xf>
    <xf numFmtId="49" fontId="54" fillId="0" borderId="48" xfId="12" applyNumberFormat="1" applyFont="1" applyBorder="1"/>
    <xf numFmtId="0" fontId="54" fillId="0" borderId="57" xfId="12" applyFont="1" applyBorder="1"/>
    <xf numFmtId="49" fontId="54" fillId="0" borderId="57" xfId="12" applyNumberFormat="1" applyFont="1" applyBorder="1"/>
    <xf numFmtId="44" fontId="61" fillId="0" borderId="58" xfId="12" applyNumberFormat="1" applyFont="1" applyBorder="1"/>
    <xf numFmtId="180" fontId="41" fillId="23" borderId="49" xfId="14" applyNumberFormat="1" applyFont="1" applyFill="1" applyBorder="1" applyAlignment="1">
      <alignment horizontal="center"/>
    </xf>
    <xf numFmtId="0" fontId="99" fillId="5" borderId="49" xfId="0" applyFont="1" applyFill="1" applyBorder="1" applyAlignment="1">
      <alignment vertical="center" wrapText="1"/>
    </xf>
    <xf numFmtId="14" fontId="99" fillId="23" borderId="48" xfId="0" applyNumberFormat="1" applyFont="1" applyFill="1" applyBorder="1" applyAlignment="1">
      <alignment horizontal="center" vertical="center" wrapText="1"/>
    </xf>
    <xf numFmtId="14" fontId="99" fillId="23" borderId="57" xfId="0" applyNumberFormat="1" applyFont="1" applyFill="1" applyBorder="1" applyAlignment="1">
      <alignment horizontal="center" vertical="center" wrapText="1"/>
    </xf>
    <xf numFmtId="14" fontId="99" fillId="23" borderId="58" xfId="0" applyNumberFormat="1" applyFont="1" applyFill="1" applyBorder="1" applyAlignment="1">
      <alignment horizontal="center" vertical="center" wrapText="1"/>
    </xf>
    <xf numFmtId="14" fontId="99" fillId="23" borderId="49" xfId="0" applyNumberFormat="1" applyFont="1" applyFill="1" applyBorder="1" applyAlignment="1">
      <alignment horizontal="center" vertical="center" wrapText="1"/>
    </xf>
    <xf numFmtId="0" fontId="99" fillId="23" borderId="49" xfId="0" applyFont="1" applyFill="1" applyBorder="1" applyAlignment="1">
      <alignment horizontal="center" vertical="center" wrapText="1"/>
    </xf>
    <xf numFmtId="0" fontId="99" fillId="23" borderId="48" xfId="0" applyFont="1" applyFill="1" applyBorder="1" applyAlignment="1">
      <alignment horizontal="center" vertical="center" wrapText="1"/>
    </xf>
    <xf numFmtId="0" fontId="99" fillId="23" borderId="57" xfId="0" applyFont="1" applyFill="1" applyBorder="1" applyAlignment="1">
      <alignment horizontal="center" vertical="center" wrapText="1"/>
    </xf>
    <xf numFmtId="0" fontId="99" fillId="23" borderId="58" xfId="0" applyFont="1" applyFill="1" applyBorder="1" applyAlignment="1">
      <alignment horizontal="center" vertical="center" wrapText="1"/>
    </xf>
    <xf numFmtId="2" fontId="98" fillId="19" borderId="49" xfId="18" applyNumberFormat="1" applyFont="1" applyFill="1" applyBorder="1" applyAlignment="1">
      <alignment vertical="top" wrapText="1"/>
    </xf>
    <xf numFmtId="2" fontId="98" fillId="19" borderId="49" xfId="18" applyNumberFormat="1" applyFont="1" applyFill="1" applyBorder="1" applyAlignment="1">
      <alignment horizontal="center" vertical="top" wrapText="1"/>
    </xf>
    <xf numFmtId="168" fontId="98" fillId="19" borderId="49" xfId="18" applyNumberFormat="1" applyFont="1" applyFill="1" applyBorder="1" applyAlignment="1">
      <alignment vertical="top" wrapText="1"/>
    </xf>
    <xf numFmtId="0" fontId="41" fillId="0" borderId="49" xfId="0" applyFont="1" applyBorder="1" applyAlignment="1">
      <alignment horizontal="center" vertical="top"/>
    </xf>
    <xf numFmtId="168" fontId="41" fillId="0" borderId="49" xfId="7" applyNumberFormat="1" applyFont="1" applyBorder="1"/>
    <xf numFmtId="44" fontId="41" fillId="0" borderId="49" xfId="34" applyFont="1" applyBorder="1"/>
    <xf numFmtId="180" fontId="41" fillId="0" borderId="49" xfId="0" applyNumberFormat="1" applyFont="1" applyBorder="1"/>
    <xf numFmtId="44" fontId="41" fillId="0" borderId="49" xfId="0" applyNumberFormat="1" applyFont="1" applyBorder="1"/>
    <xf numFmtId="4" fontId="51" fillId="0" borderId="49" xfId="28" applyNumberFormat="1" applyFont="1" applyBorder="1"/>
    <xf numFmtId="0" fontId="41" fillId="3" borderId="49" xfId="0" applyFont="1" applyFill="1" applyBorder="1" applyAlignment="1">
      <alignment horizontal="center"/>
    </xf>
    <xf numFmtId="0" fontId="41" fillId="3" borderId="49" xfId="0" applyFont="1" applyFill="1" applyBorder="1" applyAlignment="1">
      <alignment horizontal="center" vertical="top"/>
    </xf>
    <xf numFmtId="0" fontId="51" fillId="3" borderId="49" xfId="0" applyFont="1" applyFill="1" applyBorder="1"/>
    <xf numFmtId="166" fontId="98" fillId="19" borderId="48" xfId="7" applyFont="1" applyFill="1" applyBorder="1" applyAlignment="1">
      <alignment horizontal="center" vertical="top" wrapText="1"/>
    </xf>
    <xf numFmtId="166" fontId="98" fillId="19" borderId="57" xfId="7" applyFont="1" applyFill="1" applyBorder="1" applyAlignment="1">
      <alignment horizontal="center" vertical="top" wrapText="1"/>
    </xf>
    <xf numFmtId="166" fontId="98" fillId="19" borderId="58" xfId="7" applyFont="1" applyFill="1" applyBorder="1" applyAlignment="1">
      <alignment horizontal="center" vertical="top" wrapText="1"/>
    </xf>
    <xf numFmtId="1" fontId="41" fillId="16" borderId="49" xfId="0" applyNumberFormat="1" applyFont="1" applyFill="1" applyBorder="1"/>
    <xf numFmtId="0" fontId="51" fillId="16" borderId="49" xfId="0" applyFont="1" applyFill="1" applyBorder="1"/>
    <xf numFmtId="168" fontId="41" fillId="16" borderId="49" xfId="7" applyNumberFormat="1" applyFont="1" applyFill="1" applyBorder="1" applyAlignment="1">
      <alignment horizontal="right"/>
    </xf>
    <xf numFmtId="1" fontId="41" fillId="16" borderId="49" xfId="7" applyNumberFormat="1" applyFont="1" applyFill="1" applyBorder="1" applyAlignment="1"/>
    <xf numFmtId="2" fontId="51" fillId="16" borderId="49" xfId="0" applyNumberFormat="1" applyFont="1" applyFill="1" applyBorder="1" applyAlignment="1">
      <alignment horizontal="left"/>
    </xf>
    <xf numFmtId="169" fontId="51" fillId="3" borderId="49" xfId="0" applyNumberFormat="1" applyFont="1" applyFill="1" applyBorder="1" applyAlignment="1">
      <alignment horizontal="left"/>
    </xf>
    <xf numFmtId="1" fontId="51" fillId="3" borderId="49" xfId="0" applyNumberFormat="1" applyFont="1" applyFill="1" applyBorder="1" applyAlignment="1">
      <alignment horizontal="center"/>
    </xf>
    <xf numFmtId="49" fontId="51" fillId="3" borderId="49" xfId="0" applyNumberFormat="1" applyFont="1" applyFill="1" applyBorder="1" applyAlignment="1">
      <alignment horizontal="left" vertical="top"/>
    </xf>
    <xf numFmtId="49" fontId="51" fillId="3" borderId="49" xfId="0" applyNumberFormat="1" applyFont="1" applyFill="1" applyBorder="1" applyAlignment="1">
      <alignment horizontal="left"/>
    </xf>
    <xf numFmtId="168" fontId="41" fillId="3" borderId="49" xfId="7" applyNumberFormat="1" applyFont="1" applyFill="1" applyBorder="1" applyAlignment="1">
      <alignment horizontal="right"/>
    </xf>
    <xf numFmtId="1" fontId="41" fillId="3" borderId="49" xfId="7" applyNumberFormat="1" applyFont="1" applyFill="1" applyBorder="1" applyAlignment="1"/>
    <xf numFmtId="1" fontId="41" fillId="3" borderId="49" xfId="0" applyNumberFormat="1" applyFont="1" applyFill="1" applyBorder="1"/>
    <xf numFmtId="2" fontId="51" fillId="3" borderId="49" xfId="0" applyNumberFormat="1" applyFont="1" applyFill="1" applyBorder="1" applyAlignment="1">
      <alignment horizontal="left"/>
    </xf>
    <xf numFmtId="0" fontId="51" fillId="0" borderId="49" xfId="17" applyFont="1" applyBorder="1"/>
    <xf numFmtId="0" fontId="51" fillId="0" borderId="48" xfId="0" applyFont="1" applyBorder="1"/>
    <xf numFmtId="0" fontId="41" fillId="0" borderId="49" xfId="0" applyFont="1" applyBorder="1"/>
    <xf numFmtId="0" fontId="41" fillId="0" borderId="49" xfId="0" applyFont="1" applyBorder="1" applyAlignment="1">
      <alignment vertical="top" wrapText="1"/>
    </xf>
    <xf numFmtId="0" fontId="51" fillId="0" borderId="49" xfId="0" quotePrefix="1" applyFont="1" applyBorder="1"/>
    <xf numFmtId="0" fontId="85" fillId="23" borderId="49" xfId="36" applyFont="1" applyFill="1" applyBorder="1"/>
    <xf numFmtId="0" fontId="103" fillId="0" borderId="48" xfId="33" applyFont="1" applyBorder="1"/>
    <xf numFmtId="0" fontId="103" fillId="0" borderId="58" xfId="33" applyFont="1" applyBorder="1"/>
    <xf numFmtId="1" fontId="41" fillId="23" borderId="58" xfId="37" applyNumberFormat="1" applyFont="1" applyFill="1" applyBorder="1" applyAlignment="1">
      <alignment horizontal="right"/>
    </xf>
    <xf numFmtId="2" fontId="98" fillId="19" borderId="48" xfId="17" applyNumberFormat="1" applyFont="1" applyFill="1" applyBorder="1" applyAlignment="1">
      <alignment vertical="top" wrapText="1"/>
    </xf>
    <xf numFmtId="2" fontId="98" fillId="19" borderId="49" xfId="17" applyNumberFormat="1" applyFont="1" applyFill="1" applyBorder="1" applyAlignment="1">
      <alignment horizontal="center" vertical="top" wrapText="1"/>
    </xf>
    <xf numFmtId="0" fontId="103" fillId="0" borderId="49" xfId="33" applyFont="1" applyBorder="1"/>
    <xf numFmtId="0" fontId="103" fillId="0" borderId="49" xfId="33" applyFont="1" applyBorder="1" applyAlignment="1">
      <alignment horizontal="center"/>
    </xf>
    <xf numFmtId="44" fontId="41" fillId="23" borderId="49" xfId="98" applyFont="1" applyFill="1" applyBorder="1" applyAlignment="1">
      <alignment horizontal="right"/>
    </xf>
    <xf numFmtId="2" fontId="98" fillId="19" borderId="49" xfId="7" applyNumberFormat="1" applyFont="1" applyFill="1" applyBorder="1" applyAlignment="1" applyProtection="1">
      <alignment horizontal="left" vertical="top" wrapText="1"/>
    </xf>
    <xf numFmtId="0" fontId="51" fillId="0" borderId="49" xfId="33" applyFont="1" applyBorder="1" applyAlignment="1">
      <alignment horizontal="center"/>
    </xf>
    <xf numFmtId="0" fontId="51" fillId="0" borderId="49" xfId="33" applyFont="1" applyBorder="1"/>
    <xf numFmtId="0" fontId="51" fillId="0" borderId="49" xfId="193" applyFont="1" applyBorder="1"/>
    <xf numFmtId="0" fontId="103" fillId="3" borderId="49" xfId="193" applyFont="1" applyFill="1" applyBorder="1" applyAlignment="1">
      <alignment horizontal="center"/>
    </xf>
    <xf numFmtId="168" fontId="115" fillId="0" borderId="49" xfId="7" applyNumberFormat="1" applyFont="1" applyBorder="1"/>
    <xf numFmtId="4" fontId="115" fillId="0" borderId="49" xfId="33" applyNumberFormat="1" applyFont="1" applyBorder="1"/>
    <xf numFmtId="44" fontId="115" fillId="0" borderId="49" xfId="33" applyNumberFormat="1" applyFont="1" applyBorder="1"/>
    <xf numFmtId="166" fontId="41" fillId="4" borderId="49" xfId="12" applyNumberFormat="1" applyFont="1" applyFill="1" applyBorder="1"/>
    <xf numFmtId="0" fontId="51" fillId="0" borderId="48" xfId="33" applyFont="1" applyBorder="1" applyAlignment="1">
      <alignment horizontal="center"/>
    </xf>
    <xf numFmtId="0" fontId="51" fillId="0" borderId="48" xfId="193" applyFont="1" applyBorder="1" applyAlignment="1">
      <alignment horizontal="center"/>
    </xf>
    <xf numFmtId="4" fontId="115" fillId="0" borderId="49" xfId="193" applyNumberFormat="1" applyFont="1" applyBorder="1"/>
    <xf numFmtId="4" fontId="115" fillId="3" borderId="49" xfId="193" applyNumberFormat="1" applyFont="1" applyFill="1" applyBorder="1"/>
    <xf numFmtId="44" fontId="115" fillId="0" borderId="49" xfId="193" applyNumberFormat="1" applyFont="1" applyBorder="1"/>
    <xf numFmtId="2" fontId="54" fillId="0" borderId="48" xfId="7" applyNumberFormat="1" applyFont="1" applyFill="1" applyBorder="1" applyAlignment="1" applyProtection="1">
      <alignment horizontal="left" vertical="top" wrapText="1"/>
    </xf>
    <xf numFmtId="2" fontId="54" fillId="0" borderId="57" xfId="7" applyNumberFormat="1" applyFont="1" applyFill="1" applyBorder="1" applyAlignment="1" applyProtection="1">
      <alignment horizontal="left" vertical="top" wrapText="1"/>
    </xf>
    <xf numFmtId="2" fontId="61" fillId="0" borderId="57" xfId="7" applyNumberFormat="1" applyFont="1" applyFill="1" applyBorder="1" applyAlignment="1" applyProtection="1">
      <alignment horizontal="left" vertical="top" wrapText="1"/>
    </xf>
    <xf numFmtId="2" fontId="61" fillId="0" borderId="58" xfId="7" applyNumberFormat="1" applyFont="1" applyFill="1" applyBorder="1" applyAlignment="1" applyProtection="1">
      <alignment horizontal="left" vertical="top" wrapText="1"/>
    </xf>
    <xf numFmtId="44" fontId="61" fillId="0" borderId="58" xfId="34" applyFont="1" applyFill="1" applyBorder="1" applyAlignment="1" applyProtection="1">
      <alignment horizontal="left" vertical="top" wrapText="1"/>
    </xf>
    <xf numFmtId="0" fontId="85" fillId="15" borderId="49" xfId="36" applyFont="1" applyFill="1" applyBorder="1"/>
    <xf numFmtId="165" fontId="41" fillId="23" borderId="49" xfId="29" applyFont="1" applyFill="1" applyBorder="1" applyAlignment="1"/>
    <xf numFmtId="178" fontId="98" fillId="19" borderId="49" xfId="0" applyNumberFormat="1" applyFont="1" applyFill="1" applyBorder="1" applyAlignment="1">
      <alignment horizontal="left" vertical="top" wrapText="1"/>
    </xf>
    <xf numFmtId="2" fontId="98" fillId="19" borderId="49" xfId="0" applyNumberFormat="1" applyFont="1" applyFill="1" applyBorder="1" applyAlignment="1">
      <alignment vertical="top" wrapText="1"/>
    </xf>
    <xf numFmtId="2" fontId="98" fillId="19" borderId="49" xfId="0" applyNumberFormat="1" applyFont="1" applyFill="1" applyBorder="1" applyAlignment="1">
      <alignment horizontal="center" vertical="top" wrapText="1"/>
    </xf>
    <xf numFmtId="2" fontId="98" fillId="19" borderId="49" xfId="7" applyNumberFormat="1" applyFont="1" applyFill="1" applyBorder="1" applyAlignment="1" applyProtection="1">
      <alignment horizontal="center" vertical="top" wrapText="1"/>
    </xf>
    <xf numFmtId="0" fontId="41" fillId="3" borderId="49" xfId="23" applyFont="1" applyFill="1" applyBorder="1" applyAlignment="1">
      <alignment horizontal="center"/>
    </xf>
    <xf numFmtId="49" fontId="51" fillId="3" borderId="48" xfId="12" applyNumberFormat="1" applyFont="1" applyFill="1" applyBorder="1"/>
    <xf numFmtId="1" fontId="41" fillId="0" borderId="49" xfId="0" applyNumberFormat="1" applyFont="1" applyBorder="1" applyAlignment="1">
      <alignment horizontal="center"/>
    </xf>
    <xf numFmtId="0" fontId="51" fillId="3" borderId="48" xfId="12" applyFont="1" applyFill="1" applyBorder="1" applyAlignment="1">
      <alignment horizontal="center"/>
    </xf>
    <xf numFmtId="0" fontId="51" fillId="3" borderId="48" xfId="12" applyFont="1" applyFill="1" applyBorder="1"/>
    <xf numFmtId="4" fontId="51" fillId="3" borderId="49" xfId="28" applyNumberFormat="1" applyFont="1" applyFill="1" applyBorder="1"/>
    <xf numFmtId="49" fontId="69" fillId="0" borderId="48" xfId="12" applyNumberFormat="1" applyFont="1" applyBorder="1"/>
    <xf numFmtId="49" fontId="69" fillId="0" borderId="57" xfId="12" applyNumberFormat="1" applyFont="1" applyBorder="1"/>
    <xf numFmtId="49" fontId="111" fillId="0" borderId="57" xfId="12" applyNumberFormat="1" applyFont="1" applyBorder="1"/>
    <xf numFmtId="164" fontId="111" fillId="0" borderId="57" xfId="12" applyNumberFormat="1" applyFont="1" applyBorder="1"/>
    <xf numFmtId="166" fontId="111" fillId="0" borderId="58" xfId="12" applyNumberFormat="1" applyFont="1" applyBorder="1"/>
    <xf numFmtId="165" fontId="111" fillId="0" borderId="58" xfId="29" applyFont="1" applyFill="1" applyBorder="1" applyAlignment="1">
      <alignment horizontal="right"/>
    </xf>
    <xf numFmtId="0" fontId="100" fillId="23" borderId="49" xfId="36" applyFont="1" applyFill="1" applyBorder="1" applyAlignment="1">
      <alignment horizontal="left"/>
    </xf>
    <xf numFmtId="2" fontId="98" fillId="19" borderId="49" xfId="0" applyNumberFormat="1" applyFont="1" applyFill="1" applyBorder="1" applyAlignment="1">
      <alignment horizontal="left" vertical="top" wrapText="1"/>
    </xf>
    <xf numFmtId="0" fontId="103" fillId="0" borderId="49" xfId="193" applyFont="1" applyBorder="1" applyAlignment="1">
      <alignment horizontal="left"/>
    </xf>
    <xf numFmtId="2" fontId="98" fillId="19" borderId="49" xfId="0" applyNumberFormat="1" applyFont="1" applyFill="1" applyBorder="1" applyAlignment="1">
      <alignment horizontal="left" vertical="top" wrapText="1"/>
    </xf>
    <xf numFmtId="0" fontId="51" fillId="0" borderId="57" xfId="23" applyFont="1" applyBorder="1"/>
    <xf numFmtId="0" fontId="87" fillId="0" borderId="57" xfId="36" applyFont="1" applyBorder="1"/>
    <xf numFmtId="181" fontId="111" fillId="0" borderId="57" xfId="12" applyNumberFormat="1" applyFont="1" applyBorder="1" applyAlignment="1">
      <alignment horizontal="center"/>
    </xf>
    <xf numFmtId="0" fontId="50" fillId="23" borderId="49" xfId="48" applyFont="1" applyFill="1" applyBorder="1" applyProtection="1">
      <protection hidden="1"/>
    </xf>
    <xf numFmtId="2" fontId="98" fillId="19" borderId="49" xfId="17" applyNumberFormat="1" applyFont="1" applyFill="1" applyBorder="1" applyAlignment="1">
      <alignment horizontal="left" vertical="top" wrapText="1"/>
    </xf>
    <xf numFmtId="168" fontId="98" fillId="19" borderId="49" xfId="7" applyNumberFormat="1" applyFont="1" applyFill="1" applyBorder="1" applyAlignment="1">
      <alignment horizontal="center" vertical="top" wrapText="1"/>
    </xf>
    <xf numFmtId="0" fontId="98" fillId="19" borderId="49" xfId="42" applyFont="1" applyFill="1" applyBorder="1" applyAlignment="1">
      <alignment vertical="top" wrapText="1"/>
    </xf>
    <xf numFmtId="169" fontId="41" fillId="0" borderId="49" xfId="0" applyNumberFormat="1" applyFont="1" applyBorder="1" applyAlignment="1">
      <alignment horizontal="center"/>
    </xf>
    <xf numFmtId="0" fontId="51" fillId="0" borderId="49" xfId="50" applyFont="1" applyBorder="1" applyAlignment="1">
      <alignment horizontal="left"/>
    </xf>
    <xf numFmtId="168" fontId="41" fillId="0" borderId="49" xfId="7" applyNumberFormat="1" applyFont="1" applyBorder="1" applyAlignment="1">
      <alignment horizontal="left"/>
    </xf>
    <xf numFmtId="44" fontId="63" fillId="0" borderId="49" xfId="34" applyFont="1" applyFill="1" applyBorder="1" applyAlignment="1" applyProtection="1">
      <alignment horizontal="right" vertical="center"/>
      <protection hidden="1"/>
    </xf>
    <xf numFmtId="0" fontId="41" fillId="0" borderId="58" xfId="17" applyFont="1" applyBorder="1" applyAlignment="1">
      <alignment horizontal="center"/>
    </xf>
    <xf numFmtId="180" fontId="63" fillId="0" borderId="49" xfId="48" applyNumberFormat="1" applyFont="1" applyBorder="1" applyAlignment="1" applyProtection="1">
      <alignment horizontal="right" vertical="center"/>
      <protection hidden="1"/>
    </xf>
    <xf numFmtId="0" fontId="51" fillId="3" borderId="49" xfId="50" applyFont="1" applyFill="1" applyBorder="1" applyAlignment="1">
      <alignment horizontal="left"/>
    </xf>
    <xf numFmtId="168" fontId="41" fillId="3" borderId="49" xfId="7" applyNumberFormat="1" applyFont="1" applyFill="1" applyBorder="1"/>
    <xf numFmtId="169" fontId="41" fillId="3" borderId="49" xfId="0" applyNumberFormat="1" applyFont="1" applyFill="1" applyBorder="1" applyAlignment="1">
      <alignment horizontal="center"/>
    </xf>
    <xf numFmtId="168" fontId="41" fillId="3" borderId="49" xfId="7" applyNumberFormat="1" applyFont="1" applyFill="1" applyBorder="1" applyAlignment="1">
      <alignment horizontal="left"/>
    </xf>
    <xf numFmtId="0" fontId="54" fillId="0" borderId="48" xfId="17" applyFont="1" applyBorder="1"/>
    <xf numFmtId="0" fontId="51" fillId="0" borderId="57" xfId="17" applyFont="1" applyBorder="1"/>
    <xf numFmtId="168" fontId="41" fillId="0" borderId="57" xfId="7" applyNumberFormat="1" applyFont="1" applyBorder="1"/>
    <xf numFmtId="44" fontId="61" fillId="3" borderId="49" xfId="98" applyFont="1" applyFill="1" applyBorder="1" applyAlignment="1">
      <alignment horizontal="left" vertical="top" wrapText="1"/>
    </xf>
    <xf numFmtId="0" fontId="90" fillId="23" borderId="49" xfId="36" applyFont="1" applyFill="1" applyBorder="1"/>
    <xf numFmtId="0" fontId="98" fillId="19" borderId="49" xfId="17" applyFont="1" applyFill="1" applyBorder="1" applyAlignment="1">
      <alignment vertical="justify"/>
    </xf>
    <xf numFmtId="2" fontId="98" fillId="19" borderId="49" xfId="17" applyNumberFormat="1" applyFont="1" applyFill="1" applyBorder="1" applyAlignment="1">
      <alignment horizontal="center" vertical="justify"/>
    </xf>
    <xf numFmtId="0" fontId="41" fillId="0" borderId="49" xfId="42" applyFont="1" applyBorder="1" applyAlignment="1">
      <alignment horizontal="center"/>
    </xf>
    <xf numFmtId="0" fontId="51" fillId="3" borderId="49" xfId="42" applyFont="1" applyFill="1" applyBorder="1" applyAlignment="1">
      <alignment horizontal="left" vertical="top"/>
    </xf>
    <xf numFmtId="49" fontId="51" fillId="0" borderId="49" xfId="42" applyNumberFormat="1" applyFont="1" applyBorder="1"/>
    <xf numFmtId="2" fontId="41" fillId="0" borderId="58" xfId="17" applyNumberFormat="1" applyFont="1" applyBorder="1" applyAlignment="1">
      <alignment horizontal="right"/>
    </xf>
    <xf numFmtId="179" fontId="41" fillId="0" borderId="49" xfId="42" applyNumberFormat="1" applyFont="1" applyBorder="1" applyAlignment="1">
      <alignment horizontal="center"/>
    </xf>
    <xf numFmtId="44" fontId="41" fillId="0" borderId="49" xfId="98" applyFont="1" applyFill="1" applyBorder="1" applyAlignment="1">
      <alignment horizontal="center"/>
    </xf>
    <xf numFmtId="44" fontId="41" fillId="23" borderId="49" xfId="34" applyFont="1" applyFill="1" applyBorder="1"/>
    <xf numFmtId="0" fontId="51" fillId="0" borderId="49" xfId="42" applyFont="1" applyBorder="1"/>
    <xf numFmtId="0" fontId="51" fillId="0" borderId="49" xfId="42" applyFont="1" applyBorder="1" applyAlignment="1">
      <alignment horizontal="left" vertical="top"/>
    </xf>
    <xf numFmtId="0" fontId="51" fillId="3" borderId="49" xfId="42" applyFont="1" applyFill="1" applyBorder="1" applyAlignment="1">
      <alignment horizontal="left"/>
    </xf>
    <xf numFmtId="0" fontId="51" fillId="0" borderId="49" xfId="42" applyFont="1" applyBorder="1" applyAlignment="1">
      <alignment horizontal="left"/>
    </xf>
    <xf numFmtId="0" fontId="41" fillId="3" borderId="58" xfId="17" applyFont="1" applyFill="1" applyBorder="1" applyAlignment="1">
      <alignment horizontal="center"/>
    </xf>
    <xf numFmtId="2" fontId="41" fillId="3" borderId="58" xfId="17" applyNumberFormat="1" applyFont="1" applyFill="1" applyBorder="1" applyAlignment="1">
      <alignment horizontal="right"/>
    </xf>
    <xf numFmtId="0" fontId="51" fillId="3" borderId="49" xfId="17" applyFont="1" applyFill="1" applyBorder="1"/>
    <xf numFmtId="0" fontId="54" fillId="0" borderId="48" xfId="42" applyFont="1" applyBorder="1"/>
    <xf numFmtId="0" fontId="41" fillId="0" borderId="57" xfId="42" applyFont="1" applyBorder="1" applyAlignment="1">
      <alignment horizontal="center"/>
    </xf>
    <xf numFmtId="0" fontId="51" fillId="0" borderId="57" xfId="42" applyFont="1" applyBorder="1"/>
    <xf numFmtId="0" fontId="51" fillId="0" borderId="57" xfId="17" applyFont="1" applyBorder="1" applyAlignment="1">
      <alignment horizontal="left"/>
    </xf>
    <xf numFmtId="44" fontId="51" fillId="0" borderId="57" xfId="98" applyFont="1" applyFill="1" applyBorder="1" applyAlignment="1">
      <alignment horizontal="left"/>
    </xf>
    <xf numFmtId="44" fontId="41" fillId="0" borderId="57" xfId="98" applyFont="1" applyFill="1" applyBorder="1" applyAlignment="1">
      <alignment horizontal="center"/>
    </xf>
    <xf numFmtId="0" fontId="41" fillId="0" borderId="57" xfId="42" applyFont="1" applyBorder="1"/>
    <xf numFmtId="44" fontId="61" fillId="0" borderId="49" xfId="42" applyNumberFormat="1" applyFont="1" applyBorder="1"/>
    <xf numFmtId="44" fontId="98" fillId="19" borderId="49" xfId="98" applyFont="1" applyFill="1" applyBorder="1" applyAlignment="1">
      <alignment vertical="top" wrapText="1"/>
    </xf>
    <xf numFmtId="44" fontId="41" fillId="0" borderId="49" xfId="98" applyFont="1" applyBorder="1"/>
    <xf numFmtId="44" fontId="41" fillId="23" borderId="49" xfId="98" applyFont="1" applyFill="1" applyBorder="1"/>
    <xf numFmtId="49" fontId="41" fillId="3" borderId="49" xfId="98" applyNumberFormat="1" applyFont="1" applyFill="1" applyBorder="1" applyAlignment="1">
      <alignment horizontal="center"/>
    </xf>
    <xf numFmtId="44" fontId="41" fillId="23" borderId="49" xfId="98" applyFont="1" applyFill="1" applyBorder="1" applyAlignment="1"/>
    <xf numFmtId="0" fontId="54" fillId="0" borderId="57" xfId="42" applyFont="1" applyBorder="1"/>
    <xf numFmtId="168" fontId="61" fillId="0" borderId="57" xfId="42" applyNumberFormat="1" applyFont="1" applyBorder="1"/>
    <xf numFmtId="44" fontId="61" fillId="0" borderId="57" xfId="98" applyFont="1" applyFill="1" applyBorder="1"/>
    <xf numFmtId="0" fontId="61" fillId="0" borderId="57" xfId="42" applyFont="1" applyBorder="1"/>
    <xf numFmtId="0" fontId="61" fillId="0" borderId="58" xfId="42" applyFont="1" applyBorder="1"/>
    <xf numFmtId="0" fontId="98" fillId="19" borderId="49" xfId="11" applyFont="1" applyFill="1" applyBorder="1" applyAlignment="1" applyProtection="1">
      <alignment horizontal="left" wrapText="1"/>
      <protection hidden="1"/>
    </xf>
    <xf numFmtId="0" fontId="98" fillId="19" borderId="49" xfId="11" applyFont="1" applyFill="1" applyBorder="1" applyAlignment="1" applyProtection="1">
      <alignment horizontal="left" textRotation="90" wrapText="1"/>
      <protection hidden="1"/>
    </xf>
    <xf numFmtId="3" fontId="68" fillId="23" borderId="49" xfId="11" applyNumberFormat="1" applyFont="1" applyFill="1" applyBorder="1" applyAlignment="1" applyProtection="1">
      <alignment horizontal="left" wrapText="1"/>
      <protection hidden="1"/>
    </xf>
    <xf numFmtId="3" fontId="68" fillId="23" borderId="49" xfId="11" applyNumberFormat="1" applyFont="1" applyFill="1" applyBorder="1" applyAlignment="1" applyProtection="1">
      <alignment horizontal="left" vertical="top" wrapText="1"/>
      <protection hidden="1"/>
    </xf>
    <xf numFmtId="176" fontId="63" fillId="23" borderId="49" xfId="11" applyNumberFormat="1" applyFont="1" applyFill="1" applyBorder="1" applyAlignment="1" applyProtection="1">
      <alignment horizontal="center"/>
      <protection hidden="1"/>
    </xf>
    <xf numFmtId="176" fontId="63" fillId="0" borderId="49" xfId="11" applyNumberFormat="1" applyFont="1" applyBorder="1" applyAlignment="1" applyProtection="1">
      <alignment horizontal="center"/>
      <protection hidden="1"/>
    </xf>
    <xf numFmtId="3" fontId="63" fillId="23" borderId="49" xfId="11" applyNumberFormat="1" applyFont="1" applyFill="1" applyBorder="1" applyAlignment="1" applyProtection="1">
      <alignment horizontal="center"/>
      <protection hidden="1"/>
    </xf>
    <xf numFmtId="165" fontId="41" fillId="0" borderId="49" xfId="29" applyFont="1" applyBorder="1"/>
    <xf numFmtId="177" fontId="41" fillId="0" borderId="49" xfId="0" applyNumberFormat="1" applyFont="1" applyBorder="1"/>
    <xf numFmtId="165" fontId="41" fillId="0" borderId="49" xfId="0" applyNumberFormat="1" applyFont="1" applyBorder="1"/>
    <xf numFmtId="49" fontId="63" fillId="23" borderId="49" xfId="7" applyNumberFormat="1" applyFont="1" applyFill="1" applyBorder="1" applyAlignment="1" applyProtection="1">
      <alignment horizontal="center"/>
      <protection hidden="1"/>
    </xf>
    <xf numFmtId="0" fontId="54" fillId="0" borderId="48" xfId="0" applyFont="1" applyBorder="1"/>
    <xf numFmtId="0" fontId="54" fillId="0" borderId="57" xfId="0" applyFont="1" applyBorder="1"/>
    <xf numFmtId="0" fontId="61" fillId="0" borderId="57" xfId="0" applyFont="1" applyBorder="1"/>
    <xf numFmtId="0" fontId="61" fillId="0" borderId="58" xfId="0" applyFont="1" applyBorder="1"/>
    <xf numFmtId="49" fontId="61" fillId="0" borderId="49" xfId="7" applyNumberFormat="1" applyFont="1" applyBorder="1" applyAlignment="1">
      <alignment horizontal="center"/>
    </xf>
    <xf numFmtId="165" fontId="61" fillId="0" borderId="49" xfId="0" applyNumberFormat="1" applyFont="1" applyBorder="1"/>
    <xf numFmtId="0" fontId="50" fillId="23" borderId="49" xfId="39" applyFont="1" applyFill="1" applyBorder="1" applyProtection="1">
      <protection hidden="1"/>
    </xf>
    <xf numFmtId="2" fontId="98" fillId="19" borderId="49" xfId="17" applyNumberFormat="1" applyFont="1" applyFill="1" applyBorder="1" applyAlignment="1">
      <alignment horizontal="center" vertical="top" wrapText="1"/>
    </xf>
    <xf numFmtId="0" fontId="51" fillId="0" borderId="49" xfId="17" applyFont="1" applyBorder="1" applyAlignment="1">
      <alignment horizontal="left"/>
    </xf>
    <xf numFmtId="180" fontId="63" fillId="23" borderId="49" xfId="39" applyNumberFormat="1" applyFont="1" applyFill="1" applyBorder="1" applyAlignment="1" applyProtection="1">
      <alignment horizontal="right" vertical="center"/>
      <protection hidden="1"/>
    </xf>
    <xf numFmtId="49" fontId="98" fillId="19" borderId="49" xfId="7" applyNumberFormat="1" applyFont="1" applyFill="1" applyBorder="1" applyAlignment="1">
      <alignment horizontal="center" vertical="top" wrapText="1"/>
    </xf>
    <xf numFmtId="166" fontId="63" fillId="23" borderId="49" xfId="7" applyFont="1" applyFill="1" applyBorder="1" applyAlignment="1" applyProtection="1">
      <alignment horizontal="right" vertical="center"/>
      <protection hidden="1"/>
    </xf>
    <xf numFmtId="44" fontId="63" fillId="3" borderId="49" xfId="7" applyNumberFormat="1" applyFont="1" applyFill="1" applyBorder="1" applyAlignment="1" applyProtection="1">
      <alignment horizontal="right" vertical="center"/>
      <protection hidden="1"/>
    </xf>
    <xf numFmtId="9" fontId="63" fillId="3" borderId="49" xfId="212" applyFont="1" applyFill="1" applyBorder="1" applyAlignment="1" applyProtection="1">
      <alignment horizontal="center" vertical="center"/>
      <protection hidden="1"/>
    </xf>
    <xf numFmtId="180" fontId="63" fillId="3" borderId="49" xfId="39" applyNumberFormat="1" applyFont="1" applyFill="1" applyBorder="1" applyAlignment="1" applyProtection="1">
      <alignment horizontal="right" vertical="center"/>
      <protection hidden="1"/>
    </xf>
    <xf numFmtId="49" fontId="63" fillId="0" borderId="49" xfId="7" applyNumberFormat="1" applyFont="1" applyFill="1" applyBorder="1" applyAlignment="1" applyProtection="1">
      <alignment horizontal="center" vertical="center"/>
      <protection hidden="1"/>
    </xf>
    <xf numFmtId="180" fontId="63" fillId="0" borderId="49" xfId="39" applyNumberFormat="1" applyFont="1" applyBorder="1" applyAlignment="1" applyProtection="1">
      <alignment horizontal="right" vertical="center"/>
      <protection hidden="1"/>
    </xf>
    <xf numFmtId="0" fontId="54" fillId="0" borderId="57" xfId="17" applyFont="1" applyBorder="1" applyAlignment="1">
      <alignment horizontal="left"/>
    </xf>
    <xf numFmtId="166" fontId="61" fillId="0" borderId="57" xfId="17" applyNumberFormat="1" applyFont="1" applyBorder="1"/>
    <xf numFmtId="180" fontId="61" fillId="0" borderId="57" xfId="17" applyNumberFormat="1" applyFont="1" applyBorder="1"/>
    <xf numFmtId="49" fontId="61" fillId="0" borderId="57" xfId="7" applyNumberFormat="1" applyFont="1" applyFill="1" applyBorder="1" applyAlignment="1">
      <alignment horizontal="center"/>
    </xf>
    <xf numFmtId="49" fontId="61" fillId="0" borderId="58" xfId="7" applyNumberFormat="1" applyFont="1" applyFill="1" applyBorder="1" applyAlignment="1">
      <alignment horizontal="center"/>
    </xf>
    <xf numFmtId="180" fontId="61" fillId="0" borderId="58" xfId="17" applyNumberFormat="1" applyFont="1" applyBorder="1"/>
    <xf numFmtId="49" fontId="70" fillId="24" borderId="48" xfId="11" applyNumberFormat="1" applyFont="1" applyFill="1" applyBorder="1" applyAlignment="1" applyProtection="1">
      <alignment horizontal="left" vertical="top"/>
      <protection hidden="1"/>
    </xf>
    <xf numFmtId="49" fontId="70" fillId="24" borderId="58" xfId="11" applyNumberFormat="1" applyFont="1" applyFill="1" applyBorder="1" applyAlignment="1" applyProtection="1">
      <alignment horizontal="left" vertical="top"/>
      <protection hidden="1"/>
    </xf>
    <xf numFmtId="0" fontId="97" fillId="19" borderId="48" xfId="38" applyFont="1" applyFill="1" applyBorder="1" applyAlignment="1">
      <alignment horizontal="left"/>
    </xf>
    <xf numFmtId="0" fontId="97" fillId="19" borderId="57" xfId="38" applyFont="1" applyFill="1" applyBorder="1" applyAlignment="1">
      <alignment horizontal="left"/>
    </xf>
    <xf numFmtId="168" fontId="97" fillId="19" borderId="57" xfId="38" applyNumberFormat="1" applyFont="1" applyFill="1" applyBorder="1" applyAlignment="1">
      <alignment horizontal="left"/>
    </xf>
    <xf numFmtId="0" fontId="97" fillId="19" borderId="58" xfId="38" applyFont="1" applyFill="1" applyBorder="1" applyAlignment="1">
      <alignment horizontal="left"/>
    </xf>
    <xf numFmtId="187" fontId="41" fillId="23" borderId="49" xfId="34" applyNumberFormat="1" applyFont="1" applyFill="1" applyBorder="1"/>
    <xf numFmtId="0" fontId="41" fillId="23" borderId="48" xfId="0" applyFont="1" applyFill="1" applyBorder="1" applyAlignment="1">
      <alignment horizontal="center"/>
    </xf>
    <xf numFmtId="187" fontId="41" fillId="23" borderId="49" xfId="98" applyNumberFormat="1" applyFont="1" applyFill="1" applyBorder="1"/>
    <xf numFmtId="0" fontId="41" fillId="23" borderId="49" xfId="0" applyFont="1" applyFill="1" applyBorder="1" applyAlignment="1">
      <alignment horizontal="center"/>
    </xf>
    <xf numFmtId="0" fontId="54" fillId="3" borderId="48" xfId="0" applyFont="1" applyFill="1" applyBorder="1"/>
    <xf numFmtId="0" fontId="54" fillId="3" borderId="57" xfId="0" applyFont="1" applyFill="1" applyBorder="1"/>
    <xf numFmtId="44" fontId="61" fillId="3" borderId="58" xfId="0" applyNumberFormat="1" applyFont="1" applyFill="1" applyBorder="1"/>
    <xf numFmtId="44" fontId="61" fillId="0" borderId="58" xfId="0" applyNumberFormat="1" applyFont="1" applyBorder="1"/>
    <xf numFmtId="0" fontId="97" fillId="19" borderId="48" xfId="11" applyFont="1" applyFill="1" applyBorder="1" applyAlignment="1" applyProtection="1">
      <alignment horizontal="left" vertical="top" wrapText="1"/>
      <protection hidden="1"/>
    </xf>
    <xf numFmtId="0" fontId="97" fillId="19" borderId="57" xfId="11" applyFont="1" applyFill="1" applyBorder="1" applyAlignment="1" applyProtection="1">
      <alignment horizontal="left" vertical="top" wrapText="1"/>
      <protection hidden="1"/>
    </xf>
    <xf numFmtId="0" fontId="97" fillId="19" borderId="58" xfId="11" applyFont="1" applyFill="1" applyBorder="1" applyAlignment="1" applyProtection="1">
      <alignment horizontal="left" vertical="top" wrapText="1"/>
      <protection hidden="1"/>
    </xf>
    <xf numFmtId="0" fontId="97" fillId="19" borderId="48" xfId="213" applyFont="1" applyFill="1" applyBorder="1" applyAlignment="1" applyProtection="1">
      <alignment horizontal="left" vertical="top" wrapText="1"/>
      <protection hidden="1"/>
    </xf>
    <xf numFmtId="0" fontId="97" fillId="19" borderId="57" xfId="213" applyFont="1" applyFill="1" applyBorder="1" applyAlignment="1" applyProtection="1">
      <alignment horizontal="left" vertical="top" wrapText="1"/>
      <protection hidden="1"/>
    </xf>
    <xf numFmtId="0" fontId="97" fillId="19" borderId="58" xfId="213" applyFont="1" applyFill="1" applyBorder="1" applyAlignment="1" applyProtection="1">
      <alignment horizontal="left" vertical="top" wrapText="1"/>
      <protection hidden="1"/>
    </xf>
    <xf numFmtId="0" fontId="97" fillId="19" borderId="48" xfId="213" applyFont="1" applyFill="1" applyBorder="1" applyAlignment="1" applyProtection="1">
      <alignment vertical="top" wrapText="1"/>
      <protection hidden="1"/>
    </xf>
    <xf numFmtId="0" fontId="97" fillId="19" borderId="57" xfId="213" applyFont="1" applyFill="1" applyBorder="1" applyAlignment="1" applyProtection="1">
      <alignment vertical="top" wrapText="1"/>
      <protection hidden="1"/>
    </xf>
    <xf numFmtId="0" fontId="97" fillId="19" borderId="58" xfId="213" applyFont="1" applyFill="1" applyBorder="1" applyAlignment="1" applyProtection="1">
      <alignment vertical="top" wrapText="1"/>
      <protection hidden="1"/>
    </xf>
    <xf numFmtId="0" fontId="98" fillId="19" borderId="49" xfId="11" applyFont="1" applyFill="1" applyBorder="1" applyAlignment="1" applyProtection="1">
      <alignment horizontal="left"/>
      <protection hidden="1"/>
    </xf>
    <xf numFmtId="0" fontId="98" fillId="19" borderId="49" xfId="11" applyFont="1" applyFill="1" applyBorder="1" applyAlignment="1" applyProtection="1">
      <alignment horizontal="center"/>
      <protection hidden="1"/>
    </xf>
    <xf numFmtId="0" fontId="51" fillId="0" borderId="48" xfId="214" applyFont="1" applyBorder="1" applyAlignment="1">
      <alignment horizontal="left"/>
    </xf>
    <xf numFmtId="44" fontId="41" fillId="23" borderId="49" xfId="98" applyFont="1" applyFill="1" applyBorder="1" applyAlignment="1">
      <alignment horizontal="center"/>
    </xf>
    <xf numFmtId="0" fontId="79" fillId="0" borderId="48" xfId="11" applyFont="1" applyBorder="1" applyAlignment="1" applyProtection="1">
      <alignment horizontal="left"/>
      <protection hidden="1"/>
    </xf>
    <xf numFmtId="0" fontId="79" fillId="0" borderId="58" xfId="11" applyFont="1" applyBorder="1" applyAlignment="1" applyProtection="1">
      <alignment horizontal="left"/>
      <protection hidden="1"/>
    </xf>
    <xf numFmtId="0" fontId="98" fillId="19" borderId="48" xfId="11" applyFont="1" applyFill="1" applyBorder="1" applyAlignment="1" applyProtection="1">
      <alignment horizontal="center"/>
      <protection hidden="1"/>
    </xf>
    <xf numFmtId="0" fontId="98" fillId="19" borderId="58" xfId="11" applyFont="1" applyFill="1" applyBorder="1" applyAlignment="1" applyProtection="1">
      <alignment horizontal="center"/>
      <protection hidden="1"/>
    </xf>
    <xf numFmtId="0" fontId="98" fillId="19" borderId="49" xfId="0" applyFont="1" applyFill="1" applyBorder="1" applyAlignment="1">
      <alignment horizontal="center"/>
    </xf>
    <xf numFmtId="0" fontId="51" fillId="0" borderId="49" xfId="36" applyFont="1" applyBorder="1"/>
    <xf numFmtId="176" fontId="112" fillId="23" borderId="49" xfId="36" applyNumberFormat="1" applyFont="1" applyFill="1" applyBorder="1"/>
    <xf numFmtId="0" fontId="68" fillId="0" borderId="49" xfId="11" applyFont="1" applyBorder="1" applyAlignment="1" applyProtection="1">
      <alignment horizontal="left"/>
      <protection hidden="1"/>
    </xf>
    <xf numFmtId="0" fontId="98" fillId="19" borderId="49" xfId="11" applyFont="1" applyFill="1" applyBorder="1" applyProtection="1">
      <protection hidden="1"/>
    </xf>
    <xf numFmtId="49" fontId="51" fillId="0" borderId="49" xfId="11" applyNumberFormat="1" applyFont="1" applyBorder="1" applyAlignment="1" applyProtection="1">
      <alignment horizontal="left"/>
      <protection hidden="1"/>
    </xf>
    <xf numFmtId="0" fontId="118" fillId="0" borderId="49" xfId="193" applyFont="1" applyBorder="1"/>
    <xf numFmtId="0" fontId="118" fillId="0" borderId="49" xfId="193" applyFont="1" applyBorder="1" applyAlignment="1">
      <alignment horizontal="center"/>
    </xf>
    <xf numFmtId="180" fontId="119" fillId="23" borderId="49" xfId="39" applyNumberFormat="1" applyFont="1" applyFill="1" applyBorder="1" applyAlignment="1" applyProtection="1">
      <alignment horizontal="right" vertical="center"/>
      <protection hidden="1"/>
    </xf>
    <xf numFmtId="0" fontId="98" fillId="19" borderId="48" xfId="11" applyFont="1" applyFill="1" applyBorder="1" applyAlignment="1" applyProtection="1">
      <alignment horizontal="left" vertical="center"/>
      <protection hidden="1"/>
    </xf>
    <xf numFmtId="0" fontId="98" fillId="19" borderId="48" xfId="11" applyFont="1" applyFill="1" applyBorder="1" applyAlignment="1" applyProtection="1">
      <alignment horizontal="left" vertical="center" wrapText="1"/>
      <protection hidden="1"/>
    </xf>
    <xf numFmtId="0" fontId="98" fillId="19" borderId="49" xfId="11" applyFont="1" applyFill="1" applyBorder="1" applyAlignment="1" applyProtection="1">
      <alignment horizontal="left" vertical="center" wrapText="1"/>
      <protection hidden="1"/>
    </xf>
  </cellXfs>
  <cellStyles count="216">
    <cellStyle name="Bad" xfId="60" xr:uid="{00000000-0005-0000-0000-000000000000}"/>
    <cellStyle name="Calculation" xfId="61" xr:uid="{00000000-0005-0000-0000-000001000000}"/>
    <cellStyle name="Calculation 10" xfId="197" xr:uid="{00000000-0005-0000-0000-000002000000}"/>
    <cellStyle name="Calculation 11" xfId="196" xr:uid="{00000000-0005-0000-0000-000003000000}"/>
    <cellStyle name="Calculation 12" xfId="199" xr:uid="{00000000-0005-0000-0000-000004000000}"/>
    <cellStyle name="Calculation 2" xfId="100" xr:uid="{00000000-0005-0000-0000-000005000000}"/>
    <cellStyle name="Calculation 2 2" xfId="101" xr:uid="{00000000-0005-0000-0000-000006000000}"/>
    <cellStyle name="Calculation 3" xfId="102" xr:uid="{00000000-0005-0000-0000-000007000000}"/>
    <cellStyle name="Calculation 3 2" xfId="103" xr:uid="{00000000-0005-0000-0000-000008000000}"/>
    <cellStyle name="Calculation 4" xfId="104" xr:uid="{00000000-0005-0000-0000-000009000000}"/>
    <cellStyle name="Calculation 4 2" xfId="105" xr:uid="{00000000-0005-0000-0000-00000A000000}"/>
    <cellStyle name="Calculation 5" xfId="106" xr:uid="{00000000-0005-0000-0000-00000B000000}"/>
    <cellStyle name="Calculation 5 2" xfId="107" xr:uid="{00000000-0005-0000-0000-00000C000000}"/>
    <cellStyle name="Calculation 6" xfId="108" xr:uid="{00000000-0005-0000-0000-00000D000000}"/>
    <cellStyle name="Calculation 6 2" xfId="109" xr:uid="{00000000-0005-0000-0000-00000E000000}"/>
    <cellStyle name="Calculation 7" xfId="110" xr:uid="{00000000-0005-0000-0000-00000F000000}"/>
    <cellStyle name="Calculation 7 2" xfId="111" xr:uid="{00000000-0005-0000-0000-000010000000}"/>
    <cellStyle name="Calculation 8" xfId="112" xr:uid="{00000000-0005-0000-0000-000011000000}"/>
    <cellStyle name="Calculation 8 2" xfId="113" xr:uid="{00000000-0005-0000-0000-000012000000}"/>
    <cellStyle name="Calculation 9" xfId="114" xr:uid="{00000000-0005-0000-0000-000013000000}"/>
    <cellStyle name="Check Cell" xfId="62" xr:uid="{00000000-0005-0000-0000-000014000000}"/>
    <cellStyle name="Comma [0]" xfId="1" xr:uid="{00000000-0005-0000-0000-000015000000}"/>
    <cellStyle name="Comma_AA BCR/ Basis ruimtestaat 13.0" xfId="2" xr:uid="{00000000-0005-0000-0000-000016000000}"/>
    <cellStyle name="Comma_Uurtarieven 2000 LEVERANCIER" xfId="210" xr:uid="{550C9438-58F3-4193-82A9-319C7E8A9E21}"/>
    <cellStyle name="Currency [0]" xfId="63" xr:uid="{00000000-0005-0000-0000-000018000000}"/>
    <cellStyle name="Currency_2.objekten aanbestedi#B9BC8.xls" xfId="90" xr:uid="{00000000-0005-0000-0000-000019000000}"/>
    <cellStyle name="Currency_ATIR-Calc-Uurtarief 2001" xfId="211" xr:uid="{2BBDB278-7CF9-40A5-9CE3-6B9215A3A60D}"/>
    <cellStyle name="Currency_CALCULATIEBLAD.XLS" xfId="35" xr:uid="{00000000-0005-0000-0000-00001A000000}"/>
    <cellStyle name="Euro" xfId="3" xr:uid="{00000000-0005-0000-0000-00001B000000}"/>
    <cellStyle name="Euro 2" xfId="4" xr:uid="{00000000-0005-0000-0000-00001C000000}"/>
    <cellStyle name="Euro 3" xfId="44" xr:uid="{00000000-0005-0000-0000-00001D000000}"/>
    <cellStyle name="Euro 3 2" xfId="87" xr:uid="{00000000-0005-0000-0000-00001E000000}"/>
    <cellStyle name="Euro 4" xfId="47" xr:uid="{00000000-0005-0000-0000-00001F000000}"/>
    <cellStyle name="Euro 5" xfId="55" xr:uid="{00000000-0005-0000-0000-000020000000}"/>
    <cellStyle name="Euro_Roto Smeets Hilversum v-1" xfId="5" xr:uid="{00000000-0005-0000-0000-000021000000}"/>
    <cellStyle name="Explanatory Text" xfId="64" xr:uid="{00000000-0005-0000-0000-000022000000}"/>
    <cellStyle name="Followed Hyperlink_Aantal groepen per school.xls" xfId="6" xr:uid="{00000000-0005-0000-0000-000023000000}"/>
    <cellStyle name="Good" xfId="65" xr:uid="{00000000-0005-0000-0000-000024000000}"/>
    <cellStyle name="Heading 1" xfId="66" xr:uid="{00000000-0005-0000-0000-000025000000}"/>
    <cellStyle name="Heading 2" xfId="67" xr:uid="{00000000-0005-0000-0000-000026000000}"/>
    <cellStyle name="Heading 3" xfId="68" xr:uid="{00000000-0005-0000-0000-000027000000}"/>
    <cellStyle name="Heading 4" xfId="69" xr:uid="{00000000-0005-0000-0000-000028000000}"/>
    <cellStyle name="Input" xfId="70" xr:uid="{00000000-0005-0000-0000-000029000000}"/>
    <cellStyle name="Input 10" xfId="201" xr:uid="{00000000-0005-0000-0000-00002A000000}"/>
    <cellStyle name="Input 11" xfId="200" xr:uid="{00000000-0005-0000-0000-00002B000000}"/>
    <cellStyle name="Input 12" xfId="194" xr:uid="{00000000-0005-0000-0000-00002C000000}"/>
    <cellStyle name="Input 2" xfId="115" xr:uid="{00000000-0005-0000-0000-00002D000000}"/>
    <cellStyle name="Input 2 2" xfId="116" xr:uid="{00000000-0005-0000-0000-00002E000000}"/>
    <cellStyle name="Input 3" xfId="117" xr:uid="{00000000-0005-0000-0000-00002F000000}"/>
    <cellStyle name="Input 3 2" xfId="118" xr:uid="{00000000-0005-0000-0000-000030000000}"/>
    <cellStyle name="Input 4" xfId="119" xr:uid="{00000000-0005-0000-0000-000031000000}"/>
    <cellStyle name="Input 4 2" xfId="120" xr:uid="{00000000-0005-0000-0000-000032000000}"/>
    <cellStyle name="Input 5" xfId="121" xr:uid="{00000000-0005-0000-0000-000033000000}"/>
    <cellStyle name="Input 5 2" xfId="122" xr:uid="{00000000-0005-0000-0000-000034000000}"/>
    <cellStyle name="Input 6" xfId="123" xr:uid="{00000000-0005-0000-0000-000035000000}"/>
    <cellStyle name="Input 6 2" xfId="124" xr:uid="{00000000-0005-0000-0000-000036000000}"/>
    <cellStyle name="Input 7" xfId="125" xr:uid="{00000000-0005-0000-0000-000037000000}"/>
    <cellStyle name="Input 7 2" xfId="126" xr:uid="{00000000-0005-0000-0000-000038000000}"/>
    <cellStyle name="Input 8" xfId="127" xr:uid="{00000000-0005-0000-0000-000039000000}"/>
    <cellStyle name="Input 8 2" xfId="128" xr:uid="{00000000-0005-0000-0000-00003A000000}"/>
    <cellStyle name="Input 9" xfId="129" xr:uid="{00000000-0005-0000-0000-00003B000000}"/>
    <cellStyle name="Komma" xfId="7" builtinId="3"/>
    <cellStyle name="Komma [0] 2" xfId="52" xr:uid="{00000000-0005-0000-0000-00003D000000}"/>
    <cellStyle name="Komma [0] 3" xfId="91" xr:uid="{00000000-0005-0000-0000-00003E000000}"/>
    <cellStyle name="Komma 2" xfId="8" xr:uid="{00000000-0005-0000-0000-00003F000000}"/>
    <cellStyle name="Komma 3" xfId="32" xr:uid="{00000000-0005-0000-0000-000040000000}"/>
    <cellStyle name="Komma 3 2" xfId="43" xr:uid="{00000000-0005-0000-0000-000041000000}"/>
    <cellStyle name="Komma 4" xfId="51" xr:uid="{00000000-0005-0000-0000-000042000000}"/>
    <cellStyle name="Komma 4 2" xfId="89" xr:uid="{00000000-0005-0000-0000-000043000000}"/>
    <cellStyle name="Komma 5" xfId="59" xr:uid="{00000000-0005-0000-0000-000044000000}"/>
    <cellStyle name="Komma 6" xfId="85" xr:uid="{00000000-0005-0000-0000-000045000000}"/>
    <cellStyle name="Komma 6 2" xfId="207" xr:uid="{00000000-0005-0000-0000-000046000000}"/>
    <cellStyle name="kop" xfId="9" xr:uid="{00000000-0005-0000-0000-000047000000}"/>
    <cellStyle name="Koppen_rekenblad" xfId="71" xr:uid="{00000000-0005-0000-0000-000048000000}"/>
    <cellStyle name="koppenrekenblad2" xfId="72" xr:uid="{00000000-0005-0000-0000-000049000000}"/>
    <cellStyle name="Linked Cell" xfId="73" xr:uid="{00000000-0005-0000-0000-00004A000000}"/>
    <cellStyle name="m2" xfId="74" xr:uid="{00000000-0005-0000-0000-00004B000000}"/>
    <cellStyle name="Neutral" xfId="75" xr:uid="{00000000-0005-0000-0000-00004C000000}"/>
    <cellStyle name="Normaal 2" xfId="45" xr:uid="{00000000-0005-0000-0000-00004D000000}"/>
    <cellStyle name="Normaal_Basis Inventarisatielijst. xls.xls" xfId="10" xr:uid="{00000000-0005-0000-0000-00004E000000}"/>
    <cellStyle name="Normal_ KLM-CTR(STA)-Recap.xls" xfId="11" xr:uid="{00000000-0005-0000-0000-00004F000000}"/>
    <cellStyle name="Normal_ KLM-CTR(STA)-Recap.xls 2" xfId="213" xr:uid="{F6738AD5-C09F-4FCA-8C5B-B9125D6E6E0A}"/>
    <cellStyle name="Normal_AFRPPRIJS.xls" xfId="36" xr:uid="{00000000-0005-0000-0000-000050000000}"/>
    <cellStyle name="Normal_AFRPPRIJS.xls 3" xfId="214" xr:uid="{ADA6156F-B6D2-4787-B497-D205E2ABB937}"/>
    <cellStyle name="Normal_ATIR-Calc-Uurtarief 2001" xfId="209" xr:uid="{D0695B84-136B-4900-9218-009C996107D9}"/>
    <cellStyle name="Normal_CALCULATIEBLAD.XLS" xfId="12" xr:uid="{00000000-0005-0000-0000-000051000000}"/>
    <cellStyle name="Normal_CALCULATIEBLAD.XLS 2" xfId="38" xr:uid="{00000000-0005-0000-0000-000052000000}"/>
    <cellStyle name="Normal_CALCULATIEBLAD.XLS 2 2" xfId="215" xr:uid="{3A9991DE-8CA6-4DCE-B7F0-FB5D2D70903A}"/>
    <cellStyle name="Normal_CALCULATIEBLAD.XLS 3" xfId="49" xr:uid="{00000000-0005-0000-0000-000053000000}"/>
    <cellStyle name="Normal_Uurtarieven 2000 LEVERANCIER" xfId="39" xr:uid="{00000000-0005-0000-0000-000054000000}"/>
    <cellStyle name="Normal_Uurtarieven 2000 LEVERANCIER 2" xfId="48" xr:uid="{00000000-0005-0000-0000-000055000000}"/>
    <cellStyle name="Normal_Workbook1_AFRPPRIJS.xls" xfId="40" xr:uid="{00000000-0005-0000-0000-000056000000}"/>
    <cellStyle name="Note" xfId="76" xr:uid="{00000000-0005-0000-0000-000057000000}"/>
    <cellStyle name="Note 10" xfId="130" xr:uid="{00000000-0005-0000-0000-000058000000}"/>
    <cellStyle name="Note 10 2" xfId="131" xr:uid="{00000000-0005-0000-0000-000059000000}"/>
    <cellStyle name="Note 11" xfId="132" xr:uid="{00000000-0005-0000-0000-00005A000000}"/>
    <cellStyle name="Note 12" xfId="202" xr:uid="{00000000-0005-0000-0000-00005B000000}"/>
    <cellStyle name="Note 13" xfId="198" xr:uid="{00000000-0005-0000-0000-00005C000000}"/>
    <cellStyle name="Note 14" xfId="208" xr:uid="{00000000-0005-0000-0000-00005D000000}"/>
    <cellStyle name="Note 2" xfId="133" xr:uid="{00000000-0005-0000-0000-00005E000000}"/>
    <cellStyle name="Note 2 2" xfId="134" xr:uid="{00000000-0005-0000-0000-00005F000000}"/>
    <cellStyle name="Note 3" xfId="135" xr:uid="{00000000-0005-0000-0000-000060000000}"/>
    <cellStyle name="Note 3 2" xfId="136" xr:uid="{00000000-0005-0000-0000-000061000000}"/>
    <cellStyle name="Note 4" xfId="137" xr:uid="{00000000-0005-0000-0000-000062000000}"/>
    <cellStyle name="Note 4 2" xfId="138" xr:uid="{00000000-0005-0000-0000-000063000000}"/>
    <cellStyle name="Note 5" xfId="139" xr:uid="{00000000-0005-0000-0000-000064000000}"/>
    <cellStyle name="Note 5 2" xfId="140" xr:uid="{00000000-0005-0000-0000-000065000000}"/>
    <cellStyle name="Note 6" xfId="141" xr:uid="{00000000-0005-0000-0000-000066000000}"/>
    <cellStyle name="Note 6 2" xfId="142" xr:uid="{00000000-0005-0000-0000-000067000000}"/>
    <cellStyle name="Note 7" xfId="143" xr:uid="{00000000-0005-0000-0000-000068000000}"/>
    <cellStyle name="Note 7 2" xfId="144" xr:uid="{00000000-0005-0000-0000-000069000000}"/>
    <cellStyle name="Note 8" xfId="145" xr:uid="{00000000-0005-0000-0000-00006A000000}"/>
    <cellStyle name="Note 8 2" xfId="146" xr:uid="{00000000-0005-0000-0000-00006B000000}"/>
    <cellStyle name="Note 9" xfId="147" xr:uid="{00000000-0005-0000-0000-00006C000000}"/>
    <cellStyle name="Note 9 2" xfId="148" xr:uid="{00000000-0005-0000-0000-00006D000000}"/>
    <cellStyle name="Ongedefinieerd" xfId="13" xr:uid="{00000000-0005-0000-0000-00006E000000}"/>
    <cellStyle name="Ongedefinieerd 2" xfId="53" xr:uid="{00000000-0005-0000-0000-00006F000000}"/>
    <cellStyle name="Output" xfId="77" xr:uid="{00000000-0005-0000-0000-000070000000}"/>
    <cellStyle name="Output 10" xfId="149" xr:uid="{00000000-0005-0000-0000-000071000000}"/>
    <cellStyle name="Output 10 2" xfId="150" xr:uid="{00000000-0005-0000-0000-000072000000}"/>
    <cellStyle name="Output 11" xfId="151" xr:uid="{00000000-0005-0000-0000-000073000000}"/>
    <cellStyle name="Output 12" xfId="203" xr:uid="{00000000-0005-0000-0000-000074000000}"/>
    <cellStyle name="Output 13" xfId="190" xr:uid="{00000000-0005-0000-0000-000075000000}"/>
    <cellStyle name="Output 14" xfId="191" xr:uid="{00000000-0005-0000-0000-000076000000}"/>
    <cellStyle name="Output 2" xfId="152" xr:uid="{00000000-0005-0000-0000-000077000000}"/>
    <cellStyle name="Output 2 2" xfId="153" xr:uid="{00000000-0005-0000-0000-000078000000}"/>
    <cellStyle name="Output 3" xfId="154" xr:uid="{00000000-0005-0000-0000-000079000000}"/>
    <cellStyle name="Output 3 2" xfId="155" xr:uid="{00000000-0005-0000-0000-00007A000000}"/>
    <cellStyle name="Output 4" xfId="156" xr:uid="{00000000-0005-0000-0000-00007B000000}"/>
    <cellStyle name="Output 4 2" xfId="157" xr:uid="{00000000-0005-0000-0000-00007C000000}"/>
    <cellStyle name="Output 5" xfId="158" xr:uid="{00000000-0005-0000-0000-00007D000000}"/>
    <cellStyle name="Output 5 2" xfId="159" xr:uid="{00000000-0005-0000-0000-00007E000000}"/>
    <cellStyle name="Output 6" xfId="160" xr:uid="{00000000-0005-0000-0000-00007F000000}"/>
    <cellStyle name="Output 6 2" xfId="161" xr:uid="{00000000-0005-0000-0000-000080000000}"/>
    <cellStyle name="Output 7" xfId="162" xr:uid="{00000000-0005-0000-0000-000081000000}"/>
    <cellStyle name="Output 7 2" xfId="163" xr:uid="{00000000-0005-0000-0000-000082000000}"/>
    <cellStyle name="Output 8" xfId="164" xr:uid="{00000000-0005-0000-0000-000083000000}"/>
    <cellStyle name="Output 8 2" xfId="165" xr:uid="{00000000-0005-0000-0000-000084000000}"/>
    <cellStyle name="Output 9" xfId="166" xr:uid="{00000000-0005-0000-0000-000085000000}"/>
    <cellStyle name="Output 9 2" xfId="167" xr:uid="{00000000-0005-0000-0000-000086000000}"/>
    <cellStyle name="Procent" xfId="212" builtinId="5"/>
    <cellStyle name="Procent 2" xfId="14" xr:uid="{00000000-0005-0000-0000-000087000000}"/>
    <cellStyle name="Procent 2 2" xfId="15" xr:uid="{00000000-0005-0000-0000-000088000000}"/>
    <cellStyle name="Procent 2 3" xfId="56" xr:uid="{00000000-0005-0000-0000-000089000000}"/>
    <cellStyle name="Procent 3" xfId="16" xr:uid="{00000000-0005-0000-0000-00008A000000}"/>
    <cellStyle name="Procent 3 2" xfId="92" xr:uid="{00000000-0005-0000-0000-00008B000000}"/>
    <cellStyle name="Procent 4" xfId="57" xr:uid="{00000000-0005-0000-0000-00008C000000}"/>
    <cellStyle name="Procent 4 2" xfId="88" xr:uid="{00000000-0005-0000-0000-00008D000000}"/>
    <cellStyle name="Procent 5" xfId="84" xr:uid="{00000000-0005-0000-0000-00008E000000}"/>
    <cellStyle name="Procent 5 2" xfId="206" xr:uid="{00000000-0005-0000-0000-00008F000000}"/>
    <cellStyle name="Ruimtestaat_Koppen" xfId="78" xr:uid="{00000000-0005-0000-0000-000090000000}"/>
    <cellStyle name="Standaard" xfId="0" builtinId="0"/>
    <cellStyle name="Standaard 10" xfId="31" xr:uid="{00000000-0005-0000-0000-000092000000}"/>
    <cellStyle name="Standaard 10 2" xfId="42" xr:uid="{00000000-0005-0000-0000-000093000000}"/>
    <cellStyle name="Standaard 11" xfId="33" xr:uid="{00000000-0005-0000-0000-000094000000}"/>
    <cellStyle name="Standaard 11 2" xfId="86" xr:uid="{00000000-0005-0000-0000-000095000000}"/>
    <cellStyle name="Standaard 11 3" xfId="168" xr:uid="{00000000-0005-0000-0000-000096000000}"/>
    <cellStyle name="Standaard 11 4" xfId="169" xr:uid="{00000000-0005-0000-0000-000097000000}"/>
    <cellStyle name="Standaard 11 5" xfId="170" xr:uid="{00000000-0005-0000-0000-000098000000}"/>
    <cellStyle name="Standaard 11 6" xfId="193" xr:uid="{00000000-0005-0000-0000-000099000000}"/>
    <cellStyle name="Standaard 12" xfId="46" xr:uid="{00000000-0005-0000-0000-00009A000000}"/>
    <cellStyle name="Standaard 13" xfId="50" xr:uid="{00000000-0005-0000-0000-00009B000000}"/>
    <cellStyle name="Standaard 14" xfId="83" xr:uid="{00000000-0005-0000-0000-00009C000000}"/>
    <cellStyle name="Standaard 14 2" xfId="205" xr:uid="{00000000-0005-0000-0000-00009D000000}"/>
    <cellStyle name="Standaard 2" xfId="17" xr:uid="{00000000-0005-0000-0000-00009E000000}"/>
    <cellStyle name="Standaard 2 2" xfId="18" xr:uid="{00000000-0005-0000-0000-00009F000000}"/>
    <cellStyle name="Standaard 2 2 2" xfId="19" xr:uid="{00000000-0005-0000-0000-0000A0000000}"/>
    <cellStyle name="Standaard 2 2 2 2" xfId="20" xr:uid="{00000000-0005-0000-0000-0000A1000000}"/>
    <cellStyle name="Standaard 2 2 3" xfId="93" xr:uid="{00000000-0005-0000-0000-0000A2000000}"/>
    <cellStyle name="Standaard 2 3" xfId="21" xr:uid="{00000000-0005-0000-0000-0000A3000000}"/>
    <cellStyle name="Standaard 2 3 2" xfId="94" xr:uid="{00000000-0005-0000-0000-0000A4000000}"/>
    <cellStyle name="Standaard 2 4" xfId="79" xr:uid="{00000000-0005-0000-0000-0000A5000000}"/>
    <cellStyle name="Standaard 2 5" xfId="95" xr:uid="{00000000-0005-0000-0000-0000A6000000}"/>
    <cellStyle name="Standaard 3" xfId="22" xr:uid="{00000000-0005-0000-0000-0000A7000000}"/>
    <cellStyle name="Standaard 3 2" xfId="96" xr:uid="{00000000-0005-0000-0000-0000A8000000}"/>
    <cellStyle name="Standaard 4" xfId="23" xr:uid="{00000000-0005-0000-0000-0000A9000000}"/>
    <cellStyle name="Standaard 4 2" xfId="97" xr:uid="{00000000-0005-0000-0000-0000AA000000}"/>
    <cellStyle name="Standaard 5" xfId="24" xr:uid="{00000000-0005-0000-0000-0000AB000000}"/>
    <cellStyle name="Standaard 5 2" xfId="41" xr:uid="{00000000-0005-0000-0000-0000AC000000}"/>
    <cellStyle name="Standaard 5 3" xfId="54" xr:uid="{00000000-0005-0000-0000-0000AD000000}"/>
    <cellStyle name="Standaard 6" xfId="25" xr:uid="{00000000-0005-0000-0000-0000AE000000}"/>
    <cellStyle name="Standaard 7" xfId="26" xr:uid="{00000000-0005-0000-0000-0000AF000000}"/>
    <cellStyle name="Standaard 8" xfId="27" xr:uid="{00000000-0005-0000-0000-0000B0000000}"/>
    <cellStyle name="Standaard 9" xfId="28" xr:uid="{00000000-0005-0000-0000-0000B1000000}"/>
    <cellStyle name="Standaard_Blad1" xfId="37" xr:uid="{00000000-0005-0000-0000-0000B2000000}"/>
    <cellStyle name="Title" xfId="80" xr:uid="{00000000-0005-0000-0000-0000B3000000}"/>
    <cellStyle name="Total" xfId="81" xr:uid="{00000000-0005-0000-0000-0000B4000000}"/>
    <cellStyle name="Total 10" xfId="171" xr:uid="{00000000-0005-0000-0000-0000B5000000}"/>
    <cellStyle name="Total 10 2" xfId="172" xr:uid="{00000000-0005-0000-0000-0000B6000000}"/>
    <cellStyle name="Total 11" xfId="173" xr:uid="{00000000-0005-0000-0000-0000B7000000}"/>
    <cellStyle name="Total 12" xfId="204" xr:uid="{00000000-0005-0000-0000-0000B8000000}"/>
    <cellStyle name="Total 13" xfId="195" xr:uid="{00000000-0005-0000-0000-0000B9000000}"/>
    <cellStyle name="Total 14" xfId="192" xr:uid="{00000000-0005-0000-0000-0000BA000000}"/>
    <cellStyle name="Total 2" xfId="174" xr:uid="{00000000-0005-0000-0000-0000BB000000}"/>
    <cellStyle name="Total 2 2" xfId="175" xr:uid="{00000000-0005-0000-0000-0000BC000000}"/>
    <cellStyle name="Total 3" xfId="176" xr:uid="{00000000-0005-0000-0000-0000BD000000}"/>
    <cellStyle name="Total 3 2" xfId="177" xr:uid="{00000000-0005-0000-0000-0000BE000000}"/>
    <cellStyle name="Total 4" xfId="178" xr:uid="{00000000-0005-0000-0000-0000BF000000}"/>
    <cellStyle name="Total 4 2" xfId="179" xr:uid="{00000000-0005-0000-0000-0000C0000000}"/>
    <cellStyle name="Total 5" xfId="180" xr:uid="{00000000-0005-0000-0000-0000C1000000}"/>
    <cellStyle name="Total 5 2" xfId="181" xr:uid="{00000000-0005-0000-0000-0000C2000000}"/>
    <cellStyle name="Total 6" xfId="182" xr:uid="{00000000-0005-0000-0000-0000C3000000}"/>
    <cellStyle name="Total 6 2" xfId="183" xr:uid="{00000000-0005-0000-0000-0000C4000000}"/>
    <cellStyle name="Total 7" xfId="184" xr:uid="{00000000-0005-0000-0000-0000C5000000}"/>
    <cellStyle name="Total 7 2" xfId="185" xr:uid="{00000000-0005-0000-0000-0000C6000000}"/>
    <cellStyle name="Total 8" xfId="186" xr:uid="{00000000-0005-0000-0000-0000C7000000}"/>
    <cellStyle name="Total 8 2" xfId="187" xr:uid="{00000000-0005-0000-0000-0000C8000000}"/>
    <cellStyle name="Total 9" xfId="188" xr:uid="{00000000-0005-0000-0000-0000C9000000}"/>
    <cellStyle name="Total 9 2" xfId="189" xr:uid="{00000000-0005-0000-0000-0000CA000000}"/>
    <cellStyle name="Valuta" xfId="34" builtinId="4"/>
    <cellStyle name="Valuta 2" xfId="29" xr:uid="{00000000-0005-0000-0000-0000CC000000}"/>
    <cellStyle name="Valuta 2 2" xfId="58" xr:uid="{00000000-0005-0000-0000-0000CD000000}"/>
    <cellStyle name="Valuta 3" xfId="30" xr:uid="{00000000-0005-0000-0000-0000CE000000}"/>
    <cellStyle name="Valuta 4" xfId="98" xr:uid="{00000000-0005-0000-0000-0000CF000000}"/>
    <cellStyle name="Valuta 4 2" xfId="99" xr:uid="{00000000-0005-0000-0000-0000D0000000}"/>
    <cellStyle name="Warning Text" xfId="82" xr:uid="{00000000-0005-0000-0000-0000D1000000}"/>
  </cellStyles>
  <dxfs count="0"/>
  <tableStyles count="0" defaultTableStyle="TableStyleMedium9"/>
  <colors>
    <mruColors>
      <color rgb="FF0A4983"/>
      <color rgb="FFCCFFCC"/>
      <color rgb="FF99CCFF"/>
      <color rgb="FF0A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4.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63" Type="http://schemas.openxmlformats.org/officeDocument/2006/relationships/externalLink" Target="externalLinks/externalLink41.xml"/><Relationship Id="rId68" Type="http://schemas.openxmlformats.org/officeDocument/2006/relationships/externalLink" Target="externalLinks/externalLink46.xml"/><Relationship Id="rId84" Type="http://schemas.openxmlformats.org/officeDocument/2006/relationships/externalLink" Target="externalLinks/externalLink62.xml"/><Relationship Id="rId89" Type="http://schemas.openxmlformats.org/officeDocument/2006/relationships/externalLink" Target="externalLinks/externalLink67.xml"/><Relationship Id="rId112" Type="http://schemas.openxmlformats.org/officeDocument/2006/relationships/externalLink" Target="externalLinks/externalLink90.xml"/><Relationship Id="rId16" Type="http://schemas.openxmlformats.org/officeDocument/2006/relationships/worksheet" Target="worksheets/sheet16.xml"/><Relationship Id="rId107" Type="http://schemas.openxmlformats.org/officeDocument/2006/relationships/externalLink" Target="externalLinks/externalLink85.xml"/><Relationship Id="rId11" Type="http://schemas.openxmlformats.org/officeDocument/2006/relationships/worksheet" Target="worksheets/sheet11.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53" Type="http://schemas.openxmlformats.org/officeDocument/2006/relationships/externalLink" Target="externalLinks/externalLink31.xml"/><Relationship Id="rId58" Type="http://schemas.openxmlformats.org/officeDocument/2006/relationships/externalLink" Target="externalLinks/externalLink36.xml"/><Relationship Id="rId74" Type="http://schemas.openxmlformats.org/officeDocument/2006/relationships/externalLink" Target="externalLinks/externalLink52.xml"/><Relationship Id="rId79" Type="http://schemas.openxmlformats.org/officeDocument/2006/relationships/externalLink" Target="externalLinks/externalLink57.xml"/><Relationship Id="rId102" Type="http://schemas.openxmlformats.org/officeDocument/2006/relationships/externalLink" Target="externalLinks/externalLink80.xml"/><Relationship Id="rId5" Type="http://schemas.openxmlformats.org/officeDocument/2006/relationships/worksheet" Target="worksheets/sheet5.xml"/><Relationship Id="rId90" Type="http://schemas.openxmlformats.org/officeDocument/2006/relationships/externalLink" Target="externalLinks/externalLink68.xml"/><Relationship Id="rId95" Type="http://schemas.openxmlformats.org/officeDocument/2006/relationships/externalLink" Target="externalLinks/externalLink73.xml"/><Relationship Id="rId22" Type="http://schemas.openxmlformats.org/officeDocument/2006/relationships/worksheet" Target="worksheets/sheet22.xml"/><Relationship Id="rId27" Type="http://schemas.openxmlformats.org/officeDocument/2006/relationships/externalLink" Target="externalLinks/externalLink5.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64" Type="http://schemas.openxmlformats.org/officeDocument/2006/relationships/externalLink" Target="externalLinks/externalLink42.xml"/><Relationship Id="rId69" Type="http://schemas.openxmlformats.org/officeDocument/2006/relationships/externalLink" Target="externalLinks/externalLink47.xml"/><Relationship Id="rId113" Type="http://schemas.openxmlformats.org/officeDocument/2006/relationships/externalLink" Target="externalLinks/externalLink91.xml"/><Relationship Id="rId118" Type="http://schemas.openxmlformats.org/officeDocument/2006/relationships/calcChain" Target="calcChain.xml"/><Relationship Id="rId80" Type="http://schemas.openxmlformats.org/officeDocument/2006/relationships/externalLink" Target="externalLinks/externalLink58.xml"/><Relationship Id="rId85" Type="http://schemas.openxmlformats.org/officeDocument/2006/relationships/externalLink" Target="externalLinks/externalLink6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59" Type="http://schemas.openxmlformats.org/officeDocument/2006/relationships/externalLink" Target="externalLinks/externalLink37.xml"/><Relationship Id="rId103" Type="http://schemas.openxmlformats.org/officeDocument/2006/relationships/externalLink" Target="externalLinks/externalLink81.xml"/><Relationship Id="rId108" Type="http://schemas.openxmlformats.org/officeDocument/2006/relationships/externalLink" Target="externalLinks/externalLink86.xml"/><Relationship Id="rId54" Type="http://schemas.openxmlformats.org/officeDocument/2006/relationships/externalLink" Target="externalLinks/externalLink32.xml"/><Relationship Id="rId70" Type="http://schemas.openxmlformats.org/officeDocument/2006/relationships/externalLink" Target="externalLinks/externalLink48.xml"/><Relationship Id="rId75" Type="http://schemas.openxmlformats.org/officeDocument/2006/relationships/externalLink" Target="externalLinks/externalLink53.xml"/><Relationship Id="rId91" Type="http://schemas.openxmlformats.org/officeDocument/2006/relationships/externalLink" Target="externalLinks/externalLink69.xml"/><Relationship Id="rId96"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49" Type="http://schemas.openxmlformats.org/officeDocument/2006/relationships/externalLink" Target="externalLinks/externalLink27.xml"/><Relationship Id="rId114" Type="http://schemas.openxmlformats.org/officeDocument/2006/relationships/externalLink" Target="externalLinks/externalLink92.xml"/><Relationship Id="rId119" Type="http://schemas.openxmlformats.org/officeDocument/2006/relationships/customXml" Target="../customXml/item1.xml"/><Relationship Id="rId44" Type="http://schemas.openxmlformats.org/officeDocument/2006/relationships/externalLink" Target="externalLinks/externalLink22.xml"/><Relationship Id="rId60" Type="http://schemas.openxmlformats.org/officeDocument/2006/relationships/externalLink" Target="externalLinks/externalLink38.xml"/><Relationship Id="rId65" Type="http://schemas.openxmlformats.org/officeDocument/2006/relationships/externalLink" Target="externalLinks/externalLink43.xml"/><Relationship Id="rId81" Type="http://schemas.openxmlformats.org/officeDocument/2006/relationships/externalLink" Target="externalLinks/externalLink59.xml"/><Relationship Id="rId86" Type="http://schemas.openxmlformats.org/officeDocument/2006/relationships/externalLink" Target="externalLinks/externalLink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7.xml"/><Relationship Id="rId109" Type="http://schemas.openxmlformats.org/officeDocument/2006/relationships/externalLink" Target="externalLinks/externalLink87.xml"/><Relationship Id="rId34" Type="http://schemas.openxmlformats.org/officeDocument/2006/relationships/externalLink" Target="externalLinks/externalLink12.xml"/><Relationship Id="rId50" Type="http://schemas.openxmlformats.org/officeDocument/2006/relationships/externalLink" Target="externalLinks/externalLink28.xml"/><Relationship Id="rId55" Type="http://schemas.openxmlformats.org/officeDocument/2006/relationships/externalLink" Target="externalLinks/externalLink33.xml"/><Relationship Id="rId76" Type="http://schemas.openxmlformats.org/officeDocument/2006/relationships/externalLink" Target="externalLinks/externalLink54.xml"/><Relationship Id="rId97" Type="http://schemas.openxmlformats.org/officeDocument/2006/relationships/externalLink" Target="externalLinks/externalLink75.xml"/><Relationship Id="rId104" Type="http://schemas.openxmlformats.org/officeDocument/2006/relationships/externalLink" Target="externalLinks/externalLink82.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externalLink" Target="externalLinks/externalLink49.xml"/><Relationship Id="rId92" Type="http://schemas.openxmlformats.org/officeDocument/2006/relationships/externalLink" Target="externalLinks/externalLink70.xml"/><Relationship Id="rId2" Type="http://schemas.openxmlformats.org/officeDocument/2006/relationships/worksheet" Target="worksheets/sheet2.xml"/><Relationship Id="rId29" Type="http://schemas.openxmlformats.org/officeDocument/2006/relationships/externalLink" Target="externalLinks/externalLink7.xml"/><Relationship Id="rId24" Type="http://schemas.openxmlformats.org/officeDocument/2006/relationships/externalLink" Target="externalLinks/externalLink2.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66" Type="http://schemas.openxmlformats.org/officeDocument/2006/relationships/externalLink" Target="externalLinks/externalLink44.xml"/><Relationship Id="rId87" Type="http://schemas.openxmlformats.org/officeDocument/2006/relationships/externalLink" Target="externalLinks/externalLink65.xml"/><Relationship Id="rId110" Type="http://schemas.openxmlformats.org/officeDocument/2006/relationships/externalLink" Target="externalLinks/externalLink88.xml"/><Relationship Id="rId115" Type="http://schemas.openxmlformats.org/officeDocument/2006/relationships/theme" Target="theme/theme1.xml"/><Relationship Id="rId61" Type="http://schemas.openxmlformats.org/officeDocument/2006/relationships/externalLink" Target="externalLinks/externalLink39.xml"/><Relationship Id="rId82" Type="http://schemas.openxmlformats.org/officeDocument/2006/relationships/externalLink" Target="externalLinks/externalLink6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56" Type="http://schemas.openxmlformats.org/officeDocument/2006/relationships/externalLink" Target="externalLinks/externalLink34.xml"/><Relationship Id="rId77" Type="http://schemas.openxmlformats.org/officeDocument/2006/relationships/externalLink" Target="externalLinks/externalLink55.xml"/><Relationship Id="rId100" Type="http://schemas.openxmlformats.org/officeDocument/2006/relationships/externalLink" Target="externalLinks/externalLink78.xml"/><Relationship Id="rId105" Type="http://schemas.openxmlformats.org/officeDocument/2006/relationships/externalLink" Target="externalLinks/externalLink83.xml"/><Relationship Id="rId8" Type="http://schemas.openxmlformats.org/officeDocument/2006/relationships/worksheet" Target="worksheets/sheet8.xml"/><Relationship Id="rId51" Type="http://schemas.openxmlformats.org/officeDocument/2006/relationships/externalLink" Target="externalLinks/externalLink29.xml"/><Relationship Id="rId72" Type="http://schemas.openxmlformats.org/officeDocument/2006/relationships/externalLink" Target="externalLinks/externalLink50.xml"/><Relationship Id="rId93" Type="http://schemas.openxmlformats.org/officeDocument/2006/relationships/externalLink" Target="externalLinks/externalLink71.xml"/><Relationship Id="rId98" Type="http://schemas.openxmlformats.org/officeDocument/2006/relationships/externalLink" Target="externalLinks/externalLink76.xml"/><Relationship Id="rId121"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externalLink" Target="externalLinks/externalLink3.xml"/><Relationship Id="rId46" Type="http://schemas.openxmlformats.org/officeDocument/2006/relationships/externalLink" Target="externalLinks/externalLink24.xml"/><Relationship Id="rId67" Type="http://schemas.openxmlformats.org/officeDocument/2006/relationships/externalLink" Target="externalLinks/externalLink45.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9.xml"/><Relationship Id="rId62" Type="http://schemas.openxmlformats.org/officeDocument/2006/relationships/externalLink" Target="externalLinks/externalLink40.xml"/><Relationship Id="rId83" Type="http://schemas.openxmlformats.org/officeDocument/2006/relationships/externalLink" Target="externalLinks/externalLink61.xml"/><Relationship Id="rId88" Type="http://schemas.openxmlformats.org/officeDocument/2006/relationships/externalLink" Target="externalLinks/externalLink66.xml"/><Relationship Id="rId111" Type="http://schemas.openxmlformats.org/officeDocument/2006/relationships/externalLink" Target="externalLinks/externalLink89.xml"/><Relationship Id="rId15" Type="http://schemas.openxmlformats.org/officeDocument/2006/relationships/worksheet" Target="worksheets/sheet15.xml"/><Relationship Id="rId36" Type="http://schemas.openxmlformats.org/officeDocument/2006/relationships/externalLink" Target="externalLinks/externalLink14.xml"/><Relationship Id="rId57" Type="http://schemas.openxmlformats.org/officeDocument/2006/relationships/externalLink" Target="externalLinks/externalLink35.xml"/><Relationship Id="rId106" Type="http://schemas.openxmlformats.org/officeDocument/2006/relationships/externalLink" Target="externalLinks/externalLink84.xml"/><Relationship Id="rId10" Type="http://schemas.openxmlformats.org/officeDocument/2006/relationships/worksheet" Target="worksheets/sheet10.xml"/><Relationship Id="rId31" Type="http://schemas.openxmlformats.org/officeDocument/2006/relationships/externalLink" Target="externalLinks/externalLink9.xml"/><Relationship Id="rId52" Type="http://schemas.openxmlformats.org/officeDocument/2006/relationships/externalLink" Target="externalLinks/externalLink30.xml"/><Relationship Id="rId73" Type="http://schemas.openxmlformats.org/officeDocument/2006/relationships/externalLink" Target="externalLinks/externalLink51.xml"/><Relationship Id="rId78" Type="http://schemas.openxmlformats.org/officeDocument/2006/relationships/externalLink" Target="externalLinks/externalLink56.xml"/><Relationship Id="rId94" Type="http://schemas.openxmlformats.org/officeDocument/2006/relationships/externalLink" Target="externalLinks/externalLink72.xml"/><Relationship Id="rId99" Type="http://schemas.openxmlformats.org/officeDocument/2006/relationships/externalLink" Target="externalLinks/externalLink77.xml"/><Relationship Id="rId101" Type="http://schemas.openxmlformats.org/officeDocument/2006/relationships/externalLink" Target="externalLinks/externalLink79.xml"/></Relationships>
</file>

<file path=xl/drawings/drawing1.xml><?xml version="1.0" encoding="utf-8"?>
<xdr:wsDr xmlns:xdr="http://schemas.openxmlformats.org/drawingml/2006/spreadsheetDrawing" xmlns:a="http://schemas.openxmlformats.org/drawingml/2006/main">
  <xdr:twoCellAnchor>
    <xdr:from>
      <xdr:col>4</xdr:col>
      <xdr:colOff>60536</xdr:colOff>
      <xdr:row>0</xdr:row>
      <xdr:rowOff>2964</xdr:rowOff>
    </xdr:from>
    <xdr:to>
      <xdr:col>12</xdr:col>
      <xdr:colOff>11429</xdr:colOff>
      <xdr:row>8</xdr:row>
      <xdr:rowOff>137584</xdr:rowOff>
    </xdr:to>
    <xdr:sp macro="" textlink="">
      <xdr:nvSpPr>
        <xdr:cNvPr id="2" name="Tekstvak 1">
          <a:extLst>
            <a:ext uri="{FF2B5EF4-FFF2-40B4-BE49-F238E27FC236}">
              <a16:creationId xmlns:a16="http://schemas.microsoft.com/office/drawing/2014/main" id="{EDA97E8B-41CD-42F0-BD61-ECDC50D0094E}"/>
            </a:ext>
          </a:extLst>
        </xdr:cNvPr>
        <xdr:cNvSpPr txBox="1"/>
      </xdr:nvSpPr>
      <xdr:spPr>
        <a:xfrm>
          <a:off x="5458036" y="2964"/>
          <a:ext cx="6607810" cy="1827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rgbClr val="FF0000"/>
              </a:solidFill>
              <a:effectLst/>
              <a:latin typeface="Georgia" panose="02040502050405020303" pitchFamily="18" charset="0"/>
              <a:ea typeface="+mn-ea"/>
              <a:cs typeface="+mn-cs"/>
            </a:rPr>
            <a:t>Onderstaand geeft de dienstverlener een opbouw van de uurlonen die als uitgangspunt voor de calculatie zijn genomen. Deze tarieven vormen de basis  voor toekomstige indexeringen.</a:t>
          </a:r>
        </a:p>
        <a:p>
          <a:r>
            <a:rPr lang="nl-NL" sz="1100">
              <a:solidFill>
                <a:srgbClr val="FF0000"/>
              </a:solidFill>
              <a:effectLst/>
              <a:latin typeface="Georgia" panose="02040502050405020303" pitchFamily="18" charset="0"/>
              <a:ea typeface="+mn-ea"/>
              <a:cs typeface="+mn-cs"/>
            </a:rPr>
            <a:t>De opbouw van het basisuurloon voor de medewerkers is gebaseerd op de loongroepverdeling zoals opgenomen in tabblad 15a, Onderbouwing basis uurloon.</a:t>
          </a:r>
        </a:p>
        <a:p>
          <a:endParaRPr lang="nl-NL" sz="1000">
            <a:solidFill>
              <a:srgbClr val="FF0000"/>
            </a:solidFill>
            <a:effectLst/>
            <a:latin typeface="Georgia" panose="02040502050405020303" pitchFamily="18" charset="0"/>
          </a:endParaRPr>
        </a:p>
        <a:p>
          <a:r>
            <a:rPr lang="nl-NL" sz="1100">
              <a:solidFill>
                <a:srgbClr val="FF0000"/>
              </a:solidFill>
              <a:effectLst/>
              <a:latin typeface="Georgia" panose="02040502050405020303" pitchFamily="18" charset="0"/>
              <a:ea typeface="+mn-ea"/>
              <a:cs typeface="+mn-cs"/>
            </a:rPr>
            <a:t>Het component "Suppletiekosten toeslag" is de maximale suppletiekosten toeslag die door de inschrijver in rekening wordt gebracht. Na gunning wordt, op basis van de daadwerkelijk overgenomen medewerkers, de suppetiekosten toeslag eventueel naar </a:t>
          </a:r>
          <a:r>
            <a:rPr lang="nl-NL" sz="1100" u="sng">
              <a:solidFill>
                <a:srgbClr val="FF0000"/>
              </a:solidFill>
              <a:effectLst/>
              <a:latin typeface="Georgia" panose="02040502050405020303" pitchFamily="18" charset="0"/>
              <a:ea typeface="+mn-ea"/>
              <a:cs typeface="+mn-cs"/>
            </a:rPr>
            <a:t>beneden</a:t>
          </a:r>
          <a:r>
            <a:rPr lang="nl-NL" sz="1100">
              <a:solidFill>
                <a:srgbClr val="FF0000"/>
              </a:solidFill>
              <a:effectLst/>
              <a:latin typeface="Georgia" panose="02040502050405020303" pitchFamily="18" charset="0"/>
              <a:ea typeface="+mn-ea"/>
              <a:cs typeface="+mn-cs"/>
            </a:rPr>
            <a:t> aangepast. </a:t>
          </a:r>
        </a:p>
        <a:p>
          <a:r>
            <a:rPr lang="nl-NL" sz="1100">
              <a:solidFill>
                <a:srgbClr val="FF0000"/>
              </a:solidFill>
              <a:effectLst/>
              <a:latin typeface="Georgia" panose="02040502050405020303" pitchFamily="18" charset="0"/>
              <a:ea typeface="+mn-ea"/>
              <a:cs typeface="+mn-cs"/>
            </a:rPr>
            <a:t>Dit tariefcomponent wordt gedurende de contractperiode,</a:t>
          </a:r>
          <a:r>
            <a:rPr lang="nl-NL" sz="1100" baseline="0">
              <a:solidFill>
                <a:srgbClr val="FF0000"/>
              </a:solidFill>
              <a:effectLst/>
              <a:latin typeface="Georgia" panose="02040502050405020303" pitchFamily="18" charset="0"/>
              <a:ea typeface="+mn-ea"/>
              <a:cs typeface="+mn-cs"/>
            </a:rPr>
            <a:t> bij uitdiensttreding van medewerkers, </a:t>
          </a:r>
          <a:r>
            <a:rPr lang="nl-NL" sz="1100">
              <a:solidFill>
                <a:srgbClr val="FF0000"/>
              </a:solidFill>
              <a:effectLst/>
              <a:latin typeface="Georgia" panose="02040502050405020303" pitchFamily="18" charset="0"/>
              <a:ea typeface="+mn-ea"/>
              <a:cs typeface="+mn-cs"/>
            </a:rPr>
            <a:t>aangepast. Bij het niet invullen van het suppletiekosten component kan de dienstverlener hier na gunning geen aanspraak meer op doen.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171026</xdr:colOff>
      <xdr:row>3</xdr:row>
      <xdr:rowOff>140125</xdr:rowOff>
    </xdr:from>
    <xdr:to>
      <xdr:col>15</xdr:col>
      <xdr:colOff>203834</xdr:colOff>
      <xdr:row>7</xdr:row>
      <xdr:rowOff>152400</xdr:rowOff>
    </xdr:to>
    <xdr:sp macro="" textlink="">
      <xdr:nvSpPr>
        <xdr:cNvPr id="2" name="Tekstvak 1">
          <a:extLst>
            <a:ext uri="{FF2B5EF4-FFF2-40B4-BE49-F238E27FC236}">
              <a16:creationId xmlns:a16="http://schemas.microsoft.com/office/drawing/2014/main" id="{64A0214B-EDE4-4942-8FCE-55DCBEA23038}"/>
            </a:ext>
          </a:extLst>
        </xdr:cNvPr>
        <xdr:cNvSpPr txBox="1"/>
      </xdr:nvSpPr>
      <xdr:spPr>
        <a:xfrm>
          <a:off x="5714576" y="778300"/>
          <a:ext cx="5795433" cy="96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rgbClr val="FF0000"/>
              </a:solidFill>
              <a:effectLst/>
              <a:latin typeface="Georgia" panose="02040502050405020303" pitchFamily="18" charset="0"/>
              <a:ea typeface="+mn-ea"/>
              <a:cs typeface="+mn-cs"/>
            </a:rPr>
            <a:t>Onderstaand geeft de dienstverlener een opbouw van de uurlonen</a:t>
          </a:r>
          <a:r>
            <a:rPr lang="nl-NL" sz="1100" baseline="0">
              <a:solidFill>
                <a:srgbClr val="FF0000"/>
              </a:solidFill>
              <a:effectLst/>
              <a:latin typeface="Georgia" panose="02040502050405020303" pitchFamily="18" charset="0"/>
              <a:ea typeface="+mn-ea"/>
              <a:cs typeface="+mn-cs"/>
            </a:rPr>
            <a:t> die als uitgangspunt voor de </a:t>
          </a:r>
          <a:r>
            <a:rPr lang="nl-NL" sz="1100">
              <a:solidFill>
                <a:srgbClr val="FF0000"/>
              </a:solidFill>
              <a:effectLst/>
              <a:latin typeface="Georgia" panose="02040502050405020303" pitchFamily="18" charset="0"/>
              <a:ea typeface="+mn-ea"/>
              <a:cs typeface="+mn-cs"/>
            </a:rPr>
            <a:t>calculatie zijn genomen en terug komen in tabblad 15, opbouw uurtarieven. Deze tarieven vormen de basis  voor toekomstige indexeringen.</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rgbClr val="FF0000"/>
              </a:solidFill>
              <a:effectLst/>
              <a:latin typeface="Georgia" panose="02040502050405020303" pitchFamily="18" charset="0"/>
              <a:ea typeface="+mn-ea"/>
              <a:cs typeface="+mn-cs"/>
            </a:rPr>
            <a:t>Gedurende de contractperiode worden de opgegeven percentages per loongroep, waarop het opgegeven gemiddelde uurtarief is gebaseerd, NIET aangepast.</a:t>
          </a:r>
        </a:p>
        <a:p>
          <a:endParaRPr lang="nl-NL" sz="1100">
            <a:solidFill>
              <a:srgbClr val="FF0000"/>
            </a:solidFill>
            <a:effectLst/>
            <a:latin typeface="Georgia" panose="02040502050405020303" pitchFamily="18" charset="0"/>
            <a:ea typeface="+mn-ea"/>
            <a:cs typeface="+mn-cs"/>
          </a:endParaRPr>
        </a:p>
        <a:p>
          <a:endParaRPr lang="nl-NL" sz="1000">
            <a:solidFill>
              <a:srgbClr val="FF0000"/>
            </a:solidFill>
            <a:effectLst/>
            <a:latin typeface="Georgia" panose="02040502050405020303"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vb939-my.sharepoint.com/Afdelingen/Commercie/Offertes/Noordwest/2017/UvA/Calculatie/Q3/Ruimtestaat%20en%20factuurbedragen%20Q3%202017%20Science%20Park%20-%20CSU%20obv%20rev%2037_prullebakk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l.iss.biz\ISSNL\DOCUME~1\VAARKA~1\LOCALS~1\Temp\Temporary%20Directory%201%20for%20Offerte%20ISS.zip\Invulform%2000007-2005-SNSZuid%20versie%201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ocuments%20and%20Settings\lhhoff\Local%20Settings\Temporary%20Internet%20Files\OLK1C8\Valuation%20model%20-%20ver%202009%2002%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C\Documents%20and%20Settings\Naomi\Local%20Settings\Temporary%20Internet%20Files\Content.Outlook\ILGDZFKW\HD%20MBP%20Erik%20ATIR%20Werkdocumenten\%20%20ATIR%20in%20%20behandeling\Tarieven%202004\atir"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0ATIR%20Werkdocumenten\%20%20ATIR%20in%20%20behandeling\Tarieven%202004\ati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gvb939-my.sharepoint.com/Afdelingen/Commercie/Offertes/Noordwest/2017/Sovon%20-%20Inkada/Calculatie/Calc%20SOVON%20perceel%202_NvI_1_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ATA\Zakelijk\ISS%20HK\Mantels\RGN\Tempo%20Team\vestigingenoverzicht%20Tempo-Tea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ijn%20documenten\mijn%20documenten\01-%20offertes%20en%20in%20onderhoud\00-IN%20ONDERHOUD\Solvay%20Pharmaceuticals\2005-Solvay%20Pharmaceutials\04.424Aa-off%20DEFINITIEF%20jun%2005%20Solvay%20Pharmaceuticals%20begr.%202005%20opb.%202004.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Inschrijfbiljetten%20leeg%20oude%20methode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CSG%20West\97032%20NKI-AVL%202004\Schoonmaak\Nieuwbouw\Contractbeheer\Calculaties\20040104%20Calculatie%20NKI%20nieuwbouw%20revisie%2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l.iss.biz\ISSNL\Documents%20and%20Settings\Emilie\Mijn%20documenten\FA%20-%20ISS%20Werkmappen\Documents%20and%20Settings\gcorneli\Desktop\objecten\berichtenformulieren\berichtenformulier%20diensten%20abonne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vb939-my.sharepoint.com/My%20Documents/Projecten/Holland%20casino/Plattegronden%20gebouwen/X5062.01.01-Amsterdam%20Kruisgebouw-meetstaten-20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Naomi\Local%20Settings\Temporary%20Internet%20Files\Content.Outlook\ILGDZFKW\HD%20MBP%20Erik%20ATIR%20Werkdocumenten\%20%20ATIR%20in%20%20behandeling\Tarieven%202004\ati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ukje\Desktop\ADHD\schoonmaak\aanbesteding\file:\D:\Yamaha\Calculatie%20concep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issglobal1-my.sharepoint.com/Marco%20Engbers%20%20-%20Asito/13.%20Voorstellen/Vestiging%20Doetinchem%20&amp;%20Zutpen/1.%20In%20Behandeling/Verosol%20Eibergen/Calculatie%20Verosol%2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lmfs02\sjablonen$\Documents%20and%20Settings\svheck\Local%20Settings\Temporary%20Internet%20Files\Content.Outlook\ZZITY942\Nico\Calculatie\Akkoord\1655434a%20VeenCampus%20Vathor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Documents%20and%20Settings\Serge\Local%20Settings\Temporary%20Internet%20Files\OLK1F\Papyrus%20BSC%20Beginmeting%20en%20Voorcalculatie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gemeen\algemeen$\Afdelingen\Commercie\Offertes\Noordwest\2019\Stg%20Interconfessioneel%20RK%20PC%20VO%20Gregor%20Mendel%20-%20Inkada\Calculatie\Calc_Kennemer%20Lyceum_V1_GN_MVH_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Utrecht\Common\IFS-Sales\Accounts\Prospects%20-%20Leads\UWV%20Multiservices%202012\Calculatie\Pricing%2095%25\20120731%20P&amp;L%20-%20UWV%20pricing%2095%25%20EK%20JP.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ilmtosi\AppData\Local\Microsoft\Windows\Temporary%20Internet%20Files\Content.Outlook\73W1LHGI\Fujitsu%20-Post%20Submission%20-%20TUPE%20Compliant%20Extra%20Sites%20Benchmarked.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Maarssen\Common\CBD\Afdeling%20Commercie\OFFERTE\TEKST%20(UITGEBRACHT)\ISS%20C&amp;C%20-%20Hospital\Prospect\1%20ZIEKENHUIZEN\UMC%20St%20Radboud\OFFERTE\Bid%20commitee\20121015_Overnamegegevens%20berekening%20ISS.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lient\E$\Users\lhotting\Desktop\alpha\Inschrijfbiljetten_OGN_v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na2.know.hp.com/Documents%20and%20Settings/jhatfield/Local%20Settings/Temporary%20Internet%20Files/OLK5A/Site%20Info%20-%2011-27-06%2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CSG%20Klanten%20actief\CSG%20Zuid\06007%20Diamant%20Groep%20Tilburg\Schoonmaak\Aanbestedingsstukken\09%200831%20Bijlage%205%20calculatie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gvb939-my.sharepoint.com/CBD/Offertes%202004/Haagse%20Hogeschool/HHS-origineel%20offerte%20definitief%20v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BF00372\users$\Yaw.Mante\Working%20Folders\Yaw\Work\4.%202011\10.%20October\FM_Project%20Unity\Mockup%20of%20Data%20Colletion%20Sheet%20draft7countr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TC2008SBS\HD%20PB%20Rob%20ATIR%20Werkdocumenten\%20%20ATIR%20in%20%20behandeling\Tarieven%202004\atir.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gvb939-my.sharepoint.com/Afdelingen/Commercie/Offertes/Noordwest/2019/Stichting%20Nederlands%20Scheepvaartmuseum%20Amsterdam%20(RFP)%20-%20SMC/Calculatie/RB/NvI%204/HSM%20Rekenmodel%202019%20v4_unprotected.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Program%20Files\Common%20Files\ncie-share\XLmacr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Aukje\Desktop\ADHD\schoonmaak\aanbesteding\file:\H13vfs01\Department_Data$\ISA\Noord-West\Calculatie\CALCULATIE%20BENODIGDHEDEN\AFROEPPRIJZEN%2020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lient\E$\WINDOWS\Temporary%20Internet%20Files\OLK2\WERKPROGRAMMA%20PSU%20ONDERWIJS%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tra1rg1\data\Sales\Oud%20Lavold%20Data\IJekel\06\Landelijke%20accounts\UWV%20Gak%202003\Contracten%202004\Zuid%20West\Rijswijk%20-%20J.C.%20van%20Markenlaan%205-pp20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twijfs01\users\Documents%20and%20Settings\pvgils\Local%20Settings\Temporary%20Internet%20Files\OLK1\Totaal%20voorstel%20Stegeman%2027042012%2014.00%20uur.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lmfs02\sjablonen$\OPDRACHTGEVERS\Marenland,%20Onderwijsbureau\Aanbesteding%202007\Bestek\Inventarisaties%20voor%20EA\Abt%20Emo%20School%20Westeremden%201906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CSG%20Klanten%20actief\CSG%20Zuid\97008%20DS%20Pierson%20College\Schoonmaak\Aanbesteding%202011\08%20Calculatie\10%201229%20Rev%2000Calculatie%20Ds%20Pierso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jeanettek\AppData\Local\Microsoft\Windows\Temporary%20Internet%20Files\Content.Outlook\MOI7SDBL\ruimtestaat%20Nazareth.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milmtosi\AppData\Local\Microsoft\Windows\Temporary%20Internet%20Files\Content.Outlook\73W1LHGI\Cleaning%20data%20CE_final_send.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CSG%20Klanten%20actief\CSG%20West\07015%20Altrecht\Schoonmaak\Programma\07%201018%20Calculatie%20Altrech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84924.afasinsite.nl/CSG%20Klanten%20actief/CSG%20West/97032%20NKI-AVL/Schoonmaak/Programma's%20Huidig/Nieuw%20en%20Oudbouw%20Samen/CSG/01025%20Telfort%20A'dam/01025%20Programma/Progr.Telfort-Entree1-kan25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CSG%20Klanten%20actief\CSG%20West\97032%20NKI-AVL\Schoonmaak\Programma%20tbv%20Aanbesteding\06%200328%20Programma%20NKIAv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lwshr02\lwp_sta_fin\C\AtirLLSProductie\Atir\Projecten%20algemeen\In%20behandeling\Provincie%20Zuid%20Holland\Aanbesteding%202012\PZH%20calculatie\Calculatiemodel%20proquere%20definitief"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Inkoop\Facilitair%20Bedrijf\Facilitair%20Bedrijf%20(Vastgoed%20&amp;%20Milieu)\Projecten%20afgehandeld\Catering\Aanbesteding%202008\Projecten\Catering\981.035Fuji\corresp\ModelP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lwshr02\lwp_sta_fin\C\Users\r.toorenburgh\AppData\Local\Microsoft\Windows\Temporary%20Internet%20Files\Content.Outlook\83YS3KGK\Westerveld%20oude%20calculatie"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gvb939.sharepoint.com/AtirLLSProductie/Atir/Projecten%20algemeen/In%20behandeling/GVB/1.%202018/1.%20Stations/0.%20Aanbesteding%202020/NVI/Perceel%201%20Comfortschoonmaak%20NVI%201%20leeg.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In%20behandeling\Belastingdienst2003\ISS-Belastingdienst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alwshr02\lwp_sta_fin\C\Users\nicole\AppData\Local\Microsoft\Windows\Temporary%20Internet%20Files\Content.Outlook\P4414I6B\Mutatie%20GVB%20Kraaijenest%20NvB"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lwshr02\lwp_sta_fin\C\AtirLLSProductie\Atir\Projecten%20algemeen\In%20behandeling\Provincie%20Zuid%20Holland\Aanbesteding%202012\PZH%20calculatie\GLV-Calculatiemodel%20DEF"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Documents%20and%20Settings\lhhoff\Local%20Settings\Temporary%20Internet%20Files\OLK1C8\Valuation%20model%20-%20ver%202009%20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issglobal1-my.sharepoint.com/Users/lhotting/AppData/Local/Microsoft/Windows/Temporary%20Internet%20Files/Content.Outlook/73BBDHCT/Kopie%20van%20Simiss%20%20v11%20GGZ%20versie%202%200.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gvb939-my.sharepoint.com/Afdelingen/Commercie/Offertes/Noordwest/2017/Stichting%20Horizon%20en%20St.%20Altra%20jeugdzorg%20en%20speciaal%20onderwijs%20(Icca)/Calculatie/1e%20versie/Bijlage%20D1%20Calculatiemodel%20perceel%203-V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issglobal1-my.sharepoint.com/personal/emilie_meijnen_nl_issworld_com/Documents/AB%20Prijzen/2016/2013/Af%20b%20-%20nog%20naar%20CBDschijf/GGZ-1%20v1a%2009-03-24em%20mut%20en%204x%20nieuw%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TC2008SBS\C\Documents%20and%20Settings\Naomi\Local%20Settings\Temporary%20Internet%20Files\Content.Outlook\ILGDZFKW\HD%20MBP%20ErikUsers\fred\Desktop\Nota%20Fred\DELTA%20N.V.-Calculati#3F4559"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ommercial\James\Oldham\Olham%20Cost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Beheer\Beheer%20KLPD\Beheer2000\OffAsito04-12-0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Medewerkers\02.%20Offertes\01.%20In%20Behandeling\2011\Gemeente%20Heerenveen-2011274-Off\03%20Calculatie\Bijlage%204a%20Ruimtestaat%20en%20kostenmatrix%20Schoonmaak%20Perceel%2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nCie\klanten\Papyrus\TV\Papyrus-TV-BeginMeting03083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lgemeen\algemeen$\Afdelingen\Commercie\Offertes\Noordwest\2020\WNF%20-%20SMC\Calculatie\Calc%20WNF255%20v1%2005-02-2020em.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Huisv\Oude%20indeling%20L-schijf\Daphne%20auditing\KPN\mobiele%20telefonie\analyse%20mobiele%20telefonie\vergelijkemiskpnfebruari20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gio%20Esther%20Westerhuis\SVVE\Calculatie\2009\SVVE%20De%20Orangerie\RBS%20De%20Orangerie%2013-03-09%20jh.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Projecten\Catering\981.035Fuji\corresp\ModelP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nCie\kostensoorten%20standaard\TV\Tarieven%20TV.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MAsupport\Projects%20-%202000\Holland%20-%20CSU\Quick%20valuation%20model%20-%20NEW%20Version.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Gom%20Schoonhouden\Calculatiemodellen\kladmarco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SG%20Klanten%20actief\CSG%20West\97032%20NKI-AVL\Schoonmaak\Programma%20tbv%20Aanbesteding\06%200328%20Programma%20NKIAvL.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gvb939-my.sharepoint.com/Afdelingen/Commercie/Offertes/Noordwest/2019/TMG%20(Heyday)/Calculatie/TMG_calc_v3_rvs.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Nlavnfsr02\avnshr018\In%20behandeling\UWV\Amsterdam%20-%20Delflandlaan%203-5%20pp2003.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120523%20Ruimtestaat%20Avenier1.0.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Users\rakse\AppData\Local\Microsoft\Windows\Temporary%20Internet%20Files\Content.Outlook\U6Y32292\NAW-bestand%20tbv%20contractwissel%2013-11-2014%20Zwanenberg%20Almel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Bijlagen\Calculatie%20Dienstencentrum%20de%20mar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nts%20and%20Settings\dewis0\Local%20Settings\Temporary%20Internet%20Files\OLK1\PROEF%20TEMPLATE%20vereenvoudigd.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twijfs01\users\Documents%20and%20Settings\pvgils\Local%20Settings\Temporary%20Internet%20Files\OLK1\Foodcalc%202009%20v2%20CONCEP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AA%20-%20Werkmappen%20Cure&amp;Care\AA%20Onderhanden%20werk\2012%2009%20Radboud%20UMC%20%20Nijmegen\Calculatie%20ISS\UMC%20Utrecht%20Calculatie2011%20ISS%2011-12-12em.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gvb939-my.sharepoint.com/Afdelingen/National%20Accounts/Healthcare/Calculatie%20Zorg/Archipel%20nieuw%20model/Archipel%20Calculatie%20Totaal%202019%20v06%20tm%20191001.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AtirData\AtirLLSProductie\Atir\Projecten%20algemeen\In%20behandeling\OLVG\OLVG%202012\OLVG-Calculatie\calculatiemodel%202012%20HSO%20per%201-1-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CSG\01025%20Telfort%20A'dam\01025%20Programma\Progr.Telfort-Entree1-kan25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walwshr02\lwp_sta_fin\Users\marleen\AppData\Local\Microsoft\Windows\Temporary%20Internet%20Files\Content.Outlook\BAL0A37R\Calculatiemodel%20voor%20SED%202%20(3).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Users\marleen\AppData\Local\Microsoft\Windows\Temporary%20Internet%20Files\Content.Outlook\BAL0A37R\Calculatiemodel%20voor%20SED%202%20(3).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G:\ISSNL\Maarssen\Common\CBD\Afdeling%20Calculatie\Calculaties\Klanten\Regio%20Astri%20van%20Bilsen\Zaans%20Medisch%20Centrum\Calculaties%202008\ZMC-Calculatie%20v9a%2009-01-14em%20glas%20B15-B11-zazofs%20PB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G:\Users\p.schellingerhout\AppData\Local\Microsoft\Windows\Temporary%20Internet%20Files\Content.Outlook\MZRJO3S8\umcu%20voorcalc%20atir%20def.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lient\E$\Beheer\Beheer%20PGZ%20(ISS)\Actueel\Basisbestand%20PGZ.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walwshr02\lwp_sta_fin\Afdelingen\Commercie\Offertes\West\2014\GVB%20Perrons\Perceel%206\Prijslijst\Bijlage%201f%20GVB%20Calculatiemodel%20perceel%206%20(leeg).xlsx"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120706%20Ruimtestaat%20Avenier%20&amp;%20Horizon.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1\clstn0\LOCALS~1\Temp\Oude%20calculaties\Prijzen%20gouden%20versie%2012-02-03.xls" TargetMode="External"/></Relationships>
</file>

<file path=xl/externalLinks/_rels/externalLink88.xml.rels><?xml version="1.0" encoding="UTF-8" standalone="yes"?>
<Relationships xmlns="http://schemas.openxmlformats.org/package/2006/relationships"><Relationship Id="rId1" Type="http://schemas.microsoft.com/office/2006/relationships/xlExternalLinkPath/xlPathMissing" Target="HersteldeExterneKoppeling1"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Zwolle\Common\Contracten%20backoffice%20Zwolle\Calculatie\Key%20Accounts\ABN%20AMRO%202003\2009\OPG's\12%20-%20ABN%20AMRO%20per%201%20december%20OPG-2008%20incl.%203,6%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CSG%20Klanten%20actief\CSG%20West\09098%20SER\Aanbesteding\01%20Voorbereidend%20werk\Werkdocumenten\10%200718%20Calculatie%20SER%209.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CSG%20Zuid\05017%20Waterschap%20De%20Dommel\Programma\Calculatie%202005%20versie%201.XLS" TargetMode="External"/></Relationships>
</file>

<file path=xl/externalLinks/_rels/externalLink91.xml.rels><?xml version="1.0" encoding="UTF-8" standalone="yes"?>
<Relationships xmlns="http://schemas.openxmlformats.org/package/2006/relationships"><Relationship Id="rId3" Type="http://schemas.openxmlformats.org/officeDocument/2006/relationships/externalLinkPath" Target="file:///C:\Users\Rob%20Toorenburgh\Question%20Mark%20Group\Schoonmaak%20-%20General\Projecten%20algemeen\In%20behandeling\GVB\2.%20Vanaf%202018\1.%20Mobiliteit%20Stations\0.%20Aanbesteding%20specialistisch%202024\Aanbestedingsdocumenten\Calculatie\Spec.%20Perceel%202%20gevuld%20NVI%202.xlsx" TargetMode="External"/><Relationship Id="rId2" Type="http://schemas.microsoft.com/office/2019/04/relationships/externalLinkLongPath" Target="file:///C:\Users\Rob%20Toorenburgh\Question%20Mark%20Group\Schoonmaak%20-%20General\Projecten%20algemeen\In%20behandeling\GVB\2.%20Vanaf%202018\1.%20Mobiliteit%20Stations\0.%20Aanbesteding%20specialistisch%202024\Aanbestedingsdocumenten\Calculatie\Spec.%20Perceel%202%20gevuld%20NVI%202.xlsx?16DFF18F" TargetMode="External"/><Relationship Id="rId1" Type="http://schemas.openxmlformats.org/officeDocument/2006/relationships/externalLinkPath" Target="file:///\\16DFF18F\Spec.%20Perceel%202%20gevuld%20NVI%202.xlsx" TargetMode="External"/></Relationships>
</file>

<file path=xl/externalLinks/_rels/externalLink92.xml.rels><?xml version="1.0" encoding="UTF-8" standalone="yes"?>
<Relationships xmlns="http://schemas.openxmlformats.org/package/2006/relationships"><Relationship Id="rId3" Type="http://schemas.openxmlformats.org/officeDocument/2006/relationships/externalLinkPath" Target="https://gvb939.sharepoint.com/teams/TeamInkoopGVB/Gedeelde%20documenten/Inkoopprojecten/Infra%20&amp;%20Facilitair/2024-20%20Specialistische%20schoonmaak/05.%20Productie%20aanbestesdingsdocumenten/Bijlage%208%20-%20Calculatiemodellen/Spec.%20Perceel%201%20concept%20V9.xlsx" TargetMode="External"/><Relationship Id="rId2" Type="http://schemas.microsoft.com/office/2019/04/relationships/externalLinkLongPath" Target="https://gvb939.sharepoint.com/teams/TeamInkoopGVB/Gedeelde%20documenten/Inkoopprojecten/Infra%20&amp;%20Facilitair/2024-20%20Specialistische%20schoonmaak/05.%20Productie%20aanbestesdingsdocumenten/Bijlage%208%20-%20Calculatiemodellen/Spec.%20Perceel%201%20concept%20V9.xlsx?3F82B7BB" TargetMode="External"/><Relationship Id="rId1" Type="http://schemas.openxmlformats.org/officeDocument/2006/relationships/externalLinkPath" Target="file:///\\3F82B7BB\Spec.%20Perceel%201%20concept%20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G_macros"/>
      <sheetName val="scrprogramma"/>
      <sheetName val="scrvloersoort"/>
      <sheetName val="scrruimtestaten"/>
      <sheetName val="variabelen"/>
      <sheetName val="Begroting"/>
      <sheetName val="Opbouw"/>
      <sheetName val="Vaste gegevens"/>
      <sheetName val="totaal"/>
      <sheetName val="ma_vr_1"/>
      <sheetName val="ma_vr_1_nlp"/>
      <sheetName val="za_1"/>
      <sheetName val="zo_1"/>
      <sheetName val="Werkelijke dage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s"/>
      <sheetName val="Opslagen BL"/>
      <sheetName val="Tariefopbouw"/>
      <sheetName val="Regietarief"/>
      <sheetName val="Add prijzen"/>
      <sheetName val="matrix smo ind. loc&amp;rayons"/>
      <sheetName val="matrix glas "/>
      <sheetName val="Breda"/>
      <sheetName val="Eindhoven"/>
      <sheetName val="Heerlen"/>
      <sheetName val="Maastricht"/>
      <sheetName val="Venlo"/>
      <sheetName val="Overige kantoren"/>
      <sheetName val="Rayontotaal"/>
      <sheetName val="Kengeta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ice"/>
      <sheetName val="Char"/>
      <sheetName val="Fin Input"/>
      <sheetName val="Adjust"/>
      <sheetName val="Syn,Good,Fin"/>
      <sheetName val="Value of Customer Contracts"/>
      <sheetName val="TAB"/>
      <sheetName val="Tax"/>
      <sheetName val="BudAssum"/>
      <sheetName val="Budget"/>
      <sheetName val="EBITA bridge"/>
      <sheetName val="Season"/>
      <sheetName val="Bud ISS"/>
      <sheetName val="Valuation"/>
      <sheetName val="Ratios"/>
      <sheetName val="Indicator"/>
      <sheetName val="Priorities"/>
      <sheetName val="LBO"/>
      <sheetName val="Covenants"/>
      <sheetName val="EPS effect"/>
      <sheetName val="Sensi"/>
      <sheetName val="Print"/>
      <sheetName val="S1 M1 L1 XL1"/>
      <sheetName val="S3 M3 L3 XL3"/>
      <sheetName val="S5"/>
      <sheetName val="S7"/>
      <sheetName val="M9 L19 XL27"/>
      <sheetName val="M11"/>
      <sheetName val="M13 L25 XL33"/>
      <sheetName val="M15 L27 XL35"/>
      <sheetName val="L5 XL7"/>
      <sheetName val="L17 XL25"/>
      <sheetName val="L21 XL29"/>
      <sheetName val="L23 XL31"/>
      <sheetName val="AQ database"/>
    </sheetNames>
    <sheetDataSet>
      <sheetData sheetId="0" refreshError="1"/>
      <sheetData sheetId="1" refreshError="1"/>
      <sheetData sheetId="2"/>
      <sheetData sheetId="3" refreshError="1"/>
      <sheetData sheetId="4"/>
      <sheetData sheetId="5"/>
      <sheetData sheetId="6"/>
      <sheetData sheetId="7"/>
      <sheetData sheetId="8"/>
      <sheetData sheetId="9" refreshError="1"/>
      <sheetData sheetId="10"/>
      <sheetData sheetId="11"/>
      <sheetData sheetId="12"/>
      <sheetData sheetId="13"/>
      <sheetData sheetId="14" refreshError="1"/>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Omreken"/>
      <sheetName val="Tabellen"/>
      <sheetName val="Validaties"/>
      <sheetName val="atir_xls"/>
      <sheetName val="Info blad"/>
      <sheetName val="Operationeel"/>
      <sheetName val="1-Contract tot. en prijzenblad"/>
      <sheetName val="2-Basis ruimtestaat"/>
      <sheetName val="3-Premies en opslagen"/>
      <sheetName val="4-Opbouw uurtarief productie"/>
      <sheetName val="5-Opbouw uurtarief toezicht"/>
      <sheetName val="6-Afroepprijs"/>
      <sheetName val="7-Glasbewassing"/>
      <sheetName val="8-Machinekosten"/>
      <sheetName val="9-Sanitaire voorzieningen"/>
      <sheetName val="10-Menukaart Meeting &amp; Events"/>
      <sheetName val="Dieptereiniging Keuken"/>
      <sheetName val="Basis"/>
      <sheetName val="Gomtarief"/>
      <sheetName val="Gomregie"/>
      <sheetName val="GSRtarief"/>
      <sheetName val="ORtarief"/>
      <sheetName val="Printblad"/>
      <sheetName val="SocLasten"/>
      <sheetName val="Uitgangspunten"/>
      <sheetName val="4Atir"/>
      <sheetName val="5Atir"/>
      <sheetName val="Resume"/>
      <sheetName val="Berekening Resume"/>
      <sheetName val="Blad1"/>
      <sheetName val="atir_xls1"/>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tir.xls"/>
      <sheetName val="atir_xls"/>
      <sheetName val="3-Basis_ruimtestaat"/>
      <sheetName val="atir_xls1"/>
      <sheetName val="Omreken"/>
      <sheetName val="atir_xls2"/>
    </sheetNames>
    <sheetDataSet>
      <sheetData sheetId="0" refreshError="1"/>
      <sheetData sheetId="1" refreshError="1"/>
      <sheetData sheetId="2" refreshError="1"/>
      <sheetData sheetId="3" refreshError="1"/>
      <sheetData sheetId="4"/>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ndleiding"/>
      <sheetName val="Legenda"/>
      <sheetName val="Tariefsopbouw"/>
      <sheetName val="Prestatie"/>
      <sheetName val="Programma"/>
      <sheetName val="Bouw m2"/>
      <sheetName val="GC"/>
      <sheetName val="RS"/>
      <sheetName val="normblad"/>
      <sheetName val="Recap"/>
      <sheetName val="Uurtarieven"/>
      <sheetName val="Toeslagen"/>
      <sheetName val="Percentages"/>
      <sheetName val="Extra werkzhdn"/>
      <sheetName val="San. Voorz."/>
      <sheetName val="Totalisatie"/>
      <sheetName val="Opgave m2 prijz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eve vestigingen"/>
      <sheetName val="data"/>
      <sheetName val="inactieve vestigingen"/>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Voortgang"/>
      <sheetName val="aanpassingen"/>
      <sheetName val="Prijsbladen"/>
      <sheetName val="vanaf hier printen"/>
      <sheetName val="Toelichting begroting 2005"/>
      <sheetName val="Totaal kostenoverzicht 2005"/>
      <sheetName val="Tarieven"/>
      <sheetName val="overzicht vaste bonnen 2005"/>
      <sheetName val="overzicht uren totaal 2004"/>
      <sheetName val="Afschrijving mach. + materiaal"/>
      <sheetName val="glasbewassing"/>
      <sheetName val="inloopmatten"/>
      <sheetName val="hygiëne containers"/>
      <sheetName val="tot hier printen"/>
      <sheetName val="2004 amve"/>
      <sheetName val="kengetal afd."/>
      <sheetName val="kengetal cleanroom overig"/>
      <sheetName val="kengetal WWP per rmt."/>
      <sheetName val="kengetal WWP dag-avond"/>
      <sheetName val="kengetal radiologische labs"/>
      <sheetName val="mid-mat-kleding-inleen-glas"/>
      <sheetName val="Kompas 2"/>
      <sheetName val="Module1"/>
      <sheetName val="Module2"/>
      <sheetName val="Module3"/>
      <sheetName val="Module4"/>
      <sheetName val="Module5"/>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verzamelblad"/>
      <sheetName val="basisgegevens opdrachtgever"/>
      <sheetName val="basisgegevens bestek contract"/>
      <sheetName val="basisgegevens aannemer"/>
      <sheetName val="uurtariefopbouw"/>
      <sheetName val="overige m2 prijzen"/>
      <sheetName val="10-101"/>
      <sheetName val="10-102"/>
      <sheetName val="10-103"/>
      <sheetName val="10-104"/>
      <sheetName val="10-105"/>
      <sheetName val="10-106"/>
      <sheetName val="10-107"/>
      <sheetName val="10-108"/>
      <sheetName val="10-109"/>
      <sheetName val="10-110"/>
      <sheetName val="10-111"/>
      <sheetName val="10-112"/>
      <sheetName val="10-113"/>
      <sheetName val="10-114"/>
      <sheetName val="10-115"/>
      <sheetName val="10-116"/>
      <sheetName val="10-117"/>
      <sheetName val="10-118"/>
      <sheetName val="10-119"/>
      <sheetName val="10-120"/>
      <sheetName val="10-121"/>
      <sheetName val="10-122"/>
      <sheetName val="10-123"/>
      <sheetName val="10-124"/>
      <sheetName val="10-125"/>
      <sheetName val="10-126"/>
      <sheetName val="10-127"/>
      <sheetName val="10-128"/>
      <sheetName val="10-129"/>
      <sheetName val="10-130"/>
      <sheetName val="10-131"/>
      <sheetName val="10-132"/>
      <sheetName val="10-133"/>
      <sheetName val="10-134"/>
      <sheetName val="Uitvoergegevens"/>
      <sheetName val="Inhoud"/>
      <sheetName val="Samenvatting"/>
      <sheetName val="Inschrijfbiljet 1"/>
      <sheetName val="Inschrijfbiljet 2"/>
      <sheetName val="Inschrijfbiljet 3"/>
      <sheetName val="Inschrijfbiljet 4"/>
      <sheetName val="Inschrijfbiljet 5"/>
      <sheetName val="Blad50"/>
      <sheetName val="Blad51"/>
      <sheetName val="Blad52"/>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form.Contractomzet Diensten"/>
      <sheetName val="Uitvoerder"/>
      <sheetName val="Aard werk"/>
      <sheetName val="Frequneti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1"/>
      <sheetName val="B-2"/>
      <sheetName val="C"/>
      <sheetName val="Totaal"/>
      <sheetName val="DT-inhoud"/>
      <sheetName val="DT-oppevl"/>
      <sheetName val="Laag 1"/>
      <sheetName val="BVO"/>
      <sheetName val="Categoriee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ndachtspunten"/>
      <sheetName val="taakverdeling per gebouw"/>
      <sheetName val="calculatie glas"/>
      <sheetName val="foto's glas"/>
      <sheetName val="calculatie HQ"/>
      <sheetName val="calculatie Service center"/>
      <sheetName val="calculatie Distribution"/>
      <sheetName val="Uurtarieven"/>
      <sheetName val="m² prijzen"/>
      <sheetName val="eenheidsprijzen"/>
      <sheetName val="Machine-investeringskosten"/>
      <sheetName val="dieptereiniging"/>
      <sheetName val="uurtarieven extra werkzhd"/>
      <sheetName val="Matrix artikel 21 CAO"/>
      <sheetName val="Algemeen"/>
      <sheetName val="Hoeveelheden sanitair"/>
      <sheetName val="Calculatie diepter sanitair"/>
      <sheetName val="Calculatieblad dieptereining"/>
      <sheetName val="werkprg sanitair"/>
      <sheetName val="werkprg. keuken"/>
      <sheetName val="werkprg. pantry"/>
      <sheetName val="niet in offerte"/>
      <sheetName val="Offerteproces"/>
      <sheetName val="Vragen bestek"/>
      <sheetName val="normentabel"/>
      <sheetName val="Werkwijze"/>
      <sheetName val="Invulblad uurtarieven"/>
      <sheetName val="Basisgegeve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ndachtspunten"/>
      <sheetName val="Totaaloverzicht"/>
      <sheetName val="Normen"/>
      <sheetName val="Ruimtestaat"/>
      <sheetName val="Glasbewassing"/>
      <sheetName val="TARIEF"/>
      <sheetName val="BM"/>
      <sheetName val="Uurtarieven"/>
      <sheetName val="Invulblad uurtarieven"/>
      <sheetName val="Matrix artikel 17 CAO"/>
      <sheetName val="Basisgegevens"/>
      <sheetName val="Werkbare dage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URING"/>
      <sheetName val="OBJECT "/>
      <sheetName val="CALCULATIE"/>
      <sheetName val="CALCULATIE 2 (2)"/>
      <sheetName val="CALCULATIE 2 (3)"/>
      <sheetName val="Blad3"/>
      <sheetName val="CALCULATIE 2 (4)"/>
      <sheetName val="SLOTSCHERM"/>
      <sheetName val="RAYON"/>
      <sheetName val="MD"/>
      <sheetName val="GLAS"/>
      <sheetName val="UURTARIEF"/>
      <sheetName val="Matrix"/>
      <sheetName val="T&amp;T Glas"/>
      <sheetName val="T&amp;T Sp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Huidig en Prognose"/>
      <sheetName val="BSC CA"/>
      <sheetName val="BSC SC"/>
      <sheetName val="Reductieberekening"/>
      <sheetName val="Voorcalcalculati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 val="Kengetallen"/>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EXT)"/>
      <sheetName val="Blad1"/>
      <sheetName val="CALC (EXT)"/>
      <sheetName val="Recap (INT)"/>
      <sheetName val="CALC (INT)"/>
      <sheetName val="normblad"/>
      <sheetName val="Basics en GC"/>
      <sheetName val="PVE_func eisen"/>
      <sheetName val="leeftijd"/>
      <sheetName val="Uurtarieven"/>
      <sheetName val="Percentages"/>
      <sheetName val="Toeslagen"/>
      <sheetName val="Indicatieve afroepprijzen"/>
      <sheetName val="Werkprogramma"/>
      <sheetName val="Tariefsopbouw"/>
      <sheetName val="Overnamegegevens"/>
      <sheetName val="Prestatiefactoren"/>
      <sheetName val="Ruimtestaat"/>
      <sheetName val="Glasbewassing"/>
      <sheetName val="Vloeronderhoud"/>
      <sheetName val="Extra werkzaamheden"/>
      <sheetName val="Regie en afroep"/>
      <sheetName val="Totalisat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overzicht"/>
      <sheetName val="functieschalen FUWA"/>
      <sheetName val="functieschalen HAY"/>
      <sheetName val="functieindeling"/>
      <sheetName val="Opstartkosten catering"/>
      <sheetName val="Totaaloverzicht"/>
      <sheetName val="Model"/>
      <sheetName val="8 jaar"/>
      <sheetName val="Bieding"/>
      <sheetName val="Account management jr1"/>
      <sheetName val="Account management jr 2"/>
      <sheetName val="Account management jr 3"/>
      <sheetName val="Account management jr 4"/>
      <sheetName val="Account management jr 5"/>
      <sheetName val="Tranisition costs jr 1"/>
      <sheetName val="5 year model"/>
      <sheetName val="NL"/>
      <sheetName val="Noord"/>
      <sheetName val="Zuid"/>
      <sheetName val="EMEA (2)"/>
      <sheetName val="EMEA"/>
      <sheetName val="Rates"/>
      <sheetName val="NL bench "/>
      <sheetName val="Assumptions"/>
      <sheetName val="Kengetallen oud"/>
      <sheetName val="overhead&amp;profit 2010"/>
      <sheetName val="Bewaking &amp; receptie 2010"/>
      <sheetName val="Facility Management 2010"/>
      <sheetName val="Schoonmaak 2010"/>
      <sheetName val="Model 2012"/>
      <sheetName val="Uren"/>
      <sheetName val="overzicht regelingen"/>
      <sheetName val="Prijsopbouw 2012"/>
      <sheetName val="Risico inventarisatie"/>
      <sheetName val="gemiddeld m2 tarief Noord"/>
      <sheetName val="gemiddeld m2 tarief Zuid"/>
      <sheetName val="Uitloop Noord"/>
      <sheetName val="Uitloop Zuid"/>
      <sheetName val="FM management"/>
      <sheetName val="FUWA uurtarieven"/>
      <sheetName val="functieschalen HAY (2)"/>
      <sheetName val="Personeel"/>
      <sheetName val="Blad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Assumptions"/>
      <sheetName val="Tender Settlement Form"/>
      <sheetName val="Adding Sheets"/>
      <sheetName val="Site Info"/>
      <sheetName val="Equip"/>
      <sheetName val="Periodics"/>
      <sheetName val="Comms_Tech"/>
      <sheetName val="Materials"/>
      <sheetName val="Amendments"/>
      <sheetName val="Other"/>
      <sheetName val="Hard Serv Subcon"/>
      <sheetName val="Hard Serv Matrix"/>
      <sheetName val="Tender Price Tracker Form"/>
      <sheetName val="Record of Tender Details"/>
      <sheetName val="Notification of Contract Award"/>
      <sheetName val="Contract Com no Signed Contract"/>
      <sheetName val="Hourly Rates"/>
      <sheetName val="Benchmarks"/>
      <sheetName val="Headcount Data"/>
      <sheetName val="Multi Service Details"/>
      <sheetName val="Summary"/>
      <sheetName val="Mobilisation"/>
      <sheetName val="MC"/>
      <sheetName val="SC1"/>
      <sheetName val="SC2"/>
      <sheetName val="SC3"/>
      <sheetName val="SC4"/>
      <sheetName val="Site (1)"/>
      <sheetName val="Sheet1"/>
      <sheetName val="Hygiene"/>
      <sheetName val="Site (2)"/>
      <sheetName val="Site (3)"/>
      <sheetName val="Site (4)"/>
      <sheetName val="Site (5)"/>
      <sheetName val="Site (6)"/>
      <sheetName val="Site (7)"/>
      <sheetName val="Site (8)"/>
      <sheetName val="Site (9)"/>
      <sheetName val="Site (10)"/>
      <sheetName val="Site (11)"/>
      <sheetName val="Site (12)"/>
      <sheetName val="Site (13)"/>
      <sheetName val="Site (14)"/>
      <sheetName val="Site (15)"/>
      <sheetName val="Site (16)"/>
      <sheetName val="Site (17)"/>
      <sheetName val="Site (18)"/>
      <sheetName val="Site (19)"/>
      <sheetName val="Site (20)"/>
      <sheetName val="Site (21)"/>
      <sheetName val="Site (22)"/>
      <sheetName val="Site (23)"/>
      <sheetName val="Site (24)"/>
      <sheetName val="Site (25)"/>
      <sheetName val="Site (26)"/>
      <sheetName val="Site (27)"/>
      <sheetName val="Site (28)"/>
      <sheetName val="Site (29)"/>
      <sheetName val="Site (30)"/>
      <sheetName val="Site (31)"/>
      <sheetName val="Site (32)"/>
      <sheetName val="Site (33)"/>
      <sheetName val="Site (34)"/>
      <sheetName val="Site (35)"/>
      <sheetName val="Site (36)"/>
      <sheetName val="Site (37)"/>
      <sheetName val="Site (38)"/>
      <sheetName val="Site (39)"/>
      <sheetName val="Site (40)"/>
      <sheetName val="Site (41)"/>
      <sheetName val="Site (42)"/>
      <sheetName val="Site (43)"/>
      <sheetName val="Site (44)"/>
      <sheetName val="Site (45)"/>
      <sheetName val="Site (46)"/>
      <sheetName val="Site (47)"/>
      <sheetName val="Site (48)"/>
      <sheetName val="Hygiene Requirements"/>
      <sheetName val="Laundry (Mats)"/>
      <sheetName val="Productivity Calcs"/>
      <sheetName val="Compact Productivity"/>
      <sheetName val="Assumed Pay Rates"/>
      <sheetName val="General Cleaning UK "/>
      <sheetName val="Pest Control"/>
      <sheetName val="Equipment"/>
      <sheetName val="Window Cleaning Costs"/>
      <sheetName val="Pandemic Protection Kits"/>
      <sheetName val="Landscaping"/>
      <sheetName val="Gritting"/>
      <sheetName val="5. General Waste (2)"/>
      <sheetName val="6. Recycled Waste (2)"/>
      <sheetName val="7. Confidential Waste (2)"/>
      <sheetName val="Instructions "/>
      <sheetName val="Staffing Numbers"/>
      <sheetName val="Consolidation of Annual Costs"/>
      <sheetName val="1. General Cleaning"/>
      <sheetName val="2. Consumables"/>
      <sheetName val="3. Horticulture"/>
      <sheetName val="4. Pest Control"/>
      <sheetName val="5. General Waste"/>
      <sheetName val="6. Recycled Waste"/>
      <sheetName val="7. Confidential Waste"/>
      <sheetName val="8. Additional services CE"/>
      <sheetName val="9. Laundry (Mats)"/>
      <sheetName val="10. Hygiene (Ancillary)"/>
      <sheetName val="11. Pandemic Protection"/>
      <sheetName val="12. Winter Gritting Service"/>
      <sheetName val="Sheet19"/>
      <sheetName val="Sign Off Summary"/>
      <sheetName val="Management Structure"/>
      <sheetName val="6. Recycled Waste (3)"/>
      <sheetName val="Auction Analysis"/>
      <sheetName val="Clarifications 1"/>
      <sheetName val="ISS v OCS"/>
      <sheetName val="Consolidation of Annual Cos (2"/>
      <sheetName val="European Benchmark"/>
      <sheetName val="Cleaning Missing Sites"/>
      <sheetName val="TUPE Data"/>
      <sheetName val="Redun"/>
      <sheetName val="Statutory Table"/>
      <sheetName val="Enhanced Table"/>
      <sheetName val="All Country Cavea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name personeel"/>
      <sheetName val="20121015_Overnamegegevens berek"/>
    </sheetNames>
    <definedNames>
      <definedName name="Berkt" refersTo="#REF!"/>
      <definedName name="Gan_R" refersTo="#REF!"/>
      <definedName name="totaal"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Psychiatrie"/>
      <sheetName val="Blad3 (3)"/>
      <sheetName val="Blad3 (2)"/>
      <sheetName val="Blad2"/>
      <sheetName val="Blad3"/>
      <sheetName val="Blad4"/>
      <sheetName val="Nummers"/>
      <sheetName val="Menu"/>
      <sheetName val="Tijdnormen"/>
      <sheetName val="Frekwenties"/>
      <sheetName val="Vloeren"/>
      <sheetName val="Uitgangspunten"/>
      <sheetName val="hiddenSheet"/>
      <sheetName val="dv_info"/>
      <sheetName val="Blad3_(3)"/>
      <sheetName val="Blad3_(2)"/>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zamelblad"/>
      <sheetName val="totaal (2)"/>
      <sheetName val="totaal"/>
      <sheetName val="basisgegevens"/>
      <sheetName val="overige m2 prijzen"/>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 val="Extra gegevens vestigingen OG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Information - LAR"/>
      <sheetName val="Site Selection"/>
      <sheetName val="Sheet3"/>
      <sheetName val="Country summary data"/>
      <sheetName val="Site Info - 11-27-06 (2)"/>
    </sheetNames>
    <sheetDataSet>
      <sheetData sheetId="0"/>
      <sheetData sheetId="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opbouw 2004"/>
      <sheetName val="rekenuurtarief"/>
      <sheetName val="Omreken"/>
      <sheetName val="Niet-meewerkende objectleiding"/>
      <sheetName val="Kengetallen per ruimte"/>
      <sheetName val="Prestatieberekening"/>
      <sheetName val="Ruimte-prestatie"/>
      <sheetName val="Bestek"/>
      <sheetName val="Regulier werk"/>
      <sheetName val="Gegunde beurten"/>
      <sheetName val="Afroep incidenteel"/>
      <sheetName val="Glas"/>
      <sheetName val="Totaal"/>
      <sheetName val="HHS-origineel offerte definitie"/>
      <sheetName val="3-Basis ruimtestaat"/>
      <sheetName val="Prijsopbouw_2004"/>
      <sheetName val="Niet-meewerkende_objectleiding"/>
      <sheetName val="Kengetallen_per_ruimte"/>
      <sheetName val="Regulier_werk"/>
      <sheetName val="Gegunde_beurten"/>
      <sheetName val="Afroep_incidenteel"/>
      <sheetName val="HHS-origineel_offerte_definitie"/>
      <sheetName val="3-Basis_ruimtesta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ummary"/>
      <sheetName val="Service Standards"/>
      <sheetName val="Sheet2"/>
      <sheetName val="Sheet3"/>
    </sheetNames>
    <sheetDataSet>
      <sheetData sheetId="0"/>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rkelijke dagen"/>
      <sheetName val="PVE"/>
      <sheetName val="opening"/>
      <sheetName val="GC"/>
      <sheetName val="extra's"/>
      <sheetName val="Normenblad (2)"/>
      <sheetName val="DT_ma_vr"/>
      <sheetName val="DT_za_zo"/>
      <sheetName val="DT_fe"/>
      <sheetName val="Calc_ma_vr"/>
      <sheetName val="Calc_za_zo"/>
      <sheetName val="Calc_za"/>
      <sheetName val="Calc_zo"/>
      <sheetName val="Calc_fe"/>
      <sheetName val="normen_ma_vr"/>
      <sheetName val="normen_za_zo"/>
      <sheetName val="normen_fe"/>
      <sheetName val="normen"/>
      <sheetName val="Inventarisatie (2)"/>
      <sheetName val="Recap totaal"/>
      <sheetName val="Uurtarieven matrix"/>
      <sheetName val="Recap_ma_vr"/>
      <sheetName val="Recap_za"/>
      <sheetName val="Recap_zo"/>
      <sheetName val="Recap_fe"/>
      <sheetName val="Uurtarieven"/>
      <sheetName val="Percentages"/>
      <sheetName val="Toeslagen"/>
      <sheetName val="Inventarisatie"/>
      <sheetName val="medewerker smo uurtarief"/>
      <sheetName val="voorman smo uurtarief"/>
      <sheetName val="objectleiding smo uurtarief"/>
      <sheetName val="dagkracht uurtarief"/>
      <sheetName val="Specialistisch uurtarief"/>
      <sheetName val="regie uurtarief"/>
      <sheetName val="garderobe-sanitair uurtarief"/>
      <sheetName val="Normenblad"/>
      <sheetName val="Calculatieblad"/>
      <sheetName val="basisgegevens"/>
      <sheetName val="opleiding"/>
      <sheetName val="Calculatieoverzicht"/>
      <sheetName val="Afroepprijzen"/>
      <sheetName val="Fusernet"/>
      <sheetName val="Indicatieve afroepprijzen"/>
      <sheetName val="Extra We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vergelijken"/>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pijt- en meubel  Fortron (2)"/>
      <sheetName val="prijslijst"/>
      <sheetName val="invullen"/>
      <sheetName val="prijscalc"/>
      <sheetName val="Vloeronderhoud Lino fortron"/>
      <sheetName val="Tapijt- en meubel  Fortron"/>
      <sheetName val="Plafond- en wandreiniging"/>
      <sheetName val="Lamellen reiniging"/>
      <sheetName val="prijslijst computer"/>
      <sheetName val="prijslijst sanitaire art. CWS"/>
      <sheetName val="Computer staffel"/>
      <sheetName val="afroepprijzen"/>
      <sheetName val="Blad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Adm. ruimte 01.0"/>
      <sheetName val="Vergaderruimte 02.0"/>
      <sheetName val="Rookruimte 03.0"/>
      <sheetName val="Sanitaire ruimte 04.0"/>
      <sheetName val="Kleed en doucheruimte 05.0"/>
      <sheetName val="Kopieerprintruimte 06.0"/>
      <sheetName val="Laboratoria 07.0"/>
      <sheetName val="Fitnessruimte 08.0"/>
      <sheetName val="Garderobe 09.0"/>
      <sheetName val="Publieksentreehal 10.0"/>
      <sheetName val="Verkeersruimten 11.0"/>
      <sheetName val="Hoofdtrap 12.0"/>
      <sheetName val="Noodtrap 13.0"/>
      <sheetName val="Lift 14.0"/>
      <sheetName val="entree 15.0"/>
      <sheetName val="docenten-pers.kamer 16.0"/>
      <sheetName val="Pantry 17.0"/>
      <sheetName val="Opslag-archief 18.0"/>
      <sheetName val="Leslokaal theorie 19.0"/>
      <sheetName val="Leslokaal praktijk 20.0"/>
      <sheetName val="EHBO-ruimte 21.0"/>
      <sheetName val="Gymzaal 22.0"/>
      <sheetName val="Toestelberging 23.0"/>
      <sheetName val="Studieruimte-hal 24.0"/>
      <sheetName val="Kabinet 25.0"/>
      <sheetName val="Mediatheek bibliotheek 26.0"/>
      <sheetName val="aula restaurant 27.0"/>
      <sheetName val="Keuken 28.0"/>
      <sheetName val="Adm_ ruimte 01_0"/>
      <sheetName val="Vaste gegeve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enorm-Kengetal"/>
      <sheetName val="Basis ruimtestaat"/>
      <sheetName val="Jaarprijs smk"/>
      <sheetName val="Glasbewassing"/>
      <sheetName val="Investering machines"/>
      <sheetName val="Afroepprijzen"/>
      <sheetName val="prijsopbouw"/>
      <sheetName val="Basis_ruimtestaat"/>
      <sheetName val="Jaarprijs_smk"/>
      <sheetName val="Investering_machine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s"/>
      <sheetName val="Work Scedule Wijhe "/>
      <sheetName val="Uren calculatie"/>
      <sheetName val="NAW blad - Resumé"/>
      <sheetName val="Transport dag"/>
      <sheetName val="Transport nacht"/>
      <sheetName val="Middag werk 5w"/>
      <sheetName val="nachtwerk 5w"/>
      <sheetName val="zaterdag werk"/>
      <sheetName val="Leiding"/>
      <sheetName val="Calculatieblad uurtarieven"/>
      <sheetName val="Regietarieven"/>
      <sheetName val="soclasten 2011"/>
      <sheetName val="Uitgangspunte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arisatie"/>
      <sheetName val="Categorieen"/>
      <sheetName val="Abt Emo School Westeremden 1906"/>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Hoofdmenu"/>
      <sheetName val="CSG_macros"/>
      <sheetName val="scrprogramma"/>
      <sheetName val="scrvloersoort"/>
      <sheetName val="scrruimtestaten"/>
      <sheetName val="Tussenblad"/>
      <sheetName val="Ma_vr"/>
      <sheetName val="Ma_vr 1e naloop"/>
      <sheetName val="Ma_vr 2e&amp;3e naloop"/>
      <sheetName val="Matrix Kosten Schoonmaak"/>
      <sheetName val="Matrix Kosten Glasbewassing"/>
      <sheetName val="Normblad"/>
      <sheetName val="rekenblad"/>
      <sheetName val="variabelen"/>
      <sheetName val="Begroting"/>
      <sheetName val="Opbouw"/>
      <sheetName val="Vaste gegevens"/>
      <sheetName val="Start_programma's"/>
      <sheetName val="Aul_L"/>
      <sheetName val="Bui_S"/>
      <sheetName val="Dou_S"/>
      <sheetName val="Ent_S"/>
      <sheetName val="Ent_T"/>
      <sheetName val="Gan_L"/>
      <sheetName val="Gar_L"/>
      <sheetName val="Gar_S"/>
      <sheetName val="Kan_L"/>
      <sheetName val="Kan_Su"/>
      <sheetName val="Kan_T"/>
      <sheetName val="Keu_L"/>
      <sheetName val="Kle_S"/>
      <sheetName val="Kof_L"/>
      <sheetName val="Kof_S"/>
      <sheetName val="Kof_T"/>
      <sheetName val="Les_L"/>
      <sheetName val="Les_Su"/>
      <sheetName val="Les_T"/>
      <sheetName val="Lif_L"/>
      <sheetName val="Mag_L"/>
      <sheetName val="Olc_L"/>
      <sheetName val="Pr4_L"/>
      <sheetName val="Pr4_Su"/>
      <sheetName val="San_L"/>
      <sheetName val="San_S"/>
      <sheetName val="Spo_P"/>
      <sheetName val="Tra_L"/>
      <sheetName val="Tra_R"/>
      <sheetName val="Tra_S"/>
      <sheetName val="Einde_programma'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Uren en kostenvergelijking"/>
      <sheetName val="Totalen per locatie"/>
      <sheetName val="1A-Glas"/>
      <sheetName val="2-Kengetal"/>
      <sheetName val="3-Basis ruimtestaat"/>
      <sheetName val="Machines"/>
      <sheetName val="Schoonmaakpakket"/>
    </sheetNames>
    <sheetDataSet>
      <sheetData sheetId="0"/>
      <sheetData sheetId="1"/>
      <sheetData sheetId="2"/>
      <sheetData sheetId="3"/>
      <sheetData sheetId="4"/>
      <sheetData sheetId="5"/>
      <sheetData sheetId="6"/>
      <sheetData sheetId="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tion List"/>
      <sheetName val="General Cleaning CE"/>
      <sheetName val="General Cleaning conference"/>
      <sheetName val="General Cleaning storage"/>
      <sheetName val="General Cleaning sanitary"/>
      <sheetName val="General Cleaning stairs"/>
      <sheetName val="special cleaning CE"/>
      <sheetName val="Additional services CE"/>
      <sheetName val="Pest Control CE"/>
      <sheetName val="waste"/>
      <sheetName val="laundry"/>
      <sheetName val="data base"/>
      <sheetName val="Sheet1"/>
      <sheetName val="Location List CE"/>
      <sheetName val="Cleaning data CE_final_send"/>
      <sheetName val="Cleaning data CE_final_send.xl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 val="Omrek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dag"/>
      <sheetName val="1-Contractbladlocatie"/>
      <sheetName val="Data"/>
      <sheetName val="2-Kengetal"/>
      <sheetName val="3-Basis ruimtestaat"/>
      <sheetName val="4-Premies en opslagen"/>
      <sheetName val="5-Opbouw uurtarieven"/>
      <sheetName val="6- toeslagenmatrix"/>
      <sheetName val="7-Machine-investeringskosten"/>
      <sheetName val="8-Afroepprij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 val="Offerteformulier 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Uitgangspunten"/>
      <sheetName val="Sheet2"/>
      <sheetName val="Inzet personeelscalculatie"/>
      <sheetName val="Salarisschalen"/>
      <sheetName val="Hulpbestand inzet person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tes 08-09"/>
      <sheetName val="CB Totaal"/>
      <sheetName val="CB SMO Oostlijn"/>
      <sheetName val="CB Ballastbed"/>
      <sheetName val="CB Graffiti"/>
      <sheetName val="CB Liftbodems"/>
      <sheetName val="CB Folder"/>
      <sheetName val="CB IJzijde"/>
      <sheetName val="CB Glasbewassing"/>
      <sheetName val="CB Glas IJzijde"/>
      <sheetName val="CB Cico's &amp; Kaartautomaten"/>
      <sheetName val="CB Gates extra"/>
      <sheetName val="CB Olieopvangbak"/>
      <sheetName val="CB Geveldelen"/>
      <sheetName val="CB Binnenzijde liftschacht"/>
      <sheetName val="CB Glaslamellen"/>
      <sheetName val="2-Kengetal"/>
      <sheetName val="3-Basis ruimtestaat"/>
      <sheetName val="3-Ballastbed ruimtestaat"/>
      <sheetName val="3-Glasbewassing ruimtestaat"/>
      <sheetName val="3-Glas IJzijde ruimtestaat"/>
      <sheetName val="Glasbewassing op afroep"/>
      <sheetName val="4-Premies en opslagen"/>
      <sheetName val="5-Opbouw uurtarieven"/>
      <sheetName val="6-Tarievenmatrix"/>
      <sheetName val="7-Machine-investeringskosten"/>
      <sheetName val="Toelichting"/>
      <sheetName val="01.0012"/>
      <sheetName val="01.0730b"/>
      <sheetName val="01.1095b"/>
      <sheetName val="01.1460b"/>
      <sheetName val="02.0000"/>
      <sheetName val="02.0004"/>
      <sheetName val="02.0026"/>
      <sheetName val="02.0156"/>
      <sheetName val="02.0255"/>
      <sheetName val="02.0365"/>
      <sheetName val="02.0730"/>
      <sheetName val="03.0000"/>
      <sheetName val="03.0004"/>
      <sheetName val="03.0012"/>
      <sheetName val="03.0365"/>
      <sheetName val="04.0012"/>
      <sheetName val="04.0365"/>
      <sheetName val="05.0004"/>
      <sheetName val="05.0730b"/>
      <sheetName val="06.0026"/>
      <sheetName val="06.0730"/>
      <sheetName val="06.1095"/>
      <sheetName val="06.1460"/>
      <sheetName val="07.0000 a"/>
      <sheetName val="07.0000 b"/>
      <sheetName val="07.0004"/>
      <sheetName val="08.0730"/>
      <sheetName val="09.0000 a"/>
      <sheetName val="09.0000 b"/>
      <sheetName val="09.0004"/>
      <sheetName val="09.0012"/>
      <sheetName val="10.0000"/>
      <sheetName val="10.0004"/>
      <sheetName val="10.0012"/>
      <sheetName val="10.0026"/>
      <sheetName val="10.0156"/>
      <sheetName val="10.0255"/>
      <sheetName val="10.0365"/>
      <sheetName val="10.0730"/>
      <sheetName val="11.0004"/>
      <sheetName val="12.0365"/>
      <sheetName val="13.0000"/>
      <sheetName val="14.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1-Inschrijfstaat"/>
      <sheetName val="2-Kosten per locatie"/>
      <sheetName val="3-Ruimtestaat"/>
      <sheetName val="4-Kengetal"/>
      <sheetName val="5-Aanvullend"/>
      <sheetName val="6-Sanitaire voorzieningen"/>
      <sheetName val="7-Gladheidsbestrijding"/>
      <sheetName val="8- Afroepprijs"/>
    </sheetNames>
    <sheetDataSet>
      <sheetData sheetId="0"/>
      <sheetData sheetId="1"/>
      <sheetData sheetId="2"/>
      <sheetData sheetId="3"/>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Totaal ruimtebestand"/>
      <sheetName val="Offerte-Vergelijking"/>
      <sheetName val="Recap"/>
      <sheetName val="Werkbare dagen"/>
      <sheetName val="Keuze"/>
      <sheetName val="Opbouw uurtarieven"/>
      <sheetName val="Toeslagen matrix"/>
      <sheetName val="Afroepprijzen"/>
      <sheetName val="Machinekosten"/>
      <sheetName val="Kengetal"/>
      <sheetName val="Totaal_ruimtebestand"/>
      <sheetName val="Werkbare_dagen"/>
      <sheetName val="Opbouw_uurtarieven"/>
      <sheetName val="Toeslagen_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s"/>
      <sheetName val="Kengetal"/>
    </sheetNames>
    <sheetDataSet>
      <sheetData sheetId="0" refreshError="1"/>
      <sheetData sheetId="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BUDGET"/>
      <sheetName val="1-Contractblad totaal"/>
      <sheetName val="2-Kengetal"/>
      <sheetName val="3-Basis ruimtestaat"/>
      <sheetName val="4-Premies en opslagen"/>
      <sheetName val="5-Opbouw uurtarieven"/>
      <sheetName val="6- toeslagenmatrix"/>
      <sheetName val="7-Machine-investeringskosten"/>
      <sheetName val="8-Afroepprijs "/>
      <sheetName val="9-Glas"/>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 sheetId="10"/>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ice"/>
      <sheetName val="Char"/>
      <sheetName val="Fin Input"/>
      <sheetName val="Adjust"/>
      <sheetName val="Syn,Good,Fin"/>
      <sheetName val="Value of Customer Contracts"/>
      <sheetName val="TAB"/>
      <sheetName val="Tax"/>
      <sheetName val="BudAssum"/>
      <sheetName val="Budget"/>
      <sheetName val="EBITA bridge"/>
      <sheetName val="Season"/>
      <sheetName val="Bud ISS"/>
      <sheetName val="Valuation"/>
      <sheetName val="Ratios"/>
      <sheetName val="Indicator"/>
      <sheetName val="Priorities"/>
      <sheetName val="LBO"/>
      <sheetName val="Covenants"/>
      <sheetName val="EPS effect"/>
      <sheetName val="Sensi"/>
      <sheetName val="Print"/>
      <sheetName val="S1 M1 L1 XL1"/>
      <sheetName val="S3 M3 L3 XL3"/>
      <sheetName val="S5"/>
      <sheetName val="S7"/>
      <sheetName val="M9 L19 XL27"/>
      <sheetName val="M11"/>
      <sheetName val="M13 L25 XL33"/>
      <sheetName val="M15 L27 XL35"/>
      <sheetName val="L5 XL7"/>
      <sheetName val="L17 XL25"/>
      <sheetName val="L21 XL29"/>
      <sheetName val="L23 XL31"/>
      <sheetName val="AQ data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hard kopie tbv import"/>
      <sheetName val="2 hard kopie tbv import (2)"/>
      <sheetName val="1 pccl import Simis"/>
      <sheetName val="vloerafwerkingen"/>
      <sheetName val="2 pcclean calc overzicht"/>
      <sheetName val="SCS afroep "/>
      <sheetName val="SCS m² uur"/>
      <sheetName val="freq vloer"/>
      <sheetName val="Basis informatie"/>
      <sheetName val="Aanbieding"/>
      <sheetName val="budget versus calc"/>
      <sheetName val="Financial model "/>
      <sheetName val="Begroting 1"/>
      <sheetName val="P &amp; L 1"/>
      <sheetName val="verrekentarief"/>
      <sheetName val="Blad1"/>
      <sheetName val="Tarief 2013"/>
      <sheetName val="3 calculatie"/>
      <sheetName val="kengetallen"/>
      <sheetName val="kosten overzicht"/>
      <sheetName val="normen Osira"/>
      <sheetName val="ruimte code C &amp; C"/>
      <sheetName val="Ruimte code"/>
      <sheetName val="simiss"/>
      <sheetName val="Contract details"/>
      <sheetName val="additioneel werk"/>
      <sheetName val="Medewerkers"/>
      <sheetName val="calc vs medw uren"/>
      <sheetName val="lokatie@geen id "/>
      <sheetName val="Lokatie overzicht"/>
      <sheetName val="Voeronderhouden"/>
      <sheetName val="glas m2"/>
      <sheetName val="Blad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Toelichting Calculatiemodel"/>
      <sheetName val="budget"/>
      <sheetName val="RS"/>
      <sheetName val="normblad"/>
      <sheetName val="Recap"/>
      <sheetName val="Uurtarieven"/>
      <sheetName val="Percentages"/>
      <sheetName val="Toeslagen"/>
      <sheetName val="Voorblad"/>
      <sheetName val="Uitleg calculatiemodule"/>
      <sheetName val="1.0-Contractblad"/>
      <sheetName val="1.1a-Jaarprijzen"/>
      <sheetName val="1.2-Kengetal"/>
      <sheetName val="1.3-Basis ruimtestaat"/>
      <sheetName val="1.3a-Mutaties"/>
      <sheetName val="1.4-Premies en opslagen"/>
      <sheetName val="1.5 Opbouw uurtarieven"/>
      <sheetName val="1.6-Machine-investeringskosten"/>
      <sheetName val="1.8-Afroepprijs"/>
      <sheetName val="1.9-Glasbewa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ISS Info"/>
      <sheetName val="begroting"/>
      <sheetName val="Contractblad perceel 3"/>
      <sheetName val="Basis ruimtestaat"/>
      <sheetName val="Kosten per locatie"/>
      <sheetName val="begroting tot 1-5-08"/>
      <sheetName val="Contractblad p3 tot 1-5-08"/>
      <sheetName val="Kosten per locatie tot 1-5-08"/>
      <sheetName val="Kosten per locatie tot 1-7-07"/>
      <sheetName val="Specifieke werkzaamheden"/>
      <sheetName val="Kengetal"/>
      <sheetName val="Afroepprijs"/>
      <sheetName val="premies en opslagen 2008"/>
      <sheetName val="opbouw uurtarieven 2008"/>
      <sheetName val="premies en opslagen 2007"/>
      <sheetName val="opbouw uurtarieven 2007"/>
      <sheetName val="Premies en opslagen 2006"/>
      <sheetName val="Opbouw uurtarieven 2006"/>
      <sheetName val="Tarievenmatrix 2006"/>
      <sheetName val="Prijsverhoging 2007"/>
      <sheetName val="Tarievenmatrix 2007"/>
      <sheetName val="Machine-investeringsko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a-Data"/>
      <sheetName val="1b-Contractblad totaal"/>
      <sheetName val="1c-Contractblad per locatie"/>
      <sheetName val="2-Kengetal"/>
      <sheetName val="3-Basis ruimtestaat"/>
      <sheetName val="4-Premies en opslagen"/>
      <sheetName val="5-Opbouw uurtarieven"/>
      <sheetName val="6-Tarievenmatrix"/>
      <sheetName val="7-Afroepprij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1"/>
      <sheetName val="Contract Price"/>
      <sheetName val="Schedule 10"/>
      <sheetName val="Schedule 9"/>
      <sheetName val="Schedule 8 prt2"/>
      <sheetName val="Schedule 8"/>
      <sheetName val="Redundy"/>
      <sheetName val="AREAS"/>
      <sheetName val="Data"/>
      <sheetName val="BG1"/>
      <sheetName val="BG2"/>
      <sheetName val="BG3"/>
      <sheetName val="BG4"/>
      <sheetName val="BG5"/>
      <sheetName val="BG6"/>
      <sheetName val="SG1"/>
      <sheetName val="SG2"/>
      <sheetName val="SG3"/>
      <sheetName val="SG4"/>
      <sheetName val="SG5"/>
      <sheetName val="SG6"/>
      <sheetName val="Managers"/>
      <sheetName val="Labour Costs"/>
      <sheetName val="Part 1 Costs"/>
      <sheetName val="Part 2 Costs"/>
      <sheetName val="Part 1"/>
      <sheetName val="Client Spreadsheet"/>
      <sheetName val="Adds to Tender"/>
      <sheetName val="Consumables"/>
      <sheetName val="Contents"/>
      <sheetName val="Differentials "/>
      <sheetName val="Equip &amp; Mats"/>
      <sheetName val="Lab Cost Anal"/>
      <sheetName val="Lab Alloc &amp; Deploy "/>
      <sheetName val="Man Fee"/>
      <sheetName val="Sched of Rates"/>
      <sheetName val="Periodicals "/>
      <sheetName val="ROSTER "/>
      <sheetName val="Part 2"/>
      <sheetName val="Schedule_11"/>
      <sheetName val="Contract_Price"/>
      <sheetName val="Schedule_10"/>
      <sheetName val="Schedule_9"/>
      <sheetName val="Schedule_8_prt2"/>
      <sheetName val="Schedule_8"/>
      <sheetName val="Labour_Costs"/>
      <sheetName val="Part_1_Costs"/>
      <sheetName val="Part_2_Costs"/>
      <sheetName val="Part_1"/>
      <sheetName val="Client_Spreadsheet"/>
      <sheetName val="Adds_to_Tender"/>
      <sheetName val="Differentials_"/>
      <sheetName val="Equip_&amp;_Mats"/>
      <sheetName val="Lab_Cost_Anal"/>
      <sheetName val="Lab_Alloc_&amp;_Deploy_"/>
      <sheetName val="Man_Fee"/>
      <sheetName val="Sched_of_Rates"/>
      <sheetName val="Periodicals_"/>
      <sheetName val="ROSTER_"/>
      <sheetName val="Part_2"/>
      <sheetName val="Schedule_111"/>
      <sheetName val="Contract_Price1"/>
      <sheetName val="Schedule_101"/>
      <sheetName val="Schedule_91"/>
      <sheetName val="Schedule_8_prt21"/>
      <sheetName val="Schedule_81"/>
      <sheetName val="Labour_Costs1"/>
      <sheetName val="Part_1_Costs1"/>
      <sheetName val="Part_2_Costs1"/>
      <sheetName val="Part_11"/>
      <sheetName val="Client_Spreadsheet1"/>
      <sheetName val="Adds_to_Tender1"/>
      <sheetName val="Differentials_1"/>
      <sheetName val="Equip_&amp;_Mats1"/>
      <sheetName val="Lab_Cost_Anal1"/>
      <sheetName val="Lab_Alloc_&amp;_Deploy_1"/>
      <sheetName val="Man_Fee1"/>
      <sheetName val="Sched_of_Rates1"/>
      <sheetName val="Periodicals_1"/>
      <sheetName val="ROSTER_1"/>
      <sheetName val="Part_21"/>
      <sheetName val="Expense Listing"/>
      <sheetName val="Schedule_113"/>
      <sheetName val="Contract_Price2"/>
      <sheetName val="Schedule_102"/>
      <sheetName val="Schedule_92"/>
      <sheetName val="Schedule_8_prt22"/>
      <sheetName val="Schedule_82"/>
      <sheetName val="Labour_Costs2"/>
      <sheetName val="Part_1_Costs2"/>
      <sheetName val="Part_2_Costs2"/>
      <sheetName val="Part_12"/>
      <sheetName val="Client_Spreadsheet2"/>
      <sheetName val="Adds_to_Tender2"/>
      <sheetName val="Differentials_2"/>
      <sheetName val="Equip_&amp;_Mats2"/>
      <sheetName val="Lab_Cost_Anal2"/>
      <sheetName val="Lab_Alloc_&amp;_Deploy_2"/>
      <sheetName val="Man_Fee2"/>
      <sheetName val="Sched_of_Rates2"/>
      <sheetName val="Periodicals_2"/>
      <sheetName val="ROSTER_2"/>
      <sheetName val="Part_22"/>
      <sheetName val="Schedule_1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rsrt 3.1.1"/>
      <sheetName val="KBF aangepast 3.2"/>
      <sheetName val="Basis 12-2000 excl. KBF"/>
      <sheetName val="Norm 3.1.2"/>
      <sheetName val="Glas 3.3"/>
      <sheetName val="Uurt 3.4.1"/>
      <sheetName val="Uurt2 3.4.2"/>
      <sheetName val="Staffel 3.5"/>
      <sheetName val="Normen 2003"/>
      <sheetName val="Calculatienormen"/>
      <sheetName val="Glas 3_3"/>
      <sheetName val="Basis ruimtestaat"/>
      <sheetName val="Smrsrt_3_1_1"/>
      <sheetName val="KBF_aangepast_3_2"/>
      <sheetName val="Basis_12-2000_excl__KBF"/>
      <sheetName val="Norm_3_1_2"/>
      <sheetName val="Glas_3_3"/>
      <sheetName val="Uurt_3_4_1"/>
      <sheetName val="Uurt2_3_4_2"/>
      <sheetName val="Staffel_3_5"/>
      <sheetName val="Normen_2003"/>
      <sheetName val="Glas_3_3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overzicht"/>
      <sheetName val="Invulblad P1"/>
      <sheetName val="Ma - Vrij P1"/>
      <sheetName val="Zaterdag P1"/>
      <sheetName val="Kostenmatrix P1"/>
      <sheetName val="Specificatie SW"/>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Uitleg"/>
      <sheetName val="BeginMeting"/>
      <sheetName val="Overig"/>
      <sheetName val="BSC"/>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op de calculatie"/>
      <sheetName val="Recap"/>
      <sheetName val="Cijfers_SMC"/>
      <sheetName val="Cijfers_SMC input"/>
      <sheetName val="Calc"/>
      <sheetName val="normblad"/>
      <sheetName val="Uurtarieven"/>
      <sheetName val="Percentages"/>
      <sheetName val="Toeslagen"/>
      <sheetName val="Inventarisatiestaat"/>
      <sheetName val="Controlegegevens SMC"/>
      <sheetName val="Parameters"/>
      <sheetName val="Ruimtestaat"/>
      <sheetName val="Frequentie kwaliteitsmeting"/>
      <sheetName val="Normenblad"/>
      <sheetName val="Offerte uurtarief"/>
      <sheetName val="Offerte uurtarief OLGA"/>
      <sheetName val="Kostenblad"/>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sheetData sheetId="12" refreshError="1"/>
      <sheetData sheetId="13"/>
      <sheetData sheetId="14"/>
      <sheetData sheetId="15"/>
      <sheetData sheetId="16"/>
      <sheetData sheetId="1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Blad2"/>
      <sheetName val="Blad3"/>
    </sheetNames>
    <sheetDataSet>
      <sheetData sheetId="0"/>
      <sheetData sheetId="1"/>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DG_macros"/>
      <sheetName val="Programma_check"/>
      <sheetName val="Tussenblad"/>
      <sheetName val="Hoofdmenu"/>
      <sheetName val="scrprogramma"/>
      <sheetName val="scrvloersoort"/>
      <sheetName val="scrruimtestaten"/>
      <sheetName val="Vloeren"/>
      <sheetName val="Tarief"/>
      <sheetName val="Uitgangspunten"/>
      <sheetName val="Dagen open"/>
      <sheetName val="Begroting totaal"/>
      <sheetName val="Begroting landrijt"/>
      <sheetName val="Begroting gagelbosch"/>
      <sheetName val="Begroting orangerie"/>
      <sheetName val="Totalen"/>
      <sheetName val="Tarief ma-vr"/>
      <sheetName val="Tarief za-zo"/>
      <sheetName val="Tarief fe"/>
      <sheetName val="Afroepprijzen"/>
      <sheetName val="Glasprijzen"/>
      <sheetName val="ma_vr"/>
      <sheetName val="za"/>
      <sheetName val="Normblad"/>
      <sheetName val="Start_programma's"/>
      <sheetName val="Apo_L"/>
      <sheetName val="Aul_L"/>
      <sheetName val="Aul_S"/>
      <sheetName val="Bad_L"/>
      <sheetName val="Bad_S"/>
      <sheetName val="Bal_S"/>
      <sheetName val="Beh_L"/>
      <sheetName val="Beh_T"/>
      <sheetName val="Csa_L"/>
      <sheetName val="Dag_L"/>
      <sheetName val="Dag_H"/>
      <sheetName val="Dag_S"/>
      <sheetName val="Dag_T"/>
      <sheetName val="Dot_L"/>
      <sheetName val="Dot_S"/>
      <sheetName val="Dou_L"/>
      <sheetName val="Dou_S"/>
      <sheetName val="Ent_L"/>
      <sheetName val="Ent_S"/>
      <sheetName val="Ent_T"/>
      <sheetName val="Gan_L"/>
      <sheetName val="Gan_T"/>
      <sheetName val="Gan_S"/>
      <sheetName val="Gar_L"/>
      <sheetName val="Gar_S"/>
      <sheetName val="Gar_T"/>
      <sheetName val="Gip_L"/>
      <sheetName val="Gip_S"/>
      <sheetName val="Hyd_L"/>
      <sheetName val="Hyd_S"/>
      <sheetName val="Iso_L"/>
      <sheetName val="Iso_T"/>
      <sheetName val="Iso_S"/>
      <sheetName val="Kan_L"/>
      <sheetName val="Kan_S"/>
      <sheetName val="parklaan 54"/>
      <sheetName val="Kan_T"/>
      <sheetName val="Keu_T"/>
      <sheetName val="einde"/>
      <sheetName val="Keu_L"/>
      <sheetName val="Keu_S"/>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Oef_L"/>
      <sheetName val="Ope_L"/>
      <sheetName val="Ope_S"/>
      <sheetName val="Par_L"/>
      <sheetName val="Par_S"/>
      <sheetName val="Pat_L"/>
      <sheetName val="Pat_S"/>
      <sheetName val="Pat_T"/>
      <sheetName val="Rec_L"/>
      <sheetName val="Rec_T"/>
      <sheetName val="Res_L"/>
      <sheetName val="Res_S"/>
      <sheetName val="Res_T"/>
      <sheetName val="Rol_L"/>
      <sheetName val="Rol_S"/>
      <sheetName val="Ron_L"/>
      <sheetName val="Ron_S"/>
      <sheetName val="San_L"/>
      <sheetName val="San_S"/>
      <sheetName val="Spo_L"/>
      <sheetName val="Spo_S"/>
      <sheetName val="Spr_L"/>
      <sheetName val="Spr_T"/>
      <sheetName val="Tea_L"/>
      <sheetName val="Tea_T"/>
      <sheetName val="Tel_L"/>
      <sheetName val="Tel_T"/>
      <sheetName val="The_L"/>
      <sheetName val="The_H"/>
      <sheetName val="The_T"/>
      <sheetName val="Toi_L"/>
      <sheetName val="Tra_L"/>
      <sheetName val="Tra_H"/>
      <sheetName val="Tra_M"/>
      <sheetName val="Toi_S"/>
      <sheetName val="Tra_S"/>
      <sheetName val="Tra_T"/>
      <sheetName val="Ver_L"/>
      <sheetName val="Ver_T"/>
      <sheetName val="Voo_L"/>
      <sheetName val="Wac_L"/>
      <sheetName val="Wac_S"/>
      <sheetName val="Voo_S"/>
      <sheetName val="Wac_T"/>
      <sheetName val="Was_L"/>
      <sheetName val="Was_S"/>
      <sheetName val="Win_L"/>
      <sheetName val="Win_S"/>
      <sheetName val="Win_T"/>
      <sheetName val="Zwe_S"/>
      <sheetName val="Module1"/>
      <sheetName val="Modu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even"/>
      <sheetName val="Kortingen"/>
      <sheetName val="projectsheet"/>
      <sheetName val="Lokaal"/>
      <sheetName val="Buiten Regio"/>
      <sheetName val="Internet"/>
      <sheetName val="Mobiel"/>
      <sheetName val="Overall-trans"/>
      <sheetName val="InternetAW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naire"/>
      <sheetName val="Main"/>
      <sheetName val="Graphs"/>
      <sheetName val="Scenarios"/>
      <sheetName val="Trafficlight"/>
      <sheetName val="CALCULATIONS"/>
      <sheetName val="Module2"/>
      <sheetName val="Module4"/>
      <sheetName val="Module1"/>
      <sheetName val="Module3"/>
      <sheetName val="Modu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gangspunten"/>
      <sheetName val="Normblad"/>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 val="Omreken"/>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 val="Invultoelichting"/>
      <sheetName val="Algemene gegevens inschrijver"/>
      <sheetName val="Oppervlakten"/>
      <sheetName val="Sanitair"/>
      <sheetName val="CWS-Sanitair"/>
      <sheetName val="CWS-Productspecs "/>
      <sheetName val="CWS-Condities"/>
      <sheetName val="Vendor-Sanitair"/>
      <sheetName val="RECAP TOTAAL"/>
      <sheetName val="Glasbewassing"/>
      <sheetName val="Glas (INT)"/>
      <sheetName val="Glas (HK)"/>
      <sheetName val="Glas (REG)"/>
      <sheetName val="NvI TMG"/>
      <sheetName val="Locatiekenmerken 2019_v2"/>
      <sheetName val="Schoonmaak"/>
      <sheetName val="Recap  HK"/>
      <sheetName val="CALC HK"/>
      <sheetName val="CALC VLR HK"/>
      <sheetName val="Indicatieve afroepprijzen"/>
      <sheetName val="CAO Hago"/>
      <sheetName val="normblad HK"/>
      <sheetName val="Ruimtestaat HK"/>
      <sheetName val="Toelichting ruimtestaat"/>
      <sheetName val="Recap  REG"/>
      <sheetName val="CALC REG"/>
      <sheetName val="VLR_REG"/>
      <sheetName val="normblad REG"/>
      <sheetName val="CAO Eff (regio)"/>
      <sheetName val="Hygiëne containers en matten"/>
      <sheetName val="Uurtarieven"/>
      <sheetName val="Percentages"/>
      <sheetName val="Toeslagen"/>
      <sheetName val="Uurlon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opbouw"/>
      <sheetName val="Investering machines"/>
      <sheetName val="Afroepprijzen 2003"/>
      <sheetName val="Toelichting ruimtestaat"/>
      <sheetName val="PROGR"/>
      <sheetName val="Productienorm-Kengetal"/>
      <sheetName val="Blad1"/>
      <sheetName val="Ruimtestaat"/>
      <sheetName val="BLAD JAARPRIJS"/>
      <sheetName val="GEBOUW INFORMATI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imtestaat "/>
      <sheetName val="120523 Ruimtestaat Avenier1.0"/>
      <sheetName val="120523%20Ruimtestaat%20Avenier1"/>
    </sheetNames>
    <definedNames>
      <definedName name="sbhah" refersTo="#REF!"/>
    </definedNames>
    <sheetDataSet>
      <sheetData sheetId="0" refreshError="1"/>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W Gunning"/>
      <sheetName val="NAW Opzegging"/>
      <sheetName val="Mutaties Opzegging emis - ISS"/>
      <sheetName val="SSC"/>
    </sheetNames>
    <sheetDataSet>
      <sheetData sheetId="0" refreshError="1"/>
      <sheetData sheetId="1" refreshError="1"/>
      <sheetData sheetId="2" refreshError="1"/>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blad"/>
      <sheetName val="Opnameformulier VW"/>
      <sheetName val="Opnameformulier BRT"/>
      <sheetName val="Leveringen"/>
      <sheetName val="Opnameformulier LV"/>
      <sheetName val="Offerte teksten"/>
      <sheetName val="bijzonderheden"/>
      <sheetName val="Ruimtesoort"/>
      <sheetName val="Uitgangspunten"/>
      <sheetName val="Opnameformulier_VW"/>
      <sheetName val="Opnameformulier_BRT"/>
      <sheetName val="Opnameformulier_LV"/>
      <sheetName val="Offerte_tek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ick scan GOM GSH"/>
      <sheetName val="Toelichting"/>
      <sheetName val="NAW"/>
      <sheetName val="Tijdcalculatie"/>
      <sheetName val="Kostenspecificatie reeel "/>
      <sheetName val="Totaalopbouw reeel"/>
      <sheetName val="soclasten"/>
      <sheetName val="Werkrooster"/>
      <sheetName val="Resume CSP"/>
      <sheetName val="Vragen issues"/>
      <sheetName val="Invulformulier CSP"/>
      <sheetName val="Calc CSP"/>
      <sheetName val="staffel"/>
      <sheetName val="uren_omz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INZET UREN"/>
      <sheetName val="VERGELIJK HUIDIG-BUDGET"/>
      <sheetName val="REKENBLAD"/>
      <sheetName val="1-Contractblad Totaal"/>
      <sheetName val="1-Contractblad  Perceel 1budget"/>
      <sheetName val="1-Contractblad  Perceel 1"/>
      <sheetName val="1-Contractblad  Perceel 2"/>
      <sheetName val="1-Contractblad  Perceel 2budget"/>
      <sheetName val="1-Contractblad AZU HJGM"/>
      <sheetName val="1-Contractblad Stratenum"/>
      <sheetName val="1-Contractblad Huisvesting"/>
      <sheetName val="1-Contractblad MvG totaal"/>
      <sheetName val="1-Contractblad MvG ECNP"/>
      <sheetName val="1-Contractblad MvG Kendle"/>
      <sheetName val="1-Contractblad MvG SFAR"/>
      <sheetName val="1-Contractblad MvG Topselect"/>
      <sheetName val="1-Contractblad MvG UMCU"/>
      <sheetName val="1-Contractblad Israellaan"/>
      <sheetName val="1-Contractblad Juliuscentrum"/>
      <sheetName val="1-Contractblad LUH"/>
      <sheetName val="1-Contractblad AZU L"/>
      <sheetName val="1-Contractblad HVDB"/>
      <sheetName val="1-Contractblad WKZ"/>
      <sheetName val="1-Contractblad Julius Academy"/>
      <sheetName val="2-Kengetal"/>
      <sheetName val="16.04.255"/>
      <sheetName val="Res_L"/>
      <sheetName val="Lab_L"/>
      <sheetName val="3-Basis ruimtestaat"/>
      <sheetName val="4-Premies en opslagen"/>
      <sheetName val="5-Opbouw uurtarieven"/>
      <sheetName val="6- toeslagenmatrix"/>
      <sheetName val="7-Machine-investeringskosten"/>
      <sheetName val="8-Afroepprijs"/>
      <sheetName val="ad afroep"/>
      <sheetName val="9-additionele wkzh"/>
      <sheetName val="Traver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s"/>
      <sheetName val="Toeslagen"/>
      <sheetName val="Percentages"/>
      <sheetName val="1 BRK norm RS"/>
      <sheetName val="Normen BASIS"/>
      <sheetName val="Norm Oerle IG RS"/>
      <sheetName val="NF per lokatie"/>
      <sheetName val="Uurtarieven"/>
      <sheetName val="Tarieven per lokatie"/>
      <sheetName val="Mutatieblad"/>
      <sheetName val="TOTAAL"/>
      <sheetName val="1 BRK overzicht"/>
      <sheetName val="2 AKK overzicht"/>
      <sheetName val="5 ERD overzicht"/>
      <sheetName val="6 FLEU overzicht"/>
      <sheetName val="7 GAG overzicht"/>
      <sheetName val="8 KNTR overzicht"/>
      <sheetName val="9 LDR overzicht"/>
      <sheetName val="10 OER overzicht"/>
      <sheetName val="11 KANI overzicht"/>
      <sheetName val="1 BRK ma-vr"/>
      <sheetName val="1 BRK zzf"/>
      <sheetName val="2 AKK ma-vr"/>
      <sheetName val="2 AKK nlp"/>
      <sheetName val="2 AKK zzf "/>
      <sheetName val="5 ERB ma-vr"/>
      <sheetName val="5 ERD nlp"/>
      <sheetName val="5 ERD zzf"/>
      <sheetName val="6 FLEU ma-vr"/>
      <sheetName val="6 FLEU nlp"/>
      <sheetName val="6 FLEU zzf"/>
      <sheetName val="7 GAG ma-vr"/>
      <sheetName val="7 GAG nlp"/>
      <sheetName val="7 GAG zzf"/>
      <sheetName val="8 KNTR ma-vr"/>
      <sheetName val="9 LDR ma-vr"/>
      <sheetName val="9 LDR zzf"/>
      <sheetName val="10 OER ma- zzf"/>
      <sheetName val="11 KANI ma-vr"/>
      <sheetName val="11 KANI zzf"/>
      <sheetName val="Werkbare dagen"/>
      <sheetName val="3 EKH overzicht"/>
      <sheetName val="3 EKH ma-vr"/>
      <sheetName val="3 EKH nlp"/>
      <sheetName val="3 EKH zzf"/>
      <sheetName val="12 PAS overzicht"/>
      <sheetName val="12 PAS Overzicht123"/>
      <sheetName val="12 PAS ma-vr"/>
      <sheetName val="12 PAS nlp"/>
      <sheetName val="12 PAS zzf"/>
      <sheetName val="13 HvS overzicht"/>
      <sheetName val="13 HvS Overzicht123"/>
      <sheetName val="13 HvS ma-vr"/>
      <sheetName val="13 HvS nlp"/>
      <sheetName val="13 HvS zzf"/>
      <sheetName val="4 DOM overzicht"/>
      <sheetName val="4 DOM Overzicht123 "/>
      <sheetName val="4 DOM ma-vr"/>
      <sheetName val="4 DOM nlp"/>
      <sheetName val="4 DOM zzf"/>
      <sheetName val="Additioneel"/>
      <sheetName val="Glas"/>
      <sheetName val="Machines"/>
      <sheetName val="ZKN Machine"/>
      <sheetName val="Mach bestand locat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estand"/>
      <sheetName val="1-Contractblad dag"/>
      <sheetName val="2 - Additioneel"/>
      <sheetName val="2a - Uitleg Additioneel"/>
      <sheetName val="3 - Glasbewassing 2012"/>
      <sheetName val="4 - Totalen unit"/>
      <sheetName val="5 - Kengetal"/>
      <sheetName val="6 - Basis ruimtestaat"/>
      <sheetName val="7 - Premies en opslagen"/>
      <sheetName val="8 - Opbouw uurtarieven"/>
      <sheetName val="9 - toeslagenmatrix"/>
      <sheetName val="10 - Machine-investeringskosten"/>
      <sheetName val="11 - Afroepprij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totaal"/>
      <sheetName val="2-Prijzen per locatie"/>
      <sheetName val="3-Kengetal"/>
      <sheetName val="4-Basis ruimtestaat"/>
      <sheetName val="5-Uurtarieven"/>
      <sheetName val="6-Afroepprijs"/>
      <sheetName val="7-Sanitaire voorzieningen"/>
    </sheetNames>
    <sheetDataSet>
      <sheetData sheetId="0"/>
      <sheetData sheetId="1"/>
      <sheetData sheetId="2"/>
      <sheetData sheetId="3"/>
      <sheetData sheetId="4"/>
      <sheetData sheetId="5"/>
      <sheetData sheetId="6"/>
      <sheetData sheetId="7"/>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Contractblad totaal"/>
      <sheetName val="2-Prijzen per locatie"/>
      <sheetName val="3-Kengetal"/>
      <sheetName val="4-Basis ruimtestaat"/>
      <sheetName val="5-Uurtarieven"/>
      <sheetName val="6-Afroepprijs"/>
      <sheetName val="7-Sanitaire voorzieningen"/>
      <sheetName val="Info_blad"/>
      <sheetName val="1-Contractblad_totaal"/>
      <sheetName val="2-Prijzen_per_locatie"/>
      <sheetName val="4-Basis_ruimtestaat"/>
      <sheetName val="7-Sanitaire_voorzieni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BEGROTING per 010109"/>
      <sheetName val="1-Contractblad per 010109"/>
      <sheetName val="2-Kengetal"/>
      <sheetName val="3-ZMC Rmst UB "/>
      <sheetName val="Kosten per blok"/>
      <sheetName val="4-Premies en opslagen"/>
      <sheetName val="5-Opbouw uurtarieven"/>
      <sheetName val="1a-Werkzaamheden specifiek"/>
      <sheetName val="Wacht op goedkeuring"/>
      <sheetName val="3-ZMC Concept calcs"/>
      <sheetName val="Vloeren"/>
      <sheetName val="3-ZMC Rmst UB  OK"/>
      <sheetName val="6-Tarievenmatrix"/>
      <sheetName val="7-Machine-investeringskosten"/>
      <sheetName val="8-Afroepprijs"/>
      <sheetName val="9-Prijs glasbewassing"/>
      <sheetName val="9-Prijs glasbewassing 4x"/>
      <sheetName val="loongroep 2"/>
      <sheetName val="Toelichting calculatie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B TOTAAL"/>
      <sheetName val="1-CB  Juliuscentrum"/>
      <sheetName val="1-CB  Meijburghuis"/>
      <sheetName val="1-CB Huisvesting"/>
      <sheetName val="1-CB AZU L"/>
      <sheetName val="1-CB WKZ"/>
      <sheetName val="1-CB AZU HJGM"/>
      <sheetName val="1-CB HvdB"/>
      <sheetName val="1-CB Stratenum"/>
      <sheetName val="2-Kengetal"/>
      <sheetName val="3-Basis ruimtestaat"/>
      <sheetName val="4-Premies en opslagen"/>
      <sheetName val="5-Opbouw uurtarieven"/>
      <sheetName val="6- toeslagenmatrix"/>
      <sheetName val="7-Machine-investeringskosten"/>
      <sheetName val="8-Afroepprijs"/>
    </sheetNames>
    <sheetDataSet>
      <sheetData sheetId="0" refreshError="1"/>
      <sheetData sheetId="1"/>
      <sheetData sheetId="2" refreshError="1"/>
      <sheetData sheetId="3" refreshError="1"/>
      <sheetData sheetId="4"/>
      <sheetData sheetId="5"/>
      <sheetData sheetId="6"/>
      <sheetData sheetId="7"/>
      <sheetData sheetId="8"/>
      <sheetData sheetId="9" refreshError="1"/>
      <sheetData sheetId="10"/>
      <sheetData sheetId="11" refreshError="1"/>
      <sheetData sheetId="12"/>
      <sheetData sheetId="13" refreshError="1"/>
      <sheetData sheetId="14"/>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facturatie"/>
      <sheetName val="kengetal incl. afval"/>
      <sheetName val="kengetal excl. afval"/>
      <sheetName val="frequentie max"/>
      <sheetName val="ruimtestaat"/>
      <sheetName val="uurtarieven"/>
      <sheetName val="additionele werkzaamheden"/>
      <sheetName val="machine investeringskosten"/>
      <sheetName val="overnamekosten"/>
      <sheetName val="glas prijzen"/>
      <sheetName val="glas totaal"/>
      <sheetName val="sanitaire voorzieningen"/>
      <sheetName val="afroepprijzen"/>
      <sheetName val="vervanging eigen dienst"/>
      <sheetName val="besteknummers"/>
      <sheetName val="additioneel"/>
      <sheetName val="artikelprijzen"/>
      <sheetName val="3-ZMC Rmst UB "/>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refreshError="1"/>
      <sheetData sheetId="15"/>
      <sheetData sheetId="16"/>
      <sheetData sheetId="17" refreshError="1"/>
      <sheetData sheetId="1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ractblad"/>
      <sheetName val="2-Korting meerdere percelen"/>
      <sheetName val="3- Spoorlengte per lijn"/>
      <sheetName val="4A-Ballastbed - DAG"/>
      <sheetName val="4b-Ballastbed - NACHT"/>
      <sheetName val="5-Tunnelwand - NACHT"/>
      <sheetName val="6 - Extra"/>
      <sheetName val="7-Premies en opslagen"/>
      <sheetName val="8 - Opbouw uurtarieven"/>
      <sheetName val="9-Machinekosten"/>
      <sheetName val="Uurtarieven"/>
      <sheetName val="Percentages"/>
      <sheetName val="Toesl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uimtestaat"/>
      <sheetName val="120706 Ruimtestaat Avenier &amp; Ho"/>
      <sheetName val="120706%20Ruimtestaat%20Avenier%"/>
    </sheetNames>
    <definedNames>
      <definedName name="verbetring" refersTo="#REF!"/>
    </defined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ering"/>
      <sheetName val="Inzet uren"/>
      <sheetName val="aanvullende werkzaamheden"/>
      <sheetName val="antwoorden"/>
      <sheetName val="Kosten per klant"/>
      <sheetName val="Ruimten"/>
      <sheetName val="Uurtarieven"/>
      <sheetName val="Groot materiaal"/>
      <sheetName val="Machines afschrijving"/>
      <sheetName val="Korting"/>
      <sheetName val="Regietarieven"/>
      <sheetName val="sanitair"/>
      <sheetName val="norm"/>
      <sheetName val="GLASWAS 2003"/>
      <sheetName val="1E BEURT"/>
      <sheetName val="2E BEURT"/>
      <sheetName val="3E BEURT"/>
      <sheetName val="4E BEU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Opbouw uurtarieven"/>
      <sheetName val="Toeslagen matrix"/>
      <sheetName val="Kengetal"/>
      <sheetName val="Basis ruimtestaat"/>
      <sheetName val="Contractblad"/>
      <sheetName val="Machine investering"/>
      <sheetName val="Afroepprijs"/>
      <sheetName val="Basis_ruimtestaat"/>
      <sheetName val="atir.xls"/>
      <sheetName val="#REF"/>
      <sheetName val="Omreken"/>
      <sheetName val="atir_xls"/>
      <sheetName val="3-Basis_ruimtestaat"/>
      <sheetName val="Uurtarieven"/>
      <sheetName val="Basis_ruimtestaat1"/>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Vaste_gegevens"/>
      <sheetName val="Norm &amp; Freq"/>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Kostenoverzicht"/>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Blad3"/>
      <sheetName val="Blad2"/>
      <sheetName val="Totaal"/>
      <sheetName val="MA-VR"/>
      <sheetName val="IVM Smo ma-vr"/>
      <sheetName val="IVM Specials"/>
      <sheetName val="Tariefopbouw Contract"/>
      <sheetName val="Uurtarieven Contract"/>
      <sheetName val="Uurtarieven Regiewerkzaamheden"/>
      <sheetName val="IVM Regie"/>
      <sheetName val="IVM Glas"/>
      <sheetName val="Normblad"/>
      <sheetName val="rekenblad"/>
      <sheetName val="Codes"/>
      <sheetName val="variabelen"/>
      <sheetName val="Begroting"/>
      <sheetName val="Opbouw"/>
      <sheetName val="Vaste gegevens"/>
      <sheetName val="Start_programma's"/>
      <sheetName val="Ber_B"/>
      <sheetName val="Ber_L"/>
      <sheetName val="Ber_T"/>
      <sheetName val="Bib_T"/>
      <sheetName val="Dou_K"/>
      <sheetName val="Ent_N"/>
      <sheetName val="Ent_S"/>
      <sheetName val="Fit_L"/>
      <sheetName val="Gan_L"/>
      <sheetName val="Gan_N"/>
      <sheetName val="Gan_S"/>
      <sheetName val="Gan_T"/>
      <sheetName val="Kan_L"/>
      <sheetName val="Kan_N"/>
      <sheetName val="Kan_T"/>
      <sheetName val="Kle_L"/>
      <sheetName val="Kle_S"/>
      <sheetName val="Kle_T"/>
      <sheetName val="Lif_L"/>
      <sheetName val="Pan_L"/>
      <sheetName val="Pan_N"/>
      <sheetName val="Pan_S"/>
      <sheetName val="Pan_T"/>
      <sheetName val="Rep_L"/>
      <sheetName val="Res_H"/>
      <sheetName val="Roo_L"/>
      <sheetName val="San_S"/>
      <sheetName val="Tou_T"/>
      <sheetName val="Tra_B"/>
      <sheetName val="Tra_L"/>
      <sheetName val="Tra_N"/>
      <sheetName val="Tra_S"/>
      <sheetName val="Tra_T"/>
      <sheetName val="Ver_T"/>
      <sheetName val="Wer_B"/>
      <sheetName val="Wer_L"/>
      <sheetName val="Blad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ieblad"/>
      <sheetName val="WP"/>
      <sheetName val="Steen"/>
      <sheetName val="Lino"/>
      <sheetName val="PVC"/>
      <sheetName val="Tapijt"/>
      <sheetName val="Hout"/>
      <sheetName val="Textiel"/>
      <sheetName val="Voeding"/>
      <sheetName val="Hoofdmenu"/>
      <sheetName val="CSG_macros"/>
      <sheetName val="scrprogramma"/>
      <sheetName val="scrvloersoort"/>
      <sheetName val="scrruimtestaten"/>
      <sheetName val="Tussenblad"/>
      <sheetName val="Waterschapshuis-ma_vr"/>
      <sheetName val="RWZI Tilburg-ma_vr"/>
      <sheetName val="Middelbeers-ma_vr"/>
      <sheetName val="Veldhoven-ma_vr"/>
      <sheetName val="SVI Mierlo-ma_vr"/>
      <sheetName val="Boxtel-ma_vr"/>
      <sheetName val="WSDD-Hoogfrequent"/>
      <sheetName val="WSDD-Laagfrequent"/>
      <sheetName val="Totaal"/>
      <sheetName val="Invulmatrix SO"/>
      <sheetName val="Invulmatrix Glas"/>
      <sheetName val="ma_vr_naloop"/>
      <sheetName val="Za"/>
      <sheetName val="Za_naloop"/>
      <sheetName val="Zo"/>
      <sheetName val="Zo_naloop"/>
      <sheetName val="Feestdag"/>
      <sheetName val="Feestd_naloop"/>
      <sheetName val="Normblad"/>
      <sheetName val="rekenblad"/>
      <sheetName val="variabelen"/>
      <sheetName val="Begroting"/>
      <sheetName val="Opbouw"/>
      <sheetName val="Vaste gegevens"/>
      <sheetName val="Start_programma's"/>
      <sheetName val="Beh_L"/>
      <sheetName val="Bes_S"/>
      <sheetName val="Bib_L"/>
      <sheetName val="Bib_S"/>
      <sheetName val="Bib_T"/>
      <sheetName val="Dou_S"/>
      <sheetName val="Ent_S"/>
      <sheetName val="Ent_T"/>
      <sheetName val="Fie_S"/>
      <sheetName val="Gan_L"/>
      <sheetName val="Gan_S"/>
      <sheetName val="Gan_ST"/>
      <sheetName val="Gan_T"/>
      <sheetName val="Gar_L"/>
      <sheetName val="Gar_S"/>
      <sheetName val="Hal_S"/>
      <sheetName val="Kan_L"/>
      <sheetName val="Kan_H"/>
      <sheetName val="Kan_S"/>
      <sheetName val="Kan_ST"/>
      <sheetName val="Kan_T"/>
      <sheetName val="Keu_L"/>
      <sheetName val="Keu_S"/>
      <sheetName val="Keu_T"/>
      <sheetName val="Kle_S"/>
      <sheetName val="Lab_L"/>
      <sheetName val="Lab_S"/>
      <sheetName val="Lif_L"/>
      <sheetName val="Lif_T"/>
      <sheetName val="Mag_L"/>
      <sheetName val="Mag_S"/>
      <sheetName val="Pri_L"/>
      <sheetName val="Pri_S"/>
      <sheetName val="Pri_ST"/>
      <sheetName val="Pri_T"/>
      <sheetName val="Rec_T"/>
      <sheetName val="Res_L"/>
      <sheetName val="Res_S"/>
      <sheetName val="Res_T"/>
      <sheetName val="Roo_L"/>
      <sheetName val="Roo_S"/>
      <sheetName val="Roo_ST"/>
      <sheetName val="Roo_T"/>
      <sheetName val="San_S"/>
      <sheetName val="Spo_S"/>
      <sheetName val="Tra_H"/>
      <sheetName val="Tra_R"/>
      <sheetName val="Tra_S"/>
      <sheetName val="Ver_L"/>
      <sheetName val="Ver_S"/>
      <sheetName val="Ver_ST"/>
      <sheetName val="Ver_T"/>
      <sheetName val="Was_S"/>
      <sheetName val="Zaa_S"/>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Inschrijfstaat"/>
      <sheetName val="2-Kosten per locatie"/>
      <sheetName val="3-Ruimtestaat"/>
      <sheetName val="4-Reinigen vloeren"/>
      <sheetName val="5-Aanvullend"/>
      <sheetName val="6-Liftbodems"/>
      <sheetName val="7-Geveldelen  en wanden"/>
      <sheetName val="8a-Glasstaat"/>
      <sheetName val="8b-Glas kosten totaal"/>
      <sheetName val="9-Machinekosten"/>
      <sheetName val="10a-Periodieke beurt"/>
      <sheetName val="10b-Bereikbaarheidsvoorz."/>
      <sheetName val="11a- Afroepprijs graffiti"/>
      <sheetName val="11b- Afroepprijs Algemeen"/>
      <sheetName val="11c-Afroep Kap Bijlmer"/>
      <sheetName val="11c-Afroep RVS kraaiennest"/>
      <sheetName val="12-Gelijkrichter stations"/>
      <sheetName val="13- Technischeruimten"/>
      <sheetName val="14-Premies en opslagen"/>
      <sheetName val="15-Opbouw uurtarieven"/>
      <sheetName val="15a-Onderbouwing basis uurloon"/>
      <sheetName val="16-Sanitaire voorzieningen"/>
    </sheetNames>
    <sheetDataSet>
      <sheetData sheetId="0" refreshError="1"/>
      <sheetData sheetId="1">
        <row r="13">
          <cell r="A13">
            <v>106</v>
          </cell>
          <cell r="B13" t="str">
            <v>Amstel</v>
          </cell>
          <cell r="C13">
            <v>2</v>
          </cell>
        </row>
        <row r="14">
          <cell r="A14">
            <v>107</v>
          </cell>
          <cell r="B14" t="str">
            <v>Spaklerweg</v>
          </cell>
          <cell r="C14">
            <v>2</v>
          </cell>
        </row>
        <row r="15">
          <cell r="A15">
            <v>108</v>
          </cell>
          <cell r="B15" t="str">
            <v>Van der Madeweg</v>
          </cell>
          <cell r="C15">
            <v>2</v>
          </cell>
        </row>
        <row r="16">
          <cell r="A16">
            <v>109</v>
          </cell>
          <cell r="B16" t="str">
            <v>Duivendrecht</v>
          </cell>
          <cell r="C16">
            <v>2</v>
          </cell>
        </row>
        <row r="17">
          <cell r="A17">
            <v>110</v>
          </cell>
          <cell r="B17" t="str">
            <v>Strandvliet</v>
          </cell>
          <cell r="C17">
            <v>2</v>
          </cell>
        </row>
        <row r="18">
          <cell r="A18">
            <v>111</v>
          </cell>
          <cell r="B18" t="str">
            <v>Bijlmer</v>
          </cell>
          <cell r="C18">
            <v>2</v>
          </cell>
        </row>
        <row r="19">
          <cell r="A19">
            <v>112</v>
          </cell>
          <cell r="B19" t="str">
            <v>Bullewijk</v>
          </cell>
          <cell r="C19">
            <v>2</v>
          </cell>
        </row>
        <row r="20">
          <cell r="A20">
            <v>113</v>
          </cell>
          <cell r="B20" t="str">
            <v>Holendrecht</v>
          </cell>
          <cell r="C20">
            <v>2</v>
          </cell>
        </row>
        <row r="21">
          <cell r="A21">
            <v>114</v>
          </cell>
          <cell r="B21" t="str">
            <v>Reigersbos</v>
          </cell>
          <cell r="C21">
            <v>2</v>
          </cell>
        </row>
        <row r="22">
          <cell r="A22">
            <v>115</v>
          </cell>
          <cell r="B22" t="str">
            <v>Gein</v>
          </cell>
          <cell r="C22">
            <v>2</v>
          </cell>
        </row>
        <row r="23">
          <cell r="A23">
            <v>116</v>
          </cell>
          <cell r="B23" t="str">
            <v>Venserpolder</v>
          </cell>
          <cell r="C23">
            <v>2</v>
          </cell>
        </row>
        <row r="24">
          <cell r="A24">
            <v>117</v>
          </cell>
          <cell r="B24" t="str">
            <v>Diemen Zuid</v>
          </cell>
          <cell r="C24">
            <v>2</v>
          </cell>
        </row>
        <row r="25">
          <cell r="A25">
            <v>118</v>
          </cell>
          <cell r="B25" t="str">
            <v>Verrijn Stuartweg</v>
          </cell>
          <cell r="C25">
            <v>2</v>
          </cell>
        </row>
        <row r="26">
          <cell r="A26">
            <v>119</v>
          </cell>
          <cell r="B26" t="str">
            <v>Ganzenhoef</v>
          </cell>
          <cell r="C26">
            <v>2</v>
          </cell>
        </row>
        <row r="27">
          <cell r="A27">
            <v>120</v>
          </cell>
          <cell r="B27" t="str">
            <v>Kraaiennest</v>
          </cell>
          <cell r="C27">
            <v>2</v>
          </cell>
        </row>
        <row r="28">
          <cell r="A28">
            <v>121</v>
          </cell>
          <cell r="B28" t="str">
            <v>Gaasperplas</v>
          </cell>
          <cell r="C28">
            <v>2</v>
          </cell>
        </row>
        <row r="29">
          <cell r="A29">
            <v>201</v>
          </cell>
          <cell r="B29" t="str">
            <v>A.J. Ernsstraat</v>
          </cell>
          <cell r="C29">
            <v>2</v>
          </cell>
        </row>
        <row r="30">
          <cell r="A30">
            <v>202</v>
          </cell>
          <cell r="B30" t="str">
            <v>Van Boshuizenstraat</v>
          </cell>
          <cell r="C30">
            <v>2</v>
          </cell>
        </row>
        <row r="31">
          <cell r="A31">
            <v>203</v>
          </cell>
          <cell r="B31" t="str">
            <v>Uilenstede</v>
          </cell>
          <cell r="C31">
            <v>2</v>
          </cell>
        </row>
        <row r="32">
          <cell r="A32">
            <v>204</v>
          </cell>
          <cell r="B32" t="str">
            <v>Kronenburg</v>
          </cell>
          <cell r="C32">
            <v>2</v>
          </cell>
        </row>
        <row r="33">
          <cell r="A33">
            <v>205</v>
          </cell>
          <cell r="B33" t="str">
            <v>Zonnestein</v>
          </cell>
          <cell r="C33">
            <v>2</v>
          </cell>
        </row>
        <row r="34">
          <cell r="A34">
            <v>206</v>
          </cell>
          <cell r="B34" t="str">
            <v>Onderuit</v>
          </cell>
          <cell r="C34">
            <v>2</v>
          </cell>
        </row>
        <row r="35">
          <cell r="A35">
            <v>207</v>
          </cell>
          <cell r="B35" t="str">
            <v>Oranjebaan</v>
          </cell>
          <cell r="C35">
            <v>2</v>
          </cell>
        </row>
        <row r="36">
          <cell r="A36">
            <v>208</v>
          </cell>
          <cell r="B36" t="str">
            <v>Stadshart</v>
          </cell>
          <cell r="C36">
            <v>2</v>
          </cell>
        </row>
        <row r="37">
          <cell r="A37">
            <v>209</v>
          </cell>
          <cell r="B37" t="str">
            <v>Ouderkerkerlaan</v>
          </cell>
          <cell r="C37">
            <v>2</v>
          </cell>
        </row>
        <row r="38">
          <cell r="A38">
            <v>210</v>
          </cell>
          <cell r="B38" t="str">
            <v>Sportlaan</v>
          </cell>
          <cell r="C38">
            <v>2</v>
          </cell>
        </row>
        <row r="39">
          <cell r="A39">
            <v>211</v>
          </cell>
          <cell r="B39" t="str">
            <v>Meent</v>
          </cell>
          <cell r="C39">
            <v>2</v>
          </cell>
        </row>
        <row r="40">
          <cell r="A40">
            <v>212</v>
          </cell>
          <cell r="B40" t="str">
            <v>Brink</v>
          </cell>
          <cell r="C40">
            <v>2</v>
          </cell>
        </row>
        <row r="41">
          <cell r="A41">
            <v>213</v>
          </cell>
          <cell r="B41" t="str">
            <v>Poortwachter</v>
          </cell>
          <cell r="C41">
            <v>2</v>
          </cell>
        </row>
        <row r="42">
          <cell r="A42">
            <v>214</v>
          </cell>
          <cell r="B42" t="str">
            <v>Sacharovlaan</v>
          </cell>
          <cell r="C42">
            <v>2</v>
          </cell>
        </row>
        <row r="43">
          <cell r="A43">
            <v>215</v>
          </cell>
          <cell r="B43" t="str">
            <v>Westwijk</v>
          </cell>
          <cell r="C43">
            <v>2</v>
          </cell>
        </row>
        <row r="44">
          <cell r="A44" t="str">
            <v>215a</v>
          </cell>
          <cell r="B44" t="str">
            <v>Aan de Zoom</v>
          </cell>
          <cell r="C44">
            <v>2</v>
          </cell>
        </row>
        <row r="45">
          <cell r="A45" t="str">
            <v>215b</v>
          </cell>
          <cell r="B45" t="str">
            <v>Uithoorn Station</v>
          </cell>
          <cell r="C45">
            <v>2</v>
          </cell>
        </row>
        <row r="46">
          <cell r="A46" t="str">
            <v>215c</v>
          </cell>
          <cell r="B46" t="str">
            <v>Uithoorn Centrum</v>
          </cell>
          <cell r="C46">
            <v>2</v>
          </cell>
        </row>
        <row r="47">
          <cell r="A47">
            <v>301</v>
          </cell>
          <cell r="B47" t="str">
            <v>Overamstel</v>
          </cell>
          <cell r="C47">
            <v>2</v>
          </cell>
        </row>
        <row r="48">
          <cell r="A48">
            <v>302</v>
          </cell>
          <cell r="B48" t="str">
            <v>Rai</v>
          </cell>
          <cell r="C48">
            <v>2</v>
          </cell>
        </row>
        <row r="49">
          <cell r="A49">
            <v>303</v>
          </cell>
          <cell r="B49" t="str">
            <v>Zuid</v>
          </cell>
          <cell r="C49">
            <v>2</v>
          </cell>
        </row>
        <row r="50">
          <cell r="A50" t="str">
            <v>303a</v>
          </cell>
          <cell r="B50" t="str">
            <v>Strawinskylaan</v>
          </cell>
          <cell r="C50">
            <v>2</v>
          </cell>
        </row>
        <row r="51">
          <cell r="A51">
            <v>304</v>
          </cell>
          <cell r="B51" t="str">
            <v>Amstelveenseweg</v>
          </cell>
          <cell r="C51">
            <v>2</v>
          </cell>
        </row>
        <row r="52">
          <cell r="A52">
            <v>305</v>
          </cell>
          <cell r="B52" t="str">
            <v>Henk Sneevlietweg</v>
          </cell>
          <cell r="C52">
            <v>2</v>
          </cell>
        </row>
        <row r="53">
          <cell r="A53">
            <v>306</v>
          </cell>
          <cell r="B53" t="str">
            <v>Heemstedestraat</v>
          </cell>
          <cell r="C53">
            <v>2</v>
          </cell>
        </row>
        <row r="54">
          <cell r="A54">
            <v>307</v>
          </cell>
          <cell r="B54" t="str">
            <v>Lelylaan</v>
          </cell>
          <cell r="C54">
            <v>2</v>
          </cell>
        </row>
        <row r="55">
          <cell r="A55">
            <v>308</v>
          </cell>
          <cell r="B55" t="str">
            <v>Postjesweg</v>
          </cell>
          <cell r="C55">
            <v>2</v>
          </cell>
        </row>
        <row r="56">
          <cell r="A56">
            <v>309</v>
          </cell>
          <cell r="B56" t="str">
            <v>Jan van Galenstraat</v>
          </cell>
          <cell r="C56">
            <v>2</v>
          </cell>
        </row>
        <row r="57">
          <cell r="A57">
            <v>310</v>
          </cell>
          <cell r="B57" t="str">
            <v>De Vluchtlaan</v>
          </cell>
          <cell r="C57">
            <v>2</v>
          </cell>
        </row>
        <row r="58">
          <cell r="A58">
            <v>311</v>
          </cell>
          <cell r="B58" t="str">
            <v>Sloterdijk</v>
          </cell>
          <cell r="C58">
            <v>2</v>
          </cell>
        </row>
        <row r="59">
          <cell r="A59" t="str">
            <v>311a</v>
          </cell>
          <cell r="B59" t="str">
            <v>Carrascoplein</v>
          </cell>
          <cell r="C59">
            <v>2</v>
          </cell>
        </row>
        <row r="60">
          <cell r="A60">
            <v>312</v>
          </cell>
          <cell r="B60" t="str">
            <v>Isolatorweg</v>
          </cell>
          <cell r="C60">
            <v>2</v>
          </cell>
        </row>
        <row r="61">
          <cell r="A61">
            <v>1001</v>
          </cell>
          <cell r="B61" t="str">
            <v>Bim Huis</v>
          </cell>
          <cell r="C61">
            <v>2</v>
          </cell>
        </row>
        <row r="62">
          <cell r="A62">
            <v>1002</v>
          </cell>
          <cell r="B62" t="str">
            <v>Rietlandpark</v>
          </cell>
          <cell r="C62">
            <v>2</v>
          </cell>
        </row>
        <row r="63">
          <cell r="A63">
            <v>401</v>
          </cell>
          <cell r="B63" t="str">
            <v>Gelijkrichter Ringvaart</v>
          </cell>
          <cell r="C63">
            <v>2</v>
          </cell>
        </row>
        <row r="64">
          <cell r="A64">
            <v>402</v>
          </cell>
          <cell r="B64" t="str">
            <v>Gelijkrichter CVL terrein</v>
          </cell>
          <cell r="C64">
            <v>2</v>
          </cell>
        </row>
        <row r="65">
          <cell r="A65">
            <v>403</v>
          </cell>
          <cell r="B65" t="str">
            <v>Strandvliet</v>
          </cell>
          <cell r="C65">
            <v>2</v>
          </cell>
        </row>
        <row r="66">
          <cell r="A66">
            <v>404</v>
          </cell>
          <cell r="B66" t="str">
            <v>Bullewijk</v>
          </cell>
          <cell r="C66">
            <v>2</v>
          </cell>
        </row>
        <row r="67">
          <cell r="A67">
            <v>405</v>
          </cell>
          <cell r="B67" t="str">
            <v>Reigerbos</v>
          </cell>
          <cell r="C67">
            <v>2</v>
          </cell>
        </row>
        <row r="68">
          <cell r="A68">
            <v>406</v>
          </cell>
          <cell r="B68" t="str">
            <v>Gelijkrichter Kraaiennest</v>
          </cell>
          <cell r="C68">
            <v>2</v>
          </cell>
        </row>
        <row r="69">
          <cell r="A69">
            <v>407</v>
          </cell>
          <cell r="B69" t="str">
            <v>Gelijkrichter Verrijn Stuartweg</v>
          </cell>
          <cell r="C69">
            <v>2</v>
          </cell>
        </row>
        <row r="70">
          <cell r="A70">
            <v>408</v>
          </cell>
          <cell r="B70" t="str">
            <v>Gelijkrichter Venserpolder</v>
          </cell>
          <cell r="C70">
            <v>2</v>
          </cell>
        </row>
        <row r="71">
          <cell r="A71">
            <v>409</v>
          </cell>
          <cell r="B71" t="str">
            <v>Haarlemmerweg</v>
          </cell>
          <cell r="C71">
            <v>2</v>
          </cell>
        </row>
        <row r="72">
          <cell r="A72">
            <v>410</v>
          </cell>
          <cell r="B72" t="str">
            <v>Rozenoordbrug</v>
          </cell>
          <cell r="C72">
            <v>2</v>
          </cell>
        </row>
        <row r="73">
          <cell r="A73">
            <v>411</v>
          </cell>
          <cell r="B73" t="str">
            <v>Schinkelbrug</v>
          </cell>
          <cell r="C73">
            <v>2</v>
          </cell>
        </row>
        <row r="74">
          <cell r="A74" t="str">
            <v>306a</v>
          </cell>
          <cell r="B74" t="str">
            <v>Heemstedestraat</v>
          </cell>
          <cell r="C74">
            <v>2</v>
          </cell>
        </row>
        <row r="75">
          <cell r="A75" t="str">
            <v>306b</v>
          </cell>
          <cell r="B75" t="str">
            <v>Postjesweg</v>
          </cell>
          <cell r="C75">
            <v>2</v>
          </cell>
        </row>
        <row r="76">
          <cell r="A76" t="str">
            <v>312a</v>
          </cell>
          <cell r="B76" t="str">
            <v>Isolatorweg</v>
          </cell>
          <cell r="C76">
            <v>2</v>
          </cell>
        </row>
        <row r="77">
          <cell r="A77">
            <v>414</v>
          </cell>
          <cell r="B77" t="str">
            <v>Gein</v>
          </cell>
          <cell r="C77">
            <v>2</v>
          </cell>
        </row>
        <row r="78">
          <cell r="A78">
            <v>415</v>
          </cell>
          <cell r="B78" t="str">
            <v>Westwijk</v>
          </cell>
          <cell r="C78">
            <v>2</v>
          </cell>
        </row>
        <row r="79">
          <cell r="A79">
            <v>418</v>
          </cell>
          <cell r="B79" t="str">
            <v>Uithoorn</v>
          </cell>
          <cell r="C79">
            <v>2</v>
          </cell>
        </row>
        <row r="80">
          <cell r="A80">
            <v>419</v>
          </cell>
          <cell r="B80" t="str">
            <v>Amsterdamseweg</v>
          </cell>
          <cell r="C80">
            <v>2</v>
          </cell>
        </row>
        <row r="81">
          <cell r="A81">
            <v>413</v>
          </cell>
          <cell r="B81" t="str">
            <v>Legmeerpolder 1</v>
          </cell>
          <cell r="C81">
            <v>2</v>
          </cell>
        </row>
        <row r="82">
          <cell r="A82">
            <v>416</v>
          </cell>
          <cell r="B82" t="str">
            <v>Legmeerpolder 2</v>
          </cell>
          <cell r="C82">
            <v>2</v>
          </cell>
        </row>
        <row r="83">
          <cell r="A83">
            <v>417</v>
          </cell>
          <cell r="B83" t="str">
            <v>Legmeerpolder 3</v>
          </cell>
          <cell r="C83">
            <v>2</v>
          </cell>
        </row>
        <row r="84">
          <cell r="A84" t="str">
            <v>416a</v>
          </cell>
          <cell r="B84" t="str">
            <v>Legmeerpolder Tech. Ruimte</v>
          </cell>
          <cell r="C84">
            <v>2</v>
          </cell>
        </row>
        <row r="85">
          <cell r="A85" t="str">
            <v>Zandvangers</v>
          </cell>
          <cell r="B85" t="str">
            <v>Diverse</v>
          </cell>
          <cell r="C85">
            <v>2</v>
          </cell>
        </row>
        <row r="86">
          <cell r="A86" t="str">
            <v>Algemeen</v>
          </cell>
          <cell r="B86" t="str">
            <v>Diverse</v>
          </cell>
          <cell r="C86">
            <v>2</v>
          </cell>
        </row>
        <row r="88">
          <cell r="B88" t="str">
            <v>Eind totaal</v>
          </cell>
        </row>
      </sheetData>
      <sheetData sheetId="2">
        <row r="2">
          <cell r="B2" t="str">
            <v>Naam opdrachtgever</v>
          </cell>
          <cell r="D2" t="str">
            <v>GVB Infra B.V.</v>
          </cell>
        </row>
        <row r="3">
          <cell r="B3" t="str">
            <v>Calculatie onderdeel</v>
          </cell>
          <cell r="D3" t="str">
            <v>3-Ruimtestaat</v>
          </cell>
        </row>
        <row r="4">
          <cell r="B4" t="str">
            <v>Gebouw/plaats</v>
          </cell>
          <cell r="D4" t="str">
            <v>Diverse</v>
          </cell>
        </row>
        <row r="5">
          <cell r="B5" t="str">
            <v>Besteknummer</v>
          </cell>
          <cell r="D5" t="str">
            <v>2024-20</v>
          </cell>
        </row>
        <row r="6">
          <cell r="B6" t="str">
            <v>Naam leverancier</v>
          </cell>
          <cell r="D6" t="str">
            <v>Voorcalculatie</v>
          </cell>
        </row>
        <row r="7">
          <cell r="B7" t="str">
            <v>Prijspeil</v>
          </cell>
          <cell r="D7" t="str">
            <v>1 januari 2025</v>
          </cell>
        </row>
        <row r="8">
          <cell r="B8" t="str">
            <v>Perceel</v>
          </cell>
          <cell r="D8" t="str">
            <v>2 Specialistiche schoonmaak</v>
          </cell>
        </row>
        <row r="10">
          <cell r="B10" t="str">
            <v>Station nummer</v>
          </cell>
          <cell r="C10" t="str">
            <v>Station</v>
          </cell>
          <cell r="D10" t="str">
            <v>Lijn</v>
          </cell>
        </row>
        <row r="11">
          <cell r="B11">
            <v>106</v>
          </cell>
          <cell r="C11" t="str">
            <v>Amstel</v>
          </cell>
          <cell r="D11" t="str">
            <v>Oostlijn bovengronds</v>
          </cell>
        </row>
        <row r="12">
          <cell r="B12">
            <v>106</v>
          </cell>
          <cell r="C12" t="str">
            <v>Amstel</v>
          </cell>
          <cell r="D12" t="str">
            <v>Oostlijn bovengronds</v>
          </cell>
        </row>
        <row r="13">
          <cell r="B13">
            <v>106</v>
          </cell>
          <cell r="C13" t="str">
            <v>Amstel</v>
          </cell>
          <cell r="D13" t="str">
            <v>Oostlijn bovengronds</v>
          </cell>
        </row>
        <row r="14">
          <cell r="B14">
            <v>106</v>
          </cell>
          <cell r="C14" t="str">
            <v>Amstel</v>
          </cell>
          <cell r="D14" t="str">
            <v>Oostlijn bovengronds</v>
          </cell>
        </row>
        <row r="15">
          <cell r="B15">
            <v>106</v>
          </cell>
          <cell r="C15" t="str">
            <v>Amstel</v>
          </cell>
          <cell r="D15" t="str">
            <v>Oostlijn bovengronds</v>
          </cell>
        </row>
        <row r="16">
          <cell r="B16">
            <v>107</v>
          </cell>
          <cell r="C16" t="str">
            <v>Spaklerweg</v>
          </cell>
          <cell r="D16" t="str">
            <v>Oostlijn bovengronds</v>
          </cell>
        </row>
        <row r="17">
          <cell r="B17">
            <v>107</v>
          </cell>
          <cell r="C17" t="str">
            <v>Spaklerweg</v>
          </cell>
          <cell r="D17" t="str">
            <v>Oostlijn bovengronds</v>
          </cell>
        </row>
        <row r="18">
          <cell r="B18">
            <v>107</v>
          </cell>
          <cell r="C18" t="str">
            <v>Spaklerweg</v>
          </cell>
          <cell r="D18" t="str">
            <v>Oostlijn bovengronds</v>
          </cell>
        </row>
        <row r="19">
          <cell r="B19">
            <v>107</v>
          </cell>
          <cell r="C19" t="str">
            <v>Spaklerweg</v>
          </cell>
          <cell r="D19" t="str">
            <v>Oostlijn bovengronds</v>
          </cell>
        </row>
        <row r="20">
          <cell r="B20">
            <v>107</v>
          </cell>
          <cell r="C20" t="str">
            <v>Spaklerweg</v>
          </cell>
          <cell r="D20" t="str">
            <v>Oostlijn bovengronds</v>
          </cell>
        </row>
        <row r="21">
          <cell r="B21">
            <v>107</v>
          </cell>
          <cell r="C21" t="str">
            <v>Spaklerweg</v>
          </cell>
          <cell r="D21" t="str">
            <v>Oostlijn bovengronds</v>
          </cell>
        </row>
        <row r="22">
          <cell r="B22">
            <v>107</v>
          </cell>
          <cell r="C22" t="str">
            <v>Spaklerweg</v>
          </cell>
          <cell r="D22" t="str">
            <v>Oostlijn bovengronds</v>
          </cell>
        </row>
        <row r="23">
          <cell r="B23">
            <v>107</v>
          </cell>
          <cell r="C23" t="str">
            <v>Spaklerweg</v>
          </cell>
          <cell r="D23" t="str">
            <v>Oostlijn bovengronds</v>
          </cell>
        </row>
        <row r="24">
          <cell r="B24">
            <v>107</v>
          </cell>
          <cell r="C24" t="str">
            <v>Spaklerweg</v>
          </cell>
          <cell r="D24" t="str">
            <v>Oostlijn bovengronds</v>
          </cell>
        </row>
        <row r="25">
          <cell r="B25">
            <v>107</v>
          </cell>
          <cell r="C25" t="str">
            <v>Spaklerweg</v>
          </cell>
          <cell r="D25" t="str">
            <v>Oostlijn bovengronds</v>
          </cell>
        </row>
        <row r="26">
          <cell r="B26">
            <v>107</v>
          </cell>
          <cell r="C26" t="str">
            <v>Spaklerweg</v>
          </cell>
          <cell r="D26" t="str">
            <v>Oostlijn bovengronds</v>
          </cell>
        </row>
        <row r="27">
          <cell r="B27">
            <v>107</v>
          </cell>
          <cell r="C27" t="str">
            <v>Spaklerweg</v>
          </cell>
          <cell r="D27" t="str">
            <v>Oostlijn bovengronds</v>
          </cell>
        </row>
        <row r="28">
          <cell r="B28">
            <v>107</v>
          </cell>
          <cell r="C28" t="str">
            <v>Spaklerweg</v>
          </cell>
          <cell r="D28" t="str">
            <v>Oostlijn bovengronds</v>
          </cell>
        </row>
        <row r="29">
          <cell r="B29">
            <v>107</v>
          </cell>
          <cell r="C29" t="str">
            <v>Spaklerweg</v>
          </cell>
          <cell r="D29" t="str">
            <v>Oostlijn bovengronds</v>
          </cell>
        </row>
        <row r="30">
          <cell r="B30">
            <v>107</v>
          </cell>
          <cell r="C30" t="str">
            <v>Spaklerweg</v>
          </cell>
          <cell r="D30" t="str">
            <v>Oostlijn bovengronds</v>
          </cell>
        </row>
        <row r="31">
          <cell r="B31">
            <v>107</v>
          </cell>
          <cell r="C31" t="str">
            <v>Spaklerweg</v>
          </cell>
          <cell r="D31" t="str">
            <v>Oostlijn bovengronds</v>
          </cell>
        </row>
        <row r="32">
          <cell r="B32">
            <v>107</v>
          </cell>
          <cell r="C32" t="str">
            <v>Spaklerweg</v>
          </cell>
          <cell r="D32" t="str">
            <v>Oostlijn bovengronds</v>
          </cell>
        </row>
        <row r="33">
          <cell r="B33">
            <v>107</v>
          </cell>
          <cell r="C33" t="str">
            <v>Spaklerweg</v>
          </cell>
          <cell r="D33" t="str">
            <v>Oostlijn bovengronds</v>
          </cell>
        </row>
        <row r="34">
          <cell r="B34">
            <v>107</v>
          </cell>
          <cell r="C34" t="str">
            <v>Spaklerweg</v>
          </cell>
          <cell r="D34" t="str">
            <v>Oostlijn bovengronds</v>
          </cell>
        </row>
        <row r="35">
          <cell r="B35">
            <v>107</v>
          </cell>
          <cell r="C35" t="str">
            <v>Spaklerweg</v>
          </cell>
          <cell r="D35" t="str">
            <v>Oostlijn bovengronds</v>
          </cell>
        </row>
        <row r="36">
          <cell r="B36">
            <v>107</v>
          </cell>
          <cell r="C36" t="str">
            <v>Spaklerweg</v>
          </cell>
          <cell r="D36" t="str">
            <v>Oostlijn bovengronds</v>
          </cell>
        </row>
        <row r="37">
          <cell r="B37">
            <v>107</v>
          </cell>
          <cell r="C37" t="str">
            <v>Spaklerweg</v>
          </cell>
          <cell r="D37" t="str">
            <v>Oostlijn bovengronds</v>
          </cell>
        </row>
        <row r="38">
          <cell r="B38">
            <v>107</v>
          </cell>
          <cell r="C38" t="str">
            <v>Spaklerweg</v>
          </cell>
          <cell r="D38" t="str">
            <v>Oostlijn bovengronds</v>
          </cell>
        </row>
        <row r="39">
          <cell r="B39">
            <v>107</v>
          </cell>
          <cell r="C39" t="str">
            <v>Spaklerweg</v>
          </cell>
          <cell r="D39" t="str">
            <v>Oostlijn bovengronds</v>
          </cell>
        </row>
        <row r="40">
          <cell r="B40">
            <v>107</v>
          </cell>
          <cell r="C40" t="str">
            <v>Spaklerweg</v>
          </cell>
          <cell r="D40" t="str">
            <v>Oostlijn bovengronds</v>
          </cell>
        </row>
        <row r="41">
          <cell r="B41">
            <v>108</v>
          </cell>
          <cell r="C41" t="str">
            <v>Van der Madeweg</v>
          </cell>
          <cell r="D41" t="str">
            <v>Oostlijn bovengronds</v>
          </cell>
        </row>
        <row r="42">
          <cell r="B42">
            <v>108</v>
          </cell>
          <cell r="C42" t="str">
            <v>Van der Madeweg</v>
          </cell>
          <cell r="D42" t="str">
            <v>Oostlijn bovengronds</v>
          </cell>
        </row>
        <row r="43">
          <cell r="B43">
            <v>108</v>
          </cell>
          <cell r="C43" t="str">
            <v>Van der Madeweg</v>
          </cell>
          <cell r="D43" t="str">
            <v>Oostlijn bovengronds</v>
          </cell>
        </row>
        <row r="44">
          <cell r="B44">
            <v>108</v>
          </cell>
          <cell r="C44" t="str">
            <v>Van der Madeweg</v>
          </cell>
          <cell r="D44" t="str">
            <v>Oostlijn bovengronds</v>
          </cell>
        </row>
        <row r="45">
          <cell r="B45">
            <v>108</v>
          </cell>
          <cell r="C45" t="str">
            <v>Van der Madeweg</v>
          </cell>
          <cell r="D45" t="str">
            <v>Oostlijn bovengronds</v>
          </cell>
        </row>
        <row r="46">
          <cell r="B46">
            <v>108</v>
          </cell>
          <cell r="C46" t="str">
            <v>Van der Madeweg</v>
          </cell>
          <cell r="D46" t="str">
            <v>Oostlijn bovengronds</v>
          </cell>
        </row>
        <row r="47">
          <cell r="B47">
            <v>108</v>
          </cell>
          <cell r="C47" t="str">
            <v>Van der Madeweg</v>
          </cell>
          <cell r="D47" t="str">
            <v>Oostlijn bovengronds</v>
          </cell>
        </row>
        <row r="48">
          <cell r="B48">
            <v>108</v>
          </cell>
          <cell r="C48" t="str">
            <v>Van der Madeweg</v>
          </cell>
          <cell r="D48" t="str">
            <v>Oostlijn bovengronds</v>
          </cell>
        </row>
        <row r="49">
          <cell r="B49">
            <v>108</v>
          </cell>
          <cell r="C49" t="str">
            <v>Van der Madeweg</v>
          </cell>
          <cell r="D49" t="str">
            <v>Oostlijn bovengronds</v>
          </cell>
        </row>
        <row r="50">
          <cell r="B50">
            <v>108</v>
          </cell>
          <cell r="C50" t="str">
            <v>Van der Madeweg</v>
          </cell>
          <cell r="D50" t="str">
            <v>Oostlijn bovengronds</v>
          </cell>
        </row>
        <row r="51">
          <cell r="B51">
            <v>108</v>
          </cell>
          <cell r="C51" t="str">
            <v>Van der Madeweg</v>
          </cell>
          <cell r="D51" t="str">
            <v>Oostlijn bovengronds</v>
          </cell>
        </row>
        <row r="52">
          <cell r="B52">
            <v>108</v>
          </cell>
          <cell r="C52" t="str">
            <v>Van der Madeweg</v>
          </cell>
          <cell r="D52" t="str">
            <v>Oostlijn bovengronds</v>
          </cell>
        </row>
        <row r="53">
          <cell r="B53">
            <v>108</v>
          </cell>
          <cell r="C53" t="str">
            <v>Van der Madeweg</v>
          </cell>
          <cell r="D53" t="str">
            <v>Oostlijn bovengronds</v>
          </cell>
        </row>
        <row r="54">
          <cell r="B54">
            <v>108</v>
          </cell>
          <cell r="C54" t="str">
            <v>Van der Madeweg</v>
          </cell>
          <cell r="D54" t="str">
            <v>Oostlijn bovengronds</v>
          </cell>
        </row>
        <row r="55">
          <cell r="B55">
            <v>108</v>
          </cell>
          <cell r="C55" t="str">
            <v>Van der Madeweg</v>
          </cell>
          <cell r="D55" t="str">
            <v>Oostlijn bovengronds</v>
          </cell>
        </row>
        <row r="56">
          <cell r="B56">
            <v>108</v>
          </cell>
          <cell r="C56" t="str">
            <v>Van der Madeweg</v>
          </cell>
          <cell r="D56" t="str">
            <v>Oostlijn bovengronds</v>
          </cell>
        </row>
        <row r="57">
          <cell r="B57">
            <v>108</v>
          </cell>
          <cell r="C57" t="str">
            <v>Van der Madeweg</v>
          </cell>
          <cell r="D57" t="str">
            <v>Oostlijn bovengronds</v>
          </cell>
        </row>
        <row r="58">
          <cell r="B58">
            <v>108</v>
          </cell>
          <cell r="C58" t="str">
            <v>Van der Madeweg</v>
          </cell>
          <cell r="D58" t="str">
            <v>Oostlijn bovengronds</v>
          </cell>
        </row>
        <row r="59">
          <cell r="B59">
            <v>108</v>
          </cell>
          <cell r="C59" t="str">
            <v>Van der Madeweg</v>
          </cell>
          <cell r="D59" t="str">
            <v>Oostlijn bovengronds</v>
          </cell>
        </row>
        <row r="60">
          <cell r="B60">
            <v>108</v>
          </cell>
          <cell r="C60" t="str">
            <v>Van der Madeweg</v>
          </cell>
          <cell r="D60" t="str">
            <v>Oostlijn bovengronds</v>
          </cell>
        </row>
        <row r="61">
          <cell r="B61">
            <v>108</v>
          </cell>
          <cell r="C61" t="str">
            <v>Van der Madeweg</v>
          </cell>
          <cell r="D61" t="str">
            <v>Oostlijn bovengronds</v>
          </cell>
        </row>
        <row r="62">
          <cell r="B62">
            <v>108</v>
          </cell>
          <cell r="C62" t="str">
            <v>Van der Madeweg</v>
          </cell>
          <cell r="D62" t="str">
            <v>Oostlijn bovengronds</v>
          </cell>
        </row>
        <row r="63">
          <cell r="B63">
            <v>108</v>
          </cell>
          <cell r="C63" t="str">
            <v>Van der Madeweg</v>
          </cell>
          <cell r="D63" t="str">
            <v>Oostlijn bovengronds</v>
          </cell>
        </row>
        <row r="64">
          <cell r="B64">
            <v>108</v>
          </cell>
          <cell r="C64" t="str">
            <v>Van der Madeweg</v>
          </cell>
          <cell r="D64" t="str">
            <v>Oostlijn bovengronds</v>
          </cell>
        </row>
        <row r="65">
          <cell r="B65">
            <v>108</v>
          </cell>
          <cell r="C65" t="str">
            <v>Van der Madeweg</v>
          </cell>
          <cell r="D65" t="str">
            <v>Oostlijn bovengronds</v>
          </cell>
        </row>
        <row r="66">
          <cell r="B66">
            <v>108</v>
          </cell>
          <cell r="C66" t="str">
            <v>Van der Madeweg</v>
          </cell>
          <cell r="D66" t="str">
            <v>Oostlijn bovengronds</v>
          </cell>
        </row>
        <row r="67">
          <cell r="B67">
            <v>108</v>
          </cell>
          <cell r="C67" t="str">
            <v>Van der Madeweg</v>
          </cell>
          <cell r="D67" t="str">
            <v>Oostlijn bovengronds</v>
          </cell>
        </row>
        <row r="68">
          <cell r="B68">
            <v>108</v>
          </cell>
          <cell r="C68" t="str">
            <v>Van der Madeweg</v>
          </cell>
          <cell r="D68" t="str">
            <v>Oostlijn bovengronds</v>
          </cell>
        </row>
        <row r="69">
          <cell r="B69">
            <v>108</v>
          </cell>
          <cell r="C69" t="str">
            <v>Van der Madeweg</v>
          </cell>
          <cell r="D69" t="str">
            <v>Oostlijn bovengronds</v>
          </cell>
        </row>
        <row r="70">
          <cell r="B70">
            <v>108</v>
          </cell>
          <cell r="C70" t="str">
            <v>Van der Madeweg</v>
          </cell>
          <cell r="D70" t="str">
            <v>Oostlijn bovengronds</v>
          </cell>
        </row>
        <row r="71">
          <cell r="B71">
            <v>108</v>
          </cell>
          <cell r="C71" t="str">
            <v>Van der Madeweg</v>
          </cell>
          <cell r="D71" t="str">
            <v>Oostlijn bovengronds</v>
          </cell>
        </row>
        <row r="72">
          <cell r="B72">
            <v>108</v>
          </cell>
          <cell r="C72" t="str">
            <v>Van der Madeweg</v>
          </cell>
          <cell r="D72" t="str">
            <v>Oostlijn bovengronds</v>
          </cell>
        </row>
        <row r="73">
          <cell r="B73">
            <v>109</v>
          </cell>
          <cell r="C73" t="str">
            <v>Duivendrecht</v>
          </cell>
          <cell r="D73" t="str">
            <v>Oostlijn bovengronds</v>
          </cell>
        </row>
        <row r="74">
          <cell r="B74">
            <v>109</v>
          </cell>
          <cell r="C74" t="str">
            <v>Duivendrecht</v>
          </cell>
          <cell r="D74" t="str">
            <v>Oostlijn bovengronds</v>
          </cell>
        </row>
        <row r="75">
          <cell r="B75">
            <v>109</v>
          </cell>
          <cell r="C75" t="str">
            <v>Duivendrecht</v>
          </cell>
          <cell r="D75" t="str">
            <v>Oostlijn bovengronds</v>
          </cell>
        </row>
        <row r="76">
          <cell r="B76">
            <v>109</v>
          </cell>
          <cell r="C76" t="str">
            <v>Duivendrecht</v>
          </cell>
          <cell r="D76" t="str">
            <v>Oostlijn bovengronds</v>
          </cell>
        </row>
        <row r="77">
          <cell r="B77">
            <v>110</v>
          </cell>
          <cell r="C77" t="str">
            <v>Strandvliet</v>
          </cell>
          <cell r="D77" t="str">
            <v>Oostlijn bovengronds</v>
          </cell>
        </row>
        <row r="78">
          <cell r="B78">
            <v>110</v>
          </cell>
          <cell r="C78" t="str">
            <v>Strandvliet</v>
          </cell>
          <cell r="D78" t="str">
            <v>Oostlijn bovengronds</v>
          </cell>
        </row>
        <row r="79">
          <cell r="B79">
            <v>110</v>
          </cell>
          <cell r="C79" t="str">
            <v>Strandvliet</v>
          </cell>
          <cell r="D79" t="str">
            <v>Oostlijn bovengronds</v>
          </cell>
        </row>
        <row r="80">
          <cell r="B80">
            <v>110</v>
          </cell>
          <cell r="C80" t="str">
            <v>Strandvliet</v>
          </cell>
          <cell r="D80" t="str">
            <v>Oostlijn bovengronds</v>
          </cell>
        </row>
        <row r="81">
          <cell r="B81">
            <v>110</v>
          </cell>
          <cell r="C81" t="str">
            <v>Strandvliet</v>
          </cell>
          <cell r="D81" t="str">
            <v>Oostlijn bovengronds</v>
          </cell>
        </row>
        <row r="82">
          <cell r="B82">
            <v>110</v>
          </cell>
          <cell r="C82" t="str">
            <v>Strandvliet</v>
          </cell>
          <cell r="D82" t="str">
            <v>Oostlijn bovengronds</v>
          </cell>
        </row>
        <row r="83">
          <cell r="B83">
            <v>110</v>
          </cell>
          <cell r="C83" t="str">
            <v>Strandvliet</v>
          </cell>
          <cell r="D83" t="str">
            <v>Oostlijn bovengronds</v>
          </cell>
        </row>
        <row r="84">
          <cell r="B84">
            <v>110</v>
          </cell>
          <cell r="C84" t="str">
            <v>Strandvliet</v>
          </cell>
          <cell r="D84" t="str">
            <v>Oostlijn bovengronds</v>
          </cell>
        </row>
        <row r="85">
          <cell r="B85">
            <v>110</v>
          </cell>
          <cell r="C85" t="str">
            <v>Strandvliet</v>
          </cell>
          <cell r="D85" t="str">
            <v>Oostlijn bovengronds</v>
          </cell>
        </row>
        <row r="86">
          <cell r="B86">
            <v>110</v>
          </cell>
          <cell r="C86" t="str">
            <v>Strandvliet</v>
          </cell>
          <cell r="D86" t="str">
            <v>Oostlijn bovengronds</v>
          </cell>
        </row>
        <row r="87">
          <cell r="B87">
            <v>110</v>
          </cell>
          <cell r="C87" t="str">
            <v>Strandvliet</v>
          </cell>
          <cell r="D87" t="str">
            <v>Oostlijn bovengronds</v>
          </cell>
        </row>
        <row r="88">
          <cell r="B88">
            <v>110</v>
          </cell>
          <cell r="C88" t="str">
            <v>Strandvliet</v>
          </cell>
          <cell r="D88" t="str">
            <v>Oostlijn bovengronds</v>
          </cell>
        </row>
        <row r="89">
          <cell r="B89">
            <v>110</v>
          </cell>
          <cell r="C89" t="str">
            <v>Strandvliet</v>
          </cell>
          <cell r="D89" t="str">
            <v>Oostlijn bovengronds</v>
          </cell>
        </row>
        <row r="90">
          <cell r="B90">
            <v>110</v>
          </cell>
          <cell r="C90" t="str">
            <v>Strandvliet</v>
          </cell>
          <cell r="D90" t="str">
            <v>Oostlijn bovengronds</v>
          </cell>
        </row>
        <row r="91">
          <cell r="B91">
            <v>110</v>
          </cell>
          <cell r="C91" t="str">
            <v>Strandvliet</v>
          </cell>
          <cell r="D91" t="str">
            <v>Oostlijn bovengronds</v>
          </cell>
        </row>
        <row r="92">
          <cell r="B92">
            <v>110</v>
          </cell>
          <cell r="C92" t="str">
            <v>Strandvliet</v>
          </cell>
          <cell r="D92" t="str">
            <v>Oostlijn bovengronds</v>
          </cell>
        </row>
        <row r="93">
          <cell r="B93">
            <v>110</v>
          </cell>
          <cell r="C93" t="str">
            <v>Strandvliet</v>
          </cell>
          <cell r="D93" t="str">
            <v>Oostlijn bovengronds</v>
          </cell>
        </row>
        <row r="94">
          <cell r="B94">
            <v>110</v>
          </cell>
          <cell r="C94" t="str">
            <v>Strandvliet</v>
          </cell>
          <cell r="D94" t="str">
            <v>Oostlijn bovengronds</v>
          </cell>
        </row>
        <row r="95">
          <cell r="B95">
            <v>110</v>
          </cell>
          <cell r="C95" t="str">
            <v>Strandvliet</v>
          </cell>
          <cell r="D95" t="str">
            <v>Oostlijn bovengronds</v>
          </cell>
        </row>
        <row r="96">
          <cell r="B96">
            <v>110</v>
          </cell>
          <cell r="C96" t="str">
            <v>Strandvliet</v>
          </cell>
          <cell r="D96" t="str">
            <v>Oostlijn bovengronds</v>
          </cell>
        </row>
        <row r="97">
          <cell r="B97">
            <v>110</v>
          </cell>
          <cell r="C97" t="str">
            <v>Strandvliet</v>
          </cell>
          <cell r="D97" t="str">
            <v>Oostlijn bovengronds</v>
          </cell>
        </row>
        <row r="98">
          <cell r="B98">
            <v>110</v>
          </cell>
          <cell r="C98" t="str">
            <v>Strandvliet</v>
          </cell>
          <cell r="D98" t="str">
            <v>Oostlijn bovengronds</v>
          </cell>
        </row>
        <row r="99">
          <cell r="B99">
            <v>110</v>
          </cell>
          <cell r="C99" t="str">
            <v>Strandvliet</v>
          </cell>
          <cell r="D99" t="str">
            <v>Oostlijn bovengronds</v>
          </cell>
        </row>
        <row r="100">
          <cell r="B100">
            <v>110</v>
          </cell>
          <cell r="C100" t="str">
            <v>Strandvliet</v>
          </cell>
          <cell r="D100" t="str">
            <v>Oostlijn bovengronds</v>
          </cell>
        </row>
        <row r="101">
          <cell r="B101">
            <v>110</v>
          </cell>
          <cell r="C101" t="str">
            <v>Strandvliet</v>
          </cell>
          <cell r="D101" t="str">
            <v>Oostlijn bovengronds</v>
          </cell>
        </row>
        <row r="102">
          <cell r="B102">
            <v>110</v>
          </cell>
          <cell r="C102" t="str">
            <v>Strandvliet</v>
          </cell>
          <cell r="D102" t="str">
            <v>Oostlijn bovengronds</v>
          </cell>
        </row>
        <row r="103">
          <cell r="B103">
            <v>110</v>
          </cell>
          <cell r="C103" t="str">
            <v>Strandvliet</v>
          </cell>
          <cell r="D103" t="str">
            <v>Oostlijn bovengronds</v>
          </cell>
        </row>
        <row r="104">
          <cell r="B104">
            <v>110</v>
          </cell>
          <cell r="C104" t="str">
            <v>Strandvliet</v>
          </cell>
          <cell r="D104" t="str">
            <v>Oostlijn bovengronds</v>
          </cell>
        </row>
        <row r="105">
          <cell r="B105">
            <v>110</v>
          </cell>
          <cell r="C105" t="str">
            <v>Strandvliet</v>
          </cell>
          <cell r="D105" t="str">
            <v>Oostlijn bovengronds</v>
          </cell>
        </row>
        <row r="106">
          <cell r="B106">
            <v>110</v>
          </cell>
          <cell r="C106" t="str">
            <v>Strandvliet</v>
          </cell>
          <cell r="D106" t="str">
            <v>Oostlijn bovengronds</v>
          </cell>
        </row>
        <row r="107">
          <cell r="B107">
            <v>110</v>
          </cell>
          <cell r="C107" t="str">
            <v>Strandvliet</v>
          </cell>
          <cell r="D107" t="str">
            <v>Oostlijn bovengronds</v>
          </cell>
        </row>
        <row r="108">
          <cell r="B108">
            <v>110</v>
          </cell>
          <cell r="C108" t="str">
            <v>Strandvliet</v>
          </cell>
          <cell r="D108" t="str">
            <v>Oostlijn bovengronds</v>
          </cell>
        </row>
        <row r="109">
          <cell r="B109">
            <v>110</v>
          </cell>
          <cell r="C109" t="str">
            <v>Strandvliet</v>
          </cell>
          <cell r="D109" t="str">
            <v>Oostlijn bovengronds</v>
          </cell>
        </row>
        <row r="110">
          <cell r="B110">
            <v>110</v>
          </cell>
          <cell r="C110" t="str">
            <v>Strandvliet</v>
          </cell>
          <cell r="D110" t="str">
            <v>Oostlijn bovengronds</v>
          </cell>
        </row>
        <row r="111">
          <cell r="B111">
            <v>110</v>
          </cell>
          <cell r="C111" t="str">
            <v>Strandvliet</v>
          </cell>
          <cell r="D111" t="str">
            <v>Oostlijn bovengronds</v>
          </cell>
        </row>
        <row r="112">
          <cell r="B112">
            <v>111</v>
          </cell>
          <cell r="C112" t="str">
            <v>Bijlmer</v>
          </cell>
          <cell r="D112" t="str">
            <v>Oostlijn bovengronds</v>
          </cell>
        </row>
        <row r="113">
          <cell r="B113">
            <v>111</v>
          </cell>
          <cell r="C113" t="str">
            <v>Bijlmer</v>
          </cell>
          <cell r="D113" t="str">
            <v>Oostlijn bovengronds</v>
          </cell>
        </row>
        <row r="114">
          <cell r="B114">
            <v>111</v>
          </cell>
          <cell r="C114" t="str">
            <v>Bijlmer</v>
          </cell>
          <cell r="D114" t="str">
            <v>Oostlijn bovengronds</v>
          </cell>
        </row>
        <row r="115">
          <cell r="B115">
            <v>111</v>
          </cell>
          <cell r="C115" t="str">
            <v>Bijlmer</v>
          </cell>
          <cell r="D115" t="str">
            <v>Oostlijn bovengronds</v>
          </cell>
        </row>
        <row r="116">
          <cell r="B116">
            <v>111</v>
          </cell>
          <cell r="C116" t="str">
            <v>Bijlmer</v>
          </cell>
          <cell r="D116" t="str">
            <v>Oostlijn bovengronds</v>
          </cell>
        </row>
        <row r="117">
          <cell r="B117">
            <v>111</v>
          </cell>
          <cell r="C117" t="str">
            <v>Bijlmer</v>
          </cell>
          <cell r="D117" t="str">
            <v>Oostlijn bovengronds</v>
          </cell>
        </row>
        <row r="118">
          <cell r="B118">
            <v>111</v>
          </cell>
          <cell r="C118" t="str">
            <v>Bijlmer</v>
          </cell>
          <cell r="D118" t="str">
            <v>Oostlijn bovengronds</v>
          </cell>
        </row>
        <row r="119">
          <cell r="B119">
            <v>111</v>
          </cell>
          <cell r="C119" t="str">
            <v>Bijlmer</v>
          </cell>
          <cell r="D119" t="str">
            <v>Oostlijn bovengronds</v>
          </cell>
        </row>
        <row r="120">
          <cell r="B120">
            <v>111</v>
          </cell>
          <cell r="C120" t="str">
            <v>Bijlmer</v>
          </cell>
          <cell r="D120" t="str">
            <v>Oostlijn bovengronds</v>
          </cell>
        </row>
        <row r="121">
          <cell r="B121">
            <v>111</v>
          </cell>
          <cell r="C121" t="str">
            <v>Bijlmer</v>
          </cell>
          <cell r="D121" t="str">
            <v>Oostlijn bovengronds</v>
          </cell>
        </row>
        <row r="122">
          <cell r="B122">
            <v>111</v>
          </cell>
          <cell r="C122" t="str">
            <v>Bijlmer</v>
          </cell>
          <cell r="D122" t="str">
            <v>Oostlijn bovengronds</v>
          </cell>
        </row>
        <row r="123">
          <cell r="B123">
            <v>111</v>
          </cell>
          <cell r="C123" t="str">
            <v>Bijlmer</v>
          </cell>
          <cell r="D123" t="str">
            <v>Oostlijn bovengronds</v>
          </cell>
        </row>
        <row r="124">
          <cell r="B124">
            <v>111</v>
          </cell>
          <cell r="C124" t="str">
            <v>Bijlmer</v>
          </cell>
          <cell r="D124" t="str">
            <v>Oostlijn bovengronds</v>
          </cell>
        </row>
        <row r="125">
          <cell r="B125">
            <v>111</v>
          </cell>
          <cell r="C125" t="str">
            <v>Bijlmer</v>
          </cell>
          <cell r="D125" t="str">
            <v>Oostlijn bovengronds</v>
          </cell>
        </row>
        <row r="126">
          <cell r="B126">
            <v>111</v>
          </cell>
          <cell r="C126" t="str">
            <v>Bijlmer</v>
          </cell>
          <cell r="D126" t="str">
            <v>Oostlijn bovengronds</v>
          </cell>
        </row>
        <row r="127">
          <cell r="B127">
            <v>111</v>
          </cell>
          <cell r="C127" t="str">
            <v>Bijlmer</v>
          </cell>
          <cell r="D127" t="str">
            <v>Oostlijn bovengronds</v>
          </cell>
        </row>
        <row r="128">
          <cell r="B128">
            <v>111</v>
          </cell>
          <cell r="C128" t="str">
            <v>Bijlmer</v>
          </cell>
          <cell r="D128" t="str">
            <v>Oostlijn bovengronds</v>
          </cell>
        </row>
        <row r="129">
          <cell r="B129">
            <v>111</v>
          </cell>
          <cell r="C129" t="str">
            <v>Bijlmer</v>
          </cell>
          <cell r="D129" t="str">
            <v>Oostlijn bovengronds</v>
          </cell>
        </row>
        <row r="130">
          <cell r="B130">
            <v>111</v>
          </cell>
          <cell r="C130" t="str">
            <v>Bijlmer</v>
          </cell>
          <cell r="D130" t="str">
            <v>Oostlijn bovengronds</v>
          </cell>
        </row>
        <row r="131">
          <cell r="B131">
            <v>111</v>
          </cell>
          <cell r="C131" t="str">
            <v>Bijlmer</v>
          </cell>
          <cell r="D131" t="str">
            <v>Oostlijn bovengronds</v>
          </cell>
        </row>
        <row r="132">
          <cell r="B132">
            <v>111</v>
          </cell>
          <cell r="C132" t="str">
            <v>Bijlmer</v>
          </cell>
          <cell r="D132" t="str">
            <v>Oostlijn bovengronds</v>
          </cell>
        </row>
        <row r="133">
          <cell r="B133">
            <v>112</v>
          </cell>
          <cell r="C133" t="str">
            <v>Bullewijk</v>
          </cell>
          <cell r="D133" t="str">
            <v>Oostlijn bovengronds</v>
          </cell>
        </row>
        <row r="134">
          <cell r="B134">
            <v>112</v>
          </cell>
          <cell r="C134" t="str">
            <v>Bullewijk</v>
          </cell>
          <cell r="D134" t="str">
            <v>Oostlijn bovengronds</v>
          </cell>
        </row>
        <row r="135">
          <cell r="B135">
            <v>112</v>
          </cell>
          <cell r="C135" t="str">
            <v>Bullewijk</v>
          </cell>
          <cell r="D135" t="str">
            <v>Oostlijn bovengronds</v>
          </cell>
        </row>
        <row r="136">
          <cell r="B136">
            <v>112</v>
          </cell>
          <cell r="C136" t="str">
            <v>Bullewijk</v>
          </cell>
          <cell r="D136" t="str">
            <v>Oostlijn bovengronds</v>
          </cell>
        </row>
        <row r="137">
          <cell r="B137">
            <v>112</v>
          </cell>
          <cell r="C137" t="str">
            <v>Bullewijk</v>
          </cell>
          <cell r="D137" t="str">
            <v>Oostlijn bovengronds</v>
          </cell>
        </row>
        <row r="138">
          <cell r="B138">
            <v>112</v>
          </cell>
          <cell r="C138" t="str">
            <v>Bullewijk</v>
          </cell>
          <cell r="D138" t="str">
            <v>Oostlijn bovengronds</v>
          </cell>
        </row>
        <row r="139">
          <cell r="B139">
            <v>112</v>
          </cell>
          <cell r="C139" t="str">
            <v>Bullewijk</v>
          </cell>
          <cell r="D139" t="str">
            <v>Oostlijn bovengronds</v>
          </cell>
        </row>
        <row r="140">
          <cell r="B140">
            <v>112</v>
          </cell>
          <cell r="C140" t="str">
            <v>Bullewijk</v>
          </cell>
          <cell r="D140" t="str">
            <v>Oostlijn bovengronds</v>
          </cell>
        </row>
        <row r="141">
          <cell r="B141">
            <v>112</v>
          </cell>
          <cell r="C141" t="str">
            <v>Bullewijk</v>
          </cell>
          <cell r="D141" t="str">
            <v>Oostlijn bovengronds</v>
          </cell>
        </row>
        <row r="142">
          <cell r="B142">
            <v>112</v>
          </cell>
          <cell r="C142" t="str">
            <v>Bullewijk</v>
          </cell>
          <cell r="D142" t="str">
            <v>Oostlijn bovengronds</v>
          </cell>
        </row>
        <row r="143">
          <cell r="B143">
            <v>112</v>
          </cell>
          <cell r="C143" t="str">
            <v>Bullewijk</v>
          </cell>
          <cell r="D143" t="str">
            <v>Oostlijn bovengronds</v>
          </cell>
        </row>
        <row r="144">
          <cell r="B144">
            <v>112</v>
          </cell>
          <cell r="C144" t="str">
            <v>Bullewijk</v>
          </cell>
          <cell r="D144" t="str">
            <v>Oostlijn bovengronds</v>
          </cell>
        </row>
        <row r="145">
          <cell r="B145">
            <v>112</v>
          </cell>
          <cell r="C145" t="str">
            <v>Bullewijk</v>
          </cell>
          <cell r="D145" t="str">
            <v>Oostlijn bovengronds</v>
          </cell>
        </row>
        <row r="146">
          <cell r="B146">
            <v>112</v>
          </cell>
          <cell r="C146" t="str">
            <v>Bullewijk</v>
          </cell>
          <cell r="D146" t="str">
            <v>Oostlijn bovengronds</v>
          </cell>
        </row>
        <row r="147">
          <cell r="B147">
            <v>112</v>
          </cell>
          <cell r="C147" t="str">
            <v>Bullewijk</v>
          </cell>
          <cell r="D147" t="str">
            <v>Oostlijn bovengronds</v>
          </cell>
        </row>
        <row r="148">
          <cell r="B148">
            <v>112</v>
          </cell>
          <cell r="C148" t="str">
            <v>Bullewijk</v>
          </cell>
          <cell r="D148" t="str">
            <v>Oostlijn bovengronds</v>
          </cell>
        </row>
        <row r="149">
          <cell r="B149">
            <v>112</v>
          </cell>
          <cell r="C149" t="str">
            <v>Bullewijk</v>
          </cell>
          <cell r="D149" t="str">
            <v>Oostlijn bovengronds</v>
          </cell>
        </row>
        <row r="150">
          <cell r="B150">
            <v>112</v>
          </cell>
          <cell r="C150" t="str">
            <v>Bullewijk</v>
          </cell>
          <cell r="D150" t="str">
            <v>Oostlijn bovengronds</v>
          </cell>
        </row>
        <row r="151">
          <cell r="B151">
            <v>112</v>
          </cell>
          <cell r="C151" t="str">
            <v>Bullewijk</v>
          </cell>
          <cell r="D151" t="str">
            <v>Oostlijn bovengronds</v>
          </cell>
        </row>
        <row r="152">
          <cell r="B152">
            <v>112</v>
          </cell>
          <cell r="C152" t="str">
            <v>Bullewijk</v>
          </cell>
          <cell r="D152" t="str">
            <v>Oostlijn bovengronds</v>
          </cell>
        </row>
        <row r="153">
          <cell r="B153">
            <v>112</v>
          </cell>
          <cell r="C153" t="str">
            <v>Bullewijk</v>
          </cell>
          <cell r="D153" t="str">
            <v>Oostlijn bovengronds</v>
          </cell>
        </row>
        <row r="154">
          <cell r="B154">
            <v>112</v>
          </cell>
          <cell r="C154" t="str">
            <v>Bullewijk</v>
          </cell>
          <cell r="D154" t="str">
            <v>Oostlijn bovengronds</v>
          </cell>
        </row>
        <row r="155">
          <cell r="B155">
            <v>112</v>
          </cell>
          <cell r="C155" t="str">
            <v>Bullewijk</v>
          </cell>
          <cell r="D155" t="str">
            <v>Oostlijn bovengronds</v>
          </cell>
        </row>
        <row r="156">
          <cell r="B156">
            <v>112</v>
          </cell>
          <cell r="C156" t="str">
            <v>Bullewijk</v>
          </cell>
          <cell r="D156" t="str">
            <v>Oostlijn bovengronds</v>
          </cell>
        </row>
        <row r="157">
          <cell r="B157">
            <v>112</v>
          </cell>
          <cell r="C157" t="str">
            <v>Bullewijk</v>
          </cell>
          <cell r="D157" t="str">
            <v>Oostlijn bovengronds</v>
          </cell>
        </row>
        <row r="158">
          <cell r="B158">
            <v>112</v>
          </cell>
          <cell r="C158" t="str">
            <v>Bullewijk</v>
          </cell>
          <cell r="D158" t="str">
            <v>Oostlijn bovengronds</v>
          </cell>
        </row>
        <row r="159">
          <cell r="B159">
            <v>112</v>
          </cell>
          <cell r="C159" t="str">
            <v>Bullewijk</v>
          </cell>
          <cell r="D159" t="str">
            <v>Oostlijn bovengronds</v>
          </cell>
        </row>
        <row r="160">
          <cell r="B160">
            <v>112</v>
          </cell>
          <cell r="C160" t="str">
            <v>Bullewijk</v>
          </cell>
          <cell r="D160" t="str">
            <v>Oostlijn bovengronds</v>
          </cell>
        </row>
        <row r="161">
          <cell r="B161">
            <v>112</v>
          </cell>
          <cell r="C161" t="str">
            <v>Bullewijk</v>
          </cell>
          <cell r="D161" t="str">
            <v>Oostlijn bovengronds</v>
          </cell>
        </row>
        <row r="162">
          <cell r="B162">
            <v>112</v>
          </cell>
          <cell r="C162" t="str">
            <v>Bullewijk</v>
          </cell>
          <cell r="D162" t="str">
            <v>Oostlijn bovengronds</v>
          </cell>
        </row>
        <row r="163">
          <cell r="B163">
            <v>112</v>
          </cell>
          <cell r="C163" t="str">
            <v>Bullewijk</v>
          </cell>
          <cell r="D163" t="str">
            <v>Oostlijn bovengronds</v>
          </cell>
        </row>
        <row r="164">
          <cell r="B164">
            <v>112</v>
          </cell>
          <cell r="C164" t="str">
            <v>Bullewijk</v>
          </cell>
          <cell r="D164" t="str">
            <v>Oostlijn bovengronds</v>
          </cell>
        </row>
        <row r="165">
          <cell r="B165">
            <v>112</v>
          </cell>
          <cell r="C165" t="str">
            <v>Bullewijk</v>
          </cell>
          <cell r="D165" t="str">
            <v>Oostlijn bovengronds</v>
          </cell>
        </row>
        <row r="166">
          <cell r="B166">
            <v>112</v>
          </cell>
          <cell r="C166" t="str">
            <v>Bullewijk</v>
          </cell>
          <cell r="D166" t="str">
            <v>Oostlijn bovengronds</v>
          </cell>
        </row>
        <row r="167">
          <cell r="B167">
            <v>112</v>
          </cell>
          <cell r="C167" t="str">
            <v>Bullewijk</v>
          </cell>
          <cell r="D167" t="str">
            <v>Oostlijn bovengronds</v>
          </cell>
        </row>
        <row r="168">
          <cell r="B168">
            <v>112</v>
          </cell>
          <cell r="C168" t="str">
            <v>Bullewijk</v>
          </cell>
          <cell r="D168" t="str">
            <v>Oostlijn bovengronds</v>
          </cell>
        </row>
        <row r="169">
          <cell r="B169">
            <v>112</v>
          </cell>
          <cell r="C169" t="str">
            <v>Bullewijk</v>
          </cell>
          <cell r="D169" t="str">
            <v>Oostlijn bovengronds</v>
          </cell>
        </row>
        <row r="170">
          <cell r="B170">
            <v>112</v>
          </cell>
          <cell r="C170" t="str">
            <v>Bullewijk</v>
          </cell>
          <cell r="D170" t="str">
            <v>Oostlijn bovengronds</v>
          </cell>
        </row>
        <row r="171">
          <cell r="B171">
            <v>112</v>
          </cell>
          <cell r="C171" t="str">
            <v>Bullewijk</v>
          </cell>
          <cell r="D171" t="str">
            <v>Oostlijn bovengronds</v>
          </cell>
        </row>
        <row r="172">
          <cell r="B172">
            <v>112</v>
          </cell>
          <cell r="C172" t="str">
            <v>Bullewijk</v>
          </cell>
          <cell r="D172" t="str">
            <v>Oostlijn bovengronds</v>
          </cell>
        </row>
        <row r="173">
          <cell r="B173">
            <v>113</v>
          </cell>
          <cell r="C173" t="str">
            <v>Holendrecht</v>
          </cell>
          <cell r="D173" t="str">
            <v>Oostlijn bovengronds</v>
          </cell>
        </row>
        <row r="174">
          <cell r="B174">
            <v>113</v>
          </cell>
          <cell r="C174" t="str">
            <v>Holendrecht</v>
          </cell>
          <cell r="D174" t="str">
            <v>Oostlijn bovengronds</v>
          </cell>
        </row>
        <row r="175">
          <cell r="B175">
            <v>113</v>
          </cell>
          <cell r="C175" t="str">
            <v>Holendrecht</v>
          </cell>
          <cell r="D175" t="str">
            <v>Oostlijn bovengronds</v>
          </cell>
        </row>
        <row r="176">
          <cell r="B176">
            <v>113</v>
          </cell>
          <cell r="C176" t="str">
            <v>Holendrecht</v>
          </cell>
          <cell r="D176" t="str">
            <v>Oostlijn bovengronds</v>
          </cell>
        </row>
        <row r="177">
          <cell r="B177">
            <v>113</v>
          </cell>
          <cell r="C177" t="str">
            <v>Holendrecht</v>
          </cell>
          <cell r="D177" t="str">
            <v>Oostlijn bovengronds</v>
          </cell>
        </row>
        <row r="178">
          <cell r="B178">
            <v>113</v>
          </cell>
          <cell r="C178" t="str">
            <v>Holendrecht</v>
          </cell>
          <cell r="D178" t="str">
            <v>Oostlijn bovengronds</v>
          </cell>
        </row>
        <row r="179">
          <cell r="B179">
            <v>113</v>
          </cell>
          <cell r="C179" t="str">
            <v>Holendrecht</v>
          </cell>
          <cell r="D179" t="str">
            <v>Oostlijn bovengronds</v>
          </cell>
        </row>
        <row r="180">
          <cell r="B180">
            <v>113</v>
          </cell>
          <cell r="C180" t="str">
            <v>Holendrecht</v>
          </cell>
          <cell r="D180" t="str">
            <v>Oostlijn bovengronds</v>
          </cell>
        </row>
        <row r="181">
          <cell r="B181">
            <v>113</v>
          </cell>
          <cell r="C181" t="str">
            <v>Holendrecht</v>
          </cell>
          <cell r="D181" t="str">
            <v>Oostlijn bovengronds</v>
          </cell>
        </row>
        <row r="182">
          <cell r="B182">
            <v>113</v>
          </cell>
          <cell r="C182" t="str">
            <v>Holendrecht</v>
          </cell>
          <cell r="D182" t="str">
            <v>Oostlijn bovengronds</v>
          </cell>
        </row>
        <row r="183">
          <cell r="B183">
            <v>113</v>
          </cell>
          <cell r="C183" t="str">
            <v>Holendrecht</v>
          </cell>
          <cell r="D183" t="str">
            <v>Oostlijn bovengronds</v>
          </cell>
        </row>
        <row r="184">
          <cell r="B184">
            <v>113</v>
          </cell>
          <cell r="C184" t="str">
            <v>Holendrecht</v>
          </cell>
          <cell r="D184" t="str">
            <v>Oostlijn bovengronds</v>
          </cell>
        </row>
        <row r="185">
          <cell r="B185">
            <v>113</v>
          </cell>
          <cell r="C185" t="str">
            <v>Holendrecht</v>
          </cell>
          <cell r="D185" t="str">
            <v>Oostlijn bovengronds</v>
          </cell>
        </row>
        <row r="186">
          <cell r="B186">
            <v>113</v>
          </cell>
          <cell r="C186" t="str">
            <v>Holendrecht</v>
          </cell>
          <cell r="D186" t="str">
            <v>Oostlijn bovengronds</v>
          </cell>
        </row>
        <row r="187">
          <cell r="B187">
            <v>113</v>
          </cell>
          <cell r="C187" t="str">
            <v>Holendrecht</v>
          </cell>
          <cell r="D187" t="str">
            <v>Oostlijn bovengronds</v>
          </cell>
        </row>
        <row r="188">
          <cell r="B188">
            <v>113</v>
          </cell>
          <cell r="C188" t="str">
            <v>Holendrecht</v>
          </cell>
          <cell r="D188" t="str">
            <v>Oostlijn bovengronds</v>
          </cell>
        </row>
        <row r="189">
          <cell r="B189">
            <v>113</v>
          </cell>
          <cell r="C189" t="str">
            <v>Holendrecht</v>
          </cell>
          <cell r="D189" t="str">
            <v>Oostlijn bovengronds</v>
          </cell>
        </row>
        <row r="190">
          <cell r="B190">
            <v>113</v>
          </cell>
          <cell r="C190" t="str">
            <v>Holendrecht</v>
          </cell>
          <cell r="D190" t="str">
            <v>Oostlijn bovengronds</v>
          </cell>
        </row>
        <row r="191">
          <cell r="B191">
            <v>113</v>
          </cell>
          <cell r="C191" t="str">
            <v>Holendrecht</v>
          </cell>
          <cell r="D191" t="str">
            <v>Oostlijn bovengronds</v>
          </cell>
        </row>
        <row r="192">
          <cell r="B192">
            <v>113</v>
          </cell>
          <cell r="C192" t="str">
            <v>Holendrecht</v>
          </cell>
          <cell r="D192" t="str">
            <v>Oostlijn bovengronds</v>
          </cell>
        </row>
        <row r="193">
          <cell r="B193">
            <v>113</v>
          </cell>
          <cell r="C193" t="str">
            <v>Holendrecht</v>
          </cell>
          <cell r="D193" t="str">
            <v>Oostlijn bovengronds</v>
          </cell>
        </row>
        <row r="194">
          <cell r="B194">
            <v>113</v>
          </cell>
          <cell r="C194" t="str">
            <v>Holendrecht</v>
          </cell>
          <cell r="D194" t="str">
            <v>Oostlijn bovengronds</v>
          </cell>
        </row>
        <row r="195">
          <cell r="B195">
            <v>113</v>
          </cell>
          <cell r="C195" t="str">
            <v>Holendrecht</v>
          </cell>
          <cell r="D195" t="str">
            <v>Oostlijn bovengronds</v>
          </cell>
        </row>
        <row r="196">
          <cell r="B196">
            <v>113</v>
          </cell>
          <cell r="C196" t="str">
            <v>Holendrecht</v>
          </cell>
          <cell r="D196" t="str">
            <v>Oostlijn bovengronds</v>
          </cell>
        </row>
        <row r="197">
          <cell r="B197">
            <v>113</v>
          </cell>
          <cell r="C197" t="str">
            <v>Holendrecht</v>
          </cell>
          <cell r="D197" t="str">
            <v>Oostlijn bovengronds</v>
          </cell>
        </row>
        <row r="198">
          <cell r="B198">
            <v>113</v>
          </cell>
          <cell r="C198" t="str">
            <v>Holendrecht</v>
          </cell>
          <cell r="D198" t="str">
            <v>Oostlijn bovengronds</v>
          </cell>
        </row>
        <row r="199">
          <cell r="B199">
            <v>113</v>
          </cell>
          <cell r="C199" t="str">
            <v>Holendrecht</v>
          </cell>
          <cell r="D199" t="str">
            <v>Oostlijn bovengronds</v>
          </cell>
        </row>
        <row r="200">
          <cell r="B200">
            <v>113</v>
          </cell>
          <cell r="C200" t="str">
            <v>Holendrecht</v>
          </cell>
          <cell r="D200" t="str">
            <v>Oostlijn bovengronds</v>
          </cell>
        </row>
        <row r="201">
          <cell r="B201">
            <v>113</v>
          </cell>
          <cell r="C201" t="str">
            <v>Holendrecht</v>
          </cell>
          <cell r="D201" t="str">
            <v>Oostlijn bovengronds</v>
          </cell>
        </row>
        <row r="202">
          <cell r="B202">
            <v>113</v>
          </cell>
          <cell r="C202" t="str">
            <v>Holendrecht</v>
          </cell>
          <cell r="D202" t="str">
            <v>Oostlijn bovengronds</v>
          </cell>
        </row>
        <row r="203">
          <cell r="B203">
            <v>113</v>
          </cell>
          <cell r="C203" t="str">
            <v>Holendrecht</v>
          </cell>
          <cell r="D203" t="str">
            <v>Oostlijn bovengronds</v>
          </cell>
        </row>
        <row r="204">
          <cell r="B204">
            <v>113</v>
          </cell>
          <cell r="C204" t="str">
            <v>Holendrecht</v>
          </cell>
          <cell r="D204" t="str">
            <v>Oostlijn bovengronds</v>
          </cell>
        </row>
        <row r="205">
          <cell r="B205">
            <v>113</v>
          </cell>
          <cell r="C205" t="str">
            <v>Holendrecht</v>
          </cell>
          <cell r="D205" t="str">
            <v>Oostlijn bovengronds</v>
          </cell>
        </row>
        <row r="206">
          <cell r="B206">
            <v>113</v>
          </cell>
          <cell r="C206" t="str">
            <v>Holendrecht</v>
          </cell>
          <cell r="D206" t="str">
            <v>Oostlijn bovengronds</v>
          </cell>
        </row>
        <row r="207">
          <cell r="B207">
            <v>114</v>
          </cell>
          <cell r="C207" t="str">
            <v>Reigersbos</v>
          </cell>
          <cell r="D207" t="str">
            <v>Oostlijn bovengronds</v>
          </cell>
        </row>
        <row r="208">
          <cell r="B208">
            <v>114</v>
          </cell>
          <cell r="C208" t="str">
            <v>Reigersbos</v>
          </cell>
          <cell r="D208" t="str">
            <v>Oostlijn bovengronds</v>
          </cell>
        </row>
        <row r="209">
          <cell r="B209">
            <v>114</v>
          </cell>
          <cell r="C209" t="str">
            <v>Reigersbos</v>
          </cell>
          <cell r="D209" t="str">
            <v>Oostlijn bovengronds</v>
          </cell>
        </row>
        <row r="210">
          <cell r="B210">
            <v>114</v>
          </cell>
          <cell r="C210" t="str">
            <v>Reigersbos</v>
          </cell>
          <cell r="D210" t="str">
            <v>Oostlijn bovengronds</v>
          </cell>
        </row>
        <row r="211">
          <cell r="B211">
            <v>114</v>
          </cell>
          <cell r="C211" t="str">
            <v>Reigersbos</v>
          </cell>
          <cell r="D211" t="str">
            <v>Oostlijn bovengronds</v>
          </cell>
        </row>
        <row r="212">
          <cell r="B212">
            <v>114</v>
          </cell>
          <cell r="C212" t="str">
            <v>Reigersbos</v>
          </cell>
          <cell r="D212" t="str">
            <v>Oostlijn bovengronds</v>
          </cell>
        </row>
        <row r="213">
          <cell r="B213">
            <v>114</v>
          </cell>
          <cell r="C213" t="str">
            <v>Reigersbos</v>
          </cell>
          <cell r="D213" t="str">
            <v>Oostlijn bovengronds</v>
          </cell>
        </row>
        <row r="214">
          <cell r="B214">
            <v>114</v>
          </cell>
          <cell r="C214" t="str">
            <v>Reigersbos</v>
          </cell>
          <cell r="D214" t="str">
            <v>Oostlijn bovengronds</v>
          </cell>
        </row>
        <row r="215">
          <cell r="B215">
            <v>114</v>
          </cell>
          <cell r="C215" t="str">
            <v>Reigersbos</v>
          </cell>
          <cell r="D215" t="str">
            <v>Oostlijn bovengronds</v>
          </cell>
        </row>
        <row r="216">
          <cell r="B216">
            <v>114</v>
          </cell>
          <cell r="C216" t="str">
            <v>Reigersbos</v>
          </cell>
          <cell r="D216" t="str">
            <v>Oostlijn bovengronds</v>
          </cell>
        </row>
        <row r="217">
          <cell r="B217">
            <v>114</v>
          </cell>
          <cell r="C217" t="str">
            <v>Reigersbos</v>
          </cell>
          <cell r="D217" t="str">
            <v>Oostlijn bovengronds</v>
          </cell>
        </row>
        <row r="218">
          <cell r="B218">
            <v>114</v>
          </cell>
          <cell r="C218" t="str">
            <v>Reigersbos</v>
          </cell>
          <cell r="D218" t="str">
            <v>Oostlijn bovengronds</v>
          </cell>
        </row>
        <row r="219">
          <cell r="B219">
            <v>114</v>
          </cell>
          <cell r="C219" t="str">
            <v>Reigersbos</v>
          </cell>
          <cell r="D219" t="str">
            <v>Oostlijn bovengronds</v>
          </cell>
        </row>
        <row r="220">
          <cell r="B220">
            <v>114</v>
          </cell>
          <cell r="C220" t="str">
            <v>Reigersbos</v>
          </cell>
          <cell r="D220" t="str">
            <v>Oostlijn bovengronds</v>
          </cell>
        </row>
        <row r="221">
          <cell r="B221">
            <v>114</v>
          </cell>
          <cell r="C221" t="str">
            <v>Reigersbos</v>
          </cell>
          <cell r="D221" t="str">
            <v>Oostlijn bovengronds</v>
          </cell>
        </row>
        <row r="222">
          <cell r="B222">
            <v>114</v>
          </cell>
          <cell r="C222" t="str">
            <v>Reigersbos</v>
          </cell>
          <cell r="D222" t="str">
            <v>Oostlijn bovengronds</v>
          </cell>
        </row>
        <row r="223">
          <cell r="B223">
            <v>114</v>
          </cell>
          <cell r="C223" t="str">
            <v>Reigersbos</v>
          </cell>
          <cell r="D223" t="str">
            <v>Oostlijn bovengronds</v>
          </cell>
        </row>
        <row r="224">
          <cell r="B224">
            <v>114</v>
          </cell>
          <cell r="C224" t="str">
            <v>Reigersbos</v>
          </cell>
          <cell r="D224" t="str">
            <v>Oostlijn bovengronds</v>
          </cell>
        </row>
        <row r="225">
          <cell r="B225">
            <v>114</v>
          </cell>
          <cell r="C225" t="str">
            <v>Reigersbos</v>
          </cell>
          <cell r="D225" t="str">
            <v>Oostlijn bovengronds</v>
          </cell>
        </row>
        <row r="226">
          <cell r="B226">
            <v>114</v>
          </cell>
          <cell r="C226" t="str">
            <v>Reigersbos</v>
          </cell>
          <cell r="D226" t="str">
            <v>Oostlijn bovengronds</v>
          </cell>
        </row>
        <row r="227">
          <cell r="B227">
            <v>114</v>
          </cell>
          <cell r="C227" t="str">
            <v>Reigersbos</v>
          </cell>
          <cell r="D227" t="str">
            <v>Oostlijn bovengronds</v>
          </cell>
        </row>
        <row r="228">
          <cell r="B228">
            <v>114</v>
          </cell>
          <cell r="C228" t="str">
            <v>Reigersbos</v>
          </cell>
          <cell r="D228" t="str">
            <v>Oostlijn bovengronds</v>
          </cell>
        </row>
        <row r="229">
          <cell r="B229">
            <v>114</v>
          </cell>
          <cell r="C229" t="str">
            <v>Reigersbos</v>
          </cell>
          <cell r="D229" t="str">
            <v>Oostlijn bovengronds</v>
          </cell>
        </row>
        <row r="230">
          <cell r="B230">
            <v>114</v>
          </cell>
          <cell r="C230" t="str">
            <v>Reigersbos</v>
          </cell>
          <cell r="D230" t="str">
            <v>Oostlijn bovengronds</v>
          </cell>
        </row>
        <row r="231">
          <cell r="B231">
            <v>114</v>
          </cell>
          <cell r="C231" t="str">
            <v>Reigersbos</v>
          </cell>
          <cell r="D231" t="str">
            <v>Oostlijn bovengronds</v>
          </cell>
        </row>
        <row r="232">
          <cell r="B232">
            <v>114</v>
          </cell>
          <cell r="C232" t="str">
            <v>Reigersbos</v>
          </cell>
          <cell r="D232" t="str">
            <v>Oostlijn bovengronds</v>
          </cell>
        </row>
        <row r="233">
          <cell r="B233">
            <v>114</v>
          </cell>
          <cell r="C233" t="str">
            <v>Reigersbos</v>
          </cell>
          <cell r="D233" t="str">
            <v>Oostlijn bovengronds</v>
          </cell>
        </row>
        <row r="234">
          <cell r="B234">
            <v>114</v>
          </cell>
          <cell r="C234" t="str">
            <v>Reigersbos</v>
          </cell>
          <cell r="D234" t="str">
            <v>Oostlijn bovengronds</v>
          </cell>
        </row>
        <row r="235">
          <cell r="B235">
            <v>114</v>
          </cell>
          <cell r="C235" t="str">
            <v>Reigersbos</v>
          </cell>
          <cell r="D235" t="str">
            <v>Oostlijn bovengronds</v>
          </cell>
        </row>
        <row r="236">
          <cell r="B236">
            <v>114</v>
          </cell>
          <cell r="C236" t="str">
            <v>Reigersbos</v>
          </cell>
          <cell r="D236" t="str">
            <v>Oostlijn bovengronds</v>
          </cell>
        </row>
        <row r="237">
          <cell r="B237">
            <v>114</v>
          </cell>
          <cell r="C237" t="str">
            <v>Reigersbos</v>
          </cell>
          <cell r="D237" t="str">
            <v>Oostlijn bovengronds</v>
          </cell>
        </row>
        <row r="238">
          <cell r="B238">
            <v>114</v>
          </cell>
          <cell r="C238" t="str">
            <v>Reigersbos</v>
          </cell>
          <cell r="D238" t="str">
            <v>Oostlijn bovengronds</v>
          </cell>
        </row>
        <row r="239">
          <cell r="B239">
            <v>114</v>
          </cell>
          <cell r="C239" t="str">
            <v>Reigersbos</v>
          </cell>
          <cell r="D239" t="str">
            <v>Oostlijn bovengronds</v>
          </cell>
        </row>
        <row r="240">
          <cell r="B240">
            <v>114</v>
          </cell>
          <cell r="C240" t="str">
            <v>Reigersbos</v>
          </cell>
          <cell r="D240" t="str">
            <v>Oostlijn bovengronds</v>
          </cell>
        </row>
        <row r="241">
          <cell r="B241">
            <v>114</v>
          </cell>
          <cell r="C241" t="str">
            <v>Reigersbos</v>
          </cell>
          <cell r="D241" t="str">
            <v>Oostlijn bovengronds</v>
          </cell>
        </row>
        <row r="242">
          <cell r="B242">
            <v>114</v>
          </cell>
          <cell r="C242" t="str">
            <v>Reigersbos</v>
          </cell>
          <cell r="D242" t="str">
            <v>Oostlijn bovengronds</v>
          </cell>
        </row>
        <row r="243">
          <cell r="B243">
            <v>114</v>
          </cell>
          <cell r="C243" t="str">
            <v>Reigersbos</v>
          </cell>
          <cell r="D243" t="str">
            <v>Oostlijn bovengronds</v>
          </cell>
        </row>
        <row r="244">
          <cell r="B244">
            <v>115</v>
          </cell>
          <cell r="C244" t="str">
            <v>Gein</v>
          </cell>
          <cell r="D244" t="str">
            <v>Oostlijn Bovengronds</v>
          </cell>
        </row>
        <row r="245">
          <cell r="B245">
            <v>115</v>
          </cell>
          <cell r="C245" t="str">
            <v>Gein</v>
          </cell>
          <cell r="D245" t="str">
            <v>Oostlijn Bovengronds</v>
          </cell>
        </row>
        <row r="246">
          <cell r="B246">
            <v>115</v>
          </cell>
          <cell r="C246" t="str">
            <v>Gein</v>
          </cell>
          <cell r="D246" t="str">
            <v>Oostlijn Bovengronds</v>
          </cell>
        </row>
        <row r="247">
          <cell r="B247">
            <v>115</v>
          </cell>
          <cell r="C247" t="str">
            <v>Gein</v>
          </cell>
          <cell r="D247" t="str">
            <v>Oostlijn Bovengronds</v>
          </cell>
        </row>
        <row r="248">
          <cell r="B248">
            <v>115</v>
          </cell>
          <cell r="C248" t="str">
            <v>Gein</v>
          </cell>
          <cell r="D248" t="str">
            <v>Oostlijn Bovengronds</v>
          </cell>
        </row>
        <row r="249">
          <cell r="B249">
            <v>115</v>
          </cell>
          <cell r="C249" t="str">
            <v>Gein</v>
          </cell>
          <cell r="D249" t="str">
            <v>Oostlijn Bovengronds</v>
          </cell>
        </row>
        <row r="250">
          <cell r="B250">
            <v>115</v>
          </cell>
          <cell r="C250" t="str">
            <v>Gein</v>
          </cell>
          <cell r="D250" t="str">
            <v>Oostlijn Bovengronds</v>
          </cell>
        </row>
        <row r="251">
          <cell r="B251">
            <v>115</v>
          </cell>
          <cell r="C251" t="str">
            <v>Gein</v>
          </cell>
          <cell r="D251" t="str">
            <v>Oostlijn Bovengronds</v>
          </cell>
        </row>
        <row r="252">
          <cell r="B252">
            <v>115</v>
          </cell>
          <cell r="C252" t="str">
            <v>Gein</v>
          </cell>
          <cell r="D252" t="str">
            <v>Oostlijn Bovengronds</v>
          </cell>
        </row>
        <row r="253">
          <cell r="B253">
            <v>115</v>
          </cell>
          <cell r="C253" t="str">
            <v>Gein</v>
          </cell>
          <cell r="D253" t="str">
            <v>Oostlijn Bovengronds</v>
          </cell>
        </row>
        <row r="254">
          <cell r="B254">
            <v>115</v>
          </cell>
          <cell r="C254" t="str">
            <v>Gein</v>
          </cell>
          <cell r="D254" t="str">
            <v>Oostlijn Bovengronds</v>
          </cell>
        </row>
        <row r="255">
          <cell r="B255">
            <v>115</v>
          </cell>
          <cell r="C255" t="str">
            <v>Gein</v>
          </cell>
          <cell r="D255" t="str">
            <v>Oostlijn Bovengronds</v>
          </cell>
        </row>
        <row r="256">
          <cell r="B256">
            <v>115</v>
          </cell>
          <cell r="C256" t="str">
            <v>Gein</v>
          </cell>
          <cell r="D256" t="str">
            <v>Oostlijn Bovengronds</v>
          </cell>
        </row>
        <row r="257">
          <cell r="B257">
            <v>115</v>
          </cell>
          <cell r="C257" t="str">
            <v>Gein</v>
          </cell>
          <cell r="D257" t="str">
            <v>Oostlijn Bovengronds</v>
          </cell>
        </row>
        <row r="258">
          <cell r="B258">
            <v>115</v>
          </cell>
          <cell r="C258" t="str">
            <v>Gein</v>
          </cell>
          <cell r="D258" t="str">
            <v>Oostlijn Bovengronds</v>
          </cell>
        </row>
        <row r="259">
          <cell r="B259">
            <v>115</v>
          </cell>
          <cell r="C259" t="str">
            <v>Gein</v>
          </cell>
          <cell r="D259" t="str">
            <v>Oostlijn Bovengronds</v>
          </cell>
        </row>
        <row r="260">
          <cell r="B260">
            <v>115</v>
          </cell>
          <cell r="C260" t="str">
            <v>Gein</v>
          </cell>
          <cell r="D260" t="str">
            <v>Oostlijn Bovengronds</v>
          </cell>
        </row>
        <row r="261">
          <cell r="B261">
            <v>115</v>
          </cell>
          <cell r="C261" t="str">
            <v>Gein</v>
          </cell>
          <cell r="D261" t="str">
            <v>Oostlijn Bovengronds</v>
          </cell>
        </row>
        <row r="262">
          <cell r="B262">
            <v>115</v>
          </cell>
          <cell r="C262" t="str">
            <v>Gein</v>
          </cell>
          <cell r="D262" t="str">
            <v>Oostlijn Bovengronds</v>
          </cell>
        </row>
        <row r="263">
          <cell r="B263">
            <v>115</v>
          </cell>
          <cell r="C263" t="str">
            <v>Gein</v>
          </cell>
          <cell r="D263" t="str">
            <v>Oostlijn Bovengronds</v>
          </cell>
        </row>
        <row r="264">
          <cell r="B264">
            <v>115</v>
          </cell>
          <cell r="C264" t="str">
            <v>Gein</v>
          </cell>
          <cell r="D264" t="str">
            <v>Oostlijn Bovengronds</v>
          </cell>
        </row>
        <row r="265">
          <cell r="B265">
            <v>115</v>
          </cell>
          <cell r="C265" t="str">
            <v>Gein</v>
          </cell>
          <cell r="D265" t="str">
            <v>Oostlijn Bovengronds</v>
          </cell>
        </row>
        <row r="266">
          <cell r="B266">
            <v>115</v>
          </cell>
          <cell r="C266" t="str">
            <v>Gein</v>
          </cell>
          <cell r="D266" t="str">
            <v>Oostlijn Bovengronds</v>
          </cell>
        </row>
        <row r="267">
          <cell r="B267">
            <v>115</v>
          </cell>
          <cell r="C267" t="str">
            <v>Gein</v>
          </cell>
          <cell r="D267" t="str">
            <v>Oostlijn Bovengronds</v>
          </cell>
        </row>
        <row r="268">
          <cell r="B268">
            <v>115</v>
          </cell>
          <cell r="C268" t="str">
            <v>Gein</v>
          </cell>
          <cell r="D268" t="str">
            <v>Oostlijn Bovengronds</v>
          </cell>
        </row>
        <row r="269">
          <cell r="B269">
            <v>115</v>
          </cell>
          <cell r="C269" t="str">
            <v>Gein</v>
          </cell>
          <cell r="D269" t="str">
            <v>Oostlijn Bovengronds</v>
          </cell>
        </row>
        <row r="270">
          <cell r="B270">
            <v>115</v>
          </cell>
          <cell r="C270" t="str">
            <v>Gein</v>
          </cell>
          <cell r="D270" t="str">
            <v>Oostlijn Bovengronds</v>
          </cell>
        </row>
        <row r="271">
          <cell r="B271">
            <v>115</v>
          </cell>
          <cell r="C271" t="str">
            <v>Gein</v>
          </cell>
          <cell r="D271" t="str">
            <v>Oostlijn Bovengronds</v>
          </cell>
        </row>
        <row r="272">
          <cell r="B272">
            <v>115</v>
          </cell>
          <cell r="C272" t="str">
            <v>Gein</v>
          </cell>
          <cell r="D272" t="str">
            <v>Oostlijn Bovengronds</v>
          </cell>
        </row>
        <row r="273">
          <cell r="B273">
            <v>115</v>
          </cell>
          <cell r="C273" t="str">
            <v>Gein</v>
          </cell>
          <cell r="D273" t="str">
            <v>Oostlijn Bovengronds</v>
          </cell>
        </row>
        <row r="274">
          <cell r="B274">
            <v>115</v>
          </cell>
          <cell r="C274" t="str">
            <v>Gein</v>
          </cell>
          <cell r="D274" t="str">
            <v>Oostlijn Bovengronds</v>
          </cell>
        </row>
        <row r="275">
          <cell r="B275">
            <v>115</v>
          </cell>
          <cell r="C275" t="str">
            <v>Gein</v>
          </cell>
          <cell r="D275" t="str">
            <v>Oostlijn Bovengronds</v>
          </cell>
        </row>
        <row r="276">
          <cell r="B276">
            <v>115</v>
          </cell>
          <cell r="C276" t="str">
            <v>Gein</v>
          </cell>
          <cell r="D276" t="str">
            <v>Oostlijn Bovengronds</v>
          </cell>
        </row>
        <row r="277">
          <cell r="B277">
            <v>115</v>
          </cell>
          <cell r="C277" t="str">
            <v>Gein</v>
          </cell>
          <cell r="D277" t="str">
            <v>Oostlijn Bovengronds</v>
          </cell>
        </row>
        <row r="278">
          <cell r="B278">
            <v>115</v>
          </cell>
          <cell r="C278" t="str">
            <v>Gein</v>
          </cell>
          <cell r="D278" t="str">
            <v>Oostlijn Bovengronds</v>
          </cell>
        </row>
        <row r="279">
          <cell r="B279">
            <v>115</v>
          </cell>
          <cell r="C279" t="str">
            <v>Gein</v>
          </cell>
          <cell r="D279" t="str">
            <v>Oostlijn Bovengronds</v>
          </cell>
        </row>
        <row r="280">
          <cell r="B280">
            <v>115</v>
          </cell>
          <cell r="C280" t="str">
            <v>Gein</v>
          </cell>
          <cell r="D280" t="str">
            <v>Oostlijn Bovengronds</v>
          </cell>
        </row>
        <row r="281">
          <cell r="B281">
            <v>115</v>
          </cell>
          <cell r="C281" t="str">
            <v>Gein</v>
          </cell>
          <cell r="D281" t="str">
            <v>Oostlijn Bovengronds</v>
          </cell>
        </row>
        <row r="282">
          <cell r="B282">
            <v>115</v>
          </cell>
          <cell r="C282" t="str">
            <v>Gein</v>
          </cell>
          <cell r="D282" t="str">
            <v>Oostlijn Bovengronds</v>
          </cell>
        </row>
        <row r="283">
          <cell r="B283">
            <v>115</v>
          </cell>
          <cell r="C283" t="str">
            <v>Gein</v>
          </cell>
          <cell r="D283" t="str">
            <v>Oostlijn Bovengronds</v>
          </cell>
        </row>
        <row r="284">
          <cell r="B284">
            <v>115</v>
          </cell>
          <cell r="C284" t="str">
            <v>Gein</v>
          </cell>
          <cell r="D284" t="str">
            <v>Oostlijn Bovengronds</v>
          </cell>
        </row>
        <row r="285">
          <cell r="B285">
            <v>116</v>
          </cell>
          <cell r="C285" t="str">
            <v>Venserpolder</v>
          </cell>
          <cell r="D285" t="str">
            <v>Oostlijn bovengronds</v>
          </cell>
        </row>
        <row r="286">
          <cell r="B286">
            <v>116</v>
          </cell>
          <cell r="C286" t="str">
            <v>Venserpolder</v>
          </cell>
          <cell r="D286" t="str">
            <v>Oostlijn bovengronds</v>
          </cell>
        </row>
        <row r="287">
          <cell r="B287">
            <v>116</v>
          </cell>
          <cell r="C287" t="str">
            <v>Venserpolder</v>
          </cell>
          <cell r="D287" t="str">
            <v>Oostlijn bovengronds</v>
          </cell>
        </row>
        <row r="288">
          <cell r="B288">
            <v>116</v>
          </cell>
          <cell r="C288" t="str">
            <v>Venserpolder</v>
          </cell>
          <cell r="D288" t="str">
            <v>Oostlijn bovengronds</v>
          </cell>
        </row>
        <row r="289">
          <cell r="B289">
            <v>116</v>
          </cell>
          <cell r="C289" t="str">
            <v>Venserpolder</v>
          </cell>
          <cell r="D289" t="str">
            <v>Oostlijn bovengronds</v>
          </cell>
        </row>
        <row r="290">
          <cell r="B290">
            <v>116</v>
          </cell>
          <cell r="C290" t="str">
            <v>Venserpolder</v>
          </cell>
          <cell r="D290" t="str">
            <v>Oostlijn bovengronds</v>
          </cell>
        </row>
        <row r="291">
          <cell r="B291">
            <v>116</v>
          </cell>
          <cell r="C291" t="str">
            <v>Venserpolder</v>
          </cell>
          <cell r="D291" t="str">
            <v>Oostlijn bovengronds</v>
          </cell>
        </row>
        <row r="292">
          <cell r="B292">
            <v>116</v>
          </cell>
          <cell r="C292" t="str">
            <v>Venserpolder</v>
          </cell>
          <cell r="D292" t="str">
            <v>Oostlijn bovengronds</v>
          </cell>
        </row>
        <row r="293">
          <cell r="B293">
            <v>116</v>
          </cell>
          <cell r="C293" t="str">
            <v>Venserpolder</v>
          </cell>
          <cell r="D293" t="str">
            <v>Oostlijn bovengronds</v>
          </cell>
        </row>
        <row r="294">
          <cell r="B294">
            <v>116</v>
          </cell>
          <cell r="C294" t="str">
            <v>Venserpolder</v>
          </cell>
          <cell r="D294" t="str">
            <v>Oostlijn bovengronds</v>
          </cell>
        </row>
        <row r="295">
          <cell r="B295">
            <v>116</v>
          </cell>
          <cell r="C295" t="str">
            <v>Venserpolder</v>
          </cell>
          <cell r="D295" t="str">
            <v>Oostlijn bovengronds</v>
          </cell>
        </row>
        <row r="296">
          <cell r="B296">
            <v>116</v>
          </cell>
          <cell r="C296" t="str">
            <v>Venserpolder</v>
          </cell>
          <cell r="D296" t="str">
            <v>Oostlijn bovengronds</v>
          </cell>
        </row>
        <row r="297">
          <cell r="B297">
            <v>116</v>
          </cell>
          <cell r="C297" t="str">
            <v>Venserpolder</v>
          </cell>
          <cell r="D297" t="str">
            <v>Oostlijn bovengronds</v>
          </cell>
        </row>
        <row r="298">
          <cell r="B298">
            <v>116</v>
          </cell>
          <cell r="C298" t="str">
            <v>Venserpolder</v>
          </cell>
          <cell r="D298" t="str">
            <v>Oostlijn bovengronds</v>
          </cell>
        </row>
        <row r="299">
          <cell r="B299">
            <v>116</v>
          </cell>
          <cell r="C299" t="str">
            <v>Venserpolder</v>
          </cell>
          <cell r="D299" t="str">
            <v>Oostlijn bovengronds</v>
          </cell>
        </row>
        <row r="300">
          <cell r="B300">
            <v>116</v>
          </cell>
          <cell r="C300" t="str">
            <v>Venserpolder</v>
          </cell>
          <cell r="D300" t="str">
            <v>Oostlijn bovengronds</v>
          </cell>
        </row>
        <row r="301">
          <cell r="B301">
            <v>116</v>
          </cell>
          <cell r="C301" t="str">
            <v>Venserpolder</v>
          </cell>
          <cell r="D301" t="str">
            <v>Oostlijn bovengronds</v>
          </cell>
        </row>
        <row r="302">
          <cell r="B302">
            <v>116</v>
          </cell>
          <cell r="C302" t="str">
            <v>Venserpolder</v>
          </cell>
          <cell r="D302" t="str">
            <v>Oostlijn bovengronds</v>
          </cell>
        </row>
        <row r="303">
          <cell r="B303">
            <v>116</v>
          </cell>
          <cell r="C303" t="str">
            <v>Venserpolder</v>
          </cell>
          <cell r="D303" t="str">
            <v>Oostlijn bovengronds</v>
          </cell>
        </row>
        <row r="304">
          <cell r="B304">
            <v>116</v>
          </cell>
          <cell r="C304" t="str">
            <v>Venserpolder</v>
          </cell>
          <cell r="D304" t="str">
            <v>Oostlijn bovengronds</v>
          </cell>
        </row>
        <row r="305">
          <cell r="B305">
            <v>116</v>
          </cell>
          <cell r="C305" t="str">
            <v>Venserpolder</v>
          </cell>
          <cell r="D305" t="str">
            <v>Oostlijn bovengronds</v>
          </cell>
        </row>
        <row r="306">
          <cell r="B306">
            <v>116</v>
          </cell>
          <cell r="C306" t="str">
            <v>Venserpolder</v>
          </cell>
          <cell r="D306" t="str">
            <v>Oostlijn bovengronds</v>
          </cell>
        </row>
        <row r="307">
          <cell r="B307">
            <v>116</v>
          </cell>
          <cell r="C307" t="str">
            <v>Venserpolder</v>
          </cell>
          <cell r="D307" t="str">
            <v>Oostlijn bovengronds</v>
          </cell>
        </row>
        <row r="308">
          <cell r="B308">
            <v>116</v>
          </cell>
          <cell r="C308" t="str">
            <v>Venserpolder</v>
          </cell>
          <cell r="D308" t="str">
            <v>Oostlijn bovengronds</v>
          </cell>
        </row>
        <row r="309">
          <cell r="B309">
            <v>116</v>
          </cell>
          <cell r="C309" t="str">
            <v>Venserpolder</v>
          </cell>
          <cell r="D309" t="str">
            <v>Oostlijn bovengronds</v>
          </cell>
        </row>
        <row r="310">
          <cell r="B310">
            <v>116</v>
          </cell>
          <cell r="C310" t="str">
            <v>Venserpolder</v>
          </cell>
          <cell r="D310" t="str">
            <v>Oostlijn bovengronds</v>
          </cell>
        </row>
        <row r="311">
          <cell r="B311">
            <v>116</v>
          </cell>
          <cell r="C311" t="str">
            <v>Venserpolder</v>
          </cell>
          <cell r="D311" t="str">
            <v>Oostlijn bovengronds</v>
          </cell>
        </row>
        <row r="312">
          <cell r="B312">
            <v>116</v>
          </cell>
          <cell r="C312" t="str">
            <v>Venserpolder</v>
          </cell>
          <cell r="D312" t="str">
            <v>Oostlijn bovengronds</v>
          </cell>
        </row>
        <row r="313">
          <cell r="B313">
            <v>116</v>
          </cell>
          <cell r="C313" t="str">
            <v>Venserpolder</v>
          </cell>
          <cell r="D313" t="str">
            <v>Oostlijn bovengronds</v>
          </cell>
        </row>
        <row r="314">
          <cell r="B314">
            <v>116</v>
          </cell>
          <cell r="C314" t="str">
            <v>Venserpolder</v>
          </cell>
          <cell r="D314" t="str">
            <v>Oostlijn bovengronds</v>
          </cell>
        </row>
        <row r="315">
          <cell r="B315">
            <v>116</v>
          </cell>
          <cell r="C315" t="str">
            <v>Venserpolder</v>
          </cell>
          <cell r="D315" t="str">
            <v>Oostlijn bovengronds</v>
          </cell>
        </row>
        <row r="316">
          <cell r="B316">
            <v>116</v>
          </cell>
          <cell r="C316" t="str">
            <v>Venserpolder</v>
          </cell>
          <cell r="D316" t="str">
            <v>Oostlijn bovengronds</v>
          </cell>
        </row>
        <row r="317">
          <cell r="B317">
            <v>117</v>
          </cell>
          <cell r="C317" t="str">
            <v>Diemen Zuid</v>
          </cell>
          <cell r="D317" t="str">
            <v>Oostlijn bovengronds</v>
          </cell>
        </row>
        <row r="318">
          <cell r="B318">
            <v>117</v>
          </cell>
          <cell r="C318" t="str">
            <v>Diemen Zuid</v>
          </cell>
          <cell r="D318" t="str">
            <v>Oostlijn bovengronds</v>
          </cell>
        </row>
        <row r="319">
          <cell r="B319">
            <v>117</v>
          </cell>
          <cell r="C319" t="str">
            <v>Diemen Zuid</v>
          </cell>
          <cell r="D319" t="str">
            <v>Oostlijn bovengronds</v>
          </cell>
        </row>
        <row r="320">
          <cell r="B320">
            <v>117</v>
          </cell>
          <cell r="C320" t="str">
            <v>Diemen Zuid</v>
          </cell>
          <cell r="D320" t="str">
            <v>Oostlijn bovengronds</v>
          </cell>
        </row>
        <row r="321">
          <cell r="B321">
            <v>117</v>
          </cell>
          <cell r="C321" t="str">
            <v>Diemen Zuid</v>
          </cell>
          <cell r="D321" t="str">
            <v>Oostlijn bovengronds</v>
          </cell>
        </row>
        <row r="322">
          <cell r="B322">
            <v>117</v>
          </cell>
          <cell r="C322" t="str">
            <v>Diemen Zuid</v>
          </cell>
          <cell r="D322" t="str">
            <v>Oostlijn bovengronds</v>
          </cell>
        </row>
        <row r="323">
          <cell r="B323">
            <v>117</v>
          </cell>
          <cell r="C323" t="str">
            <v>Diemen Zuid</v>
          </cell>
          <cell r="D323" t="str">
            <v>Oostlijn bovengronds</v>
          </cell>
        </row>
        <row r="324">
          <cell r="B324">
            <v>117</v>
          </cell>
          <cell r="C324" t="str">
            <v>Diemen Zuid</v>
          </cell>
          <cell r="D324" t="str">
            <v>Oostlijn bovengronds</v>
          </cell>
        </row>
        <row r="325">
          <cell r="B325">
            <v>117</v>
          </cell>
          <cell r="C325" t="str">
            <v>Diemen Zuid</v>
          </cell>
          <cell r="D325" t="str">
            <v>Oostlijn bovengronds</v>
          </cell>
        </row>
        <row r="326">
          <cell r="B326">
            <v>117</v>
          </cell>
          <cell r="C326" t="str">
            <v>Diemen Zuid</v>
          </cell>
          <cell r="D326" t="str">
            <v>Oostlijn bovengronds</v>
          </cell>
        </row>
        <row r="327">
          <cell r="B327">
            <v>117</v>
          </cell>
          <cell r="C327" t="str">
            <v>Diemen Zuid</v>
          </cell>
          <cell r="D327" t="str">
            <v>Oostlijn bovengronds</v>
          </cell>
        </row>
        <row r="328">
          <cell r="B328">
            <v>117</v>
          </cell>
          <cell r="C328" t="str">
            <v>Diemen Zuid</v>
          </cell>
          <cell r="D328" t="str">
            <v>Oostlijn bovengronds</v>
          </cell>
        </row>
        <row r="329">
          <cell r="B329">
            <v>117</v>
          </cell>
          <cell r="C329" t="str">
            <v>Diemen Zuid</v>
          </cell>
          <cell r="D329" t="str">
            <v>Oostlijn bovengronds</v>
          </cell>
        </row>
        <row r="330">
          <cell r="B330">
            <v>117</v>
          </cell>
          <cell r="C330" t="str">
            <v>Diemen Zuid</v>
          </cell>
          <cell r="D330" t="str">
            <v>Oostlijn bovengronds</v>
          </cell>
        </row>
        <row r="331">
          <cell r="B331">
            <v>117</v>
          </cell>
          <cell r="C331" t="str">
            <v>Diemen Zuid</v>
          </cell>
          <cell r="D331" t="str">
            <v>Oostlijn bovengronds</v>
          </cell>
        </row>
        <row r="332">
          <cell r="B332">
            <v>117</v>
          </cell>
          <cell r="C332" t="str">
            <v>Diemen Zuid</v>
          </cell>
          <cell r="D332" t="str">
            <v>Oostlijn bovengronds</v>
          </cell>
        </row>
        <row r="333">
          <cell r="B333">
            <v>117</v>
          </cell>
          <cell r="C333" t="str">
            <v>Diemen Zuid</v>
          </cell>
          <cell r="D333" t="str">
            <v>Oostlijn bovengronds</v>
          </cell>
        </row>
        <row r="334">
          <cell r="B334">
            <v>117</v>
          </cell>
          <cell r="C334" t="str">
            <v>Diemen Zuid</v>
          </cell>
          <cell r="D334" t="str">
            <v>Oostlijn bovengronds</v>
          </cell>
        </row>
        <row r="335">
          <cell r="B335">
            <v>117</v>
          </cell>
          <cell r="C335" t="str">
            <v>Diemen Zuid</v>
          </cell>
          <cell r="D335" t="str">
            <v>Oostlijn bovengronds</v>
          </cell>
        </row>
        <row r="336">
          <cell r="B336">
            <v>117</v>
          </cell>
          <cell r="C336" t="str">
            <v>Diemen Zuid</v>
          </cell>
          <cell r="D336" t="str">
            <v>Oostlijn bovengronds</v>
          </cell>
        </row>
        <row r="337">
          <cell r="B337">
            <v>117</v>
          </cell>
          <cell r="C337" t="str">
            <v>Diemen Zuid</v>
          </cell>
          <cell r="D337" t="str">
            <v>Oostlijn bovengronds</v>
          </cell>
        </row>
        <row r="338">
          <cell r="B338">
            <v>117</v>
          </cell>
          <cell r="C338" t="str">
            <v>Diemen Zuid</v>
          </cell>
          <cell r="D338" t="str">
            <v>Oostlijn bovengronds</v>
          </cell>
        </row>
        <row r="339">
          <cell r="B339">
            <v>117</v>
          </cell>
          <cell r="C339" t="str">
            <v>Diemen Zuid</v>
          </cell>
          <cell r="D339" t="str">
            <v>Oostlijn bovengronds</v>
          </cell>
        </row>
        <row r="340">
          <cell r="B340">
            <v>117</v>
          </cell>
          <cell r="C340" t="str">
            <v>Diemen Zuid</v>
          </cell>
          <cell r="D340" t="str">
            <v>Oostlijn bovengronds</v>
          </cell>
        </row>
        <row r="341">
          <cell r="B341">
            <v>117</v>
          </cell>
          <cell r="C341" t="str">
            <v>Diemen Zuid</v>
          </cell>
          <cell r="D341" t="str">
            <v>Oostlijn bovengronds</v>
          </cell>
        </row>
        <row r="342">
          <cell r="B342">
            <v>117</v>
          </cell>
          <cell r="C342" t="str">
            <v>Diemen Zuid</v>
          </cell>
          <cell r="D342" t="str">
            <v>Oostlijn bovengronds</v>
          </cell>
        </row>
        <row r="343">
          <cell r="B343">
            <v>117</v>
          </cell>
          <cell r="C343" t="str">
            <v>Diemen Zuid</v>
          </cell>
          <cell r="D343" t="str">
            <v>Oostlijn bovengronds</v>
          </cell>
        </row>
        <row r="344">
          <cell r="B344">
            <v>117</v>
          </cell>
          <cell r="C344" t="str">
            <v>Diemen Zuid</v>
          </cell>
          <cell r="D344" t="str">
            <v>Oostlijn bovengronds</v>
          </cell>
        </row>
        <row r="345">
          <cell r="B345">
            <v>117</v>
          </cell>
          <cell r="C345" t="str">
            <v>Diemen Zuid</v>
          </cell>
          <cell r="D345" t="str">
            <v>Oostlijn bovengronds</v>
          </cell>
        </row>
        <row r="346">
          <cell r="B346">
            <v>117</v>
          </cell>
          <cell r="C346" t="str">
            <v>Diemen Zuid</v>
          </cell>
          <cell r="D346" t="str">
            <v>Oostlijn bovengronds</v>
          </cell>
        </row>
        <row r="347">
          <cell r="B347">
            <v>117</v>
          </cell>
          <cell r="C347" t="str">
            <v>Diemen Zuid</v>
          </cell>
          <cell r="D347" t="str">
            <v>Oostlijn bovengronds</v>
          </cell>
        </row>
        <row r="348">
          <cell r="B348">
            <v>117</v>
          </cell>
          <cell r="C348" t="str">
            <v>Diemen Zuid</v>
          </cell>
          <cell r="D348" t="str">
            <v>Oostlijn bovengronds</v>
          </cell>
        </row>
        <row r="349">
          <cell r="B349">
            <v>117</v>
          </cell>
          <cell r="C349" t="str">
            <v>Diemen Zuid</v>
          </cell>
          <cell r="D349" t="str">
            <v>Oostlijn bovengronds</v>
          </cell>
        </row>
        <row r="350">
          <cell r="B350">
            <v>117</v>
          </cell>
          <cell r="C350" t="str">
            <v>Diemen Zuid</v>
          </cell>
          <cell r="D350" t="str">
            <v>Oostlijn bovengronds</v>
          </cell>
        </row>
        <row r="351">
          <cell r="B351">
            <v>117</v>
          </cell>
          <cell r="C351" t="str">
            <v>Diemen Zuid</v>
          </cell>
          <cell r="D351" t="str">
            <v>Oostlijn bovengronds</v>
          </cell>
        </row>
        <row r="352">
          <cell r="B352">
            <v>117</v>
          </cell>
          <cell r="C352" t="str">
            <v>Diemen Zuid</v>
          </cell>
          <cell r="D352" t="str">
            <v>Oostlijn bovengronds</v>
          </cell>
        </row>
        <row r="353">
          <cell r="B353">
            <v>117</v>
          </cell>
          <cell r="C353" t="str">
            <v>Diemen Zuid</v>
          </cell>
          <cell r="D353" t="str">
            <v>Oostlijn bovengronds</v>
          </cell>
        </row>
        <row r="354">
          <cell r="B354">
            <v>117</v>
          </cell>
          <cell r="C354" t="str">
            <v>Diemen Zuid</v>
          </cell>
          <cell r="D354" t="str">
            <v>Oostlijn bovengronds</v>
          </cell>
        </row>
        <row r="355">
          <cell r="B355">
            <v>117</v>
          </cell>
          <cell r="C355" t="str">
            <v>Diemen Zuid</v>
          </cell>
          <cell r="D355" t="str">
            <v>Oostlijn bovengronds</v>
          </cell>
        </row>
        <row r="356">
          <cell r="B356">
            <v>117</v>
          </cell>
          <cell r="C356" t="str">
            <v>Diemen Zuid</v>
          </cell>
          <cell r="D356" t="str">
            <v>Oostlijn bovengronds</v>
          </cell>
        </row>
        <row r="357">
          <cell r="B357">
            <v>117</v>
          </cell>
          <cell r="C357" t="str">
            <v>Diemen Zuid</v>
          </cell>
          <cell r="D357" t="str">
            <v>Oostlijn bovengronds</v>
          </cell>
        </row>
        <row r="358">
          <cell r="B358">
            <v>117</v>
          </cell>
          <cell r="C358" t="str">
            <v>Diemen Zuid</v>
          </cell>
          <cell r="D358" t="str">
            <v>Oostlijn bovengronds</v>
          </cell>
        </row>
        <row r="359">
          <cell r="B359">
            <v>117</v>
          </cell>
          <cell r="C359" t="str">
            <v>Diemen Zuid</v>
          </cell>
          <cell r="D359" t="str">
            <v>Oostlijn bovengronds</v>
          </cell>
        </row>
        <row r="360">
          <cell r="B360">
            <v>117</v>
          </cell>
          <cell r="C360" t="str">
            <v>Diemen Zuid</v>
          </cell>
          <cell r="D360" t="str">
            <v>Oostlijn bovengronds</v>
          </cell>
        </row>
        <row r="361">
          <cell r="B361">
            <v>117</v>
          </cell>
          <cell r="C361" t="str">
            <v>Diemen Zuid</v>
          </cell>
          <cell r="D361" t="str">
            <v>Oostlijn bovengronds</v>
          </cell>
        </row>
        <row r="362">
          <cell r="B362">
            <v>117</v>
          </cell>
          <cell r="C362" t="str">
            <v>Diemen Zuid</v>
          </cell>
          <cell r="D362" t="str">
            <v>Oostlijn bovengronds</v>
          </cell>
        </row>
        <row r="363">
          <cell r="B363">
            <v>117</v>
          </cell>
          <cell r="C363" t="str">
            <v>Diemen Zuid</v>
          </cell>
          <cell r="D363" t="str">
            <v>Oostlijn bovengronds</v>
          </cell>
        </row>
        <row r="364">
          <cell r="B364">
            <v>117</v>
          </cell>
          <cell r="C364" t="str">
            <v>Diemen Zuid</v>
          </cell>
          <cell r="D364" t="str">
            <v>Oostlijn bovengronds</v>
          </cell>
        </row>
        <row r="365">
          <cell r="B365">
            <v>118</v>
          </cell>
          <cell r="C365" t="str">
            <v>Verrijn Stuartweg</v>
          </cell>
          <cell r="D365" t="str">
            <v>Oostlijn bovengronds</v>
          </cell>
        </row>
        <row r="366">
          <cell r="B366">
            <v>118</v>
          </cell>
          <cell r="C366" t="str">
            <v>Verrijn Stuartweg</v>
          </cell>
          <cell r="D366" t="str">
            <v>Oostlijn bovengronds</v>
          </cell>
        </row>
        <row r="367">
          <cell r="B367">
            <v>118</v>
          </cell>
          <cell r="C367" t="str">
            <v>Verrijn Stuartweg</v>
          </cell>
          <cell r="D367" t="str">
            <v>Oostlijn bovengronds</v>
          </cell>
        </row>
        <row r="368">
          <cell r="B368">
            <v>118</v>
          </cell>
          <cell r="C368" t="str">
            <v>Verrijn Stuartweg</v>
          </cell>
          <cell r="D368" t="str">
            <v>Oostlijn bovengronds</v>
          </cell>
        </row>
        <row r="369">
          <cell r="B369">
            <v>118</v>
          </cell>
          <cell r="C369" t="str">
            <v>Verrijn Stuartweg</v>
          </cell>
          <cell r="D369" t="str">
            <v>Oostlijn bovengronds</v>
          </cell>
        </row>
        <row r="370">
          <cell r="B370">
            <v>118</v>
          </cell>
          <cell r="C370" t="str">
            <v>Verrijn Stuartweg</v>
          </cell>
          <cell r="D370" t="str">
            <v>Oostlijn bovengronds</v>
          </cell>
        </row>
        <row r="371">
          <cell r="B371">
            <v>118</v>
          </cell>
          <cell r="C371" t="str">
            <v>Verrijn Stuartweg</v>
          </cell>
          <cell r="D371" t="str">
            <v>Oostlijn bovengronds</v>
          </cell>
        </row>
        <row r="372">
          <cell r="B372">
            <v>118</v>
          </cell>
          <cell r="C372" t="str">
            <v>Verrijn Stuartweg</v>
          </cell>
          <cell r="D372" t="str">
            <v>Oostlijn bovengronds</v>
          </cell>
        </row>
        <row r="373">
          <cell r="B373">
            <v>118</v>
          </cell>
          <cell r="C373" t="str">
            <v>Verrijn Stuartweg</v>
          </cell>
          <cell r="D373" t="str">
            <v>Oostlijn bovengronds</v>
          </cell>
        </row>
        <row r="374">
          <cell r="B374">
            <v>118</v>
          </cell>
          <cell r="C374" t="str">
            <v>Verrijn Stuartweg</v>
          </cell>
          <cell r="D374" t="str">
            <v>Oostlijn bovengronds</v>
          </cell>
        </row>
        <row r="375">
          <cell r="B375">
            <v>118</v>
          </cell>
          <cell r="C375" t="str">
            <v>Verrijn Stuartweg</v>
          </cell>
          <cell r="D375" t="str">
            <v>Oostlijn bovengronds</v>
          </cell>
        </row>
        <row r="376">
          <cell r="B376">
            <v>118</v>
          </cell>
          <cell r="C376" t="str">
            <v>Verrijn Stuartweg</v>
          </cell>
          <cell r="D376" t="str">
            <v>Oostlijn bovengronds</v>
          </cell>
        </row>
        <row r="377">
          <cell r="B377">
            <v>118</v>
          </cell>
          <cell r="C377" t="str">
            <v>Verrijn Stuartweg</v>
          </cell>
          <cell r="D377" t="str">
            <v>Oostlijn bovengronds</v>
          </cell>
        </row>
        <row r="378">
          <cell r="B378">
            <v>118</v>
          </cell>
          <cell r="C378" t="str">
            <v>Verrijn Stuartweg</v>
          </cell>
          <cell r="D378" t="str">
            <v>Oostlijn bovengronds</v>
          </cell>
        </row>
        <row r="379">
          <cell r="B379">
            <v>118</v>
          </cell>
          <cell r="C379" t="str">
            <v>Verrijn Stuartweg</v>
          </cell>
          <cell r="D379" t="str">
            <v>Oostlijn bovengronds</v>
          </cell>
        </row>
        <row r="380">
          <cell r="B380">
            <v>118</v>
          </cell>
          <cell r="C380" t="str">
            <v>Verrijn Stuartweg</v>
          </cell>
          <cell r="D380" t="str">
            <v>Oostlijn bovengronds</v>
          </cell>
        </row>
        <row r="381">
          <cell r="B381">
            <v>118</v>
          </cell>
          <cell r="C381" t="str">
            <v>Verrijn Stuartweg</v>
          </cell>
          <cell r="D381" t="str">
            <v>Oostlijn bovengronds</v>
          </cell>
        </row>
        <row r="382">
          <cell r="B382">
            <v>118</v>
          </cell>
          <cell r="C382" t="str">
            <v>Verrijn Stuartweg</v>
          </cell>
          <cell r="D382" t="str">
            <v>Oostlijn bovengronds</v>
          </cell>
        </row>
        <row r="383">
          <cell r="B383">
            <v>118</v>
          </cell>
          <cell r="C383" t="str">
            <v>Verrijn Stuartweg</v>
          </cell>
          <cell r="D383" t="str">
            <v>Oostlijn bovengronds</v>
          </cell>
        </row>
        <row r="384">
          <cell r="B384">
            <v>118</v>
          </cell>
          <cell r="C384" t="str">
            <v>Verrijn Stuartweg</v>
          </cell>
          <cell r="D384" t="str">
            <v>Oostlijn bovengronds</v>
          </cell>
        </row>
        <row r="385">
          <cell r="B385">
            <v>118</v>
          </cell>
          <cell r="C385" t="str">
            <v>Verrijn Stuartweg</v>
          </cell>
          <cell r="D385" t="str">
            <v>Oostlijn bovengronds</v>
          </cell>
        </row>
        <row r="386">
          <cell r="B386">
            <v>118</v>
          </cell>
          <cell r="C386" t="str">
            <v>Verrijn Stuartweg</v>
          </cell>
          <cell r="D386" t="str">
            <v>Oostlijn bovengronds</v>
          </cell>
        </row>
        <row r="387">
          <cell r="B387">
            <v>118</v>
          </cell>
          <cell r="C387" t="str">
            <v>Verrijn Stuartweg</v>
          </cell>
          <cell r="D387" t="str">
            <v>Oostlijn bovengronds</v>
          </cell>
        </row>
        <row r="388">
          <cell r="B388">
            <v>119</v>
          </cell>
          <cell r="C388" t="str">
            <v>Ganzenhoef</v>
          </cell>
          <cell r="D388" t="str">
            <v>Oostlijn bovengronds</v>
          </cell>
        </row>
        <row r="389">
          <cell r="B389">
            <v>119</v>
          </cell>
          <cell r="C389" t="str">
            <v>Ganzenhoef</v>
          </cell>
          <cell r="D389" t="str">
            <v>Oostlijn bovengronds</v>
          </cell>
        </row>
        <row r="390">
          <cell r="B390">
            <v>119</v>
          </cell>
          <cell r="C390" t="str">
            <v>Ganzenhoef</v>
          </cell>
          <cell r="D390" t="str">
            <v>Oostlijn bovengronds</v>
          </cell>
        </row>
        <row r="391">
          <cell r="B391">
            <v>119</v>
          </cell>
          <cell r="C391" t="str">
            <v>Ganzenhoef</v>
          </cell>
          <cell r="D391" t="str">
            <v>Oostlijn bovengronds</v>
          </cell>
        </row>
        <row r="392">
          <cell r="B392">
            <v>119</v>
          </cell>
          <cell r="C392" t="str">
            <v>Ganzenhoef</v>
          </cell>
          <cell r="D392" t="str">
            <v>Oostlijn bovengronds</v>
          </cell>
        </row>
        <row r="393">
          <cell r="B393">
            <v>119</v>
          </cell>
          <cell r="C393" t="str">
            <v>Ganzenhoef</v>
          </cell>
          <cell r="D393" t="str">
            <v>Oostlijn bovengronds</v>
          </cell>
        </row>
        <row r="394">
          <cell r="B394">
            <v>119</v>
          </cell>
          <cell r="C394" t="str">
            <v>Ganzenhoef</v>
          </cell>
          <cell r="D394" t="str">
            <v>Oostlijn bovengronds</v>
          </cell>
        </row>
        <row r="395">
          <cell r="B395">
            <v>119</v>
          </cell>
          <cell r="C395" t="str">
            <v>Ganzenhoef</v>
          </cell>
          <cell r="D395" t="str">
            <v>Oostlijn bovengronds</v>
          </cell>
        </row>
        <row r="396">
          <cell r="B396">
            <v>119</v>
          </cell>
          <cell r="C396" t="str">
            <v>Ganzenhoef</v>
          </cell>
          <cell r="D396" t="str">
            <v>Oostlijn bovengronds</v>
          </cell>
        </row>
        <row r="397">
          <cell r="B397">
            <v>119</v>
          </cell>
          <cell r="C397" t="str">
            <v>Ganzenhoef</v>
          </cell>
          <cell r="D397" t="str">
            <v>Oostlijn bovengronds</v>
          </cell>
        </row>
        <row r="398">
          <cell r="B398">
            <v>119</v>
          </cell>
          <cell r="C398" t="str">
            <v>Ganzenhoef</v>
          </cell>
          <cell r="D398" t="str">
            <v>Oostlijn bovengronds</v>
          </cell>
        </row>
        <row r="399">
          <cell r="B399">
            <v>119</v>
          </cell>
          <cell r="C399" t="str">
            <v>Ganzenhoef</v>
          </cell>
          <cell r="D399" t="str">
            <v>Oostlijn bovengronds</v>
          </cell>
        </row>
        <row r="400">
          <cell r="B400">
            <v>119</v>
          </cell>
          <cell r="C400" t="str">
            <v>Ganzenhoef</v>
          </cell>
          <cell r="D400" t="str">
            <v>Oostlijn bovengronds</v>
          </cell>
        </row>
        <row r="401">
          <cell r="B401">
            <v>119</v>
          </cell>
          <cell r="C401" t="str">
            <v>Ganzenhoef</v>
          </cell>
          <cell r="D401" t="str">
            <v>Oostlijn bovengronds</v>
          </cell>
        </row>
        <row r="402">
          <cell r="B402">
            <v>119</v>
          </cell>
          <cell r="C402" t="str">
            <v>Ganzenhoef</v>
          </cell>
          <cell r="D402" t="str">
            <v>Oostlijn bovengronds</v>
          </cell>
        </row>
        <row r="403">
          <cell r="B403">
            <v>119</v>
          </cell>
          <cell r="C403" t="str">
            <v>Ganzenhoef</v>
          </cell>
          <cell r="D403" t="str">
            <v>Oostlijn bovengronds</v>
          </cell>
        </row>
        <row r="404">
          <cell r="B404">
            <v>119</v>
          </cell>
          <cell r="C404" t="str">
            <v>Ganzenhoef</v>
          </cell>
          <cell r="D404" t="str">
            <v>Oostlijn bovengronds</v>
          </cell>
        </row>
        <row r="405">
          <cell r="B405">
            <v>119</v>
          </cell>
          <cell r="C405" t="str">
            <v>Ganzenhoef</v>
          </cell>
          <cell r="D405" t="str">
            <v>Oostlijn bovengronds</v>
          </cell>
        </row>
        <row r="406">
          <cell r="B406">
            <v>119</v>
          </cell>
          <cell r="C406" t="str">
            <v>Ganzenhoef</v>
          </cell>
          <cell r="D406" t="str">
            <v>Oostlijn bovengronds</v>
          </cell>
        </row>
        <row r="407">
          <cell r="B407">
            <v>119</v>
          </cell>
          <cell r="C407" t="str">
            <v>Ganzenhoef</v>
          </cell>
          <cell r="D407" t="str">
            <v>Oostlijn bovengronds</v>
          </cell>
        </row>
        <row r="408">
          <cell r="B408">
            <v>119</v>
          </cell>
          <cell r="C408" t="str">
            <v>Ganzenhoef</v>
          </cell>
          <cell r="D408" t="str">
            <v>Oostlijn bovengronds</v>
          </cell>
        </row>
        <row r="409">
          <cell r="B409">
            <v>120</v>
          </cell>
          <cell r="C409" t="str">
            <v>Kraaiennest</v>
          </cell>
          <cell r="D409" t="str">
            <v>Oostlijn bovengronds</v>
          </cell>
        </row>
        <row r="410">
          <cell r="B410">
            <v>120</v>
          </cell>
          <cell r="C410" t="str">
            <v>Kraaiennest</v>
          </cell>
          <cell r="D410" t="str">
            <v>Oostlijn bovengronds</v>
          </cell>
        </row>
        <row r="411">
          <cell r="B411">
            <v>120</v>
          </cell>
          <cell r="C411" t="str">
            <v>Kraaiennest</v>
          </cell>
          <cell r="D411" t="str">
            <v>Oostlijn bovengronds</v>
          </cell>
        </row>
        <row r="412">
          <cell r="B412">
            <v>120</v>
          </cell>
          <cell r="C412" t="str">
            <v>Kraaiennest</v>
          </cell>
          <cell r="D412" t="str">
            <v>Oostlijn bovengronds</v>
          </cell>
        </row>
        <row r="413">
          <cell r="B413">
            <v>120</v>
          </cell>
          <cell r="C413" t="str">
            <v>Kraaiennest</v>
          </cell>
          <cell r="D413" t="str">
            <v>Oostlijn bovengronds</v>
          </cell>
        </row>
        <row r="414">
          <cell r="B414">
            <v>120</v>
          </cell>
          <cell r="C414" t="str">
            <v>Kraaiennest</v>
          </cell>
          <cell r="D414" t="str">
            <v>Oostlijn bovengronds</v>
          </cell>
        </row>
        <row r="415">
          <cell r="B415">
            <v>120</v>
          </cell>
          <cell r="C415" t="str">
            <v>Kraaiennest</v>
          </cell>
          <cell r="D415" t="str">
            <v>Oostlijn bovengronds</v>
          </cell>
        </row>
        <row r="416">
          <cell r="B416">
            <v>120</v>
          </cell>
          <cell r="C416" t="str">
            <v>Kraaiennest</v>
          </cell>
          <cell r="D416" t="str">
            <v>Oostlijn bovengronds</v>
          </cell>
        </row>
        <row r="417">
          <cell r="B417">
            <v>120</v>
          </cell>
          <cell r="C417" t="str">
            <v>Kraaiennest</v>
          </cell>
          <cell r="D417" t="str">
            <v>Oostlijn bovengronds</v>
          </cell>
        </row>
        <row r="418">
          <cell r="B418">
            <v>120</v>
          </cell>
          <cell r="C418" t="str">
            <v>Kraaiennest</v>
          </cell>
          <cell r="D418" t="str">
            <v>Oostlijn bovengronds</v>
          </cell>
        </row>
        <row r="419">
          <cell r="B419">
            <v>120</v>
          </cell>
          <cell r="C419" t="str">
            <v>Kraaiennest</v>
          </cell>
          <cell r="D419" t="str">
            <v>Oostlijn bovengronds</v>
          </cell>
        </row>
        <row r="420">
          <cell r="B420">
            <v>120</v>
          </cell>
          <cell r="C420" t="str">
            <v>Kraaiennest</v>
          </cell>
          <cell r="D420" t="str">
            <v>Oostlijn bovengronds</v>
          </cell>
        </row>
        <row r="421">
          <cell r="B421">
            <v>120</v>
          </cell>
          <cell r="C421" t="str">
            <v>Kraaiennest</v>
          </cell>
          <cell r="D421" t="str">
            <v>Oostlijn bovengronds</v>
          </cell>
        </row>
        <row r="422">
          <cell r="B422">
            <v>120</v>
          </cell>
          <cell r="C422" t="str">
            <v>Kraaiennest</v>
          </cell>
          <cell r="D422" t="str">
            <v>Oostlijn bovengronds</v>
          </cell>
        </row>
        <row r="423">
          <cell r="B423">
            <v>120</v>
          </cell>
          <cell r="C423" t="str">
            <v>Kraaiennest</v>
          </cell>
          <cell r="D423" t="str">
            <v>Oostlijn bovengronds</v>
          </cell>
        </row>
        <row r="424">
          <cell r="B424">
            <v>120</v>
          </cell>
          <cell r="C424" t="str">
            <v>Kraaiennest</v>
          </cell>
          <cell r="D424" t="str">
            <v>Oostlijn bovengronds</v>
          </cell>
        </row>
        <row r="425">
          <cell r="B425">
            <v>120</v>
          </cell>
          <cell r="C425" t="str">
            <v>Kraaiennest</v>
          </cell>
          <cell r="D425" t="str">
            <v>Oostlijn bovengronds</v>
          </cell>
        </row>
        <row r="426">
          <cell r="B426">
            <v>120</v>
          </cell>
          <cell r="C426" t="str">
            <v>Kraaiennest</v>
          </cell>
          <cell r="D426" t="str">
            <v>Oostlijn bovengronds</v>
          </cell>
        </row>
        <row r="427">
          <cell r="B427">
            <v>120</v>
          </cell>
          <cell r="C427" t="str">
            <v>Kraaiennest</v>
          </cell>
          <cell r="D427" t="str">
            <v>Oostlijn bovengronds</v>
          </cell>
        </row>
        <row r="428">
          <cell r="B428">
            <v>120</v>
          </cell>
          <cell r="C428" t="str">
            <v>Kraaiennest</v>
          </cell>
          <cell r="D428" t="str">
            <v>Oostlijn bovengronds</v>
          </cell>
        </row>
        <row r="429">
          <cell r="B429">
            <v>120</v>
          </cell>
          <cell r="C429" t="str">
            <v>Kraaiennest</v>
          </cell>
          <cell r="D429" t="str">
            <v>Oostlijn bovengronds</v>
          </cell>
        </row>
        <row r="430">
          <cell r="B430">
            <v>120</v>
          </cell>
          <cell r="C430" t="str">
            <v>Kraaiennest</v>
          </cell>
          <cell r="D430" t="str">
            <v>Oostlijn bovengronds</v>
          </cell>
        </row>
        <row r="431">
          <cell r="B431">
            <v>120</v>
          </cell>
          <cell r="C431" t="str">
            <v>Kraaiennest</v>
          </cell>
          <cell r="D431" t="str">
            <v>Oostlijn bovengronds</v>
          </cell>
        </row>
        <row r="432">
          <cell r="B432">
            <v>121</v>
          </cell>
          <cell r="C432" t="str">
            <v>Gaasperplas</v>
          </cell>
          <cell r="D432" t="str">
            <v>Oostlijn bovengronds</v>
          </cell>
        </row>
        <row r="433">
          <cell r="B433">
            <v>121</v>
          </cell>
          <cell r="C433" t="str">
            <v>Gaasperplas</v>
          </cell>
          <cell r="D433" t="str">
            <v>Oostlijn bovengronds</v>
          </cell>
        </row>
        <row r="434">
          <cell r="B434">
            <v>121</v>
          </cell>
          <cell r="C434" t="str">
            <v>Gaasperplas</v>
          </cell>
          <cell r="D434" t="str">
            <v>Oostlijn bovengronds</v>
          </cell>
        </row>
        <row r="435">
          <cell r="B435">
            <v>121</v>
          </cell>
          <cell r="C435" t="str">
            <v>Gaasperplas</v>
          </cell>
          <cell r="D435" t="str">
            <v>Oostlijn bovengronds</v>
          </cell>
        </row>
        <row r="436">
          <cell r="B436">
            <v>121</v>
          </cell>
          <cell r="C436" t="str">
            <v>Gaasperplas</v>
          </cell>
          <cell r="D436" t="str">
            <v>Oostlijn bovengronds</v>
          </cell>
        </row>
        <row r="437">
          <cell r="B437">
            <v>121</v>
          </cell>
          <cell r="C437" t="str">
            <v>Gaasperplas</v>
          </cell>
          <cell r="D437" t="str">
            <v>Oostlijn bovengronds</v>
          </cell>
        </row>
        <row r="438">
          <cell r="B438">
            <v>121</v>
          </cell>
          <cell r="C438" t="str">
            <v>Gaasperplas</v>
          </cell>
          <cell r="D438" t="str">
            <v>Oostlijn bovengronds</v>
          </cell>
        </row>
        <row r="439">
          <cell r="B439">
            <v>121</v>
          </cell>
          <cell r="C439" t="str">
            <v>Gaasperplas</v>
          </cell>
          <cell r="D439" t="str">
            <v>Oostlijn bovengronds</v>
          </cell>
        </row>
        <row r="440">
          <cell r="B440">
            <v>121</v>
          </cell>
          <cell r="C440" t="str">
            <v>Gaasperplas</v>
          </cell>
          <cell r="D440" t="str">
            <v>Oostlijn bovengronds</v>
          </cell>
        </row>
        <row r="441">
          <cell r="B441">
            <v>121</v>
          </cell>
          <cell r="C441" t="str">
            <v>Gaasperplas</v>
          </cell>
          <cell r="D441" t="str">
            <v>Oostlijn bovengronds</v>
          </cell>
        </row>
        <row r="442">
          <cell r="B442">
            <v>121</v>
          </cell>
          <cell r="C442" t="str">
            <v>Gaasperplas</v>
          </cell>
          <cell r="D442" t="str">
            <v>Oostlijn bovengronds</v>
          </cell>
        </row>
        <row r="443">
          <cell r="B443">
            <v>121</v>
          </cell>
          <cell r="C443" t="str">
            <v>Gaasperplas</v>
          </cell>
          <cell r="D443" t="str">
            <v>Oostlijn bovengronds</v>
          </cell>
        </row>
        <row r="444">
          <cell r="B444">
            <v>121</v>
          </cell>
          <cell r="C444" t="str">
            <v>Gaasperplas</v>
          </cell>
          <cell r="D444" t="str">
            <v>Oostlijn bovengronds</v>
          </cell>
        </row>
        <row r="445">
          <cell r="B445">
            <v>121</v>
          </cell>
          <cell r="C445" t="str">
            <v>Gaasperplas</v>
          </cell>
          <cell r="D445" t="str">
            <v>Oostlijn bovengronds</v>
          </cell>
        </row>
        <row r="446">
          <cell r="B446">
            <v>121</v>
          </cell>
          <cell r="C446" t="str">
            <v>Gaasperplas</v>
          </cell>
          <cell r="D446" t="str">
            <v>Oostlijn bovengronds</v>
          </cell>
        </row>
        <row r="447">
          <cell r="B447">
            <v>121</v>
          </cell>
          <cell r="C447" t="str">
            <v>Gaasperplas</v>
          </cell>
          <cell r="D447" t="str">
            <v>Oostlijn bovengronds</v>
          </cell>
        </row>
        <row r="448">
          <cell r="B448">
            <v>121</v>
          </cell>
          <cell r="C448" t="str">
            <v>Gaasperplas</v>
          </cell>
          <cell r="D448" t="str">
            <v>Oostlijn bovengronds</v>
          </cell>
        </row>
        <row r="449">
          <cell r="B449">
            <v>121</v>
          </cell>
          <cell r="C449" t="str">
            <v>Gaasperplas</v>
          </cell>
          <cell r="D449" t="str">
            <v>Oostlijn bovengronds</v>
          </cell>
        </row>
        <row r="450">
          <cell r="B450">
            <v>121</v>
          </cell>
          <cell r="C450" t="str">
            <v>Gaasperplas</v>
          </cell>
          <cell r="D450" t="str">
            <v>Oostlijn bovengronds</v>
          </cell>
        </row>
        <row r="451">
          <cell r="B451">
            <v>121</v>
          </cell>
          <cell r="C451" t="str">
            <v>Gaasperplas</v>
          </cell>
          <cell r="D451" t="str">
            <v>Oostlijn bovengronds</v>
          </cell>
        </row>
        <row r="452">
          <cell r="B452">
            <v>121</v>
          </cell>
          <cell r="C452" t="str">
            <v>Gaasperplas</v>
          </cell>
          <cell r="D452" t="str">
            <v>Oostlijn bovengronds</v>
          </cell>
        </row>
        <row r="453">
          <cell r="B453">
            <v>121</v>
          </cell>
          <cell r="C453" t="str">
            <v>Gaasperplas</v>
          </cell>
          <cell r="D453" t="str">
            <v>Oostlijn bovengronds</v>
          </cell>
        </row>
        <row r="454">
          <cell r="B454">
            <v>121</v>
          </cell>
          <cell r="C454" t="str">
            <v>Gaasperplas</v>
          </cell>
          <cell r="D454" t="str">
            <v>Oostlijn bovengronds</v>
          </cell>
        </row>
        <row r="455">
          <cell r="B455">
            <v>121</v>
          </cell>
          <cell r="C455" t="str">
            <v>Gaasperplas</v>
          </cell>
          <cell r="D455" t="str">
            <v>Oostlijn bovengronds</v>
          </cell>
        </row>
        <row r="456">
          <cell r="B456">
            <v>121</v>
          </cell>
          <cell r="C456" t="str">
            <v>Gaasperplas</v>
          </cell>
          <cell r="D456" t="str">
            <v>Oostlijn bovengronds</v>
          </cell>
        </row>
        <row r="457">
          <cell r="B457">
            <v>121</v>
          </cell>
          <cell r="C457" t="str">
            <v>Gaasperplas</v>
          </cell>
          <cell r="D457" t="str">
            <v>Oostlijn bovengronds</v>
          </cell>
        </row>
        <row r="458">
          <cell r="B458">
            <v>121</v>
          </cell>
          <cell r="C458" t="str">
            <v>Gaasperplas</v>
          </cell>
          <cell r="D458" t="str">
            <v>Oostlijn bovengronds</v>
          </cell>
        </row>
        <row r="459">
          <cell r="B459">
            <v>121</v>
          </cell>
          <cell r="C459" t="str">
            <v>Gaasperplas</v>
          </cell>
          <cell r="D459" t="str">
            <v>Oostlijn bovengronds</v>
          </cell>
        </row>
        <row r="460">
          <cell r="B460">
            <v>121</v>
          </cell>
          <cell r="C460" t="str">
            <v>Gaasperplas</v>
          </cell>
          <cell r="D460" t="str">
            <v>Oostlijn bovengronds</v>
          </cell>
        </row>
        <row r="461">
          <cell r="B461">
            <v>121</v>
          </cell>
          <cell r="C461" t="str">
            <v>Gaasperplas</v>
          </cell>
          <cell r="D461" t="str">
            <v>Oostlijn bovengronds</v>
          </cell>
        </row>
        <row r="462">
          <cell r="B462">
            <v>201</v>
          </cell>
          <cell r="C462" t="str">
            <v>A.J. Ernsstraat</v>
          </cell>
          <cell r="D462" t="str">
            <v>Amstellijn</v>
          </cell>
        </row>
        <row r="463">
          <cell r="B463">
            <v>202</v>
          </cell>
          <cell r="C463" t="str">
            <v>Van Boshuizenstraat</v>
          </cell>
          <cell r="D463" t="str">
            <v>Amstellijn</v>
          </cell>
        </row>
        <row r="464">
          <cell r="B464">
            <v>203</v>
          </cell>
          <cell r="C464" t="str">
            <v>Uilenstede</v>
          </cell>
          <cell r="D464" t="str">
            <v>Amstellijn</v>
          </cell>
        </row>
        <row r="465">
          <cell r="B465">
            <v>203</v>
          </cell>
          <cell r="C465" t="str">
            <v>Uilenstede</v>
          </cell>
          <cell r="D465" t="str">
            <v>Amstellijn</v>
          </cell>
        </row>
        <row r="466">
          <cell r="B466">
            <v>203</v>
          </cell>
          <cell r="C466" t="str">
            <v>Uilenstede</v>
          </cell>
          <cell r="D466" t="str">
            <v>Amstellijn</v>
          </cell>
        </row>
        <row r="467">
          <cell r="B467">
            <v>204</v>
          </cell>
          <cell r="C467" t="str">
            <v>Kronenburg</v>
          </cell>
          <cell r="D467" t="str">
            <v>Amstellijn</v>
          </cell>
        </row>
        <row r="468">
          <cell r="B468">
            <v>204</v>
          </cell>
          <cell r="C468" t="str">
            <v>Kronenburg</v>
          </cell>
          <cell r="D468" t="str">
            <v>Amstellijn</v>
          </cell>
        </row>
        <row r="469">
          <cell r="B469">
            <v>204</v>
          </cell>
          <cell r="C469" t="str">
            <v>Kronenburg</v>
          </cell>
          <cell r="D469" t="str">
            <v>Amstellijn</v>
          </cell>
        </row>
        <row r="470">
          <cell r="B470">
            <v>205</v>
          </cell>
          <cell r="C470" t="str">
            <v>Zonnestein</v>
          </cell>
          <cell r="D470" t="str">
            <v>Amstellijn</v>
          </cell>
        </row>
        <row r="471">
          <cell r="B471">
            <v>205</v>
          </cell>
          <cell r="C471" t="str">
            <v>Zonnestein</v>
          </cell>
          <cell r="D471" t="str">
            <v>Amstellijn</v>
          </cell>
        </row>
        <row r="472">
          <cell r="B472">
            <v>205</v>
          </cell>
          <cell r="C472" t="str">
            <v>Zonnestein</v>
          </cell>
          <cell r="D472" t="str">
            <v>Amstellijn</v>
          </cell>
        </row>
        <row r="473">
          <cell r="B473">
            <v>206</v>
          </cell>
          <cell r="C473" t="str">
            <v>Onderuit</v>
          </cell>
          <cell r="D473" t="str">
            <v>Amstellijn</v>
          </cell>
        </row>
        <row r="474">
          <cell r="B474">
            <v>206</v>
          </cell>
          <cell r="C474" t="str">
            <v>Onderuit</v>
          </cell>
          <cell r="D474" t="str">
            <v>Amstellijn</v>
          </cell>
        </row>
        <row r="475">
          <cell r="B475">
            <v>206</v>
          </cell>
          <cell r="C475" t="str">
            <v>Onderuit</v>
          </cell>
          <cell r="D475" t="str">
            <v>Amstellijn</v>
          </cell>
        </row>
        <row r="476">
          <cell r="B476">
            <v>207</v>
          </cell>
          <cell r="C476" t="str">
            <v>Oranjebaan</v>
          </cell>
          <cell r="D476" t="str">
            <v>Amstellijn</v>
          </cell>
        </row>
        <row r="477">
          <cell r="B477">
            <v>207</v>
          </cell>
          <cell r="C477" t="str">
            <v>Oranjebaan</v>
          </cell>
          <cell r="D477" t="str">
            <v>Amstellijn</v>
          </cell>
        </row>
        <row r="478">
          <cell r="B478">
            <v>207</v>
          </cell>
          <cell r="C478" t="str">
            <v>Oranjebaan</v>
          </cell>
          <cell r="D478" t="str">
            <v>Amstellijn</v>
          </cell>
        </row>
        <row r="479">
          <cell r="B479">
            <v>208</v>
          </cell>
          <cell r="C479" t="str">
            <v>Stadshart</v>
          </cell>
          <cell r="D479" t="str">
            <v>Amstellijn</v>
          </cell>
        </row>
        <row r="480">
          <cell r="B480">
            <v>209</v>
          </cell>
          <cell r="C480" t="str">
            <v>Ouderkerkerlaan</v>
          </cell>
          <cell r="D480" t="str">
            <v>Amstellijn</v>
          </cell>
        </row>
        <row r="481">
          <cell r="B481">
            <v>209</v>
          </cell>
          <cell r="C481" t="str">
            <v>Ouderkerkerlaan</v>
          </cell>
          <cell r="D481" t="str">
            <v>Amstellijn</v>
          </cell>
        </row>
        <row r="482">
          <cell r="B482">
            <v>209</v>
          </cell>
          <cell r="C482" t="str">
            <v>Ouderkerkerlaan</v>
          </cell>
          <cell r="D482" t="str">
            <v>Amstellijn</v>
          </cell>
        </row>
        <row r="483">
          <cell r="B483">
            <v>210</v>
          </cell>
          <cell r="C483" t="str">
            <v>Sportlaan</v>
          </cell>
          <cell r="D483" t="str">
            <v>Amstellijn</v>
          </cell>
        </row>
        <row r="484">
          <cell r="B484">
            <v>210</v>
          </cell>
          <cell r="C484" t="str">
            <v>Sportlaan</v>
          </cell>
          <cell r="D484" t="str">
            <v>Amstellijn</v>
          </cell>
        </row>
        <row r="485">
          <cell r="B485">
            <v>210</v>
          </cell>
          <cell r="C485" t="str">
            <v>Sportlaan</v>
          </cell>
          <cell r="D485" t="str">
            <v>Amstellijn</v>
          </cell>
        </row>
        <row r="486">
          <cell r="B486">
            <v>211</v>
          </cell>
          <cell r="C486" t="str">
            <v>Meent</v>
          </cell>
          <cell r="D486" t="str">
            <v>Amstellijn</v>
          </cell>
        </row>
        <row r="487">
          <cell r="B487">
            <v>211</v>
          </cell>
          <cell r="C487" t="str">
            <v>Meent</v>
          </cell>
          <cell r="D487" t="str">
            <v>Amstellijn</v>
          </cell>
        </row>
        <row r="488">
          <cell r="B488">
            <v>211</v>
          </cell>
          <cell r="C488" t="str">
            <v>Meent</v>
          </cell>
          <cell r="D488" t="str">
            <v>Amstellijn</v>
          </cell>
        </row>
        <row r="489">
          <cell r="B489">
            <v>212</v>
          </cell>
          <cell r="C489" t="str">
            <v>Brink</v>
          </cell>
          <cell r="D489" t="str">
            <v>Amstellijn</v>
          </cell>
        </row>
        <row r="490">
          <cell r="B490">
            <v>213</v>
          </cell>
          <cell r="C490" t="str">
            <v>Poortwachter</v>
          </cell>
          <cell r="D490" t="str">
            <v>Amstellijn</v>
          </cell>
        </row>
        <row r="491">
          <cell r="B491">
            <v>214</v>
          </cell>
          <cell r="C491" t="str">
            <v>Sacharovlaan</v>
          </cell>
          <cell r="D491" t="str">
            <v>Amstellijn</v>
          </cell>
        </row>
        <row r="492">
          <cell r="B492">
            <v>215</v>
          </cell>
          <cell r="C492" t="str">
            <v>Westwijk</v>
          </cell>
          <cell r="D492" t="str">
            <v>Amstellijn</v>
          </cell>
        </row>
        <row r="493">
          <cell r="B493" t="str">
            <v>215a</v>
          </cell>
          <cell r="C493" t="str">
            <v>Aan de Zoom</v>
          </cell>
          <cell r="D493" t="str">
            <v>Amstellijn</v>
          </cell>
        </row>
        <row r="494">
          <cell r="B494" t="str">
            <v>215b</v>
          </cell>
          <cell r="C494" t="str">
            <v>Uithoorn Station</v>
          </cell>
          <cell r="D494" t="str">
            <v>Amstellijn</v>
          </cell>
        </row>
        <row r="495">
          <cell r="B495" t="str">
            <v>215c</v>
          </cell>
          <cell r="C495" t="str">
            <v>Uithoorn Centrum</v>
          </cell>
          <cell r="D495" t="str">
            <v>Amstellijn</v>
          </cell>
        </row>
        <row r="496">
          <cell r="B496">
            <v>301</v>
          </cell>
          <cell r="C496" t="str">
            <v>Overamstel</v>
          </cell>
          <cell r="D496" t="str">
            <v>Ringlijn</v>
          </cell>
        </row>
        <row r="497">
          <cell r="B497">
            <v>301</v>
          </cell>
          <cell r="C497" t="str">
            <v>Overamstel</v>
          </cell>
          <cell r="D497" t="str">
            <v>Ringlijn</v>
          </cell>
        </row>
        <row r="498">
          <cell r="B498">
            <v>301</v>
          </cell>
          <cell r="C498" t="str">
            <v>Overamstel</v>
          </cell>
          <cell r="D498" t="str">
            <v>Ringlijn</v>
          </cell>
        </row>
        <row r="499">
          <cell r="B499">
            <v>301</v>
          </cell>
          <cell r="C499" t="str">
            <v>Overamstel</v>
          </cell>
          <cell r="D499" t="str">
            <v>Ringlijn</v>
          </cell>
        </row>
        <row r="500">
          <cell r="B500">
            <v>301</v>
          </cell>
          <cell r="C500" t="str">
            <v>Overamstel</v>
          </cell>
          <cell r="D500" t="str">
            <v>Ringlijn</v>
          </cell>
        </row>
        <row r="501">
          <cell r="B501">
            <v>301</v>
          </cell>
          <cell r="C501" t="str">
            <v>Overamstel</v>
          </cell>
          <cell r="D501" t="str">
            <v>Ringlijn</v>
          </cell>
        </row>
        <row r="502">
          <cell r="B502">
            <v>301</v>
          </cell>
          <cell r="C502" t="str">
            <v>Overamstel</v>
          </cell>
          <cell r="D502" t="str">
            <v>Ringlijn</v>
          </cell>
        </row>
        <row r="503">
          <cell r="B503">
            <v>301</v>
          </cell>
          <cell r="C503" t="str">
            <v>Overamstel</v>
          </cell>
          <cell r="D503" t="str">
            <v>Ringlijn</v>
          </cell>
        </row>
        <row r="504">
          <cell r="B504">
            <v>301</v>
          </cell>
          <cell r="C504" t="str">
            <v>Overamstel</v>
          </cell>
          <cell r="D504" t="str">
            <v>Ringlijn</v>
          </cell>
        </row>
        <row r="505">
          <cell r="B505">
            <v>301</v>
          </cell>
          <cell r="C505" t="str">
            <v>Overamstel</v>
          </cell>
          <cell r="D505" t="str">
            <v>Ringlijn</v>
          </cell>
        </row>
        <row r="506">
          <cell r="B506">
            <v>301</v>
          </cell>
          <cell r="C506" t="str">
            <v>Overamstel</v>
          </cell>
          <cell r="D506" t="str">
            <v>Ringlijn</v>
          </cell>
        </row>
        <row r="507">
          <cell r="B507">
            <v>301</v>
          </cell>
          <cell r="C507" t="str">
            <v>Overamstel</v>
          </cell>
          <cell r="D507" t="str">
            <v>Ringlijn</v>
          </cell>
        </row>
        <row r="508">
          <cell r="B508">
            <v>302</v>
          </cell>
          <cell r="C508" t="str">
            <v>Rai</v>
          </cell>
          <cell r="D508" t="str">
            <v>Ringlijn</v>
          </cell>
        </row>
        <row r="509">
          <cell r="B509">
            <v>302</v>
          </cell>
          <cell r="C509" t="str">
            <v>Rai</v>
          </cell>
          <cell r="D509" t="str">
            <v>Ringlijn</v>
          </cell>
        </row>
        <row r="510">
          <cell r="B510">
            <v>302</v>
          </cell>
          <cell r="C510" t="str">
            <v>Rai</v>
          </cell>
          <cell r="D510" t="str">
            <v>Ringlijn</v>
          </cell>
        </row>
        <row r="511">
          <cell r="B511">
            <v>302</v>
          </cell>
          <cell r="C511" t="str">
            <v>Rai</v>
          </cell>
          <cell r="D511" t="str">
            <v>Ringlijn</v>
          </cell>
        </row>
        <row r="512">
          <cell r="B512">
            <v>302</v>
          </cell>
          <cell r="C512" t="str">
            <v>Rai</v>
          </cell>
          <cell r="D512" t="str">
            <v>Ringlijn</v>
          </cell>
        </row>
        <row r="513">
          <cell r="B513">
            <v>302</v>
          </cell>
          <cell r="C513" t="str">
            <v>Rai</v>
          </cell>
          <cell r="D513" t="str">
            <v>Ringlijn</v>
          </cell>
        </row>
        <row r="514">
          <cell r="B514">
            <v>302</v>
          </cell>
          <cell r="C514" t="str">
            <v>Rai</v>
          </cell>
          <cell r="D514" t="str">
            <v>Ringlijn</v>
          </cell>
        </row>
        <row r="515">
          <cell r="B515">
            <v>302</v>
          </cell>
          <cell r="C515" t="str">
            <v>Rai</v>
          </cell>
          <cell r="D515" t="str">
            <v>Ringlijn</v>
          </cell>
        </row>
        <row r="516">
          <cell r="B516">
            <v>302</v>
          </cell>
          <cell r="C516" t="str">
            <v>Rai</v>
          </cell>
          <cell r="D516" t="str">
            <v>Ringlijn</v>
          </cell>
        </row>
        <row r="517">
          <cell r="B517">
            <v>303</v>
          </cell>
          <cell r="C517" t="str">
            <v>Zuid</v>
          </cell>
          <cell r="D517" t="str">
            <v>Ringlijn</v>
          </cell>
        </row>
        <row r="518">
          <cell r="B518">
            <v>303</v>
          </cell>
          <cell r="C518" t="str">
            <v>Zuid</v>
          </cell>
          <cell r="D518" t="str">
            <v>Ringlijn</v>
          </cell>
        </row>
        <row r="519">
          <cell r="B519">
            <v>303</v>
          </cell>
          <cell r="C519" t="str">
            <v>Zuid</v>
          </cell>
          <cell r="D519" t="str">
            <v>Ringlijn</v>
          </cell>
        </row>
        <row r="520">
          <cell r="B520">
            <v>303</v>
          </cell>
          <cell r="C520" t="str">
            <v>Zuid</v>
          </cell>
          <cell r="D520" t="str">
            <v>Ringlijn</v>
          </cell>
        </row>
        <row r="521">
          <cell r="B521">
            <v>303</v>
          </cell>
          <cell r="C521" t="str">
            <v>Zuid</v>
          </cell>
          <cell r="D521" t="str">
            <v>Ringlijn</v>
          </cell>
        </row>
        <row r="522">
          <cell r="B522">
            <v>303</v>
          </cell>
          <cell r="C522" t="str">
            <v>Zuid</v>
          </cell>
          <cell r="D522" t="str">
            <v>Ringlijn</v>
          </cell>
        </row>
        <row r="523">
          <cell r="B523">
            <v>303</v>
          </cell>
          <cell r="C523" t="str">
            <v>Zuid</v>
          </cell>
          <cell r="D523" t="str">
            <v>Ringlijn</v>
          </cell>
        </row>
        <row r="524">
          <cell r="B524">
            <v>303</v>
          </cell>
          <cell r="C524" t="str">
            <v>Zuid</v>
          </cell>
          <cell r="D524" t="str">
            <v>Ringlijn</v>
          </cell>
        </row>
        <row r="525">
          <cell r="B525">
            <v>303</v>
          </cell>
          <cell r="C525" t="str">
            <v>Zuid</v>
          </cell>
          <cell r="D525" t="str">
            <v>Ringlijn</v>
          </cell>
        </row>
        <row r="526">
          <cell r="B526">
            <v>303</v>
          </cell>
          <cell r="C526" t="str">
            <v>Zuid</v>
          </cell>
          <cell r="D526" t="str">
            <v>Ringlijn</v>
          </cell>
        </row>
        <row r="527">
          <cell r="B527">
            <v>303</v>
          </cell>
          <cell r="C527" t="str">
            <v>Zuid</v>
          </cell>
          <cell r="D527" t="str">
            <v>Ringlijn</v>
          </cell>
        </row>
        <row r="528">
          <cell r="B528">
            <v>303</v>
          </cell>
          <cell r="C528" t="str">
            <v>Zuid</v>
          </cell>
          <cell r="D528" t="str">
            <v>Ringlijn</v>
          </cell>
        </row>
        <row r="529">
          <cell r="B529">
            <v>303</v>
          </cell>
          <cell r="C529" t="str">
            <v>Zuid</v>
          </cell>
          <cell r="D529" t="str">
            <v>Ringlijn</v>
          </cell>
        </row>
        <row r="530">
          <cell r="B530">
            <v>303</v>
          </cell>
          <cell r="C530" t="str">
            <v>Zuid</v>
          </cell>
          <cell r="D530" t="str">
            <v>Ringlijn</v>
          </cell>
        </row>
        <row r="531">
          <cell r="B531">
            <v>303</v>
          </cell>
          <cell r="C531" t="str">
            <v>Zuid</v>
          </cell>
          <cell r="D531" t="str">
            <v>Ringlijn</v>
          </cell>
        </row>
        <row r="532">
          <cell r="B532">
            <v>303</v>
          </cell>
          <cell r="C532" t="str">
            <v>Zuid</v>
          </cell>
          <cell r="D532" t="str">
            <v>Ringlijn</v>
          </cell>
        </row>
        <row r="533">
          <cell r="B533">
            <v>303</v>
          </cell>
          <cell r="C533" t="str">
            <v>Zuid</v>
          </cell>
          <cell r="D533" t="str">
            <v>Ringlijn</v>
          </cell>
        </row>
        <row r="534">
          <cell r="B534">
            <v>303</v>
          </cell>
          <cell r="C534" t="str">
            <v>Zuid</v>
          </cell>
          <cell r="D534" t="str">
            <v>Ringlijn</v>
          </cell>
        </row>
        <row r="535">
          <cell r="B535">
            <v>303</v>
          </cell>
          <cell r="C535" t="str">
            <v>Zuid</v>
          </cell>
          <cell r="D535" t="str">
            <v>Ringlijn</v>
          </cell>
        </row>
        <row r="536">
          <cell r="B536">
            <v>303</v>
          </cell>
          <cell r="C536" t="str">
            <v>Zuid</v>
          </cell>
          <cell r="D536" t="str">
            <v>Ringlijn</v>
          </cell>
        </row>
        <row r="537">
          <cell r="B537" t="str">
            <v>303a</v>
          </cell>
          <cell r="C537" t="str">
            <v>Strawinskylaan</v>
          </cell>
          <cell r="D537" t="str">
            <v>Ringlijn</v>
          </cell>
        </row>
        <row r="538">
          <cell r="B538">
            <v>304</v>
          </cell>
          <cell r="C538" t="str">
            <v>Amstelveenseweg</v>
          </cell>
          <cell r="D538" t="str">
            <v>Ringlijn</v>
          </cell>
        </row>
        <row r="539">
          <cell r="B539">
            <v>304</v>
          </cell>
          <cell r="C539" t="str">
            <v>Amstelveenseweg</v>
          </cell>
          <cell r="D539" t="str">
            <v>Ringlijn</v>
          </cell>
        </row>
        <row r="540">
          <cell r="B540">
            <v>304</v>
          </cell>
          <cell r="C540" t="str">
            <v>Amstelveenseweg</v>
          </cell>
          <cell r="D540" t="str">
            <v>Ringlijn</v>
          </cell>
        </row>
        <row r="541">
          <cell r="B541">
            <v>304</v>
          </cell>
          <cell r="C541" t="str">
            <v>Amstelveenseweg</v>
          </cell>
          <cell r="D541" t="str">
            <v>Ringlijn</v>
          </cell>
        </row>
        <row r="542">
          <cell r="B542">
            <v>304</v>
          </cell>
          <cell r="C542" t="str">
            <v>Amstelveenseweg</v>
          </cell>
          <cell r="D542" t="str">
            <v>Ringlijn</v>
          </cell>
        </row>
        <row r="543">
          <cell r="B543">
            <v>304</v>
          </cell>
          <cell r="C543" t="str">
            <v>Amstelveenseweg</v>
          </cell>
          <cell r="D543" t="str">
            <v>Ringlijn</v>
          </cell>
        </row>
        <row r="544">
          <cell r="B544">
            <v>304</v>
          </cell>
          <cell r="C544" t="str">
            <v>Amstelveenseweg</v>
          </cell>
          <cell r="D544" t="str">
            <v>Ringlijn</v>
          </cell>
        </row>
        <row r="545">
          <cell r="B545">
            <v>304</v>
          </cell>
          <cell r="C545" t="str">
            <v>Amstelveenseweg</v>
          </cell>
          <cell r="D545" t="str">
            <v>Ringlijn</v>
          </cell>
        </row>
        <row r="546">
          <cell r="B546">
            <v>304</v>
          </cell>
          <cell r="C546" t="str">
            <v>Amstelveenseweg</v>
          </cell>
          <cell r="D546" t="str">
            <v>Ringlijn</v>
          </cell>
        </row>
        <row r="547">
          <cell r="B547">
            <v>304</v>
          </cell>
          <cell r="C547" t="str">
            <v>Amstelveenseweg</v>
          </cell>
          <cell r="D547" t="str">
            <v>Ringlijn</v>
          </cell>
        </row>
        <row r="548">
          <cell r="B548">
            <v>304</v>
          </cell>
          <cell r="C548" t="str">
            <v>Amstelveenseweg</v>
          </cell>
          <cell r="D548" t="str">
            <v>Ringlijn</v>
          </cell>
        </row>
        <row r="549">
          <cell r="B549">
            <v>304</v>
          </cell>
          <cell r="C549" t="str">
            <v>Amstelveenseweg</v>
          </cell>
          <cell r="D549" t="str">
            <v>Ringlijn</v>
          </cell>
        </row>
        <row r="550">
          <cell r="B550">
            <v>304</v>
          </cell>
          <cell r="C550" t="str">
            <v>Amstelveenseweg</v>
          </cell>
          <cell r="D550" t="str">
            <v>Ringlijn</v>
          </cell>
        </row>
        <row r="551">
          <cell r="B551">
            <v>304</v>
          </cell>
          <cell r="C551" t="str">
            <v>Amstelveenseweg</v>
          </cell>
          <cell r="D551" t="str">
            <v>Ringlijn</v>
          </cell>
        </row>
        <row r="552">
          <cell r="B552">
            <v>304</v>
          </cell>
          <cell r="C552" t="str">
            <v>Amstelveenseweg</v>
          </cell>
          <cell r="D552" t="str">
            <v>Ringlijn</v>
          </cell>
        </row>
        <row r="553">
          <cell r="B553">
            <v>304</v>
          </cell>
          <cell r="C553" t="str">
            <v>Amstelveenseweg</v>
          </cell>
          <cell r="D553" t="str">
            <v>Ringlijn</v>
          </cell>
        </row>
        <row r="554">
          <cell r="B554">
            <v>304</v>
          </cell>
          <cell r="C554" t="str">
            <v>Amstelveenseweg</v>
          </cell>
          <cell r="D554" t="str">
            <v>Ringlijn</v>
          </cell>
        </row>
        <row r="555">
          <cell r="B555">
            <v>304</v>
          </cell>
          <cell r="C555" t="str">
            <v>Amstelveenseweg</v>
          </cell>
          <cell r="D555" t="str">
            <v>Ringlijn</v>
          </cell>
        </row>
        <row r="556">
          <cell r="B556">
            <v>304</v>
          </cell>
          <cell r="C556" t="str">
            <v>Amstelveenseweg</v>
          </cell>
          <cell r="D556" t="str">
            <v>Ringlijn</v>
          </cell>
        </row>
        <row r="557">
          <cell r="B557">
            <v>305</v>
          </cell>
          <cell r="C557" t="str">
            <v>Henk Sneevlietweg</v>
          </cell>
          <cell r="D557" t="str">
            <v>Ringlijn</v>
          </cell>
        </row>
        <row r="558">
          <cell r="B558">
            <v>305</v>
          </cell>
          <cell r="C558" t="str">
            <v>Henk Sneevlietweg</v>
          </cell>
          <cell r="D558" t="str">
            <v>Ringlijn</v>
          </cell>
        </row>
        <row r="559">
          <cell r="B559">
            <v>305</v>
          </cell>
          <cell r="C559" t="str">
            <v>Henk Sneevlietweg</v>
          </cell>
          <cell r="D559" t="str">
            <v>Ringlijn</v>
          </cell>
        </row>
        <row r="560">
          <cell r="B560">
            <v>305</v>
          </cell>
          <cell r="C560" t="str">
            <v>Henk Sneevlietweg</v>
          </cell>
          <cell r="D560" t="str">
            <v>Ringlijn</v>
          </cell>
        </row>
        <row r="561">
          <cell r="B561">
            <v>305</v>
          </cell>
          <cell r="C561" t="str">
            <v>Henk Sneevlietweg</v>
          </cell>
          <cell r="D561" t="str">
            <v>Ringlijn</v>
          </cell>
        </row>
        <row r="562">
          <cell r="B562">
            <v>305</v>
          </cell>
          <cell r="C562" t="str">
            <v>Henk Sneevlietweg</v>
          </cell>
          <cell r="D562" t="str">
            <v>Ringlijn</v>
          </cell>
        </row>
        <row r="563">
          <cell r="B563">
            <v>305</v>
          </cell>
          <cell r="C563" t="str">
            <v>Henk Sneevlietweg</v>
          </cell>
          <cell r="D563" t="str">
            <v>Ringlijn</v>
          </cell>
        </row>
        <row r="564">
          <cell r="B564">
            <v>305</v>
          </cell>
          <cell r="C564" t="str">
            <v>Henk Sneevlietweg</v>
          </cell>
          <cell r="D564" t="str">
            <v>Ringlijn</v>
          </cell>
        </row>
        <row r="565">
          <cell r="B565">
            <v>305</v>
          </cell>
          <cell r="C565" t="str">
            <v>Henk Sneevlietweg</v>
          </cell>
          <cell r="D565" t="str">
            <v>Ringlijn</v>
          </cell>
        </row>
        <row r="566">
          <cell r="B566">
            <v>305</v>
          </cell>
          <cell r="C566" t="str">
            <v>Henk Sneevlietweg</v>
          </cell>
          <cell r="D566" t="str">
            <v>Ringlijn</v>
          </cell>
        </row>
        <row r="567">
          <cell r="B567">
            <v>305</v>
          </cell>
          <cell r="C567" t="str">
            <v>Henk Sneevlietweg</v>
          </cell>
          <cell r="D567" t="str">
            <v>Ringlijn</v>
          </cell>
        </row>
        <row r="568">
          <cell r="B568">
            <v>305</v>
          </cell>
          <cell r="C568" t="str">
            <v>Henk Sneevlietweg</v>
          </cell>
          <cell r="D568" t="str">
            <v>Ringlijn</v>
          </cell>
        </row>
        <row r="569">
          <cell r="B569">
            <v>305</v>
          </cell>
          <cell r="C569" t="str">
            <v>Henk Sneevlietweg</v>
          </cell>
          <cell r="D569" t="str">
            <v>Ringlijn</v>
          </cell>
        </row>
        <row r="570">
          <cell r="B570">
            <v>305</v>
          </cell>
          <cell r="C570" t="str">
            <v>Henk Sneevlietweg</v>
          </cell>
          <cell r="D570" t="str">
            <v>Ringlijn</v>
          </cell>
        </row>
        <row r="571">
          <cell r="B571">
            <v>305</v>
          </cell>
          <cell r="C571" t="str">
            <v>Henk Sneevlietweg</v>
          </cell>
          <cell r="D571" t="str">
            <v>Ringlijn</v>
          </cell>
        </row>
        <row r="572">
          <cell r="B572">
            <v>305</v>
          </cell>
          <cell r="C572" t="str">
            <v>Henk Sneevlietweg</v>
          </cell>
          <cell r="D572" t="str">
            <v>Ringlijn</v>
          </cell>
        </row>
        <row r="573">
          <cell r="B573">
            <v>306</v>
          </cell>
          <cell r="C573" t="str">
            <v>Heemstedestraat</v>
          </cell>
          <cell r="D573" t="str">
            <v>Ringlijn</v>
          </cell>
        </row>
        <row r="574">
          <cell r="B574">
            <v>306</v>
          </cell>
          <cell r="C574" t="str">
            <v>Heemstedestraat</v>
          </cell>
          <cell r="D574" t="str">
            <v>Ringlijn</v>
          </cell>
        </row>
        <row r="575">
          <cell r="B575">
            <v>306</v>
          </cell>
          <cell r="C575" t="str">
            <v>Heemstedestraat</v>
          </cell>
          <cell r="D575" t="str">
            <v>Ringlijn</v>
          </cell>
        </row>
        <row r="576">
          <cell r="B576">
            <v>306</v>
          </cell>
          <cell r="C576" t="str">
            <v>Heemstedestraat</v>
          </cell>
          <cell r="D576" t="str">
            <v>Ringlijn</v>
          </cell>
        </row>
        <row r="577">
          <cell r="B577">
            <v>306</v>
          </cell>
          <cell r="C577" t="str">
            <v>Heemstedestraat</v>
          </cell>
          <cell r="D577" t="str">
            <v>Ringlijn</v>
          </cell>
        </row>
        <row r="578">
          <cell r="B578">
            <v>306</v>
          </cell>
          <cell r="C578" t="str">
            <v>Heemstedestraat</v>
          </cell>
          <cell r="D578" t="str">
            <v>Ringlijn</v>
          </cell>
        </row>
        <row r="579">
          <cell r="B579">
            <v>306</v>
          </cell>
          <cell r="C579" t="str">
            <v>Heemstedestraat</v>
          </cell>
          <cell r="D579" t="str">
            <v>Ringlijn</v>
          </cell>
        </row>
        <row r="580">
          <cell r="B580">
            <v>306</v>
          </cell>
          <cell r="C580" t="str">
            <v>Heemstedestraat</v>
          </cell>
          <cell r="D580" t="str">
            <v>Ringlijn</v>
          </cell>
        </row>
        <row r="581">
          <cell r="B581">
            <v>306</v>
          </cell>
          <cell r="C581" t="str">
            <v>Heemstedestraat</v>
          </cell>
          <cell r="D581" t="str">
            <v>Ringlijn</v>
          </cell>
        </row>
        <row r="582">
          <cell r="B582">
            <v>306</v>
          </cell>
          <cell r="C582" t="str">
            <v>Heemstedestraat</v>
          </cell>
          <cell r="D582" t="str">
            <v>Ringlijn</v>
          </cell>
        </row>
        <row r="583">
          <cell r="B583">
            <v>306</v>
          </cell>
          <cell r="C583" t="str">
            <v>Heemstedestraat</v>
          </cell>
          <cell r="D583" t="str">
            <v>Ringlijn</v>
          </cell>
        </row>
        <row r="584">
          <cell r="B584">
            <v>306</v>
          </cell>
          <cell r="C584" t="str">
            <v>Heemstedestraat</v>
          </cell>
          <cell r="D584" t="str">
            <v>Ringlijn</v>
          </cell>
        </row>
        <row r="585">
          <cell r="B585">
            <v>306</v>
          </cell>
          <cell r="C585" t="str">
            <v>Heemstedestraat</v>
          </cell>
          <cell r="D585" t="str">
            <v>Ringlijn</v>
          </cell>
        </row>
        <row r="586">
          <cell r="B586">
            <v>306</v>
          </cell>
          <cell r="C586" t="str">
            <v>Heemstedestraat</v>
          </cell>
          <cell r="D586" t="str">
            <v>Ringlijn</v>
          </cell>
        </row>
        <row r="587">
          <cell r="B587">
            <v>306</v>
          </cell>
          <cell r="C587" t="str">
            <v>Heemstedestraat</v>
          </cell>
          <cell r="D587" t="str">
            <v>Ringlijn</v>
          </cell>
        </row>
        <row r="588">
          <cell r="B588" t="str">
            <v>306a</v>
          </cell>
          <cell r="C588" t="str">
            <v>Heemstedestraat</v>
          </cell>
          <cell r="D588" t="str">
            <v>Gelijkrichter station</v>
          </cell>
        </row>
        <row r="589">
          <cell r="B589" t="str">
            <v>306b</v>
          </cell>
          <cell r="C589" t="str">
            <v>Postjesweg</v>
          </cell>
          <cell r="D589" t="str">
            <v>Gelijkrichter station</v>
          </cell>
        </row>
        <row r="590">
          <cell r="B590">
            <v>413</v>
          </cell>
          <cell r="C590" t="str">
            <v>Heemstedestraat</v>
          </cell>
          <cell r="D590" t="str">
            <v>Gelijkrichter station</v>
          </cell>
        </row>
        <row r="591">
          <cell r="B591">
            <v>413</v>
          </cell>
          <cell r="C591" t="str">
            <v>Heemstedestraat</v>
          </cell>
          <cell r="D591" t="str">
            <v>Gelijkrichter station</v>
          </cell>
        </row>
        <row r="592">
          <cell r="B592">
            <v>306</v>
          </cell>
          <cell r="C592" t="str">
            <v>Heemstedestraat</v>
          </cell>
          <cell r="D592" t="str">
            <v>Ringlijn</v>
          </cell>
        </row>
        <row r="593">
          <cell r="B593">
            <v>307</v>
          </cell>
          <cell r="C593" t="str">
            <v>Lelylaan</v>
          </cell>
          <cell r="D593" t="str">
            <v>Ringlijn</v>
          </cell>
        </row>
        <row r="594">
          <cell r="B594">
            <v>307</v>
          </cell>
          <cell r="C594" t="str">
            <v>Lelylaan</v>
          </cell>
          <cell r="D594" t="str">
            <v>Ringlijn</v>
          </cell>
        </row>
        <row r="595">
          <cell r="B595">
            <v>307</v>
          </cell>
          <cell r="C595" t="str">
            <v>Lelylaan</v>
          </cell>
          <cell r="D595" t="str">
            <v>Ringlijn</v>
          </cell>
        </row>
        <row r="596">
          <cell r="B596">
            <v>307</v>
          </cell>
          <cell r="C596" t="str">
            <v>Lelylaan</v>
          </cell>
          <cell r="D596" t="str">
            <v>Ringlijn</v>
          </cell>
        </row>
        <row r="597">
          <cell r="B597">
            <v>307</v>
          </cell>
          <cell r="C597" t="str">
            <v>Lelylaan</v>
          </cell>
          <cell r="D597" t="str">
            <v>Ringlijn</v>
          </cell>
        </row>
        <row r="598">
          <cell r="B598">
            <v>307</v>
          </cell>
          <cell r="C598" t="str">
            <v>Lelylaan</v>
          </cell>
          <cell r="D598" t="str">
            <v>Ringlijn</v>
          </cell>
        </row>
        <row r="599">
          <cell r="B599">
            <v>307</v>
          </cell>
          <cell r="C599" t="str">
            <v>Lelylaan</v>
          </cell>
          <cell r="D599" t="str">
            <v>Ringlijn</v>
          </cell>
        </row>
        <row r="600">
          <cell r="B600">
            <v>307</v>
          </cell>
          <cell r="C600" t="str">
            <v>Lelylaan</v>
          </cell>
          <cell r="D600" t="str">
            <v>Ringlijn</v>
          </cell>
        </row>
        <row r="601">
          <cell r="B601">
            <v>307</v>
          </cell>
          <cell r="C601" t="str">
            <v>Lelylaan</v>
          </cell>
          <cell r="D601" t="str">
            <v>Ringlijn</v>
          </cell>
        </row>
        <row r="602">
          <cell r="B602">
            <v>307</v>
          </cell>
          <cell r="C602" t="str">
            <v>Lelylaan</v>
          </cell>
          <cell r="D602" t="str">
            <v>Ringlijn</v>
          </cell>
        </row>
        <row r="603">
          <cell r="B603">
            <v>307</v>
          </cell>
          <cell r="C603" t="str">
            <v>Lelylaan</v>
          </cell>
          <cell r="D603" t="str">
            <v>Ringlijn</v>
          </cell>
        </row>
        <row r="604">
          <cell r="B604">
            <v>307</v>
          </cell>
          <cell r="C604" t="str">
            <v>Lelylaan</v>
          </cell>
          <cell r="D604" t="str">
            <v>Ringlijn</v>
          </cell>
        </row>
        <row r="605">
          <cell r="B605">
            <v>307</v>
          </cell>
          <cell r="C605" t="str">
            <v>Lelylaan</v>
          </cell>
          <cell r="D605" t="str">
            <v>Ringlijn</v>
          </cell>
        </row>
        <row r="606">
          <cell r="B606">
            <v>307</v>
          </cell>
          <cell r="C606" t="str">
            <v>Lelylaan</v>
          </cell>
          <cell r="D606" t="str">
            <v>Ringlijn</v>
          </cell>
        </row>
        <row r="607">
          <cell r="B607">
            <v>307</v>
          </cell>
          <cell r="C607" t="str">
            <v>Lelylaan</v>
          </cell>
          <cell r="D607" t="str">
            <v>Ringlijn</v>
          </cell>
        </row>
        <row r="608">
          <cell r="B608">
            <v>307</v>
          </cell>
          <cell r="C608" t="str">
            <v>Lelylaan</v>
          </cell>
          <cell r="D608" t="str">
            <v>Ringlijn</v>
          </cell>
        </row>
        <row r="609">
          <cell r="B609">
            <v>307</v>
          </cell>
          <cell r="C609" t="str">
            <v>Lelylaan</v>
          </cell>
          <cell r="D609" t="str">
            <v>Ringlijn</v>
          </cell>
        </row>
        <row r="610">
          <cell r="B610">
            <v>307</v>
          </cell>
          <cell r="C610" t="str">
            <v>Lelylaan</v>
          </cell>
          <cell r="D610" t="str">
            <v>Ringlijn</v>
          </cell>
        </row>
        <row r="611">
          <cell r="B611">
            <v>307</v>
          </cell>
          <cell r="C611" t="str">
            <v>Lelylaan</v>
          </cell>
          <cell r="D611" t="str">
            <v>Ringlijn</v>
          </cell>
        </row>
        <row r="612">
          <cell r="B612">
            <v>307</v>
          </cell>
          <cell r="C612" t="str">
            <v>Lelylaan</v>
          </cell>
          <cell r="D612" t="str">
            <v>Ringlijn</v>
          </cell>
        </row>
        <row r="613">
          <cell r="B613">
            <v>307</v>
          </cell>
          <cell r="C613" t="str">
            <v>Lelylaan</v>
          </cell>
          <cell r="D613" t="str">
            <v>Ringlijn</v>
          </cell>
        </row>
        <row r="614">
          <cell r="B614">
            <v>307</v>
          </cell>
          <cell r="C614" t="str">
            <v>Lelylaan</v>
          </cell>
          <cell r="D614" t="str">
            <v>Ringlijn</v>
          </cell>
        </row>
        <row r="615">
          <cell r="B615">
            <v>307</v>
          </cell>
          <cell r="C615" t="str">
            <v>Lelylaan</v>
          </cell>
          <cell r="D615" t="str">
            <v>Ringlijn</v>
          </cell>
        </row>
        <row r="616">
          <cell r="B616">
            <v>307</v>
          </cell>
          <cell r="C616" t="str">
            <v>Lelylaan</v>
          </cell>
          <cell r="D616" t="str">
            <v>Ringlijn</v>
          </cell>
        </row>
        <row r="617">
          <cell r="B617">
            <v>308</v>
          </cell>
          <cell r="C617" t="str">
            <v>Postjesweg</v>
          </cell>
          <cell r="D617" t="str">
            <v>Ringlijn</v>
          </cell>
        </row>
        <row r="618">
          <cell r="B618">
            <v>308</v>
          </cell>
          <cell r="C618" t="str">
            <v>Postjesweg</v>
          </cell>
          <cell r="D618" t="str">
            <v>Ringlijn</v>
          </cell>
        </row>
        <row r="619">
          <cell r="B619">
            <v>308</v>
          </cell>
          <cell r="C619" t="str">
            <v>Postjesweg</v>
          </cell>
          <cell r="D619" t="str">
            <v>Ringlijn</v>
          </cell>
        </row>
        <row r="620">
          <cell r="B620">
            <v>308</v>
          </cell>
          <cell r="C620" t="str">
            <v>Postjesweg</v>
          </cell>
          <cell r="D620" t="str">
            <v>Ringlijn</v>
          </cell>
        </row>
        <row r="621">
          <cell r="B621">
            <v>308</v>
          </cell>
          <cell r="C621" t="str">
            <v>Postjesweg</v>
          </cell>
          <cell r="D621" t="str">
            <v>Ringlijn</v>
          </cell>
        </row>
        <row r="622">
          <cell r="B622">
            <v>308</v>
          </cell>
          <cell r="C622" t="str">
            <v>Postjesweg</v>
          </cell>
          <cell r="D622" t="str">
            <v>Ringlijn</v>
          </cell>
        </row>
        <row r="623">
          <cell r="B623">
            <v>308</v>
          </cell>
          <cell r="C623" t="str">
            <v>Postjesweg</v>
          </cell>
          <cell r="D623" t="str">
            <v>Ringlijn</v>
          </cell>
        </row>
        <row r="624">
          <cell r="B624">
            <v>308</v>
          </cell>
          <cell r="C624" t="str">
            <v>Postjesweg</v>
          </cell>
          <cell r="D624" t="str">
            <v>Ringlijn</v>
          </cell>
        </row>
        <row r="625">
          <cell r="B625">
            <v>308</v>
          </cell>
          <cell r="C625" t="str">
            <v>Postjesweg</v>
          </cell>
          <cell r="D625" t="str">
            <v>Ringlijn</v>
          </cell>
        </row>
        <row r="626">
          <cell r="B626">
            <v>308</v>
          </cell>
          <cell r="C626" t="str">
            <v>Postjesweg</v>
          </cell>
          <cell r="D626" t="str">
            <v>Ringlijn</v>
          </cell>
        </row>
        <row r="627">
          <cell r="B627">
            <v>414</v>
          </cell>
          <cell r="C627" t="str">
            <v>Postjesweg</v>
          </cell>
          <cell r="D627" t="str">
            <v>Gelijkrichter station</v>
          </cell>
        </row>
        <row r="628">
          <cell r="B628">
            <v>414</v>
          </cell>
          <cell r="C628" t="str">
            <v>Postjesweg</v>
          </cell>
          <cell r="D628" t="str">
            <v>Gelijkrichter station</v>
          </cell>
        </row>
        <row r="629">
          <cell r="B629">
            <v>308</v>
          </cell>
          <cell r="C629" t="str">
            <v>Postjesweg</v>
          </cell>
          <cell r="D629" t="str">
            <v>Ringlijn</v>
          </cell>
        </row>
        <row r="630">
          <cell r="B630">
            <v>308</v>
          </cell>
          <cell r="C630" t="str">
            <v>Postjesweg</v>
          </cell>
          <cell r="D630" t="str">
            <v>Ringlijn</v>
          </cell>
        </row>
        <row r="631">
          <cell r="B631">
            <v>308</v>
          </cell>
          <cell r="C631" t="str">
            <v>Postjesweg</v>
          </cell>
          <cell r="D631" t="str">
            <v>Ringlijn</v>
          </cell>
        </row>
        <row r="632">
          <cell r="B632">
            <v>308</v>
          </cell>
          <cell r="C632" t="str">
            <v>Postjesweg</v>
          </cell>
          <cell r="D632" t="str">
            <v>Ringlijn</v>
          </cell>
        </row>
        <row r="633">
          <cell r="B633">
            <v>309</v>
          </cell>
          <cell r="C633" t="str">
            <v>Jan van Galenstraat</v>
          </cell>
          <cell r="D633" t="str">
            <v>Ringlijn</v>
          </cell>
        </row>
        <row r="634">
          <cell r="B634">
            <v>309</v>
          </cell>
          <cell r="C634" t="str">
            <v>Jan van Galenstraat</v>
          </cell>
          <cell r="D634" t="str">
            <v>Ringlijn</v>
          </cell>
        </row>
        <row r="635">
          <cell r="B635">
            <v>309</v>
          </cell>
          <cell r="C635" t="str">
            <v>Jan van Galenstraat</v>
          </cell>
          <cell r="D635" t="str">
            <v>Ringlijn</v>
          </cell>
        </row>
        <row r="636">
          <cell r="B636">
            <v>309</v>
          </cell>
          <cell r="C636" t="str">
            <v>Jan van Galenstraat</v>
          </cell>
          <cell r="D636" t="str">
            <v>Ringlijn</v>
          </cell>
        </row>
        <row r="637">
          <cell r="B637">
            <v>309</v>
          </cell>
          <cell r="C637" t="str">
            <v>Jan van Galenstraat</v>
          </cell>
          <cell r="D637" t="str">
            <v>Ringlijn</v>
          </cell>
        </row>
        <row r="638">
          <cell r="B638">
            <v>309</v>
          </cell>
          <cell r="C638" t="str">
            <v>Jan van Galenstraat</v>
          </cell>
          <cell r="D638" t="str">
            <v>Ringlijn</v>
          </cell>
        </row>
        <row r="639">
          <cell r="B639">
            <v>309</v>
          </cell>
          <cell r="C639" t="str">
            <v>Jan van Galenstraat</v>
          </cell>
          <cell r="D639" t="str">
            <v>Ringlijn</v>
          </cell>
        </row>
        <row r="640">
          <cell r="B640">
            <v>309</v>
          </cell>
          <cell r="C640" t="str">
            <v>Jan van Galenstraat</v>
          </cell>
          <cell r="D640" t="str">
            <v>Ringlijn</v>
          </cell>
        </row>
        <row r="641">
          <cell r="B641">
            <v>309</v>
          </cell>
          <cell r="C641" t="str">
            <v>Jan van Galenstraat</v>
          </cell>
          <cell r="D641" t="str">
            <v>Ringlijn</v>
          </cell>
        </row>
        <row r="642">
          <cell r="B642">
            <v>309</v>
          </cell>
          <cell r="C642" t="str">
            <v>Jan van Galenstraat</v>
          </cell>
          <cell r="D642" t="str">
            <v>Ringlijn</v>
          </cell>
        </row>
        <row r="643">
          <cell r="B643">
            <v>309</v>
          </cell>
          <cell r="C643" t="str">
            <v>Jan van Galenstraat</v>
          </cell>
          <cell r="D643" t="str">
            <v>Ringlijn</v>
          </cell>
        </row>
        <row r="644">
          <cell r="B644">
            <v>309</v>
          </cell>
          <cell r="C644" t="str">
            <v>Jan van Galenstraat</v>
          </cell>
          <cell r="D644" t="str">
            <v>Ringlijn</v>
          </cell>
        </row>
        <row r="645">
          <cell r="B645">
            <v>309</v>
          </cell>
          <cell r="C645" t="str">
            <v>Jan van Galenstraat</v>
          </cell>
          <cell r="D645" t="str">
            <v>Ringlijn</v>
          </cell>
        </row>
        <row r="646">
          <cell r="B646">
            <v>309</v>
          </cell>
          <cell r="C646" t="str">
            <v>Jan van Galenstraat</v>
          </cell>
          <cell r="D646" t="str">
            <v>Ringlijn</v>
          </cell>
        </row>
        <row r="647">
          <cell r="B647">
            <v>310</v>
          </cell>
          <cell r="C647" t="str">
            <v>De Vluchtlaan</v>
          </cell>
          <cell r="D647" t="str">
            <v>Ringlijn</v>
          </cell>
        </row>
        <row r="648">
          <cell r="B648">
            <v>310</v>
          </cell>
          <cell r="C648" t="str">
            <v>De Vluchtlaan</v>
          </cell>
          <cell r="D648" t="str">
            <v>Ringlijn</v>
          </cell>
        </row>
        <row r="649">
          <cell r="B649">
            <v>310</v>
          </cell>
          <cell r="C649" t="str">
            <v>De Vluchtlaan</v>
          </cell>
          <cell r="D649" t="str">
            <v>Ringlijn</v>
          </cell>
        </row>
        <row r="650">
          <cell r="B650">
            <v>310</v>
          </cell>
          <cell r="C650" t="str">
            <v>De Vluchtlaan</v>
          </cell>
          <cell r="D650" t="str">
            <v>Ringlijn</v>
          </cell>
        </row>
        <row r="651">
          <cell r="B651">
            <v>310</v>
          </cell>
          <cell r="C651" t="str">
            <v>De Vluchtlaan</v>
          </cell>
          <cell r="D651" t="str">
            <v>Ringlijn</v>
          </cell>
        </row>
        <row r="652">
          <cell r="B652">
            <v>310</v>
          </cell>
          <cell r="C652" t="str">
            <v>De Vluchtlaan</v>
          </cell>
          <cell r="D652" t="str">
            <v>Ringlijn</v>
          </cell>
        </row>
        <row r="653">
          <cell r="B653">
            <v>310</v>
          </cell>
          <cell r="C653" t="str">
            <v>De Vluchtlaan</v>
          </cell>
          <cell r="D653" t="str">
            <v>Ringlijn</v>
          </cell>
        </row>
        <row r="654">
          <cell r="B654">
            <v>310</v>
          </cell>
          <cell r="C654" t="str">
            <v>De Vluchtlaan</v>
          </cell>
          <cell r="D654" t="str">
            <v>Ringlijn</v>
          </cell>
        </row>
        <row r="655">
          <cell r="B655">
            <v>310</v>
          </cell>
          <cell r="C655" t="str">
            <v>De Vluchtlaan</v>
          </cell>
          <cell r="D655" t="str">
            <v>Ringlijn</v>
          </cell>
        </row>
        <row r="656">
          <cell r="B656">
            <v>310</v>
          </cell>
          <cell r="C656" t="str">
            <v>De Vluchtlaan</v>
          </cell>
          <cell r="D656" t="str">
            <v>Ringlijn</v>
          </cell>
        </row>
        <row r="657">
          <cell r="B657">
            <v>310</v>
          </cell>
          <cell r="C657" t="str">
            <v>De Vluchtlaan</v>
          </cell>
          <cell r="D657" t="str">
            <v>Ringlijn</v>
          </cell>
        </row>
        <row r="658">
          <cell r="B658">
            <v>310</v>
          </cell>
          <cell r="C658" t="str">
            <v>De Vluchtlaan</v>
          </cell>
          <cell r="D658" t="str">
            <v>Ringlijn</v>
          </cell>
        </row>
        <row r="659">
          <cell r="B659">
            <v>310</v>
          </cell>
          <cell r="C659" t="str">
            <v>De Vluchtlaan</v>
          </cell>
          <cell r="D659" t="str">
            <v>Ringlijn</v>
          </cell>
        </row>
        <row r="660">
          <cell r="B660">
            <v>310</v>
          </cell>
          <cell r="C660" t="str">
            <v>De Vluchtlaan</v>
          </cell>
          <cell r="D660" t="str">
            <v>Ringlijn</v>
          </cell>
        </row>
        <row r="661">
          <cell r="B661">
            <v>310</v>
          </cell>
          <cell r="C661" t="str">
            <v>De Vluchtlaan</v>
          </cell>
          <cell r="D661" t="str">
            <v>Ringlijn</v>
          </cell>
        </row>
        <row r="662">
          <cell r="B662">
            <v>311</v>
          </cell>
          <cell r="C662" t="str">
            <v>Sloterdijk</v>
          </cell>
          <cell r="D662" t="str">
            <v>Ringlijn</v>
          </cell>
        </row>
        <row r="663">
          <cell r="B663">
            <v>311</v>
          </cell>
          <cell r="C663" t="str">
            <v>Sloterdijk</v>
          </cell>
          <cell r="D663" t="str">
            <v>Ringlijn</v>
          </cell>
        </row>
        <row r="664">
          <cell r="B664">
            <v>311</v>
          </cell>
          <cell r="C664" t="str">
            <v>Sloterdijk</v>
          </cell>
          <cell r="D664" t="str">
            <v>Ringlijn</v>
          </cell>
        </row>
        <row r="665">
          <cell r="B665">
            <v>311</v>
          </cell>
          <cell r="C665" t="str">
            <v>Sloterdijk</v>
          </cell>
          <cell r="D665" t="str">
            <v>Ringlijn</v>
          </cell>
        </row>
        <row r="666">
          <cell r="B666">
            <v>311</v>
          </cell>
          <cell r="C666" t="str">
            <v>Sloterdijk</v>
          </cell>
          <cell r="D666" t="str">
            <v>Ringlijn</v>
          </cell>
        </row>
        <row r="667">
          <cell r="B667">
            <v>311</v>
          </cell>
          <cell r="C667" t="str">
            <v>Sloterdijk</v>
          </cell>
          <cell r="D667" t="str">
            <v>Ringlijn</v>
          </cell>
        </row>
        <row r="668">
          <cell r="B668">
            <v>311</v>
          </cell>
          <cell r="C668" t="str">
            <v>Sloterdijk</v>
          </cell>
          <cell r="D668" t="str">
            <v>Ringlijn</v>
          </cell>
        </row>
        <row r="669">
          <cell r="B669">
            <v>311</v>
          </cell>
          <cell r="C669" t="str">
            <v>Sloterdijk</v>
          </cell>
          <cell r="D669" t="str">
            <v>Ringlijn</v>
          </cell>
        </row>
        <row r="670">
          <cell r="B670">
            <v>311</v>
          </cell>
          <cell r="C670" t="str">
            <v>Sloterdijk</v>
          </cell>
          <cell r="D670" t="str">
            <v>Ringlijn</v>
          </cell>
        </row>
        <row r="671">
          <cell r="B671">
            <v>311</v>
          </cell>
          <cell r="C671" t="str">
            <v>Sloterdijk</v>
          </cell>
          <cell r="D671" t="str">
            <v>Ringlijn</v>
          </cell>
        </row>
        <row r="672">
          <cell r="B672">
            <v>311</v>
          </cell>
          <cell r="C672" t="str">
            <v>Sloterdijk</v>
          </cell>
          <cell r="D672" t="str">
            <v>Ringlijn</v>
          </cell>
        </row>
        <row r="673">
          <cell r="B673">
            <v>311</v>
          </cell>
          <cell r="C673" t="str">
            <v>Sloterdijk</v>
          </cell>
          <cell r="D673" t="str">
            <v>Ringlijn</v>
          </cell>
        </row>
        <row r="674">
          <cell r="B674">
            <v>311</v>
          </cell>
          <cell r="C674" t="str">
            <v>Sloterdijk</v>
          </cell>
          <cell r="D674" t="str">
            <v>Ringlijn</v>
          </cell>
        </row>
        <row r="675">
          <cell r="B675">
            <v>311</v>
          </cell>
          <cell r="C675" t="str">
            <v>Sloterdijk</v>
          </cell>
          <cell r="D675" t="str">
            <v>Ringlijn</v>
          </cell>
        </row>
        <row r="676">
          <cell r="B676" t="str">
            <v>311a</v>
          </cell>
          <cell r="C676" t="str">
            <v>Carrascoplein</v>
          </cell>
          <cell r="D676" t="str">
            <v>Ringlijn</v>
          </cell>
        </row>
        <row r="677">
          <cell r="B677">
            <v>312</v>
          </cell>
          <cell r="C677" t="str">
            <v>Isolatorweg</v>
          </cell>
          <cell r="D677" t="str">
            <v>Ringlijn</v>
          </cell>
        </row>
        <row r="678">
          <cell r="B678">
            <v>312</v>
          </cell>
          <cell r="C678" t="str">
            <v>Isolatorweg</v>
          </cell>
          <cell r="D678" t="str">
            <v>Ringlijn</v>
          </cell>
        </row>
        <row r="679">
          <cell r="B679">
            <v>312</v>
          </cell>
          <cell r="C679" t="str">
            <v>Isolatorweg</v>
          </cell>
          <cell r="D679" t="str">
            <v>Ringlijn</v>
          </cell>
        </row>
        <row r="680">
          <cell r="B680">
            <v>312</v>
          </cell>
          <cell r="C680" t="str">
            <v>Isolatorweg</v>
          </cell>
          <cell r="D680" t="str">
            <v>Ringlijn</v>
          </cell>
        </row>
        <row r="681">
          <cell r="B681">
            <v>312</v>
          </cell>
          <cell r="C681" t="str">
            <v>Isolatorweg</v>
          </cell>
          <cell r="D681" t="str">
            <v>Ringlijn</v>
          </cell>
        </row>
        <row r="682">
          <cell r="B682">
            <v>312</v>
          </cell>
          <cell r="C682" t="str">
            <v>Isolatorweg</v>
          </cell>
          <cell r="D682" t="str">
            <v>Ringlijn</v>
          </cell>
        </row>
        <row r="683">
          <cell r="B683">
            <v>312</v>
          </cell>
          <cell r="C683" t="str">
            <v>Isolatorweg</v>
          </cell>
          <cell r="D683" t="str">
            <v>Ringlijn</v>
          </cell>
        </row>
        <row r="684">
          <cell r="B684">
            <v>312</v>
          </cell>
          <cell r="C684" t="str">
            <v>Isolatorweg</v>
          </cell>
          <cell r="D684" t="str">
            <v>Ringlijn</v>
          </cell>
        </row>
        <row r="685">
          <cell r="B685">
            <v>312</v>
          </cell>
          <cell r="C685" t="str">
            <v>Isolatorweg</v>
          </cell>
          <cell r="D685" t="str">
            <v>Ringlijn</v>
          </cell>
        </row>
        <row r="686">
          <cell r="B686">
            <v>312</v>
          </cell>
          <cell r="C686" t="str">
            <v>Isolatorweg</v>
          </cell>
          <cell r="D686" t="str">
            <v>Ringlijn</v>
          </cell>
        </row>
        <row r="687">
          <cell r="B687">
            <v>312</v>
          </cell>
          <cell r="C687" t="str">
            <v>Isolatorweg</v>
          </cell>
          <cell r="D687" t="str">
            <v>Ringlijn</v>
          </cell>
        </row>
        <row r="688">
          <cell r="B688">
            <v>312</v>
          </cell>
          <cell r="C688" t="str">
            <v>Isolatorweg</v>
          </cell>
          <cell r="D688" t="str">
            <v>Ringlijn</v>
          </cell>
        </row>
        <row r="689">
          <cell r="B689">
            <v>312</v>
          </cell>
          <cell r="C689" t="str">
            <v>Isolatorweg</v>
          </cell>
          <cell r="D689" t="str">
            <v>Ringlijn</v>
          </cell>
        </row>
        <row r="690">
          <cell r="B690">
            <v>1001</v>
          </cell>
          <cell r="C690" t="str">
            <v>Bim Huis</v>
          </cell>
          <cell r="D690" t="str">
            <v>Ijtram</v>
          </cell>
        </row>
        <row r="691">
          <cell r="B691">
            <v>1001</v>
          </cell>
          <cell r="C691" t="str">
            <v>Bim Huis</v>
          </cell>
          <cell r="D691" t="str">
            <v>Ijtram</v>
          </cell>
        </row>
        <row r="692">
          <cell r="B692">
            <v>1001</v>
          </cell>
          <cell r="C692" t="str">
            <v>Bim Huis</v>
          </cell>
          <cell r="D692" t="str">
            <v>Ijtram</v>
          </cell>
        </row>
        <row r="693">
          <cell r="B693">
            <v>1001</v>
          </cell>
          <cell r="C693" t="str">
            <v>Bim Huis</v>
          </cell>
          <cell r="D693" t="str">
            <v>Ijtram</v>
          </cell>
        </row>
        <row r="694">
          <cell r="B694">
            <v>1002</v>
          </cell>
          <cell r="C694" t="str">
            <v>Rietlandpark</v>
          </cell>
          <cell r="D694" t="str">
            <v>Ijtram</v>
          </cell>
        </row>
        <row r="695">
          <cell r="B695">
            <v>1002</v>
          </cell>
          <cell r="C695" t="str">
            <v>Rietlandpark</v>
          </cell>
          <cell r="D695" t="str">
            <v>Ijtram</v>
          </cell>
        </row>
        <row r="696">
          <cell r="B696">
            <v>1002</v>
          </cell>
          <cell r="C696" t="str">
            <v>Rietlandpark</v>
          </cell>
          <cell r="D696" t="str">
            <v>Ijtram</v>
          </cell>
        </row>
        <row r="697">
          <cell r="B697">
            <v>1002</v>
          </cell>
          <cell r="C697" t="str">
            <v>Rietlandpark</v>
          </cell>
          <cell r="D697" t="str">
            <v>Ijtram</v>
          </cell>
        </row>
        <row r="698">
          <cell r="B698">
            <v>1002</v>
          </cell>
          <cell r="C698" t="str">
            <v>Rietlandpark</v>
          </cell>
          <cell r="D698" t="str">
            <v>Ijtram</v>
          </cell>
        </row>
        <row r="699">
          <cell r="B699">
            <v>1002</v>
          </cell>
          <cell r="C699" t="str">
            <v>Rietlandpark</v>
          </cell>
          <cell r="D699" t="str">
            <v>Ijtram</v>
          </cell>
        </row>
        <row r="700">
          <cell r="B700">
            <v>1002</v>
          </cell>
          <cell r="C700" t="str">
            <v>Rietlandpark</v>
          </cell>
          <cell r="D700" t="str">
            <v>Ijtram</v>
          </cell>
        </row>
        <row r="701">
          <cell r="B701">
            <v>1002</v>
          </cell>
          <cell r="C701" t="str">
            <v>Rietlandpark</v>
          </cell>
          <cell r="D701" t="str">
            <v>Ijtram</v>
          </cell>
        </row>
        <row r="702">
          <cell r="B702">
            <v>1002</v>
          </cell>
          <cell r="C702" t="str">
            <v>Rietlandpark</v>
          </cell>
          <cell r="D702" t="str">
            <v>Ijtram</v>
          </cell>
        </row>
        <row r="703">
          <cell r="B703">
            <v>1002</v>
          </cell>
          <cell r="C703" t="str">
            <v>Rietlandpark</v>
          </cell>
          <cell r="D703" t="str">
            <v>Ijtram</v>
          </cell>
        </row>
        <row r="704">
          <cell r="B704">
            <v>1002</v>
          </cell>
          <cell r="C704" t="str">
            <v>Rietlandpark</v>
          </cell>
          <cell r="D704" t="str">
            <v>Ijtram</v>
          </cell>
        </row>
        <row r="705">
          <cell r="B705">
            <v>1002</v>
          </cell>
          <cell r="C705" t="str">
            <v>Rietlandpark</v>
          </cell>
          <cell r="D705" t="str">
            <v>Ijtram</v>
          </cell>
        </row>
        <row r="706">
          <cell r="B706">
            <v>1002</v>
          </cell>
          <cell r="C706" t="str">
            <v>Rietlandpark</v>
          </cell>
          <cell r="D706" t="str">
            <v>Ijtram</v>
          </cell>
        </row>
        <row r="707">
          <cell r="B707">
            <v>1002</v>
          </cell>
          <cell r="C707" t="str">
            <v>Rietlandpark</v>
          </cell>
          <cell r="D707" t="str">
            <v>Ijtram</v>
          </cell>
        </row>
        <row r="708">
          <cell r="B708">
            <v>1002</v>
          </cell>
          <cell r="C708" t="str">
            <v>Rietlandpark</v>
          </cell>
          <cell r="D708" t="str">
            <v>Ijtram</v>
          </cell>
        </row>
        <row r="709">
          <cell r="B709">
            <v>1002</v>
          </cell>
          <cell r="C709" t="str">
            <v>Rietlandpark</v>
          </cell>
          <cell r="D709" t="str">
            <v>Ijtram</v>
          </cell>
        </row>
        <row r="710">
          <cell r="B710">
            <v>1002</v>
          </cell>
          <cell r="C710" t="str">
            <v>Rietlandpark</v>
          </cell>
          <cell r="D710" t="str">
            <v>Ijtram</v>
          </cell>
        </row>
        <row r="711">
          <cell r="B711">
            <v>1002</v>
          </cell>
          <cell r="C711" t="str">
            <v>Rietlandpark</v>
          </cell>
          <cell r="D711" t="str">
            <v>Ijtram</v>
          </cell>
        </row>
        <row r="712">
          <cell r="B712">
            <v>1002</v>
          </cell>
          <cell r="C712" t="str">
            <v>Rietlandpark</v>
          </cell>
          <cell r="D712" t="str">
            <v>Ijtram</v>
          </cell>
        </row>
        <row r="713">
          <cell r="B713">
            <v>1002</v>
          </cell>
          <cell r="C713" t="str">
            <v>Rietlandpark</v>
          </cell>
          <cell r="D713" t="str">
            <v>Ijtram</v>
          </cell>
        </row>
        <row r="714">
          <cell r="B714">
            <v>1002</v>
          </cell>
          <cell r="C714" t="str">
            <v>Rietlandpark</v>
          </cell>
          <cell r="D714" t="str">
            <v>Ijtram</v>
          </cell>
        </row>
        <row r="715">
          <cell r="B715">
            <v>1002</v>
          </cell>
          <cell r="C715" t="str">
            <v>Rietlandpark</v>
          </cell>
          <cell r="D715" t="str">
            <v>Ijtram</v>
          </cell>
        </row>
        <row r="716">
          <cell r="B716">
            <v>1002</v>
          </cell>
          <cell r="C716" t="str">
            <v>Rietlandpark</v>
          </cell>
          <cell r="D716" t="str">
            <v>Ijtram</v>
          </cell>
        </row>
        <row r="717">
          <cell r="B717">
            <v>1002</v>
          </cell>
          <cell r="C717" t="str">
            <v>Rietlandpark</v>
          </cell>
          <cell r="D717" t="str">
            <v>Ijtram</v>
          </cell>
        </row>
        <row r="718">
          <cell r="B718">
            <v>1002</v>
          </cell>
          <cell r="C718" t="str">
            <v>Rietlandpark</v>
          </cell>
          <cell r="D718" t="str">
            <v>Ijtram</v>
          </cell>
        </row>
        <row r="719">
          <cell r="B719">
            <v>1002</v>
          </cell>
          <cell r="C719" t="str">
            <v>Rietlandpark</v>
          </cell>
          <cell r="D719" t="str">
            <v>Ijtram</v>
          </cell>
        </row>
        <row r="720">
          <cell r="B720">
            <v>1002</v>
          </cell>
          <cell r="C720" t="str">
            <v>Rietlandpark</v>
          </cell>
          <cell r="D720" t="str">
            <v>Ijtram</v>
          </cell>
        </row>
        <row r="721">
          <cell r="B721">
            <v>1002</v>
          </cell>
          <cell r="C721" t="str">
            <v>Rietlandpark</v>
          </cell>
          <cell r="D721" t="str">
            <v>Ijtram</v>
          </cell>
        </row>
        <row r="722">
          <cell r="B722">
            <v>1002</v>
          </cell>
          <cell r="C722" t="str">
            <v>Rietlandpark</v>
          </cell>
          <cell r="D722" t="str">
            <v>Ijtram</v>
          </cell>
        </row>
        <row r="723">
          <cell r="B723">
            <v>1002</v>
          </cell>
          <cell r="C723" t="str">
            <v>Rietlandpark</v>
          </cell>
          <cell r="D723" t="str">
            <v>Ijtram</v>
          </cell>
        </row>
        <row r="724">
          <cell r="B724">
            <v>1002</v>
          </cell>
          <cell r="C724" t="str">
            <v>Rietlandpark</v>
          </cell>
          <cell r="D724" t="str">
            <v>Ijtram</v>
          </cell>
        </row>
        <row r="725">
          <cell r="B725">
            <v>1002</v>
          </cell>
          <cell r="C725" t="str">
            <v>Rietlandpark</v>
          </cell>
          <cell r="D725" t="str">
            <v>Ijtram</v>
          </cell>
        </row>
        <row r="726">
          <cell r="B726">
            <v>1002</v>
          </cell>
          <cell r="C726" t="str">
            <v>Rietlandpark</v>
          </cell>
          <cell r="D726" t="str">
            <v>Ijtram</v>
          </cell>
        </row>
        <row r="727">
          <cell r="B727">
            <v>1002</v>
          </cell>
          <cell r="C727" t="str">
            <v>Rietlandpark</v>
          </cell>
          <cell r="D727" t="str">
            <v>Ijtram</v>
          </cell>
        </row>
        <row r="728">
          <cell r="B728">
            <v>1002</v>
          </cell>
          <cell r="C728" t="str">
            <v>Rietlandpark</v>
          </cell>
          <cell r="D728" t="str">
            <v>Ijtram</v>
          </cell>
        </row>
        <row r="729">
          <cell r="B729">
            <v>1002</v>
          </cell>
          <cell r="C729" t="str">
            <v>Rietlandpark</v>
          </cell>
          <cell r="D729" t="str">
            <v>Ijtram</v>
          </cell>
        </row>
        <row r="730">
          <cell r="B730">
            <v>402</v>
          </cell>
          <cell r="C730" t="str">
            <v>Spaklerweg</v>
          </cell>
          <cell r="D730" t="str">
            <v>Gelijkrichter station</v>
          </cell>
        </row>
        <row r="731">
          <cell r="B731">
            <v>402</v>
          </cell>
          <cell r="C731" t="str">
            <v>Spaklerweg</v>
          </cell>
          <cell r="D731" t="str">
            <v>Gelijkrichter station</v>
          </cell>
        </row>
        <row r="732">
          <cell r="B732">
            <v>402</v>
          </cell>
          <cell r="C732" t="str">
            <v>Spaklerweg</v>
          </cell>
          <cell r="D732" t="str">
            <v>Gelijkrichter station</v>
          </cell>
        </row>
        <row r="733">
          <cell r="B733">
            <v>402</v>
          </cell>
          <cell r="C733" t="str">
            <v>Spaklerweg</v>
          </cell>
          <cell r="D733" t="str">
            <v>Gelijkrichter station</v>
          </cell>
        </row>
        <row r="734">
          <cell r="B734">
            <v>402</v>
          </cell>
          <cell r="C734" t="str">
            <v>Spaklerweg</v>
          </cell>
          <cell r="D734" t="str">
            <v>Gelijkrichter station</v>
          </cell>
        </row>
        <row r="735">
          <cell r="B735">
            <v>402</v>
          </cell>
          <cell r="C735" t="str">
            <v>Spaklerweg</v>
          </cell>
          <cell r="D735" t="str">
            <v>Gelijkrichter station</v>
          </cell>
        </row>
        <row r="736">
          <cell r="B736">
            <v>402</v>
          </cell>
          <cell r="C736" t="str">
            <v>Spaklerweg</v>
          </cell>
          <cell r="D736" t="str">
            <v>Gelijkrichter station</v>
          </cell>
        </row>
        <row r="737">
          <cell r="B737">
            <v>402</v>
          </cell>
          <cell r="C737" t="str">
            <v>Spaklerweg</v>
          </cell>
          <cell r="D737" t="str">
            <v>Gelijkrichter station</v>
          </cell>
        </row>
        <row r="738">
          <cell r="B738">
            <v>402</v>
          </cell>
          <cell r="C738" t="str">
            <v>Spaklerweg</v>
          </cell>
          <cell r="D738" t="str">
            <v>Gelijkrichter station</v>
          </cell>
        </row>
        <row r="739">
          <cell r="B739">
            <v>402</v>
          </cell>
          <cell r="C739" t="str">
            <v>Spaklerweg</v>
          </cell>
          <cell r="D739" t="str">
            <v>Gelijkrichter station</v>
          </cell>
        </row>
        <row r="740">
          <cell r="B740">
            <v>402</v>
          </cell>
          <cell r="C740" t="str">
            <v>Spaklerweg</v>
          </cell>
          <cell r="D740" t="str">
            <v>Gelijkrichter station</v>
          </cell>
        </row>
        <row r="741">
          <cell r="B741">
            <v>402</v>
          </cell>
          <cell r="C741" t="str">
            <v>Spaklerweg</v>
          </cell>
          <cell r="D741" t="str">
            <v>Gelijkrichter station</v>
          </cell>
        </row>
        <row r="742">
          <cell r="B742">
            <v>402</v>
          </cell>
          <cell r="C742" t="str">
            <v>Spaklerweg</v>
          </cell>
          <cell r="D742" t="str">
            <v>Gelijkrichter station</v>
          </cell>
        </row>
        <row r="743">
          <cell r="B743">
            <v>402</v>
          </cell>
          <cell r="C743" t="str">
            <v>Spaklerweg</v>
          </cell>
          <cell r="D743" t="str">
            <v>Gelijkrichter station</v>
          </cell>
        </row>
        <row r="744">
          <cell r="B744">
            <v>402</v>
          </cell>
          <cell r="C744" t="str">
            <v>Spaklerweg</v>
          </cell>
          <cell r="D744" t="str">
            <v>Gelijkrichter station</v>
          </cell>
        </row>
        <row r="745">
          <cell r="B745">
            <v>402</v>
          </cell>
          <cell r="C745" t="str">
            <v>Spaklerweg</v>
          </cell>
          <cell r="D745" t="str">
            <v>Gelijkrichter station</v>
          </cell>
        </row>
        <row r="746">
          <cell r="B746">
            <v>402</v>
          </cell>
          <cell r="C746" t="str">
            <v>Spaklerweg</v>
          </cell>
          <cell r="D746" t="str">
            <v>Gelijkrichter station</v>
          </cell>
        </row>
        <row r="747">
          <cell r="B747">
            <v>406</v>
          </cell>
          <cell r="C747" t="str">
            <v>Kraaiennest</v>
          </cell>
          <cell r="D747" t="str">
            <v>Gelijkrichter station</v>
          </cell>
        </row>
        <row r="748">
          <cell r="B748">
            <v>406</v>
          </cell>
          <cell r="C748" t="str">
            <v>Kraaiennest</v>
          </cell>
          <cell r="D748" t="str">
            <v>Gelijkrichter station</v>
          </cell>
        </row>
        <row r="749">
          <cell r="B749">
            <v>406</v>
          </cell>
          <cell r="C749" t="str">
            <v>Kraaiennest</v>
          </cell>
          <cell r="D749" t="str">
            <v>Gelijkrichter station</v>
          </cell>
        </row>
        <row r="750">
          <cell r="B750">
            <v>406</v>
          </cell>
          <cell r="C750" t="str">
            <v>Kraaiennest</v>
          </cell>
          <cell r="D750" t="str">
            <v>Gelijkrichter station</v>
          </cell>
        </row>
        <row r="751">
          <cell r="B751">
            <v>406</v>
          </cell>
          <cell r="C751" t="str">
            <v>Kraaiennest</v>
          </cell>
          <cell r="D751" t="str">
            <v>Gelijkrichter station</v>
          </cell>
        </row>
        <row r="752">
          <cell r="B752">
            <v>406</v>
          </cell>
          <cell r="C752" t="str">
            <v>Kraaiennest</v>
          </cell>
          <cell r="D752" t="str">
            <v>Gelijkrichter station</v>
          </cell>
        </row>
        <row r="753">
          <cell r="B753">
            <v>406</v>
          </cell>
          <cell r="C753" t="str">
            <v>Kraaiennest</v>
          </cell>
          <cell r="D753" t="str">
            <v>Gelijkrichter station</v>
          </cell>
        </row>
        <row r="754">
          <cell r="B754">
            <v>406</v>
          </cell>
          <cell r="C754" t="str">
            <v>Kraaiennest</v>
          </cell>
          <cell r="D754" t="str">
            <v>Gelijkrichter station</v>
          </cell>
        </row>
        <row r="755">
          <cell r="B755">
            <v>406</v>
          </cell>
          <cell r="C755" t="str">
            <v>Kraaiennest</v>
          </cell>
          <cell r="D755" t="str">
            <v>Gelijkrichter station</v>
          </cell>
        </row>
        <row r="756">
          <cell r="B756">
            <v>406</v>
          </cell>
          <cell r="C756" t="str">
            <v>Kraaiennest</v>
          </cell>
          <cell r="D756" t="str">
            <v>Gelijkrichter station</v>
          </cell>
        </row>
        <row r="757">
          <cell r="B757">
            <v>406</v>
          </cell>
          <cell r="C757" t="str">
            <v>Kraaiennest</v>
          </cell>
          <cell r="D757" t="str">
            <v>Gelijkrichter station</v>
          </cell>
        </row>
        <row r="758">
          <cell r="B758">
            <v>406</v>
          </cell>
          <cell r="C758" t="str">
            <v>Kraaiennest</v>
          </cell>
          <cell r="D758" t="str">
            <v>Gelijkrichter station</v>
          </cell>
        </row>
        <row r="759">
          <cell r="B759">
            <v>406</v>
          </cell>
          <cell r="C759" t="str">
            <v>Kraaiennest</v>
          </cell>
          <cell r="D759" t="str">
            <v>Gelijkrichter station</v>
          </cell>
        </row>
        <row r="760">
          <cell r="B760">
            <v>406</v>
          </cell>
          <cell r="C760" t="str">
            <v>Kraaiennest</v>
          </cell>
          <cell r="D760" t="str">
            <v>Gelijkrichter station</v>
          </cell>
        </row>
        <row r="761">
          <cell r="B761">
            <v>406</v>
          </cell>
          <cell r="C761" t="str">
            <v>Kraaiennest</v>
          </cell>
          <cell r="D761" t="str">
            <v>Gelijkrichter station</v>
          </cell>
        </row>
        <row r="762">
          <cell r="B762">
            <v>406</v>
          </cell>
          <cell r="C762" t="str">
            <v>Kraaiennest</v>
          </cell>
          <cell r="D762" t="str">
            <v>Gelijkrichter station</v>
          </cell>
        </row>
        <row r="763">
          <cell r="B763">
            <v>406</v>
          </cell>
          <cell r="C763" t="str">
            <v>Kraaiennest</v>
          </cell>
          <cell r="D763" t="str">
            <v>Gelijkrichter station</v>
          </cell>
        </row>
        <row r="764">
          <cell r="B764">
            <v>407</v>
          </cell>
          <cell r="C764" t="str">
            <v>Verrijn Stuartweg</v>
          </cell>
          <cell r="D764" t="str">
            <v>Gelijkrichter station</v>
          </cell>
        </row>
        <row r="765">
          <cell r="B765">
            <v>407</v>
          </cell>
          <cell r="C765" t="str">
            <v>Verrijn Stuartweg</v>
          </cell>
          <cell r="D765" t="str">
            <v>Gelijkrichter station</v>
          </cell>
        </row>
        <row r="766">
          <cell r="B766">
            <v>407</v>
          </cell>
          <cell r="C766" t="str">
            <v>Verrijn Stuartweg</v>
          </cell>
          <cell r="D766" t="str">
            <v>Gelijkrichter station</v>
          </cell>
        </row>
        <row r="767">
          <cell r="B767">
            <v>407</v>
          </cell>
          <cell r="C767" t="str">
            <v>Verrijn Stuartweg</v>
          </cell>
          <cell r="D767" t="str">
            <v>Gelijkrichter station</v>
          </cell>
        </row>
        <row r="768">
          <cell r="B768">
            <v>407</v>
          </cell>
          <cell r="C768" t="str">
            <v>Verrijn Stuartweg</v>
          </cell>
          <cell r="D768" t="str">
            <v>Gelijkrichter station</v>
          </cell>
        </row>
        <row r="769">
          <cell r="B769">
            <v>407</v>
          </cell>
          <cell r="C769" t="str">
            <v>Verrijn Stuartweg</v>
          </cell>
          <cell r="D769" t="str">
            <v>Gelijkrichter station</v>
          </cell>
        </row>
        <row r="770">
          <cell r="B770">
            <v>407</v>
          </cell>
          <cell r="C770" t="str">
            <v>Verrijn Stuartweg</v>
          </cell>
          <cell r="D770" t="str">
            <v>Gelijkrichter station</v>
          </cell>
        </row>
        <row r="771">
          <cell r="B771">
            <v>407</v>
          </cell>
          <cell r="C771" t="str">
            <v>Verrijn Stuartweg</v>
          </cell>
          <cell r="D771" t="str">
            <v>Gelijkrichter station</v>
          </cell>
        </row>
        <row r="772">
          <cell r="B772">
            <v>407</v>
          </cell>
          <cell r="C772" t="str">
            <v>Verrijn Stuartweg</v>
          </cell>
          <cell r="D772" t="str">
            <v>Gelijkrichter station</v>
          </cell>
        </row>
        <row r="773">
          <cell r="B773">
            <v>407</v>
          </cell>
          <cell r="C773" t="str">
            <v>Verrijn Stuartweg</v>
          </cell>
          <cell r="D773" t="str">
            <v>Gelijkrichter station</v>
          </cell>
        </row>
        <row r="774">
          <cell r="B774">
            <v>407</v>
          </cell>
          <cell r="C774" t="str">
            <v>Verrijn Stuartweg</v>
          </cell>
          <cell r="D774" t="str">
            <v>Gelijkrichter station</v>
          </cell>
        </row>
        <row r="775">
          <cell r="B775">
            <v>407</v>
          </cell>
          <cell r="C775" t="str">
            <v>Verrijn Stuartweg</v>
          </cell>
          <cell r="D775" t="str">
            <v>Gelijkrichter station</v>
          </cell>
        </row>
        <row r="776">
          <cell r="B776">
            <v>407</v>
          </cell>
          <cell r="C776" t="str">
            <v>Verrijn Stuartweg</v>
          </cell>
          <cell r="D776" t="str">
            <v>Gelijkrichter station</v>
          </cell>
        </row>
        <row r="777">
          <cell r="B777">
            <v>407</v>
          </cell>
          <cell r="C777" t="str">
            <v>Verrijn Stuartweg</v>
          </cell>
          <cell r="D777" t="str">
            <v>Gelijkrichter station</v>
          </cell>
        </row>
        <row r="778">
          <cell r="B778">
            <v>407</v>
          </cell>
          <cell r="C778" t="str">
            <v>Verrijn Stuartweg</v>
          </cell>
          <cell r="D778" t="str">
            <v>Gelijkrichter station</v>
          </cell>
        </row>
        <row r="779">
          <cell r="B779">
            <v>407</v>
          </cell>
          <cell r="C779" t="str">
            <v>Verrijn Stuartweg</v>
          </cell>
          <cell r="D779" t="str">
            <v>Gelijkrichter station</v>
          </cell>
        </row>
        <row r="780">
          <cell r="B780">
            <v>407</v>
          </cell>
          <cell r="C780" t="str">
            <v>Verrijn Stuartweg</v>
          </cell>
          <cell r="D780" t="str">
            <v>Gelijkrichter station</v>
          </cell>
        </row>
        <row r="781">
          <cell r="B781">
            <v>407</v>
          </cell>
          <cell r="C781" t="str">
            <v>Verrijn Stuartweg</v>
          </cell>
          <cell r="D781" t="str">
            <v>Gelijkrichter station</v>
          </cell>
        </row>
        <row r="782">
          <cell r="B782">
            <v>408</v>
          </cell>
          <cell r="C782" t="str">
            <v>Venserpolder</v>
          </cell>
          <cell r="D782" t="str">
            <v>Gelijkrichter station</v>
          </cell>
        </row>
        <row r="783">
          <cell r="B783">
            <v>408</v>
          </cell>
          <cell r="C783" t="str">
            <v>Venserpolder</v>
          </cell>
          <cell r="D783" t="str">
            <v>Gelijkrichter station</v>
          </cell>
        </row>
        <row r="784">
          <cell r="B784">
            <v>408</v>
          </cell>
          <cell r="C784" t="str">
            <v>Venserpolder</v>
          </cell>
          <cell r="D784" t="str">
            <v>Gelijkrichter station</v>
          </cell>
        </row>
        <row r="785">
          <cell r="B785">
            <v>408</v>
          </cell>
          <cell r="C785" t="str">
            <v>Venserpolder</v>
          </cell>
          <cell r="D785" t="str">
            <v>Gelijkrichter station</v>
          </cell>
        </row>
        <row r="786">
          <cell r="B786">
            <v>408</v>
          </cell>
          <cell r="C786" t="str">
            <v>Venserpolder</v>
          </cell>
          <cell r="D786" t="str">
            <v>Gelijkrichter station</v>
          </cell>
        </row>
        <row r="787">
          <cell r="B787">
            <v>408</v>
          </cell>
          <cell r="C787" t="str">
            <v>Venserpolder</v>
          </cell>
          <cell r="D787" t="str">
            <v>Gelijkrichter station</v>
          </cell>
        </row>
        <row r="788">
          <cell r="B788">
            <v>408</v>
          </cell>
          <cell r="C788" t="str">
            <v>Venserpolder</v>
          </cell>
          <cell r="D788" t="str">
            <v>Gelijkrichter station</v>
          </cell>
        </row>
        <row r="789">
          <cell r="B789">
            <v>408</v>
          </cell>
          <cell r="C789" t="str">
            <v>Venserpolder</v>
          </cell>
          <cell r="D789" t="str">
            <v>Gelijkrichter station</v>
          </cell>
        </row>
        <row r="790">
          <cell r="B790">
            <v>408</v>
          </cell>
          <cell r="C790" t="str">
            <v>Venserpolder</v>
          </cell>
          <cell r="D790" t="str">
            <v>Gelijkrichter station</v>
          </cell>
        </row>
        <row r="791">
          <cell r="B791">
            <v>408</v>
          </cell>
          <cell r="C791" t="str">
            <v>Venserpolder</v>
          </cell>
          <cell r="D791" t="str">
            <v>Gelijkrichter station</v>
          </cell>
        </row>
        <row r="792">
          <cell r="B792">
            <v>408</v>
          </cell>
          <cell r="C792" t="str">
            <v>Venserpolder</v>
          </cell>
          <cell r="D792" t="str">
            <v>Gelijkrichter station</v>
          </cell>
        </row>
        <row r="793">
          <cell r="B793">
            <v>408</v>
          </cell>
          <cell r="C793" t="str">
            <v>Venserpolder</v>
          </cell>
          <cell r="D793" t="str">
            <v>Gelijkrichter station</v>
          </cell>
        </row>
        <row r="794">
          <cell r="B794">
            <v>408</v>
          </cell>
          <cell r="C794" t="str">
            <v>Venserpolder</v>
          </cell>
          <cell r="D794" t="str">
            <v>Gelijkrichter station</v>
          </cell>
        </row>
        <row r="795">
          <cell r="B795">
            <v>408</v>
          </cell>
          <cell r="C795" t="str">
            <v>Venserpolder</v>
          </cell>
          <cell r="D795" t="str">
            <v>Gelijkrichter station</v>
          </cell>
        </row>
        <row r="796">
          <cell r="B796">
            <v>408</v>
          </cell>
          <cell r="C796" t="str">
            <v>Venserpolder</v>
          </cell>
          <cell r="D796" t="str">
            <v>Gelijkrichter station</v>
          </cell>
        </row>
        <row r="797">
          <cell r="B797">
            <v>408</v>
          </cell>
          <cell r="C797" t="str">
            <v>Venserpolder</v>
          </cell>
          <cell r="D797" t="str">
            <v>Gelijkrichter station</v>
          </cell>
        </row>
        <row r="798">
          <cell r="B798">
            <v>408</v>
          </cell>
          <cell r="C798" t="str">
            <v>Venserpolder</v>
          </cell>
          <cell r="D798" t="str">
            <v>Gelijkrichter station</v>
          </cell>
        </row>
        <row r="799">
          <cell r="B799">
            <v>401</v>
          </cell>
          <cell r="C799" t="str">
            <v>Gelijkrichter Ringvaart</v>
          </cell>
          <cell r="D799" t="str">
            <v>Gelijkrichter station</v>
          </cell>
        </row>
        <row r="800">
          <cell r="B800">
            <v>401</v>
          </cell>
          <cell r="C800" t="str">
            <v>Gelijkrichter Ringvaart</v>
          </cell>
          <cell r="D800" t="str">
            <v>Gelijkrichter station</v>
          </cell>
        </row>
        <row r="801">
          <cell r="B801">
            <v>401</v>
          </cell>
          <cell r="C801" t="str">
            <v>Gelijkrichter Ringvaart</v>
          </cell>
          <cell r="D801" t="str">
            <v>Gelijkrichter station</v>
          </cell>
        </row>
        <row r="802">
          <cell r="B802">
            <v>401</v>
          </cell>
          <cell r="C802" t="str">
            <v>Gelijkrichter Ringvaart</v>
          </cell>
          <cell r="D802" t="str">
            <v>Gelijkrichter station</v>
          </cell>
        </row>
        <row r="803">
          <cell r="B803">
            <v>401</v>
          </cell>
          <cell r="C803" t="str">
            <v>Gelijkrichter Ringvaart</v>
          </cell>
          <cell r="D803" t="str">
            <v>Gelijkrichter station</v>
          </cell>
        </row>
        <row r="804">
          <cell r="B804">
            <v>401</v>
          </cell>
          <cell r="C804" t="str">
            <v>Gelijkrichter Ringvaart</v>
          </cell>
          <cell r="D804" t="str">
            <v>Gelijkrichter station</v>
          </cell>
        </row>
        <row r="805">
          <cell r="B805">
            <v>401</v>
          </cell>
          <cell r="C805" t="str">
            <v>Gelijkrichter Ringvaart</v>
          </cell>
          <cell r="D805" t="str">
            <v>Gelijkrichter station</v>
          </cell>
        </row>
        <row r="806">
          <cell r="B806">
            <v>401</v>
          </cell>
          <cell r="C806" t="str">
            <v>Gelijkrichter Ringvaart</v>
          </cell>
          <cell r="D806" t="str">
            <v>Gelijkrichter station</v>
          </cell>
        </row>
        <row r="807">
          <cell r="B807">
            <v>401</v>
          </cell>
          <cell r="C807" t="str">
            <v>Gelijkrichter Ringvaart</v>
          </cell>
          <cell r="D807" t="str">
            <v>Gelijkrichter station</v>
          </cell>
        </row>
        <row r="808">
          <cell r="B808">
            <v>401</v>
          </cell>
          <cell r="C808" t="str">
            <v>Gelijkrichter Ringvaart</v>
          </cell>
          <cell r="D808" t="str">
            <v>Gelijkrichter station</v>
          </cell>
        </row>
        <row r="809">
          <cell r="B809">
            <v>401</v>
          </cell>
          <cell r="C809" t="str">
            <v>Gelijkrichter Ringvaart</v>
          </cell>
          <cell r="D809" t="str">
            <v>Gelijkrichter station</v>
          </cell>
        </row>
        <row r="810">
          <cell r="B810">
            <v>401</v>
          </cell>
          <cell r="C810" t="str">
            <v>Gelijkrichter Ringvaart</v>
          </cell>
          <cell r="D810" t="str">
            <v>Gelijkrichter station</v>
          </cell>
        </row>
        <row r="811">
          <cell r="B811">
            <v>401</v>
          </cell>
          <cell r="C811" t="str">
            <v>Gelijkrichter Ringvaart</v>
          </cell>
          <cell r="D811" t="str">
            <v>Gelijkrichter station</v>
          </cell>
        </row>
        <row r="812">
          <cell r="B812">
            <v>401</v>
          </cell>
          <cell r="C812" t="str">
            <v>Gelijkrichter Ringvaart</v>
          </cell>
          <cell r="D812" t="str">
            <v>Gelijkrichter station</v>
          </cell>
        </row>
        <row r="813">
          <cell r="B813">
            <v>401</v>
          </cell>
          <cell r="C813" t="str">
            <v>Gelijkrichter Ringvaart</v>
          </cell>
          <cell r="D813" t="str">
            <v>Gelijkrichter station</v>
          </cell>
        </row>
        <row r="814">
          <cell r="B814">
            <v>401</v>
          </cell>
          <cell r="C814" t="str">
            <v>Gelijkrichter Ringvaart</v>
          </cell>
          <cell r="D814" t="str">
            <v>Gelijkrichter station</v>
          </cell>
        </row>
        <row r="815">
          <cell r="B815">
            <v>403</v>
          </cell>
          <cell r="C815" t="str">
            <v>Strandvliet</v>
          </cell>
          <cell r="D815" t="str">
            <v>Gelijkrichter station</v>
          </cell>
        </row>
        <row r="816">
          <cell r="B816">
            <v>403</v>
          </cell>
          <cell r="C816" t="str">
            <v>Strandvliet</v>
          </cell>
          <cell r="D816" t="str">
            <v>Gelijkrichter station</v>
          </cell>
        </row>
        <row r="817">
          <cell r="B817">
            <v>403</v>
          </cell>
          <cell r="C817" t="str">
            <v>Strandvliet</v>
          </cell>
          <cell r="D817" t="str">
            <v>Gelijkrichter station</v>
          </cell>
        </row>
        <row r="818">
          <cell r="B818">
            <v>403</v>
          </cell>
          <cell r="C818" t="str">
            <v>Strandvliet</v>
          </cell>
          <cell r="D818" t="str">
            <v>Gelijkrichter station</v>
          </cell>
        </row>
        <row r="819">
          <cell r="B819">
            <v>403</v>
          </cell>
          <cell r="C819" t="str">
            <v>Strandvliet</v>
          </cell>
          <cell r="D819" t="str">
            <v>Gelijkrichter station</v>
          </cell>
        </row>
        <row r="820">
          <cell r="B820">
            <v>403</v>
          </cell>
          <cell r="C820" t="str">
            <v>Strandvliet</v>
          </cell>
          <cell r="D820" t="str">
            <v>Gelijkrichter station</v>
          </cell>
        </row>
        <row r="821">
          <cell r="B821">
            <v>404</v>
          </cell>
          <cell r="C821" t="str">
            <v>Bullewijk</v>
          </cell>
          <cell r="D821" t="str">
            <v>Gelijkrichter station</v>
          </cell>
        </row>
        <row r="822">
          <cell r="B822">
            <v>404</v>
          </cell>
          <cell r="C822" t="str">
            <v>Bullewijk</v>
          </cell>
          <cell r="D822" t="str">
            <v>Gelijkrichter station</v>
          </cell>
        </row>
        <row r="823">
          <cell r="B823">
            <v>404</v>
          </cell>
          <cell r="C823" t="str">
            <v>Bullewijk</v>
          </cell>
          <cell r="D823" t="str">
            <v>Gelijkrichter station</v>
          </cell>
        </row>
        <row r="824">
          <cell r="B824">
            <v>404</v>
          </cell>
          <cell r="C824" t="str">
            <v>Bullewijk</v>
          </cell>
          <cell r="D824" t="str">
            <v>Gelijkrichter station</v>
          </cell>
        </row>
        <row r="825">
          <cell r="B825">
            <v>404</v>
          </cell>
          <cell r="C825" t="str">
            <v>Bullewijk</v>
          </cell>
          <cell r="D825" t="str">
            <v>Gelijkrichter station</v>
          </cell>
        </row>
        <row r="826">
          <cell r="B826">
            <v>404</v>
          </cell>
          <cell r="C826" t="str">
            <v>Bullewijk</v>
          </cell>
          <cell r="D826" t="str">
            <v>Gelijkrichter station</v>
          </cell>
        </row>
        <row r="827">
          <cell r="B827">
            <v>404</v>
          </cell>
          <cell r="C827" t="str">
            <v>Bullewijk</v>
          </cell>
          <cell r="D827" t="str">
            <v>Gelijkrichter station</v>
          </cell>
        </row>
        <row r="828">
          <cell r="B828">
            <v>405</v>
          </cell>
          <cell r="C828" t="str">
            <v>Reigerbos</v>
          </cell>
          <cell r="D828" t="str">
            <v>Gelijkrichter station</v>
          </cell>
        </row>
        <row r="829">
          <cell r="B829">
            <v>405</v>
          </cell>
          <cell r="C829" t="str">
            <v>Reigerbos</v>
          </cell>
          <cell r="D829" t="str">
            <v>Gelijkrichter station</v>
          </cell>
        </row>
        <row r="830">
          <cell r="B830">
            <v>405</v>
          </cell>
          <cell r="C830" t="str">
            <v>Reigerbos</v>
          </cell>
          <cell r="D830" t="str">
            <v>Gelijkrichter station</v>
          </cell>
        </row>
        <row r="831">
          <cell r="B831">
            <v>405</v>
          </cell>
          <cell r="C831" t="str">
            <v>Reigerbos</v>
          </cell>
          <cell r="D831" t="str">
            <v>Gelijkrichter station</v>
          </cell>
        </row>
        <row r="832">
          <cell r="B832">
            <v>405</v>
          </cell>
          <cell r="C832" t="str">
            <v>Reigerbos</v>
          </cell>
          <cell r="D832" t="str">
            <v>Gelijkrichter station</v>
          </cell>
        </row>
        <row r="833">
          <cell r="B833">
            <v>405</v>
          </cell>
          <cell r="C833" t="str">
            <v>Reigerbos</v>
          </cell>
          <cell r="D833" t="str">
            <v>Gelijkrichter station</v>
          </cell>
        </row>
        <row r="834">
          <cell r="B834">
            <v>405</v>
          </cell>
          <cell r="C834" t="str">
            <v>Reigerbos</v>
          </cell>
          <cell r="D834" t="str">
            <v>Gelijkrichter station</v>
          </cell>
        </row>
        <row r="835">
          <cell r="B835">
            <v>405</v>
          </cell>
          <cell r="C835" t="str">
            <v>Reigerbos</v>
          </cell>
          <cell r="D835" t="str">
            <v>Gelijkrichter station</v>
          </cell>
        </row>
        <row r="836">
          <cell r="B836">
            <v>405</v>
          </cell>
          <cell r="C836" t="str">
            <v>Reigerbos</v>
          </cell>
          <cell r="D836" t="str">
            <v>Gelijkrichter station</v>
          </cell>
        </row>
        <row r="837">
          <cell r="B837">
            <v>405</v>
          </cell>
          <cell r="C837" t="str">
            <v>Reigerbos</v>
          </cell>
          <cell r="D837" t="str">
            <v>Gelijkrichter station</v>
          </cell>
        </row>
        <row r="838">
          <cell r="B838">
            <v>405</v>
          </cell>
          <cell r="C838" t="str">
            <v>Reigerbos</v>
          </cell>
          <cell r="D838" t="str">
            <v>Gelijkrichter station</v>
          </cell>
        </row>
        <row r="839">
          <cell r="B839">
            <v>405</v>
          </cell>
          <cell r="C839" t="str">
            <v>Reigerbos</v>
          </cell>
          <cell r="D839" t="str">
            <v>Gelijkrichter station</v>
          </cell>
        </row>
        <row r="840">
          <cell r="B840">
            <v>405</v>
          </cell>
          <cell r="C840" t="str">
            <v>Reigerbos</v>
          </cell>
          <cell r="D840" t="str">
            <v>Gelijkrichter station</v>
          </cell>
        </row>
        <row r="841">
          <cell r="B841">
            <v>405</v>
          </cell>
          <cell r="C841" t="str">
            <v>Reigerbos</v>
          </cell>
          <cell r="D841" t="str">
            <v>Gelijkrichter station</v>
          </cell>
        </row>
        <row r="842">
          <cell r="B842">
            <v>405</v>
          </cell>
          <cell r="C842" t="str">
            <v>Reigerbos</v>
          </cell>
          <cell r="D842" t="str">
            <v>Gelijkrichter station</v>
          </cell>
        </row>
        <row r="843">
          <cell r="B843">
            <v>405</v>
          </cell>
          <cell r="C843" t="str">
            <v>Reigerbos</v>
          </cell>
          <cell r="D843" t="str">
            <v>Gelijkrichter station</v>
          </cell>
        </row>
        <row r="844">
          <cell r="B844">
            <v>405</v>
          </cell>
          <cell r="C844" t="str">
            <v>Reigerbos</v>
          </cell>
          <cell r="D844" t="str">
            <v>Gelijkrichter station</v>
          </cell>
        </row>
        <row r="845">
          <cell r="B845">
            <v>409</v>
          </cell>
          <cell r="C845" t="str">
            <v>Haarlemmerweg</v>
          </cell>
          <cell r="D845" t="str">
            <v>Gelijkrichter station</v>
          </cell>
        </row>
        <row r="846">
          <cell r="B846">
            <v>409</v>
          </cell>
          <cell r="C846" t="str">
            <v>Haarlemmerweg</v>
          </cell>
          <cell r="D846" t="str">
            <v>Gelijkrichter station</v>
          </cell>
        </row>
        <row r="847">
          <cell r="B847">
            <v>409</v>
          </cell>
          <cell r="C847" t="str">
            <v>Haarlemmerweg</v>
          </cell>
          <cell r="D847" t="str">
            <v>Gelijkrichter station</v>
          </cell>
        </row>
        <row r="848">
          <cell r="B848">
            <v>410</v>
          </cell>
          <cell r="C848" t="str">
            <v>Rozenoordbrug</v>
          </cell>
          <cell r="D848" t="str">
            <v>Gelijkrichter station</v>
          </cell>
        </row>
        <row r="849">
          <cell r="B849">
            <v>410</v>
          </cell>
          <cell r="C849" t="str">
            <v>Rozenoordbrug</v>
          </cell>
          <cell r="D849" t="str">
            <v>Gelijkrichter station</v>
          </cell>
        </row>
        <row r="850">
          <cell r="B850">
            <v>410</v>
          </cell>
          <cell r="C850" t="str">
            <v>Rozenoordbrug</v>
          </cell>
          <cell r="D850" t="str">
            <v>Gelijkrichter station</v>
          </cell>
        </row>
        <row r="851">
          <cell r="B851">
            <v>410</v>
          </cell>
          <cell r="C851" t="str">
            <v>Rozenoordbrug</v>
          </cell>
          <cell r="D851" t="str">
            <v>Gelijkrichter station</v>
          </cell>
        </row>
        <row r="852">
          <cell r="B852">
            <v>411</v>
          </cell>
          <cell r="C852" t="str">
            <v>Schinkelbrug</v>
          </cell>
          <cell r="D852" t="str">
            <v>Gelijkrichter station</v>
          </cell>
        </row>
        <row r="853">
          <cell r="B853">
            <v>411</v>
          </cell>
          <cell r="C853" t="str">
            <v>Schinkelbrug</v>
          </cell>
          <cell r="D853" t="str">
            <v>Gelijkrichter station</v>
          </cell>
        </row>
        <row r="854">
          <cell r="B854">
            <v>411</v>
          </cell>
          <cell r="C854" t="str">
            <v>Schinkelbrug</v>
          </cell>
          <cell r="D854" t="str">
            <v>Gelijkrichter station</v>
          </cell>
        </row>
        <row r="855">
          <cell r="B855">
            <v>411</v>
          </cell>
          <cell r="C855" t="str">
            <v>Schinkelbrug</v>
          </cell>
          <cell r="D855" t="str">
            <v>Gelijkrichter station</v>
          </cell>
        </row>
        <row r="856">
          <cell r="B856">
            <v>411</v>
          </cell>
          <cell r="C856" t="str">
            <v>Schinkelbrug</v>
          </cell>
          <cell r="D856" t="str">
            <v>Gelijkrichter station</v>
          </cell>
        </row>
        <row r="857">
          <cell r="B857">
            <v>411</v>
          </cell>
          <cell r="C857" t="str">
            <v>Schinkelbrug</v>
          </cell>
          <cell r="D857" t="str">
            <v>Gelijkrichter station</v>
          </cell>
        </row>
        <row r="858">
          <cell r="B858">
            <v>411</v>
          </cell>
          <cell r="C858" t="str">
            <v>Schinkelbrug</v>
          </cell>
          <cell r="D858" t="str">
            <v>Gelijkrichter station</v>
          </cell>
        </row>
        <row r="859">
          <cell r="B859">
            <v>411</v>
          </cell>
          <cell r="C859" t="str">
            <v>Schinkelbrug</v>
          </cell>
          <cell r="D859" t="str">
            <v>Gelijkrichter station</v>
          </cell>
        </row>
        <row r="860">
          <cell r="B860" t="str">
            <v>312a</v>
          </cell>
          <cell r="C860" t="str">
            <v>Isolatorweg</v>
          </cell>
          <cell r="D860" t="str">
            <v>Gelijkrichter station</v>
          </cell>
        </row>
        <row r="861">
          <cell r="B861" t="str">
            <v>312a</v>
          </cell>
          <cell r="C861" t="str">
            <v>Isolatorweg</v>
          </cell>
          <cell r="D861" t="str">
            <v>Gelijkrichter station</v>
          </cell>
        </row>
        <row r="862">
          <cell r="B862">
            <v>413</v>
          </cell>
          <cell r="C862" t="str">
            <v>Legmeerpolder 1</v>
          </cell>
          <cell r="D862" t="str">
            <v>Gelijkrichter station</v>
          </cell>
        </row>
        <row r="863">
          <cell r="B863">
            <v>413</v>
          </cell>
          <cell r="C863" t="str">
            <v>Legmeerpolder 1</v>
          </cell>
          <cell r="D863" t="str">
            <v>Gelijkrichter station</v>
          </cell>
        </row>
        <row r="864">
          <cell r="B864">
            <v>413</v>
          </cell>
          <cell r="C864" t="str">
            <v>Legmeerpolder 1</v>
          </cell>
          <cell r="D864" t="str">
            <v>Gelijkrichter station</v>
          </cell>
        </row>
        <row r="865">
          <cell r="B865">
            <v>413</v>
          </cell>
          <cell r="C865" t="str">
            <v>Legmeerpolder 1</v>
          </cell>
          <cell r="D865" t="str">
            <v>Gelijkrichter station</v>
          </cell>
        </row>
        <row r="866">
          <cell r="B866">
            <v>413</v>
          </cell>
          <cell r="C866" t="str">
            <v>Legmeerpolder 1</v>
          </cell>
          <cell r="D866" t="str">
            <v>Gelijkrichter station</v>
          </cell>
        </row>
        <row r="867">
          <cell r="B867">
            <v>413</v>
          </cell>
          <cell r="C867" t="str">
            <v>Legmeerpolder 1</v>
          </cell>
          <cell r="D867" t="str">
            <v>Gelijkrichter station</v>
          </cell>
        </row>
        <row r="868">
          <cell r="B868">
            <v>413</v>
          </cell>
          <cell r="C868" t="str">
            <v>Legmeerpolder 1</v>
          </cell>
          <cell r="D868" t="str">
            <v>Gelijkrichter station</v>
          </cell>
        </row>
        <row r="869">
          <cell r="B869">
            <v>413</v>
          </cell>
          <cell r="C869" t="str">
            <v>Legmeerpolder 1</v>
          </cell>
          <cell r="D869" t="str">
            <v>Gelijkrichter station</v>
          </cell>
        </row>
        <row r="870">
          <cell r="B870">
            <v>413</v>
          </cell>
          <cell r="C870" t="str">
            <v>Legmeerpolder 1</v>
          </cell>
          <cell r="D870" t="str">
            <v>Gelijkrichter station</v>
          </cell>
        </row>
        <row r="871">
          <cell r="B871">
            <v>413</v>
          </cell>
          <cell r="C871" t="str">
            <v>Legmeerpolder 1</v>
          </cell>
          <cell r="D871" t="str">
            <v>Gelijkrichter station</v>
          </cell>
        </row>
        <row r="872">
          <cell r="B872">
            <v>416</v>
          </cell>
          <cell r="C872" t="str">
            <v>Legmeerpolder 2</v>
          </cell>
          <cell r="D872" t="str">
            <v>Gelijkrichter station</v>
          </cell>
        </row>
        <row r="873">
          <cell r="B873">
            <v>416</v>
          </cell>
          <cell r="C873" t="str">
            <v>Legmeerpolder 2</v>
          </cell>
          <cell r="D873" t="str">
            <v>Gelijkrichter station</v>
          </cell>
        </row>
        <row r="874">
          <cell r="B874">
            <v>416</v>
          </cell>
          <cell r="C874" t="str">
            <v>Legmeerpolder 2</v>
          </cell>
          <cell r="D874" t="str">
            <v>Gelijkrichter station</v>
          </cell>
        </row>
        <row r="875">
          <cell r="B875">
            <v>416</v>
          </cell>
          <cell r="C875" t="str">
            <v>Legmeerpolder 2</v>
          </cell>
          <cell r="D875" t="str">
            <v>Gelijkrichter station</v>
          </cell>
        </row>
        <row r="876">
          <cell r="B876">
            <v>416</v>
          </cell>
          <cell r="C876" t="str">
            <v>Legmeerpolder 2</v>
          </cell>
          <cell r="D876" t="str">
            <v>Gelijkrichter station</v>
          </cell>
        </row>
        <row r="877">
          <cell r="B877">
            <v>416</v>
          </cell>
          <cell r="C877" t="str">
            <v>Legmeerpolder 2</v>
          </cell>
          <cell r="D877" t="str">
            <v>Gelijkrichter station</v>
          </cell>
        </row>
        <row r="878">
          <cell r="B878">
            <v>416</v>
          </cell>
          <cell r="C878" t="str">
            <v>Legmeerpolder 2</v>
          </cell>
          <cell r="D878" t="str">
            <v>Gelijkrichter station</v>
          </cell>
        </row>
        <row r="879">
          <cell r="B879">
            <v>416</v>
          </cell>
          <cell r="C879" t="str">
            <v>Legmeerpolder 2</v>
          </cell>
          <cell r="D879" t="str">
            <v>Gelijkrichter station</v>
          </cell>
        </row>
        <row r="880">
          <cell r="B880">
            <v>417</v>
          </cell>
          <cell r="C880" t="str">
            <v>Legmeerpolder 3</v>
          </cell>
          <cell r="D880" t="str">
            <v>Gelijkrichter station</v>
          </cell>
        </row>
        <row r="881">
          <cell r="B881">
            <v>417</v>
          </cell>
          <cell r="C881" t="str">
            <v>Legmeerpolder 3</v>
          </cell>
          <cell r="D881" t="str">
            <v>Gelijkrichter station</v>
          </cell>
        </row>
        <row r="882">
          <cell r="B882" t="str">
            <v>416a</v>
          </cell>
          <cell r="C882" t="str">
            <v>Legmeerpolder Tech. Ruimte</v>
          </cell>
          <cell r="D882" t="str">
            <v>Gelijkrichter station</v>
          </cell>
        </row>
        <row r="883">
          <cell r="B883" t="str">
            <v>416a</v>
          </cell>
          <cell r="C883" t="str">
            <v>Legmeerpolder Tech. Ruimte</v>
          </cell>
          <cell r="D883" t="str">
            <v>Gelijkrichter station</v>
          </cell>
        </row>
        <row r="884">
          <cell r="B884">
            <v>414</v>
          </cell>
          <cell r="C884" t="str">
            <v>Gein</v>
          </cell>
          <cell r="D884" t="str">
            <v>Gelijkrichter station</v>
          </cell>
        </row>
        <row r="885">
          <cell r="B885">
            <v>414</v>
          </cell>
          <cell r="C885" t="str">
            <v>Gein</v>
          </cell>
          <cell r="D885" t="str">
            <v>Gelijkrichter station</v>
          </cell>
        </row>
        <row r="886">
          <cell r="B886">
            <v>414</v>
          </cell>
          <cell r="C886" t="str">
            <v>Gein</v>
          </cell>
          <cell r="D886" t="str">
            <v>Gelijkrichter station</v>
          </cell>
        </row>
        <row r="887">
          <cell r="B887">
            <v>415</v>
          </cell>
          <cell r="C887" t="str">
            <v>Westwijk</v>
          </cell>
          <cell r="D887" t="str">
            <v>Gelijkrichter station</v>
          </cell>
        </row>
        <row r="888">
          <cell r="B888">
            <v>415</v>
          </cell>
          <cell r="C888" t="str">
            <v>Westwijk</v>
          </cell>
          <cell r="D888" t="str">
            <v>Gelijkrichter station</v>
          </cell>
        </row>
        <row r="889">
          <cell r="B889">
            <v>418</v>
          </cell>
          <cell r="C889" t="str">
            <v>Uithoorn</v>
          </cell>
          <cell r="D889" t="str">
            <v>Gelijkrichter station</v>
          </cell>
        </row>
        <row r="890">
          <cell r="B890">
            <v>418</v>
          </cell>
          <cell r="C890" t="str">
            <v>Uithoorn</v>
          </cell>
          <cell r="D890" t="str">
            <v>Gelijkrichter station</v>
          </cell>
        </row>
        <row r="891">
          <cell r="B891">
            <v>418</v>
          </cell>
          <cell r="C891" t="str">
            <v>Uithoorn</v>
          </cell>
          <cell r="D891" t="str">
            <v>Gelijkrichter station</v>
          </cell>
        </row>
        <row r="892">
          <cell r="B892">
            <v>418</v>
          </cell>
          <cell r="C892" t="str">
            <v>Uithoorn</v>
          </cell>
          <cell r="D892" t="str">
            <v>Gelijkrichter station</v>
          </cell>
        </row>
        <row r="893">
          <cell r="B893">
            <v>418</v>
          </cell>
          <cell r="C893" t="str">
            <v>Uithoorn</v>
          </cell>
          <cell r="D893" t="str">
            <v>Gelijkrichter station</v>
          </cell>
        </row>
        <row r="894">
          <cell r="B894">
            <v>418</v>
          </cell>
          <cell r="C894" t="str">
            <v>Uithoorn</v>
          </cell>
          <cell r="D894" t="str">
            <v>Gelijkrichter station</v>
          </cell>
        </row>
        <row r="895">
          <cell r="B895">
            <v>419</v>
          </cell>
          <cell r="C895" t="str">
            <v>Amsterdamseweg</v>
          </cell>
          <cell r="D895" t="str">
            <v>Gelijkrichter station</v>
          </cell>
        </row>
        <row r="896">
          <cell r="B896">
            <v>419</v>
          </cell>
          <cell r="C896" t="str">
            <v>Amsterdamseweg</v>
          </cell>
          <cell r="D896" t="str">
            <v>Gelijkrichter station</v>
          </cell>
        </row>
        <row r="897">
          <cell r="B897">
            <v>419</v>
          </cell>
          <cell r="C897" t="str">
            <v>Amsterdamseweg</v>
          </cell>
          <cell r="D897" t="str">
            <v>Gelijkrichter station</v>
          </cell>
        </row>
        <row r="898">
          <cell r="B898">
            <v>419</v>
          </cell>
          <cell r="C898" t="str">
            <v>Amsterdamseweg</v>
          </cell>
          <cell r="D898" t="str">
            <v>Gelijkrichter station</v>
          </cell>
        </row>
        <row r="899">
          <cell r="B899">
            <v>419</v>
          </cell>
          <cell r="C899" t="str">
            <v>Amsterdamseweg</v>
          </cell>
          <cell r="D899" t="str">
            <v>Gelijkrichter station</v>
          </cell>
        </row>
        <row r="900">
          <cell r="B900">
            <v>419</v>
          </cell>
          <cell r="C900" t="str">
            <v>Amsterdamseweg</v>
          </cell>
          <cell r="D900" t="str">
            <v>Gelijkrichter station</v>
          </cell>
        </row>
        <row r="901">
          <cell r="B901">
            <v>419</v>
          </cell>
          <cell r="C901" t="str">
            <v>Amsterdamseweg</v>
          </cell>
          <cell r="D901" t="str">
            <v>Gelijkrichter station</v>
          </cell>
        </row>
        <row r="902">
          <cell r="B902">
            <v>419</v>
          </cell>
          <cell r="C902" t="str">
            <v>Amsterdamseweg</v>
          </cell>
          <cell r="D902" t="str">
            <v>Gelijkrichter station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Inschrijfstaat"/>
      <sheetName val="2-Kosten per locatie"/>
      <sheetName val="3-Ruimtestaat"/>
      <sheetName val="4-Reinigen vloeren"/>
      <sheetName val="5-Aanvullend"/>
      <sheetName val="6-Liftbodems"/>
      <sheetName val="7-Geveldelen  en wanden"/>
      <sheetName val="8a-Glasstaat"/>
      <sheetName val="8b-Glas kosten totaal"/>
      <sheetName val="9-Machinekosten"/>
      <sheetName val="10a-Periodieke beurt"/>
      <sheetName val="10b-Bereikbaarheidsvoorz."/>
      <sheetName val="11-NZL Glas Dag"/>
      <sheetName val="12-NZL Glas nacht"/>
      <sheetName val="13-NZL Periodieke dag"/>
      <sheetName val="14-NZLPeriodieke nacht"/>
      <sheetName val="15a- Stelpost graffiti"/>
      <sheetName val="15b- Afroepprijs Algemeen"/>
      <sheetName val="16- Technischeruimten"/>
      <sheetName val="17-Premies en opslagen"/>
      <sheetName val="18-Opbouw uurtarieven"/>
      <sheetName val="18a-Onderbouwing basis uurloon"/>
      <sheetName val="19-Sanitaire voorzieningen"/>
    </sheetNames>
    <sheetDataSet>
      <sheetData sheetId="0">
        <row r="3">
          <cell r="A3" t="str">
            <v>Naam opdrachtgever</v>
          </cell>
          <cell r="B3" t="str">
            <v>GVB Infra B.V.</v>
          </cell>
        </row>
        <row r="4">
          <cell r="A4" t="str">
            <v>Calculatie onderdeel</v>
          </cell>
        </row>
        <row r="5">
          <cell r="A5" t="str">
            <v>Gebouw/plaats</v>
          </cell>
          <cell r="B5" t="str">
            <v>Diverse</v>
          </cell>
        </row>
        <row r="6">
          <cell r="A6" t="str">
            <v>Referentienummer</v>
          </cell>
          <cell r="B6" t="str">
            <v>2024-20</v>
          </cell>
        </row>
        <row r="7">
          <cell r="A7" t="str">
            <v>Naam leverancier</v>
          </cell>
          <cell r="B7" t="str">
            <v>Voorcalculatie</v>
          </cell>
        </row>
        <row r="8">
          <cell r="A8" t="str">
            <v>Prijspeil</v>
          </cell>
          <cell r="B8" t="str">
            <v>1 januari 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P56"/>
  <sheetViews>
    <sheetView showGridLines="0" tabSelected="1" zoomScale="89" zoomScaleNormal="89" workbookViewId="0">
      <pane ySplit="12" topLeftCell="A13" activePane="bottomLeft" state="frozen"/>
      <selection pane="bottomLeft" activeCell="H22" sqref="H22"/>
      <selection activeCell="E28" sqref="E28"/>
    </sheetView>
  </sheetViews>
  <sheetFormatPr defaultColWidth="9.28515625" defaultRowHeight="13.15"/>
  <cols>
    <col min="1" max="1" width="35.5703125" style="90" customWidth="1"/>
    <col min="2" max="2" width="22.85546875" style="90" bestFit="1" customWidth="1"/>
    <col min="3" max="3" width="16.140625" style="90" customWidth="1"/>
    <col min="4" max="4" width="14.28515625" style="90" customWidth="1"/>
    <col min="5" max="5" width="14.7109375" style="90" customWidth="1"/>
    <col min="6" max="6" width="14.28515625" style="90" customWidth="1"/>
    <col min="7" max="7" width="12.7109375" style="90" customWidth="1"/>
    <col min="8" max="8" width="19.85546875" style="239" customWidth="1"/>
    <col min="9" max="9" width="2.42578125" style="90" customWidth="1"/>
    <col min="10" max="10" width="18.7109375" style="90" customWidth="1"/>
    <col min="11" max="11" width="18" style="90" bestFit="1" customWidth="1"/>
    <col min="12" max="12" width="9.28515625" style="90"/>
    <col min="13" max="13" width="20.7109375" style="90" customWidth="1"/>
    <col min="14" max="14" width="9.28515625" style="90"/>
    <col min="15" max="15" width="15.28515625" style="90" customWidth="1"/>
    <col min="16" max="16" width="13.28515625" style="90" customWidth="1"/>
    <col min="17" max="16384" width="9.28515625" style="90"/>
  </cols>
  <sheetData>
    <row r="1" spans="1:16">
      <c r="A1" s="588" t="s">
        <v>0</v>
      </c>
      <c r="B1" s="89"/>
      <c r="C1" s="89"/>
    </row>
    <row r="2" spans="1:16">
      <c r="A2" s="91"/>
      <c r="B2" s="89"/>
      <c r="C2" s="89"/>
      <c r="H2" s="90"/>
    </row>
    <row r="3" spans="1:16" s="96" customFormat="1" ht="15.6">
      <c r="A3" s="92" t="s">
        <v>1</v>
      </c>
      <c r="B3" s="93" t="s">
        <v>2</v>
      </c>
      <c r="C3" s="93"/>
      <c r="D3" s="93"/>
      <c r="E3" s="94"/>
      <c r="F3" s="94"/>
      <c r="G3" s="94"/>
      <c r="H3" s="94"/>
      <c r="I3" s="94"/>
    </row>
    <row r="4" spans="1:16" s="96" customFormat="1" ht="15.6">
      <c r="A4" s="92" t="s">
        <v>3</v>
      </c>
      <c r="B4" s="93" t="e">
        <f ca="1">MID(CELL("bestandsnaam",$D$11),SEARCH("]",CELL("bestandsnaam",$D$11),1)+1,256)</f>
        <v>#VALUE!</v>
      </c>
      <c r="C4" s="93"/>
      <c r="D4" s="93"/>
      <c r="E4" s="94"/>
      <c r="F4" s="94"/>
      <c r="G4" s="94"/>
      <c r="H4" s="94"/>
      <c r="I4" s="94"/>
      <c r="J4" s="94"/>
      <c r="K4" s="94"/>
      <c r="L4" s="94"/>
      <c r="M4" s="94"/>
    </row>
    <row r="5" spans="1:16" s="96" customFormat="1" ht="15.6">
      <c r="A5" s="92" t="s">
        <v>4</v>
      </c>
      <c r="B5" s="93" t="s">
        <v>5</v>
      </c>
      <c r="C5" s="93"/>
      <c r="D5" s="93"/>
      <c r="E5" s="94"/>
      <c r="F5" s="94"/>
      <c r="G5" s="94"/>
      <c r="H5" s="94"/>
      <c r="I5" s="94"/>
    </row>
    <row r="6" spans="1:16" s="96" customFormat="1" ht="15.6">
      <c r="A6" s="409" t="s">
        <v>6</v>
      </c>
      <c r="B6" s="410" t="s">
        <v>7</v>
      </c>
      <c r="C6" s="93"/>
      <c r="D6" s="93"/>
      <c r="E6" s="94"/>
      <c r="F6" s="94"/>
      <c r="G6" s="94"/>
      <c r="H6" s="94"/>
      <c r="I6" s="94"/>
      <c r="J6" s="90"/>
    </row>
    <row r="7" spans="1:16" s="96" customFormat="1" ht="15.6">
      <c r="A7" s="92" t="s">
        <v>8</v>
      </c>
      <c r="B7" s="589"/>
      <c r="C7" s="589"/>
      <c r="D7" s="590"/>
      <c r="E7" s="94"/>
      <c r="F7" s="94"/>
      <c r="G7" s="90"/>
      <c r="H7" s="240"/>
      <c r="I7" s="240"/>
      <c r="J7" s="240"/>
      <c r="K7" s="240"/>
      <c r="L7" s="240"/>
      <c r="M7" s="240"/>
      <c r="N7" s="240"/>
    </row>
    <row r="8" spans="1:16" s="96" customFormat="1" ht="15.6">
      <c r="A8" s="92" t="s">
        <v>9</v>
      </c>
      <c r="B8" s="97" t="s">
        <v>10</v>
      </c>
      <c r="C8" s="98"/>
      <c r="D8" s="94"/>
      <c r="E8" s="94"/>
      <c r="F8" s="94"/>
      <c r="G8" s="90"/>
      <c r="H8" s="239"/>
      <c r="I8" s="239"/>
      <c r="J8" s="239"/>
      <c r="K8" s="239"/>
      <c r="L8" s="239"/>
      <c r="M8" s="239"/>
      <c r="N8" s="239"/>
    </row>
    <row r="9" spans="1:16" s="96" customFormat="1" ht="15.6">
      <c r="A9" s="92" t="s">
        <v>11</v>
      </c>
      <c r="B9" s="390" t="s">
        <v>12</v>
      </c>
      <c r="C9" s="98"/>
      <c r="D9" s="94"/>
      <c r="E9" s="94"/>
      <c r="F9" s="94"/>
      <c r="G9" s="90"/>
      <c r="H9" s="240"/>
      <c r="I9" s="240"/>
      <c r="J9" s="240"/>
      <c r="K9" s="240"/>
      <c r="L9" s="240"/>
      <c r="M9" s="240"/>
      <c r="N9" s="240"/>
    </row>
    <row r="10" spans="1:16" s="96" customFormat="1" ht="15.6">
      <c r="A10" s="92" t="s">
        <v>13</v>
      </c>
      <c r="B10" s="98" t="s">
        <v>14</v>
      </c>
      <c r="C10" s="98"/>
      <c r="D10" s="94"/>
      <c r="E10" s="94"/>
      <c r="F10" s="94"/>
      <c r="G10" s="90"/>
      <c r="H10" s="240"/>
      <c r="I10" s="240"/>
      <c r="J10" s="240"/>
      <c r="K10" s="240"/>
      <c r="L10" s="240"/>
      <c r="M10" s="240"/>
      <c r="N10" s="240"/>
    </row>
    <row r="11" spans="1:16" s="96" customFormat="1" ht="15.6">
      <c r="A11" s="99"/>
      <c r="H11" s="241"/>
    </row>
    <row r="12" spans="1:16" s="96" customFormat="1" ht="15.6">
      <c r="A12" s="591" t="s">
        <v>15</v>
      </c>
      <c r="B12" s="592"/>
      <c r="C12" s="592"/>
      <c r="D12" s="592"/>
      <c r="E12" s="592"/>
      <c r="F12" s="592"/>
      <c r="G12" s="592"/>
      <c r="H12" s="593"/>
      <c r="J12" s="591" t="s">
        <v>16</v>
      </c>
      <c r="K12" s="592"/>
      <c r="L12" s="592"/>
      <c r="M12" s="592"/>
      <c r="N12" s="592"/>
      <c r="O12" s="593"/>
    </row>
    <row r="13" spans="1:16" ht="15.6">
      <c r="I13" s="96"/>
      <c r="J13" s="450"/>
      <c r="O13" s="451"/>
      <c r="P13" s="96"/>
    </row>
    <row r="14" spans="1:16" ht="15.6">
      <c r="A14" s="100"/>
      <c r="D14" s="101"/>
      <c r="E14" s="101"/>
      <c r="F14" s="101"/>
      <c r="G14" s="101"/>
      <c r="H14" s="242" t="s">
        <v>17</v>
      </c>
      <c r="I14" s="102"/>
      <c r="J14" s="452" t="s">
        <v>18</v>
      </c>
      <c r="M14" s="181" t="s">
        <v>19</v>
      </c>
      <c r="N14" s="181" t="s">
        <v>20</v>
      </c>
      <c r="O14" s="453" t="s">
        <v>21</v>
      </c>
      <c r="P14" s="96"/>
    </row>
    <row r="15" spans="1:16" ht="15.6">
      <c r="A15" s="103"/>
      <c r="G15" s="102"/>
      <c r="H15" s="243"/>
      <c r="I15" s="104"/>
      <c r="J15" s="450"/>
      <c r="O15" s="451"/>
      <c r="P15" s="96"/>
    </row>
    <row r="16" spans="1:16" ht="15.6">
      <c r="A16" s="105" t="e">
        <f ca="1">'4-Reinigen vloeren'!B4</f>
        <v>#VALUE!</v>
      </c>
      <c r="H16" s="244" t="e">
        <f>'4-Reinigen vloeren'!O37</f>
        <v>#DIV/0!</v>
      </c>
      <c r="J16" s="450" t="s">
        <v>22</v>
      </c>
      <c r="M16" s="454">
        <f>H42</f>
        <v>0</v>
      </c>
      <c r="N16" s="455">
        <v>0.12</v>
      </c>
      <c r="O16" s="456">
        <f t="shared" ref="O16:O24" si="0">M16*N16</f>
        <v>0</v>
      </c>
      <c r="P16" s="96"/>
    </row>
    <row r="17" spans="1:16" ht="15.6">
      <c r="H17" s="244"/>
      <c r="J17" s="450" t="s">
        <v>23</v>
      </c>
      <c r="M17" s="246" t="e">
        <f ca="1">$H$38</f>
        <v>#DIV/0!</v>
      </c>
      <c r="N17" s="455">
        <v>0.11</v>
      </c>
      <c r="O17" s="456" t="e">
        <f t="shared" ca="1" si="0"/>
        <v>#DIV/0!</v>
      </c>
      <c r="P17" s="96"/>
    </row>
    <row r="18" spans="1:16" ht="15.6">
      <c r="A18" s="90" t="e">
        <f ca="1">'5-Aanvullend'!C4</f>
        <v>#VALUE!</v>
      </c>
      <c r="H18" s="244">
        <f>'5-Aanvullend'!K42</f>
        <v>0</v>
      </c>
      <c r="J18" s="450" t="s">
        <v>24</v>
      </c>
      <c r="M18" s="246" t="e">
        <f t="shared" ref="M18:M24" ca="1" si="1">$H$38</f>
        <v>#DIV/0!</v>
      </c>
      <c r="N18" s="455">
        <v>0.11</v>
      </c>
      <c r="O18" s="456" t="e">
        <f t="shared" ca="1" si="0"/>
        <v>#DIV/0!</v>
      </c>
      <c r="P18" s="96"/>
    </row>
    <row r="19" spans="1:16" ht="15.6">
      <c r="A19" s="105"/>
      <c r="H19" s="244"/>
      <c r="J19" s="450" t="s">
        <v>25</v>
      </c>
      <c r="M19" s="246" t="e">
        <f t="shared" ca="1" si="1"/>
        <v>#DIV/0!</v>
      </c>
      <c r="N19" s="455">
        <v>0.11</v>
      </c>
      <c r="O19" s="456" t="e">
        <f t="shared" ca="1" si="0"/>
        <v>#DIV/0!</v>
      </c>
      <c r="P19" s="96"/>
    </row>
    <row r="20" spans="1:16" ht="15.6">
      <c r="A20" s="105" t="e">
        <f ca="1">'6-Liftbodems'!C4</f>
        <v>#VALUE!</v>
      </c>
      <c r="H20" s="244">
        <f>'6-Liftbodems'!K54</f>
        <v>0</v>
      </c>
      <c r="J20" s="450" t="s">
        <v>26</v>
      </c>
      <c r="M20" s="246" t="e">
        <f t="shared" ca="1" si="1"/>
        <v>#DIV/0!</v>
      </c>
      <c r="N20" s="455">
        <v>0.11</v>
      </c>
      <c r="O20" s="456" t="e">
        <f t="shared" ca="1" si="0"/>
        <v>#DIV/0!</v>
      </c>
      <c r="P20" s="96"/>
    </row>
    <row r="21" spans="1:16" ht="15.6">
      <c r="H21" s="244"/>
      <c r="J21" s="450" t="s">
        <v>27</v>
      </c>
      <c r="M21" s="246" t="e">
        <f t="shared" ca="1" si="1"/>
        <v>#DIV/0!</v>
      </c>
      <c r="N21" s="455">
        <v>0.11</v>
      </c>
      <c r="O21" s="456" t="e">
        <f t="shared" ca="1" si="0"/>
        <v>#DIV/0!</v>
      </c>
      <c r="P21" s="96"/>
    </row>
    <row r="22" spans="1:16" ht="15.6">
      <c r="A22" s="105" t="e">
        <f ca="1">'7-Geveldelen  en wanden'!B4</f>
        <v>#VALUE!</v>
      </c>
      <c r="H22" s="244">
        <f>'7-Geveldelen  en wanden'!P40</f>
        <v>0</v>
      </c>
      <c r="J22" s="450" t="s">
        <v>28</v>
      </c>
      <c r="M22" s="246" t="e">
        <f t="shared" ca="1" si="1"/>
        <v>#DIV/0!</v>
      </c>
      <c r="N22" s="455">
        <v>0.11</v>
      </c>
      <c r="O22" s="456" t="e">
        <f t="shared" ca="1" si="0"/>
        <v>#DIV/0!</v>
      </c>
      <c r="P22" s="96"/>
    </row>
    <row r="23" spans="1:16" ht="15.6">
      <c r="A23" s="105"/>
      <c r="H23" s="244"/>
      <c r="J23" s="450" t="s">
        <v>29</v>
      </c>
      <c r="M23" s="246" t="e">
        <f t="shared" ca="1" si="1"/>
        <v>#DIV/0!</v>
      </c>
      <c r="N23" s="455">
        <v>0.11</v>
      </c>
      <c r="O23" s="456" t="e">
        <f t="shared" ca="1" si="0"/>
        <v>#DIV/0!</v>
      </c>
      <c r="P23" s="96"/>
    </row>
    <row r="24" spans="1:16" ht="15.6">
      <c r="A24" s="105" t="e">
        <f ca="1">'8b-Glas kosten totaal'!C4</f>
        <v>#VALUE!</v>
      </c>
      <c r="H24" s="244">
        <f ca="1">'8b-Glas kosten totaal'!M72</f>
        <v>0</v>
      </c>
      <c r="J24" s="450" t="s">
        <v>30</v>
      </c>
      <c r="M24" s="246" t="e">
        <f t="shared" ca="1" si="1"/>
        <v>#DIV/0!</v>
      </c>
      <c r="N24" s="455">
        <v>0.11</v>
      </c>
      <c r="O24" s="457" t="e">
        <f t="shared" ca="1" si="0"/>
        <v>#DIV/0!</v>
      </c>
      <c r="P24" s="96"/>
    </row>
    <row r="25" spans="1:16">
      <c r="A25" s="105"/>
      <c r="H25" s="244"/>
      <c r="J25" s="465" t="s">
        <v>31</v>
      </c>
      <c r="K25" s="461"/>
      <c r="L25" s="461"/>
      <c r="M25" s="462"/>
      <c r="N25" s="463">
        <f>SUM(N16:N24)</f>
        <v>0.99999999999999989</v>
      </c>
      <c r="O25" s="464" t="e">
        <f ca="1">SUM(O16:O24)</f>
        <v>#DIV/0!</v>
      </c>
      <c r="P25" s="432"/>
    </row>
    <row r="26" spans="1:16" ht="15.6">
      <c r="A26" s="105" t="e">
        <f ca="1">'9-Machinekosten'!B4</f>
        <v>#VALUE!</v>
      </c>
      <c r="H26" s="244">
        <f>'9-Machinekosten'!P39</f>
        <v>0</v>
      </c>
      <c r="J26" s="458"/>
      <c r="K26" s="459"/>
      <c r="L26" s="459"/>
      <c r="M26" s="459"/>
      <c r="N26" s="459"/>
      <c r="O26" s="460"/>
      <c r="P26" s="96"/>
    </row>
    <row r="27" spans="1:16" ht="15.6">
      <c r="H27" s="244"/>
      <c r="J27" s="181"/>
      <c r="M27" s="181"/>
      <c r="N27" s="181"/>
      <c r="O27" s="181"/>
      <c r="P27" s="96"/>
    </row>
    <row r="28" spans="1:16" ht="15.6">
      <c r="A28" s="105" t="e">
        <f ca="1">'10a-Periodieke beurt'!C4</f>
        <v>#VALUE!</v>
      </c>
      <c r="H28" s="244">
        <f>'10a-Periodieke beurt'!Q66</f>
        <v>0</v>
      </c>
      <c r="P28" s="96"/>
    </row>
    <row r="29" spans="1:16" ht="15.6">
      <c r="H29" s="244"/>
      <c r="P29" s="96"/>
    </row>
    <row r="30" spans="1:16" ht="15.6">
      <c r="A30" s="105" t="e">
        <f ca="1">'12-Gelijkrichter stations'!C4</f>
        <v>#VALUE!</v>
      </c>
      <c r="H30" s="244">
        <f>'12-Gelijkrichter stations'!K37</f>
        <v>0</v>
      </c>
      <c r="P30" s="96"/>
    </row>
    <row r="31" spans="1:16" ht="15.6">
      <c r="H31" s="244"/>
      <c r="P31" s="96"/>
    </row>
    <row r="32" spans="1:16" ht="15.6">
      <c r="A32" s="105" t="e">
        <f ca="1">'13- Technischeruimten'!C4</f>
        <v>#VALUE!</v>
      </c>
      <c r="H32" s="244" t="e">
        <f>'13- Technischeruimten'!I50</f>
        <v>#DIV/0!</v>
      </c>
      <c r="P32" s="96"/>
    </row>
    <row r="33" spans="1:16" ht="15.6">
      <c r="A33" s="105"/>
      <c r="H33" s="407"/>
      <c r="P33" s="96"/>
    </row>
    <row r="34" spans="1:16" ht="15.6">
      <c r="A34" s="466"/>
      <c r="B34" s="467"/>
      <c r="C34" s="467"/>
      <c r="D34" s="467"/>
      <c r="E34" s="467"/>
      <c r="F34" s="467"/>
      <c r="G34" s="467"/>
      <c r="H34" s="468"/>
      <c r="P34" s="96"/>
    </row>
    <row r="35" spans="1:16" ht="15.6">
      <c r="E35" s="594" t="s">
        <v>32</v>
      </c>
      <c r="F35" s="594" t="s">
        <v>33</v>
      </c>
      <c r="P35" s="96"/>
    </row>
    <row r="36" spans="1:16" ht="15.6">
      <c r="A36" s="105" t="s">
        <v>34</v>
      </c>
      <c r="E36" s="595">
        <v>0</v>
      </c>
      <c r="F36" s="596">
        <v>0</v>
      </c>
      <c r="G36" s="283"/>
      <c r="H36" s="284">
        <f>F36*E36*52</f>
        <v>0</v>
      </c>
      <c r="P36" s="96"/>
    </row>
    <row r="37" spans="1:16" ht="15.6">
      <c r="A37" s="105"/>
      <c r="H37" s="244"/>
      <c r="P37" s="96"/>
    </row>
    <row r="38" spans="1:16" ht="15.6">
      <c r="A38" s="597" t="s">
        <v>35</v>
      </c>
      <c r="B38" s="598"/>
      <c r="C38" s="598"/>
      <c r="D38" s="598"/>
      <c r="E38" s="599"/>
      <c r="F38" s="598" t="s">
        <v>36</v>
      </c>
      <c r="G38" s="598"/>
      <c r="H38" s="600" t="e">
        <f ca="1">SUM(H16:H37)</f>
        <v>#DIV/0!</v>
      </c>
      <c r="P38" s="96"/>
    </row>
    <row r="39" spans="1:16" ht="15.6">
      <c r="A39" s="103" t="s">
        <v>37</v>
      </c>
      <c r="G39" s="106">
        <v>0.21</v>
      </c>
      <c r="H39" s="245" t="e">
        <f ca="1">G39*H38</f>
        <v>#DIV/0!</v>
      </c>
      <c r="P39" s="96"/>
    </row>
    <row r="40" spans="1:16" ht="15.6">
      <c r="A40" s="103" t="s">
        <v>38</v>
      </c>
      <c r="H40" s="246" t="e">
        <f ca="1">H38+H39</f>
        <v>#DIV/0!</v>
      </c>
      <c r="P40" s="96"/>
    </row>
    <row r="41" spans="1:16" ht="15.6">
      <c r="A41" s="103"/>
      <c r="H41" s="246"/>
      <c r="J41" s="438"/>
      <c r="K41" s="438"/>
      <c r="L41" s="438"/>
      <c r="M41" s="438"/>
      <c r="N41" s="438"/>
      <c r="O41" s="438"/>
      <c r="P41" s="96"/>
    </row>
    <row r="42" spans="1:16" s="437" customFormat="1">
      <c r="A42" s="436" t="s">
        <v>39</v>
      </c>
      <c r="H42" s="601">
        <v>0</v>
      </c>
      <c r="J42" s="90"/>
      <c r="K42" s="90"/>
      <c r="L42" s="90"/>
      <c r="M42" s="90"/>
      <c r="N42" s="90"/>
      <c r="O42" s="90"/>
    </row>
    <row r="43" spans="1:16" ht="15.6">
      <c r="P43" s="96"/>
    </row>
    <row r="44" spans="1:16" ht="15.6">
      <c r="A44" s="557" t="s">
        <v>40</v>
      </c>
      <c r="B44" s="558"/>
      <c r="C44" s="558"/>
      <c r="D44" s="558"/>
      <c r="E44" s="558"/>
      <c r="F44" s="558"/>
      <c r="G44" s="558"/>
      <c r="H44" s="559"/>
      <c r="P44" s="96"/>
    </row>
    <row r="45" spans="1:16" ht="15.6">
      <c r="A45" s="560"/>
      <c r="B45" s="561"/>
      <c r="C45" s="561"/>
      <c r="D45" s="561"/>
      <c r="E45" s="561"/>
      <c r="F45" s="561"/>
      <c r="G45" s="561"/>
      <c r="H45" s="562"/>
      <c r="P45" s="96"/>
    </row>
    <row r="46" spans="1:16">
      <c r="A46" s="107"/>
      <c r="B46" s="107"/>
      <c r="C46" s="107"/>
      <c r="D46" s="107"/>
      <c r="E46" s="107"/>
      <c r="F46" s="107"/>
      <c r="G46" s="107"/>
      <c r="H46" s="247"/>
    </row>
    <row r="47" spans="1:16">
      <c r="A47" s="557" t="s">
        <v>41</v>
      </c>
      <c r="B47" s="558"/>
      <c r="C47" s="558"/>
      <c r="D47" s="558"/>
      <c r="E47" s="558"/>
      <c r="F47" s="558"/>
      <c r="G47" s="558"/>
      <c r="H47" s="559"/>
    </row>
    <row r="48" spans="1:16">
      <c r="A48" s="560"/>
      <c r="B48" s="561"/>
      <c r="C48" s="561"/>
      <c r="D48" s="561"/>
      <c r="E48" s="561"/>
      <c r="F48" s="561"/>
      <c r="G48" s="561"/>
      <c r="H48" s="562"/>
    </row>
    <row r="52" spans="1:8" ht="24.75" customHeight="1">
      <c r="A52" s="602" t="s">
        <v>42</v>
      </c>
      <c r="B52" s="603"/>
      <c r="C52" s="604"/>
      <c r="D52" s="605"/>
      <c r="E52" s="606"/>
      <c r="F52" s="607"/>
      <c r="G52" s="607"/>
      <c r="H52" s="607"/>
    </row>
    <row r="53" spans="1:8" ht="74.25" customHeight="1">
      <c r="A53" s="602" t="s">
        <v>43</v>
      </c>
      <c r="B53" s="608"/>
      <c r="C53" s="609"/>
      <c r="D53" s="610"/>
      <c r="E53" s="607"/>
      <c r="F53" s="607"/>
      <c r="G53" s="607"/>
      <c r="H53" s="607"/>
    </row>
    <row r="54" spans="1:8" ht="24.75" customHeight="1">
      <c r="A54" s="602" t="s">
        <v>44</v>
      </c>
      <c r="B54" s="608"/>
      <c r="C54" s="609"/>
      <c r="D54" s="610"/>
      <c r="E54" s="607"/>
      <c r="F54" s="607"/>
      <c r="G54" s="607"/>
      <c r="H54" s="607"/>
    </row>
    <row r="55" spans="1:8" ht="24.75" customHeight="1">
      <c r="A55" s="602" t="s">
        <v>45</v>
      </c>
      <c r="B55" s="608"/>
      <c r="C55" s="609"/>
      <c r="D55" s="610"/>
      <c r="E55" s="607"/>
      <c r="F55" s="607"/>
      <c r="G55" s="607"/>
      <c r="H55" s="607"/>
    </row>
    <row r="56" spans="1:8" ht="24.75" customHeight="1">
      <c r="A56" s="602" t="s">
        <v>46</v>
      </c>
      <c r="B56" s="608"/>
      <c r="C56" s="609"/>
      <c r="D56" s="610"/>
      <c r="E56" s="607"/>
      <c r="F56" s="607"/>
      <c r="G56" s="607"/>
      <c r="H56" s="607"/>
    </row>
  </sheetData>
  <mergeCells count="15">
    <mergeCell ref="J12:O12"/>
    <mergeCell ref="B54:D54"/>
    <mergeCell ref="B55:D55"/>
    <mergeCell ref="B56:D56"/>
    <mergeCell ref="B7:D7"/>
    <mergeCell ref="A44:H45"/>
    <mergeCell ref="A47:H48"/>
    <mergeCell ref="A12:H12"/>
    <mergeCell ref="E52:H52"/>
    <mergeCell ref="E53:H53"/>
    <mergeCell ref="E54:H54"/>
    <mergeCell ref="E55:H55"/>
    <mergeCell ref="E56:H56"/>
    <mergeCell ref="B52:D52"/>
    <mergeCell ref="B53:D53"/>
  </mergeCells>
  <pageMargins left="0.70866141732283472" right="0.70866141732283472" top="0.74803149606299213" bottom="0.74803149606299213" header="0.31496062992125984" footer="0.31496062992125984"/>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S41"/>
  <sheetViews>
    <sheetView showGridLines="0" zoomScale="86" zoomScaleNormal="86" workbookViewId="0">
      <pane ySplit="10" topLeftCell="A11" activePane="bottomLeft" state="frozen"/>
      <selection pane="bottomLeft" activeCell="O14" sqref="O14:O19"/>
      <selection activeCell="A872" sqref="A872"/>
    </sheetView>
  </sheetViews>
  <sheetFormatPr defaultColWidth="9.140625" defaultRowHeight="13.15"/>
  <cols>
    <col min="1" max="1" width="35.7109375" style="43" bestFit="1" customWidth="1"/>
    <col min="2" max="2" width="25.42578125" style="43" customWidth="1"/>
    <col min="3" max="3" width="13.42578125" style="43" bestFit="1" customWidth="1"/>
    <col min="4" max="4" width="11.28515625" style="43" bestFit="1" customWidth="1"/>
    <col min="5" max="5" width="13.42578125" style="43" bestFit="1" customWidth="1"/>
    <col min="6" max="6" width="7.140625" style="43" customWidth="1"/>
    <col min="7" max="7" width="11.7109375" style="43" bestFit="1" customWidth="1"/>
    <col min="8" max="8" width="12.140625" style="43" bestFit="1" customWidth="1"/>
    <col min="9" max="9" width="11" style="43" bestFit="1" customWidth="1"/>
    <col min="10" max="10" width="11.5703125" style="43" customWidth="1"/>
    <col min="11" max="11" width="9.7109375" style="43" customWidth="1"/>
    <col min="12" max="12" width="1.7109375" style="43" customWidth="1"/>
    <col min="13" max="13" width="16.140625" style="43" customWidth="1"/>
    <col min="14" max="14" width="1.5703125" style="43" customWidth="1"/>
    <col min="15" max="15" width="9.7109375" style="43" customWidth="1"/>
    <col min="16" max="16" width="19.140625" style="43" customWidth="1"/>
    <col min="17" max="18" width="9.140625" style="43"/>
    <col min="19" max="19" width="11.85546875" style="43" bestFit="1" customWidth="1"/>
    <col min="20" max="16384" width="9.140625" style="43"/>
  </cols>
  <sheetData>
    <row r="1" spans="1:19">
      <c r="A1" s="588" t="s">
        <v>0</v>
      </c>
      <c r="B1" s="192"/>
    </row>
    <row r="2" spans="1:19">
      <c r="A2" s="192"/>
      <c r="B2" s="192"/>
    </row>
    <row r="3" spans="1:19" ht="15.6">
      <c r="A3" s="111" t="s">
        <v>1</v>
      </c>
      <c r="B3" s="174" t="str">
        <f>'11b- Afroepprijs Algemeen'!B3</f>
        <v>GVB Infra B.V.</v>
      </c>
    </row>
    <row r="4" spans="1:19" ht="15.6">
      <c r="A4" s="111" t="s">
        <v>918</v>
      </c>
      <c r="B4" s="174" t="e">
        <f ca="1">MID(CELL("bestandsnaam",$C$9),SEARCH("]",CELL("bestandsnaam",$C$9),1)+1,256)</f>
        <v>#VALUE!</v>
      </c>
    </row>
    <row r="5" spans="1:19" ht="15.6">
      <c r="A5" s="115" t="str">
        <f>'2-Kosten per locatie'!A4</f>
        <v>Gebouw/plaats</v>
      </c>
      <c r="B5" s="161" t="str">
        <f>'2-Kosten per locatie'!C4</f>
        <v>Diverse</v>
      </c>
    </row>
    <row r="6" spans="1:19" ht="15.6">
      <c r="A6" s="115" t="str">
        <f>'2-Kosten per locatie'!A5</f>
        <v>Besteknummer</v>
      </c>
      <c r="B6" s="161" t="str">
        <f>'1-Inschrijfstaat'!B6</f>
        <v>2024-20</v>
      </c>
    </row>
    <row r="7" spans="1:19" ht="15.6">
      <c r="A7" s="115" t="str">
        <f>'2-Kosten per locatie'!A6</f>
        <v>Naam leverancier</v>
      </c>
      <c r="B7" s="161">
        <f>'1-Inschrijfstaat'!B7:D7</f>
        <v>0</v>
      </c>
    </row>
    <row r="8" spans="1:19" ht="15.6">
      <c r="A8" s="115" t="str">
        <f>'2-Kosten per locatie'!A7</f>
        <v>Prijspeil</v>
      </c>
      <c r="B8" s="136" t="str">
        <f>'1-Inschrijfstaat'!B8</f>
        <v>1 januari 2025</v>
      </c>
    </row>
    <row r="9" spans="1:19" ht="15.6">
      <c r="A9" s="115" t="str">
        <f>'2-Kosten per locatie'!A8</f>
        <v>Perceel</v>
      </c>
      <c r="B9" s="393" t="str">
        <f>'1-Inschrijfstaat'!B9</f>
        <v>2 Specialistiche schoonmaak</v>
      </c>
    </row>
    <row r="10" spans="1:19" ht="15.6">
      <c r="A10" s="165"/>
      <c r="B10" s="189"/>
    </row>
    <row r="11" spans="1:19" ht="6.75" customHeight="1"/>
    <row r="12" spans="1:19" s="193" customFormat="1" ht="156.75" customHeight="1">
      <c r="A12" s="750" t="s">
        <v>1207</v>
      </c>
      <c r="B12" s="750" t="s">
        <v>18</v>
      </c>
      <c r="C12" s="751" t="s">
        <v>1208</v>
      </c>
      <c r="D12" s="751" t="s">
        <v>1209</v>
      </c>
      <c r="E12" s="751" t="s">
        <v>1210</v>
      </c>
      <c r="F12" s="751" t="s">
        <v>1211</v>
      </c>
      <c r="G12" s="751" t="s">
        <v>1212</v>
      </c>
      <c r="H12" s="751" t="s">
        <v>1213</v>
      </c>
      <c r="I12" s="751" t="s">
        <v>1214</v>
      </c>
      <c r="J12" s="751" t="s">
        <v>1215</v>
      </c>
      <c r="K12" s="751" t="s">
        <v>1216</v>
      </c>
      <c r="L12" s="260"/>
      <c r="M12" s="750" t="s">
        <v>1217</v>
      </c>
      <c r="N12" s="260"/>
      <c r="O12" s="751" t="s">
        <v>1218</v>
      </c>
      <c r="P12" s="750" t="s">
        <v>1219</v>
      </c>
    </row>
    <row r="13" spans="1:19">
      <c r="C13" s="292"/>
      <c r="D13" s="292"/>
      <c r="E13" s="269"/>
      <c r="F13" s="292"/>
      <c r="G13" s="292"/>
      <c r="H13" s="73"/>
      <c r="I13" s="293"/>
      <c r="J13" s="293"/>
      <c r="K13" s="293"/>
      <c r="L13" s="73"/>
      <c r="M13" s="270"/>
      <c r="N13" s="73"/>
      <c r="O13" s="269"/>
      <c r="P13" s="73"/>
    </row>
    <row r="14" spans="1:19">
      <c r="A14" s="752"/>
      <c r="B14" s="753"/>
      <c r="C14" s="754"/>
      <c r="D14" s="754"/>
      <c r="E14" s="755">
        <f>C14-D14</f>
        <v>0</v>
      </c>
      <c r="F14" s="756"/>
      <c r="G14" s="754"/>
      <c r="H14" s="757">
        <f>IF(F14=0,0,(E14-G14)/F14)</f>
        <v>0</v>
      </c>
      <c r="I14" s="617">
        <f>C14*$I$13</f>
        <v>0</v>
      </c>
      <c r="J14" s="757">
        <f>C14*$J$13</f>
        <v>0</v>
      </c>
      <c r="K14" s="758">
        <f>$K$13*C14</f>
        <v>0</v>
      </c>
      <c r="L14" s="73"/>
      <c r="M14" s="759">
        <f>SUM(H14:K14)</f>
        <v>0</v>
      </c>
      <c r="N14" s="73"/>
      <c r="O14" s="760"/>
      <c r="P14" s="757">
        <f>M14*O14</f>
        <v>0</v>
      </c>
      <c r="S14" s="169"/>
    </row>
    <row r="15" spans="1:19">
      <c r="A15" s="752"/>
      <c r="B15" s="753"/>
      <c r="C15" s="754"/>
      <c r="D15" s="754"/>
      <c r="E15" s="755">
        <f t="shared" ref="E15:E35" si="0">C15-D15</f>
        <v>0</v>
      </c>
      <c r="F15" s="756"/>
      <c r="G15" s="754"/>
      <c r="H15" s="757">
        <f t="shared" ref="H15:H35" si="1">IF(F15=0,0,(E15-G15)/F15)</f>
        <v>0</v>
      </c>
      <c r="I15" s="617">
        <f t="shared" ref="I15:I35" si="2">C15*$I$13</f>
        <v>0</v>
      </c>
      <c r="J15" s="757">
        <f t="shared" ref="J15:J35" si="3">C15*$J$13</f>
        <v>0</v>
      </c>
      <c r="K15" s="758">
        <f t="shared" ref="K15:K35" si="4">$K$13*C15</f>
        <v>0</v>
      </c>
      <c r="L15" s="73"/>
      <c r="M15" s="759">
        <f t="shared" ref="M15:M35" si="5">SUM(H15:K15)</f>
        <v>0</v>
      </c>
      <c r="N15" s="73"/>
      <c r="O15" s="760"/>
      <c r="P15" s="757">
        <f t="shared" ref="P15:P35" si="6">M15*O15</f>
        <v>0</v>
      </c>
      <c r="S15" s="169"/>
    </row>
    <row r="16" spans="1:19">
      <c r="A16" s="752"/>
      <c r="B16" s="753"/>
      <c r="C16" s="754"/>
      <c r="D16" s="754"/>
      <c r="E16" s="755">
        <f t="shared" si="0"/>
        <v>0</v>
      </c>
      <c r="F16" s="756"/>
      <c r="G16" s="754"/>
      <c r="H16" s="757">
        <f t="shared" si="1"/>
        <v>0</v>
      </c>
      <c r="I16" s="617">
        <f t="shared" si="2"/>
        <v>0</v>
      </c>
      <c r="J16" s="757">
        <f t="shared" si="3"/>
        <v>0</v>
      </c>
      <c r="K16" s="758">
        <f t="shared" si="4"/>
        <v>0</v>
      </c>
      <c r="L16" s="73"/>
      <c r="M16" s="759">
        <f t="shared" si="5"/>
        <v>0</v>
      </c>
      <c r="N16" s="73"/>
      <c r="O16" s="760"/>
      <c r="P16" s="757">
        <f t="shared" si="6"/>
        <v>0</v>
      </c>
    </row>
    <row r="17" spans="1:16">
      <c r="A17" s="752"/>
      <c r="B17" s="753"/>
      <c r="C17" s="754"/>
      <c r="D17" s="754"/>
      <c r="E17" s="755">
        <f t="shared" si="0"/>
        <v>0</v>
      </c>
      <c r="F17" s="756"/>
      <c r="G17" s="754"/>
      <c r="H17" s="757">
        <f t="shared" si="1"/>
        <v>0</v>
      </c>
      <c r="I17" s="617">
        <f t="shared" si="2"/>
        <v>0</v>
      </c>
      <c r="J17" s="757">
        <f t="shared" si="3"/>
        <v>0</v>
      </c>
      <c r="K17" s="758">
        <f t="shared" si="4"/>
        <v>0</v>
      </c>
      <c r="L17" s="73"/>
      <c r="M17" s="759">
        <f t="shared" si="5"/>
        <v>0</v>
      </c>
      <c r="N17" s="73"/>
      <c r="O17" s="760"/>
      <c r="P17" s="757">
        <f t="shared" si="6"/>
        <v>0</v>
      </c>
    </row>
    <row r="18" spans="1:16">
      <c r="A18" s="752"/>
      <c r="B18" s="753"/>
      <c r="C18" s="754"/>
      <c r="D18" s="754"/>
      <c r="E18" s="755">
        <f t="shared" si="0"/>
        <v>0</v>
      </c>
      <c r="F18" s="756"/>
      <c r="G18" s="754"/>
      <c r="H18" s="757">
        <f t="shared" si="1"/>
        <v>0</v>
      </c>
      <c r="I18" s="617">
        <f t="shared" si="2"/>
        <v>0</v>
      </c>
      <c r="J18" s="757">
        <f t="shared" si="3"/>
        <v>0</v>
      </c>
      <c r="K18" s="758">
        <f t="shared" si="4"/>
        <v>0</v>
      </c>
      <c r="L18" s="73"/>
      <c r="M18" s="759">
        <f t="shared" si="5"/>
        <v>0</v>
      </c>
      <c r="N18" s="73"/>
      <c r="O18" s="760"/>
      <c r="P18" s="757">
        <f t="shared" si="6"/>
        <v>0</v>
      </c>
    </row>
    <row r="19" spans="1:16">
      <c r="A19" s="752"/>
      <c r="B19" s="753"/>
      <c r="C19" s="754"/>
      <c r="D19" s="754"/>
      <c r="E19" s="755">
        <f t="shared" si="0"/>
        <v>0</v>
      </c>
      <c r="F19" s="756"/>
      <c r="G19" s="754"/>
      <c r="H19" s="757">
        <f t="shared" si="1"/>
        <v>0</v>
      </c>
      <c r="I19" s="617">
        <f t="shared" si="2"/>
        <v>0</v>
      </c>
      <c r="J19" s="757">
        <f t="shared" si="3"/>
        <v>0</v>
      </c>
      <c r="K19" s="758">
        <f t="shared" si="4"/>
        <v>0</v>
      </c>
      <c r="L19" s="73"/>
      <c r="M19" s="759">
        <f t="shared" si="5"/>
        <v>0</v>
      </c>
      <c r="N19" s="73"/>
      <c r="O19" s="760"/>
      <c r="P19" s="757">
        <f t="shared" si="6"/>
        <v>0</v>
      </c>
    </row>
    <row r="20" spans="1:16">
      <c r="A20" s="752"/>
      <c r="B20" s="753"/>
      <c r="C20" s="754"/>
      <c r="D20" s="754"/>
      <c r="E20" s="755">
        <f t="shared" si="0"/>
        <v>0</v>
      </c>
      <c r="F20" s="756"/>
      <c r="G20" s="754"/>
      <c r="H20" s="757">
        <f t="shared" si="1"/>
        <v>0</v>
      </c>
      <c r="I20" s="617">
        <f t="shared" si="2"/>
        <v>0</v>
      </c>
      <c r="J20" s="757">
        <f t="shared" si="3"/>
        <v>0</v>
      </c>
      <c r="K20" s="758">
        <f t="shared" si="4"/>
        <v>0</v>
      </c>
      <c r="L20" s="73"/>
      <c r="M20" s="759">
        <f t="shared" si="5"/>
        <v>0</v>
      </c>
      <c r="N20" s="73"/>
      <c r="O20" s="760"/>
      <c r="P20" s="757">
        <f t="shared" si="6"/>
        <v>0</v>
      </c>
    </row>
    <row r="21" spans="1:16">
      <c r="A21" s="752"/>
      <c r="B21" s="753"/>
      <c r="C21" s="754"/>
      <c r="D21" s="754"/>
      <c r="E21" s="755">
        <f t="shared" si="0"/>
        <v>0</v>
      </c>
      <c r="F21" s="756"/>
      <c r="G21" s="754"/>
      <c r="H21" s="757">
        <f t="shared" si="1"/>
        <v>0</v>
      </c>
      <c r="I21" s="617">
        <f t="shared" si="2"/>
        <v>0</v>
      </c>
      <c r="J21" s="757">
        <f t="shared" si="3"/>
        <v>0</v>
      </c>
      <c r="K21" s="758">
        <f t="shared" si="4"/>
        <v>0</v>
      </c>
      <c r="L21" s="73"/>
      <c r="M21" s="759">
        <f t="shared" si="5"/>
        <v>0</v>
      </c>
      <c r="N21" s="73"/>
      <c r="O21" s="760"/>
      <c r="P21" s="757">
        <f t="shared" si="6"/>
        <v>0</v>
      </c>
    </row>
    <row r="22" spans="1:16">
      <c r="A22" s="752"/>
      <c r="B22" s="753"/>
      <c r="C22" s="754"/>
      <c r="D22" s="754"/>
      <c r="E22" s="755">
        <f t="shared" si="0"/>
        <v>0</v>
      </c>
      <c r="F22" s="756"/>
      <c r="G22" s="754"/>
      <c r="H22" s="757">
        <f t="shared" si="1"/>
        <v>0</v>
      </c>
      <c r="I22" s="617">
        <f t="shared" si="2"/>
        <v>0</v>
      </c>
      <c r="J22" s="757">
        <f t="shared" si="3"/>
        <v>0</v>
      </c>
      <c r="K22" s="758">
        <f t="shared" si="4"/>
        <v>0</v>
      </c>
      <c r="L22" s="73"/>
      <c r="M22" s="759">
        <f t="shared" si="5"/>
        <v>0</v>
      </c>
      <c r="N22" s="73"/>
      <c r="O22" s="760"/>
      <c r="P22" s="757">
        <f t="shared" si="6"/>
        <v>0</v>
      </c>
    </row>
    <row r="23" spans="1:16">
      <c r="A23" s="752"/>
      <c r="B23" s="753"/>
      <c r="C23" s="754"/>
      <c r="D23" s="754"/>
      <c r="E23" s="755">
        <f t="shared" si="0"/>
        <v>0</v>
      </c>
      <c r="F23" s="756"/>
      <c r="G23" s="754"/>
      <c r="H23" s="757">
        <f t="shared" si="1"/>
        <v>0</v>
      </c>
      <c r="I23" s="617">
        <f t="shared" si="2"/>
        <v>0</v>
      </c>
      <c r="J23" s="757">
        <f t="shared" si="3"/>
        <v>0</v>
      </c>
      <c r="K23" s="758">
        <f t="shared" si="4"/>
        <v>0</v>
      </c>
      <c r="L23" s="73"/>
      <c r="M23" s="759">
        <f t="shared" si="5"/>
        <v>0</v>
      </c>
      <c r="N23" s="73"/>
      <c r="O23" s="760"/>
      <c r="P23" s="757">
        <f t="shared" si="6"/>
        <v>0</v>
      </c>
    </row>
    <row r="24" spans="1:16">
      <c r="A24" s="752"/>
      <c r="B24" s="753"/>
      <c r="C24" s="754"/>
      <c r="D24" s="754"/>
      <c r="E24" s="755">
        <f t="shared" si="0"/>
        <v>0</v>
      </c>
      <c r="F24" s="756"/>
      <c r="G24" s="754"/>
      <c r="H24" s="757">
        <f t="shared" si="1"/>
        <v>0</v>
      </c>
      <c r="I24" s="617">
        <f t="shared" si="2"/>
        <v>0</v>
      </c>
      <c r="J24" s="757">
        <f t="shared" si="3"/>
        <v>0</v>
      </c>
      <c r="K24" s="758">
        <f t="shared" si="4"/>
        <v>0</v>
      </c>
      <c r="L24" s="73"/>
      <c r="M24" s="759">
        <f t="shared" si="5"/>
        <v>0</v>
      </c>
      <c r="N24" s="73"/>
      <c r="O24" s="760"/>
      <c r="P24" s="757">
        <f t="shared" si="6"/>
        <v>0</v>
      </c>
    </row>
    <row r="25" spans="1:16">
      <c r="A25" s="752"/>
      <c r="B25" s="753"/>
      <c r="C25" s="754"/>
      <c r="D25" s="754"/>
      <c r="E25" s="755">
        <f t="shared" si="0"/>
        <v>0</v>
      </c>
      <c r="F25" s="756"/>
      <c r="G25" s="754"/>
      <c r="H25" s="757">
        <f t="shared" si="1"/>
        <v>0</v>
      </c>
      <c r="I25" s="617">
        <f t="shared" si="2"/>
        <v>0</v>
      </c>
      <c r="J25" s="757">
        <f t="shared" si="3"/>
        <v>0</v>
      </c>
      <c r="K25" s="758">
        <f t="shared" si="4"/>
        <v>0</v>
      </c>
      <c r="L25" s="73"/>
      <c r="M25" s="759">
        <f t="shared" si="5"/>
        <v>0</v>
      </c>
      <c r="N25" s="73"/>
      <c r="O25" s="760"/>
      <c r="P25" s="757">
        <f t="shared" si="6"/>
        <v>0</v>
      </c>
    </row>
    <row r="26" spans="1:16">
      <c r="A26" s="752"/>
      <c r="B26" s="753"/>
      <c r="C26" s="754"/>
      <c r="D26" s="754"/>
      <c r="E26" s="755">
        <f t="shared" si="0"/>
        <v>0</v>
      </c>
      <c r="F26" s="756"/>
      <c r="G26" s="754"/>
      <c r="H26" s="757">
        <f t="shared" si="1"/>
        <v>0</v>
      </c>
      <c r="I26" s="617">
        <f t="shared" si="2"/>
        <v>0</v>
      </c>
      <c r="J26" s="757">
        <f t="shared" si="3"/>
        <v>0</v>
      </c>
      <c r="K26" s="758">
        <f t="shared" si="4"/>
        <v>0</v>
      </c>
      <c r="L26" s="73"/>
      <c r="M26" s="759">
        <f t="shared" si="5"/>
        <v>0</v>
      </c>
      <c r="N26" s="73"/>
      <c r="O26" s="760"/>
      <c r="P26" s="757">
        <f t="shared" si="6"/>
        <v>0</v>
      </c>
    </row>
    <row r="27" spans="1:16">
      <c r="A27" s="752"/>
      <c r="B27" s="753"/>
      <c r="C27" s="754"/>
      <c r="D27" s="754"/>
      <c r="E27" s="755">
        <f t="shared" si="0"/>
        <v>0</v>
      </c>
      <c r="F27" s="756"/>
      <c r="G27" s="754"/>
      <c r="H27" s="757">
        <f t="shared" si="1"/>
        <v>0</v>
      </c>
      <c r="I27" s="617">
        <f t="shared" si="2"/>
        <v>0</v>
      </c>
      <c r="J27" s="757">
        <f t="shared" si="3"/>
        <v>0</v>
      </c>
      <c r="K27" s="758">
        <f t="shared" si="4"/>
        <v>0</v>
      </c>
      <c r="L27" s="73"/>
      <c r="M27" s="759">
        <f t="shared" si="5"/>
        <v>0</v>
      </c>
      <c r="N27" s="73"/>
      <c r="O27" s="760"/>
      <c r="P27" s="757">
        <f t="shared" si="6"/>
        <v>0</v>
      </c>
    </row>
    <row r="28" spans="1:16">
      <c r="A28" s="752"/>
      <c r="B28" s="753"/>
      <c r="C28" s="754"/>
      <c r="D28" s="754"/>
      <c r="E28" s="755">
        <f t="shared" si="0"/>
        <v>0</v>
      </c>
      <c r="F28" s="756"/>
      <c r="G28" s="754"/>
      <c r="H28" s="757">
        <f t="shared" si="1"/>
        <v>0</v>
      </c>
      <c r="I28" s="617">
        <f t="shared" si="2"/>
        <v>0</v>
      </c>
      <c r="J28" s="757">
        <f t="shared" si="3"/>
        <v>0</v>
      </c>
      <c r="K28" s="758">
        <f t="shared" si="4"/>
        <v>0</v>
      </c>
      <c r="L28" s="73"/>
      <c r="M28" s="759">
        <f t="shared" si="5"/>
        <v>0</v>
      </c>
      <c r="N28" s="73"/>
      <c r="O28" s="760"/>
      <c r="P28" s="757">
        <f t="shared" si="6"/>
        <v>0</v>
      </c>
    </row>
    <row r="29" spans="1:16">
      <c r="A29" s="752"/>
      <c r="B29" s="753"/>
      <c r="C29" s="754"/>
      <c r="D29" s="754"/>
      <c r="E29" s="755">
        <f t="shared" si="0"/>
        <v>0</v>
      </c>
      <c r="F29" s="756"/>
      <c r="G29" s="754"/>
      <c r="H29" s="757">
        <f t="shared" si="1"/>
        <v>0</v>
      </c>
      <c r="I29" s="617">
        <f t="shared" si="2"/>
        <v>0</v>
      </c>
      <c r="J29" s="757">
        <f t="shared" si="3"/>
        <v>0</v>
      </c>
      <c r="K29" s="758">
        <f t="shared" si="4"/>
        <v>0</v>
      </c>
      <c r="L29" s="73"/>
      <c r="M29" s="759">
        <f t="shared" si="5"/>
        <v>0</v>
      </c>
      <c r="N29" s="73"/>
      <c r="O29" s="760"/>
      <c r="P29" s="757">
        <f t="shared" si="6"/>
        <v>0</v>
      </c>
    </row>
    <row r="30" spans="1:16">
      <c r="A30" s="752"/>
      <c r="B30" s="753"/>
      <c r="C30" s="754"/>
      <c r="D30" s="754"/>
      <c r="E30" s="755">
        <f t="shared" si="0"/>
        <v>0</v>
      </c>
      <c r="F30" s="756"/>
      <c r="G30" s="754"/>
      <c r="H30" s="757">
        <f t="shared" si="1"/>
        <v>0</v>
      </c>
      <c r="I30" s="617">
        <f t="shared" si="2"/>
        <v>0</v>
      </c>
      <c r="J30" s="757">
        <f t="shared" si="3"/>
        <v>0</v>
      </c>
      <c r="K30" s="758">
        <f t="shared" si="4"/>
        <v>0</v>
      </c>
      <c r="L30" s="73"/>
      <c r="M30" s="759">
        <f t="shared" si="5"/>
        <v>0</v>
      </c>
      <c r="N30" s="73"/>
      <c r="O30" s="760"/>
      <c r="P30" s="757">
        <f t="shared" si="6"/>
        <v>0</v>
      </c>
    </row>
    <row r="31" spans="1:16">
      <c r="A31" s="752"/>
      <c r="B31" s="753"/>
      <c r="C31" s="754"/>
      <c r="D31" s="754"/>
      <c r="E31" s="755">
        <f t="shared" si="0"/>
        <v>0</v>
      </c>
      <c r="F31" s="756"/>
      <c r="G31" s="754"/>
      <c r="H31" s="757">
        <f t="shared" si="1"/>
        <v>0</v>
      </c>
      <c r="I31" s="617">
        <f t="shared" si="2"/>
        <v>0</v>
      </c>
      <c r="J31" s="757">
        <f t="shared" si="3"/>
        <v>0</v>
      </c>
      <c r="K31" s="758">
        <f t="shared" si="4"/>
        <v>0</v>
      </c>
      <c r="L31" s="73"/>
      <c r="M31" s="759">
        <f t="shared" si="5"/>
        <v>0</v>
      </c>
      <c r="N31" s="73"/>
      <c r="O31" s="760"/>
      <c r="P31" s="757">
        <f t="shared" si="6"/>
        <v>0</v>
      </c>
    </row>
    <row r="32" spans="1:16">
      <c r="A32" s="752"/>
      <c r="B32" s="753"/>
      <c r="C32" s="754"/>
      <c r="D32" s="754"/>
      <c r="E32" s="755">
        <f t="shared" si="0"/>
        <v>0</v>
      </c>
      <c r="F32" s="756"/>
      <c r="G32" s="754"/>
      <c r="H32" s="757">
        <f t="shared" si="1"/>
        <v>0</v>
      </c>
      <c r="I32" s="617">
        <f t="shared" si="2"/>
        <v>0</v>
      </c>
      <c r="J32" s="757">
        <f t="shared" si="3"/>
        <v>0</v>
      </c>
      <c r="K32" s="758">
        <f t="shared" si="4"/>
        <v>0</v>
      </c>
      <c r="L32" s="73"/>
      <c r="M32" s="759">
        <f t="shared" si="5"/>
        <v>0</v>
      </c>
      <c r="N32" s="73"/>
      <c r="O32" s="760"/>
      <c r="P32" s="757">
        <f t="shared" si="6"/>
        <v>0</v>
      </c>
    </row>
    <row r="33" spans="1:16">
      <c r="A33" s="752"/>
      <c r="B33" s="753"/>
      <c r="C33" s="754"/>
      <c r="D33" s="754"/>
      <c r="E33" s="755">
        <f t="shared" si="0"/>
        <v>0</v>
      </c>
      <c r="F33" s="756"/>
      <c r="G33" s="754"/>
      <c r="H33" s="757">
        <f t="shared" si="1"/>
        <v>0</v>
      </c>
      <c r="I33" s="617">
        <f t="shared" si="2"/>
        <v>0</v>
      </c>
      <c r="J33" s="757">
        <f t="shared" si="3"/>
        <v>0</v>
      </c>
      <c r="K33" s="758">
        <f t="shared" si="4"/>
        <v>0</v>
      </c>
      <c r="L33" s="73"/>
      <c r="M33" s="759">
        <f t="shared" si="5"/>
        <v>0</v>
      </c>
      <c r="N33" s="73"/>
      <c r="O33" s="760"/>
      <c r="P33" s="757">
        <f t="shared" si="6"/>
        <v>0</v>
      </c>
    </row>
    <row r="34" spans="1:16">
      <c r="A34" s="752"/>
      <c r="B34" s="753"/>
      <c r="C34" s="754"/>
      <c r="D34" s="754"/>
      <c r="E34" s="755">
        <f t="shared" si="0"/>
        <v>0</v>
      </c>
      <c r="F34" s="756"/>
      <c r="G34" s="754"/>
      <c r="H34" s="757">
        <f t="shared" si="1"/>
        <v>0</v>
      </c>
      <c r="I34" s="617">
        <f t="shared" si="2"/>
        <v>0</v>
      </c>
      <c r="J34" s="757">
        <f t="shared" si="3"/>
        <v>0</v>
      </c>
      <c r="K34" s="758">
        <f t="shared" si="4"/>
        <v>0</v>
      </c>
      <c r="L34" s="73"/>
      <c r="M34" s="759">
        <f t="shared" si="5"/>
        <v>0</v>
      </c>
      <c r="N34" s="73"/>
      <c r="O34" s="760"/>
      <c r="P34" s="757">
        <f t="shared" si="6"/>
        <v>0</v>
      </c>
    </row>
    <row r="35" spans="1:16">
      <c r="A35" s="752"/>
      <c r="B35" s="753"/>
      <c r="C35" s="754"/>
      <c r="D35" s="754"/>
      <c r="E35" s="755">
        <f t="shared" si="0"/>
        <v>0</v>
      </c>
      <c r="F35" s="756"/>
      <c r="G35" s="754"/>
      <c r="H35" s="757">
        <f t="shared" si="1"/>
        <v>0</v>
      </c>
      <c r="I35" s="617">
        <f t="shared" si="2"/>
        <v>0</v>
      </c>
      <c r="J35" s="757">
        <f t="shared" si="3"/>
        <v>0</v>
      </c>
      <c r="K35" s="758">
        <f t="shared" si="4"/>
        <v>0</v>
      </c>
      <c r="L35" s="73"/>
      <c r="M35" s="759">
        <f t="shared" si="5"/>
        <v>0</v>
      </c>
      <c r="N35" s="73"/>
      <c r="O35" s="760"/>
      <c r="P35" s="757">
        <f t="shared" si="6"/>
        <v>0</v>
      </c>
    </row>
    <row r="36" spans="1:16">
      <c r="A36" s="752"/>
      <c r="B36" s="753"/>
      <c r="C36" s="754"/>
      <c r="D36" s="754"/>
      <c r="E36" s="755">
        <f>C36-D36</f>
        <v>0</v>
      </c>
      <c r="F36" s="756"/>
      <c r="G36" s="754"/>
      <c r="H36" s="757">
        <f>IF(F36=0,0,(E36-G36)/F36)</f>
        <v>0</v>
      </c>
      <c r="I36" s="617">
        <f>C36*$I$13</f>
        <v>0</v>
      </c>
      <c r="J36" s="757">
        <f>C36*$J$13</f>
        <v>0</v>
      </c>
      <c r="K36" s="758">
        <f>$K$13*C36</f>
        <v>0</v>
      </c>
      <c r="L36" s="73"/>
      <c r="M36" s="759">
        <f>SUM(H36:K36)</f>
        <v>0</v>
      </c>
      <c r="N36" s="73"/>
      <c r="O36" s="760"/>
      <c r="P36" s="757">
        <f>M36*O36</f>
        <v>0</v>
      </c>
    </row>
    <row r="37" spans="1:16">
      <c r="A37" s="752"/>
      <c r="B37" s="753"/>
      <c r="C37" s="754"/>
      <c r="D37" s="754"/>
      <c r="E37" s="755">
        <f>C37-D37</f>
        <v>0</v>
      </c>
      <c r="F37" s="756"/>
      <c r="G37" s="754"/>
      <c r="H37" s="757">
        <f>IF(F37=0,0,(E37-G37)/F37)</f>
        <v>0</v>
      </c>
      <c r="I37" s="617">
        <f>C37*$I$13</f>
        <v>0</v>
      </c>
      <c r="J37" s="757">
        <f>C37*$J$13</f>
        <v>0</v>
      </c>
      <c r="K37" s="758">
        <f>$K$13*C37</f>
        <v>0</v>
      </c>
      <c r="L37" s="73"/>
      <c r="M37" s="759">
        <f>SUM(H37:K37)</f>
        <v>0</v>
      </c>
      <c r="N37" s="73"/>
      <c r="O37" s="760"/>
      <c r="P37" s="757">
        <f>M37*O37</f>
        <v>0</v>
      </c>
    </row>
    <row r="38" spans="1:16">
      <c r="C38" s="73"/>
      <c r="D38" s="73"/>
      <c r="E38" s="73"/>
      <c r="F38" s="73"/>
      <c r="G38" s="73"/>
      <c r="H38" s="73"/>
      <c r="I38" s="73"/>
      <c r="J38" s="73"/>
      <c r="K38" s="73"/>
      <c r="L38" s="73"/>
      <c r="M38" s="73"/>
      <c r="N38" s="73"/>
      <c r="O38" s="73"/>
      <c r="P38" s="73"/>
    </row>
    <row r="39" spans="1:16">
      <c r="A39" s="761" t="s">
        <v>917</v>
      </c>
      <c r="B39" s="762"/>
      <c r="C39" s="763"/>
      <c r="D39" s="763"/>
      <c r="E39" s="763"/>
      <c r="F39" s="763"/>
      <c r="G39" s="763"/>
      <c r="H39" s="763"/>
      <c r="I39" s="763"/>
      <c r="J39" s="763"/>
      <c r="K39" s="764"/>
      <c r="L39" s="73"/>
      <c r="M39" s="73"/>
      <c r="N39" s="73"/>
      <c r="O39" s="765">
        <f>SUM(O14:O37)</f>
        <v>0</v>
      </c>
      <c r="P39" s="766">
        <f>SUM(P14:P37)</f>
        <v>0</v>
      </c>
    </row>
    <row r="40" spans="1:16">
      <c r="A40" s="132"/>
      <c r="B40" s="132"/>
      <c r="C40" s="132"/>
      <c r="D40" s="132"/>
      <c r="E40" s="132"/>
      <c r="F40" s="132"/>
      <c r="G40" s="132"/>
      <c r="H40" s="132"/>
      <c r="I40" s="132"/>
      <c r="J40" s="132"/>
      <c r="K40" s="132"/>
      <c r="O40" s="194"/>
      <c r="P40" s="195"/>
    </row>
    <row r="41" spans="1:16">
      <c r="A41" s="403" t="s">
        <v>1220</v>
      </c>
    </row>
  </sheetData>
  <pageMargins left="0.70866141732283472" right="0.70866141732283472" top="0.74803149606299213" bottom="0.74803149606299213" header="0.31496062992125984" footer="0.31496062992125984"/>
  <pageSetup paperSize="9"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Y68"/>
  <sheetViews>
    <sheetView showGridLines="0" zoomScale="87" zoomScaleNormal="87" workbookViewId="0">
      <pane ySplit="18" topLeftCell="A19" activePane="bottomLeft" state="frozen"/>
      <selection pane="bottomLeft" activeCell="F25" sqref="F25"/>
      <selection activeCell="A872" sqref="A872"/>
    </sheetView>
  </sheetViews>
  <sheetFormatPr defaultColWidth="8.7109375" defaultRowHeight="13.15"/>
  <cols>
    <col min="1" max="1" width="17.7109375" style="108" customWidth="1"/>
    <col min="2" max="2" width="21.42578125" style="187" bestFit="1" customWidth="1"/>
    <col min="3" max="4" width="21.42578125" style="187" customWidth="1"/>
    <col min="5" max="5" width="18" style="108" customWidth="1"/>
    <col min="6" max="6" width="21.5703125" style="108" customWidth="1"/>
    <col min="7" max="7" width="13.42578125" style="108" customWidth="1"/>
    <col min="8" max="8" width="13.140625" style="108" customWidth="1"/>
    <col min="9" max="9" width="12.28515625" style="108" customWidth="1"/>
    <col min="10" max="12" width="13.28515625" style="108" customWidth="1"/>
    <col min="13" max="13" width="19.7109375" style="108" customWidth="1"/>
    <col min="14" max="14" width="7.5703125" style="188" customWidth="1"/>
    <col min="15" max="15" width="14.140625" style="188" customWidth="1"/>
    <col min="16" max="16" width="14.7109375" style="188" customWidth="1"/>
    <col min="17" max="17" width="16.28515625" style="108" customWidth="1"/>
    <col min="18" max="18" width="2" style="108" customWidth="1"/>
    <col min="19" max="19" width="3.85546875" style="108" customWidth="1"/>
    <col min="20" max="20" width="13.85546875" style="108" bestFit="1" customWidth="1"/>
    <col min="21" max="21" width="11.7109375" style="108" bestFit="1" customWidth="1"/>
    <col min="22" max="22" width="8.7109375" style="108"/>
    <col min="23" max="23" width="13.85546875" style="108" bestFit="1" customWidth="1"/>
    <col min="24" max="16384" width="8.7109375" style="108"/>
  </cols>
  <sheetData>
    <row r="1" spans="1:16">
      <c r="A1" s="767" t="s">
        <v>0</v>
      </c>
    </row>
    <row r="2" spans="1:16">
      <c r="M2" s="188"/>
      <c r="N2" s="108"/>
      <c r="O2" s="108"/>
      <c r="P2" s="108"/>
    </row>
    <row r="3" spans="1:16" ht="15.6">
      <c r="A3" s="115" t="s">
        <v>1</v>
      </c>
      <c r="C3" s="161" t="str">
        <f>'1-Inschrijfstaat'!B3</f>
        <v>GVB Infra B.V.</v>
      </c>
      <c r="M3" s="188"/>
      <c r="N3" s="108"/>
      <c r="O3" s="108"/>
      <c r="P3" s="108"/>
    </row>
    <row r="4" spans="1:16" ht="15.6">
      <c r="A4" s="115" t="s">
        <v>3</v>
      </c>
      <c r="C4" s="161" t="e">
        <f ca="1">MID(CELL("bestandsnaam",$D$12),SEARCH("]",CELL("bestandsnaam",$D$12),1)+1,256)</f>
        <v>#VALUE!</v>
      </c>
      <c r="M4" s="188"/>
      <c r="N4" s="108"/>
      <c r="O4" s="108"/>
      <c r="P4" s="108"/>
    </row>
    <row r="5" spans="1:16" ht="15.6">
      <c r="A5" s="115" t="s">
        <v>4</v>
      </c>
      <c r="C5" s="161" t="str">
        <f>'1-Inschrijfstaat'!B5</f>
        <v>Diverse</v>
      </c>
      <c r="M5" s="188"/>
      <c r="N5" s="108"/>
      <c r="O5" s="108"/>
      <c r="P5" s="108"/>
    </row>
    <row r="6" spans="1:16" ht="15.6">
      <c r="A6" s="115" t="s">
        <v>47</v>
      </c>
      <c r="C6" s="161" t="str">
        <f>'1-Inschrijfstaat'!B6</f>
        <v>2024-20</v>
      </c>
      <c r="M6" s="188"/>
      <c r="N6" s="108"/>
      <c r="O6" s="108"/>
      <c r="P6" s="108"/>
    </row>
    <row r="7" spans="1:16" ht="15.6">
      <c r="A7" s="115" t="s">
        <v>8</v>
      </c>
      <c r="C7" s="161">
        <f>'1-Inschrijfstaat'!B7</f>
        <v>0</v>
      </c>
      <c r="M7" s="188"/>
      <c r="N7" s="108"/>
      <c r="O7" s="108"/>
      <c r="P7" s="108"/>
    </row>
    <row r="8" spans="1:16" ht="15.6">
      <c r="A8" s="115" t="s">
        <v>9</v>
      </c>
      <c r="C8" s="136" t="str">
        <f>'1-Inschrijfstaat'!B8</f>
        <v>1 januari 2025</v>
      </c>
      <c r="M8" s="188"/>
      <c r="N8" s="108"/>
      <c r="O8" s="108"/>
      <c r="P8" s="108"/>
    </row>
    <row r="9" spans="1:16" ht="15.6">
      <c r="A9" s="115" t="s">
        <v>11</v>
      </c>
      <c r="C9" s="393" t="str">
        <f>'1-Inschrijfstaat'!B9</f>
        <v>2 Specialistiche schoonmaak</v>
      </c>
      <c r="M9" s="188"/>
      <c r="N9" s="108"/>
      <c r="O9" s="108"/>
      <c r="P9" s="108"/>
    </row>
    <row r="10" spans="1:16" s="158" customFormat="1" ht="15.6">
      <c r="A10" s="12" t="s">
        <v>892</v>
      </c>
      <c r="B10" s="119"/>
      <c r="C10" s="161" t="s">
        <v>893</v>
      </c>
      <c r="H10" s="108"/>
      <c r="M10" s="159"/>
    </row>
    <row r="11" spans="1:16" ht="15.6">
      <c r="A11" s="165"/>
      <c r="C11" s="189"/>
      <c r="M11" s="188"/>
      <c r="N11" s="108"/>
      <c r="O11" s="108"/>
      <c r="P11" s="108"/>
    </row>
    <row r="12" spans="1:16" ht="13.5" customHeight="1">
      <c r="A12" s="768" t="s">
        <v>896</v>
      </c>
      <c r="B12" s="768"/>
      <c r="C12" s="250" t="s">
        <v>897</v>
      </c>
      <c r="D12" s="649" t="s">
        <v>898</v>
      </c>
      <c r="M12" s="188"/>
      <c r="N12" s="108"/>
      <c r="O12" s="108"/>
      <c r="P12" s="108"/>
    </row>
    <row r="13" spans="1:16">
      <c r="A13" s="769" t="s">
        <v>899</v>
      </c>
      <c r="B13" s="769"/>
      <c r="C13" s="651" t="s">
        <v>900</v>
      </c>
      <c r="D13" s="770"/>
      <c r="M13" s="188"/>
      <c r="N13" s="108"/>
      <c r="O13" s="108"/>
      <c r="P13" s="108"/>
    </row>
    <row r="14" spans="1:16">
      <c r="A14" s="769" t="s">
        <v>899</v>
      </c>
      <c r="B14" s="769"/>
      <c r="C14" s="651" t="s">
        <v>901</v>
      </c>
      <c r="D14" s="770"/>
      <c r="M14" s="188"/>
      <c r="N14" s="108"/>
      <c r="O14" s="108"/>
      <c r="P14" s="108"/>
    </row>
    <row r="15" spans="1:16" ht="13.5" customHeight="1">
      <c r="A15" s="769" t="s">
        <v>1221</v>
      </c>
      <c r="B15" s="769"/>
      <c r="C15" s="651" t="s">
        <v>900</v>
      </c>
      <c r="D15" s="770"/>
      <c r="M15" s="188"/>
      <c r="N15" s="108"/>
      <c r="O15" s="108"/>
      <c r="P15" s="108"/>
    </row>
    <row r="16" spans="1:16" ht="13.5" customHeight="1">
      <c r="A16" s="769" t="s">
        <v>1221</v>
      </c>
      <c r="B16" s="769"/>
      <c r="C16" s="651" t="s">
        <v>901</v>
      </c>
      <c r="D16" s="770"/>
      <c r="M16" s="188"/>
      <c r="N16" s="108"/>
      <c r="O16" s="108"/>
      <c r="P16" s="108"/>
    </row>
    <row r="17" spans="1:18" ht="15.6">
      <c r="A17" s="165"/>
      <c r="B17" s="189"/>
      <c r="C17" s="189"/>
    </row>
    <row r="18" spans="1:18" ht="64.900000000000006" customHeight="1">
      <c r="A18" s="698" t="s">
        <v>49</v>
      </c>
      <c r="B18" s="649" t="s">
        <v>50</v>
      </c>
      <c r="C18" s="649" t="s">
        <v>11</v>
      </c>
      <c r="D18" s="649" t="s">
        <v>51</v>
      </c>
      <c r="E18" s="649" t="s">
        <v>1222</v>
      </c>
      <c r="F18" s="649" t="s">
        <v>1223</v>
      </c>
      <c r="G18" s="649" t="s">
        <v>1224</v>
      </c>
      <c r="H18" s="649" t="s">
        <v>1225</v>
      </c>
      <c r="I18" s="649" t="s">
        <v>1226</v>
      </c>
      <c r="J18" s="649" t="s">
        <v>1227</v>
      </c>
      <c r="K18" s="649" t="s">
        <v>1228</v>
      </c>
      <c r="L18" s="649" t="s">
        <v>1229</v>
      </c>
      <c r="M18" s="649" t="s">
        <v>1230</v>
      </c>
      <c r="N18" s="771" t="s">
        <v>1231</v>
      </c>
      <c r="O18" s="649" t="s">
        <v>1232</v>
      </c>
      <c r="P18" s="649" t="s">
        <v>1233</v>
      </c>
      <c r="Q18" s="649" t="s">
        <v>17</v>
      </c>
    </row>
    <row r="19" spans="1:18">
      <c r="A19" s="544">
        <v>107</v>
      </c>
      <c r="B19" s="551" t="s">
        <v>64</v>
      </c>
      <c r="C19" s="680">
        <f>VLOOKUP(A19,'2-Kosten per locatie'!$A$13:$C$88,3,FALSE)</f>
        <v>2</v>
      </c>
      <c r="D19" s="540" t="str">
        <f ca="1">VLOOKUP(A19,'3-Ruimtestaat'!B:D,3,FALSE)</f>
        <v>Oostlijn bovengronds</v>
      </c>
      <c r="E19" s="772"/>
      <c r="F19" s="772"/>
      <c r="G19" s="773">
        <f t="shared" ref="G19:G64" si="0">$D$13</f>
        <v>0</v>
      </c>
      <c r="H19" s="773">
        <f t="shared" ref="H19:H64" si="1">$D$15</f>
        <v>0</v>
      </c>
      <c r="I19" s="773">
        <f t="shared" ref="I19:I20" si="2">$D$14</f>
        <v>0</v>
      </c>
      <c r="J19" s="773">
        <f t="shared" ref="J19:J20" si="3">$D$16</f>
        <v>0</v>
      </c>
      <c r="K19" s="774">
        <v>0.4</v>
      </c>
      <c r="L19" s="774">
        <v>0.6</v>
      </c>
      <c r="M19" s="775">
        <f>SUMIF('10b-Bereikbaarheidsvoorz.'!B:B,'10a-Periodieke beurt'!B19,'10b-Bereikbaarheidsvoorz.'!H:H)</f>
        <v>0</v>
      </c>
      <c r="N19" s="776" t="s">
        <v>1197</v>
      </c>
      <c r="O19" s="777">
        <f t="shared" ref="O19:O20" si="4">(((E19*G19)+(F19*H19))*N19)+(M19*N19)</f>
        <v>0</v>
      </c>
      <c r="P19" s="777">
        <f t="shared" ref="P19:P20" si="5">(((E19*I19)+(F19*J19))*N19)+(M19*N19)</f>
        <v>0</v>
      </c>
      <c r="Q19" s="777">
        <f t="shared" ref="Q19:Q20" si="6">(O19*K19)+(P19*L19)</f>
        <v>0</v>
      </c>
      <c r="R19" s="271"/>
    </row>
    <row r="20" spans="1:18">
      <c r="A20" s="544">
        <v>108</v>
      </c>
      <c r="B20" s="551" t="s">
        <v>65</v>
      </c>
      <c r="C20" s="680">
        <f>VLOOKUP(A20,'2-Kosten per locatie'!$A$13:$C$88,3,FALSE)</f>
        <v>2</v>
      </c>
      <c r="D20" s="540" t="str">
        <f ca="1">VLOOKUP(A20,'3-Ruimtestaat'!B:D,3,FALSE)</f>
        <v>Oostlijn bovengronds</v>
      </c>
      <c r="E20" s="772"/>
      <c r="F20" s="772"/>
      <c r="G20" s="773">
        <f t="shared" si="0"/>
        <v>0</v>
      </c>
      <c r="H20" s="773">
        <f t="shared" si="1"/>
        <v>0</v>
      </c>
      <c r="I20" s="773">
        <f t="shared" si="2"/>
        <v>0</v>
      </c>
      <c r="J20" s="773">
        <f t="shared" si="3"/>
        <v>0</v>
      </c>
      <c r="K20" s="774">
        <v>0.4</v>
      </c>
      <c r="L20" s="774">
        <v>0.6</v>
      </c>
      <c r="M20" s="775">
        <f>SUMIF('10b-Bereikbaarheidsvoorz.'!B:B,'10a-Periodieke beurt'!B20,'10b-Bereikbaarheidsvoorz.'!H:H)</f>
        <v>0</v>
      </c>
      <c r="N20" s="776" t="s">
        <v>1197</v>
      </c>
      <c r="O20" s="777">
        <f t="shared" si="4"/>
        <v>0</v>
      </c>
      <c r="P20" s="777">
        <f t="shared" si="5"/>
        <v>0</v>
      </c>
      <c r="Q20" s="777">
        <f t="shared" si="6"/>
        <v>0</v>
      </c>
      <c r="R20" s="271"/>
    </row>
    <row r="21" spans="1:18">
      <c r="A21" s="544">
        <v>110</v>
      </c>
      <c r="B21" s="551" t="s">
        <v>67</v>
      </c>
      <c r="C21" s="680">
        <f>VLOOKUP(A21,'2-Kosten per locatie'!$A$13:$C$88,3,FALSE)</f>
        <v>2</v>
      </c>
      <c r="D21" s="540" t="str">
        <f ca="1">VLOOKUP(A21,'3-Ruimtestaat'!B:D,3,FALSE)</f>
        <v>Oostlijn bovengronds</v>
      </c>
      <c r="E21" s="772"/>
      <c r="F21" s="772"/>
      <c r="G21" s="773">
        <f t="shared" si="0"/>
        <v>0</v>
      </c>
      <c r="H21" s="773">
        <f t="shared" si="1"/>
        <v>0</v>
      </c>
      <c r="I21" s="773">
        <f>$D$14</f>
        <v>0</v>
      </c>
      <c r="J21" s="773">
        <f>$D$16</f>
        <v>0</v>
      </c>
      <c r="K21" s="774">
        <v>0.4</v>
      </c>
      <c r="L21" s="774">
        <v>0.6</v>
      </c>
      <c r="M21" s="777">
        <f>SUMIF('10b-Bereikbaarheidsvoorz.'!B:B,'10a-Periodieke beurt'!B21,'10b-Bereikbaarheidsvoorz.'!H:H)</f>
        <v>0</v>
      </c>
      <c r="N21" s="776" t="s">
        <v>1197</v>
      </c>
      <c r="O21" s="777">
        <f t="shared" ref="O21:O64" si="7">(((E21*G21)+(F21*H21))*N21)+(M21*N21)</f>
        <v>0</v>
      </c>
      <c r="P21" s="777">
        <f t="shared" ref="P21" si="8">(((E21*I21)+(F21*J21))*N21)+(M21*N21)</f>
        <v>0</v>
      </c>
      <c r="Q21" s="777">
        <f t="shared" ref="Q21:Q64" si="9">(O21*K21)+(P21*L21)</f>
        <v>0</v>
      </c>
      <c r="R21" s="271"/>
    </row>
    <row r="22" spans="1:18">
      <c r="A22" s="544">
        <v>111</v>
      </c>
      <c r="B22" s="551" t="s">
        <v>68</v>
      </c>
      <c r="C22" s="680">
        <f>VLOOKUP(A22,'2-Kosten per locatie'!$A$13:$C$88,3,FALSE)</f>
        <v>2</v>
      </c>
      <c r="D22" s="540" t="str">
        <f ca="1">VLOOKUP(A22,'3-Ruimtestaat'!B:D,3,FALSE)</f>
        <v>Oostlijn bovengronds</v>
      </c>
      <c r="E22" s="772"/>
      <c r="F22" s="772"/>
      <c r="G22" s="773">
        <f t="shared" si="0"/>
        <v>0</v>
      </c>
      <c r="H22" s="773">
        <f t="shared" si="1"/>
        <v>0</v>
      </c>
      <c r="I22" s="773">
        <f t="shared" ref="I22:I64" si="10">$D$14</f>
        <v>0</v>
      </c>
      <c r="J22" s="773">
        <f t="shared" ref="J22:J64" si="11">$D$16</f>
        <v>0</v>
      </c>
      <c r="K22" s="774">
        <v>0.4</v>
      </c>
      <c r="L22" s="774">
        <v>0.6</v>
      </c>
      <c r="M22" s="777">
        <f>SUMIF('10b-Bereikbaarheidsvoorz.'!B:B,'10a-Periodieke beurt'!B22,'10b-Bereikbaarheidsvoorz.'!H:H)</f>
        <v>0</v>
      </c>
      <c r="N22" s="776" t="s">
        <v>1234</v>
      </c>
      <c r="O22" s="777">
        <f t="shared" si="7"/>
        <v>0</v>
      </c>
      <c r="P22" s="777">
        <f t="shared" ref="P22:P64" si="12">(((E22*I22)+(F22*J22))*N22)+(M22*N22)</f>
        <v>0</v>
      </c>
      <c r="Q22" s="777">
        <f t="shared" si="9"/>
        <v>0</v>
      </c>
      <c r="R22" s="271"/>
    </row>
    <row r="23" spans="1:18">
      <c r="A23" s="544">
        <v>112</v>
      </c>
      <c r="B23" s="551" t="s">
        <v>69</v>
      </c>
      <c r="C23" s="680">
        <f>VLOOKUP(A23,'2-Kosten per locatie'!$A$13:$C$88,3,FALSE)</f>
        <v>2</v>
      </c>
      <c r="D23" s="540" t="str">
        <f ca="1">VLOOKUP(A23,'3-Ruimtestaat'!B:D,3,FALSE)</f>
        <v>Oostlijn bovengronds</v>
      </c>
      <c r="E23" s="772"/>
      <c r="F23" s="772"/>
      <c r="G23" s="773">
        <f t="shared" si="0"/>
        <v>0</v>
      </c>
      <c r="H23" s="773">
        <f t="shared" si="1"/>
        <v>0</v>
      </c>
      <c r="I23" s="773">
        <f t="shared" si="10"/>
        <v>0</v>
      </c>
      <c r="J23" s="773">
        <f t="shared" si="11"/>
        <v>0</v>
      </c>
      <c r="K23" s="774">
        <v>0.4</v>
      </c>
      <c r="L23" s="774">
        <v>0.6</v>
      </c>
      <c r="M23" s="777">
        <f>SUMIF('10b-Bereikbaarheidsvoorz.'!B:B,'10a-Periodieke beurt'!B23,'10b-Bereikbaarheidsvoorz.'!H:H)</f>
        <v>0</v>
      </c>
      <c r="N23" s="776" t="s">
        <v>1197</v>
      </c>
      <c r="O23" s="777">
        <f t="shared" si="7"/>
        <v>0</v>
      </c>
      <c r="P23" s="777">
        <f t="shared" si="12"/>
        <v>0</v>
      </c>
      <c r="Q23" s="777">
        <f t="shared" si="9"/>
        <v>0</v>
      </c>
      <c r="R23" s="271"/>
    </row>
    <row r="24" spans="1:18">
      <c r="A24" s="544">
        <v>113</v>
      </c>
      <c r="B24" s="551" t="s">
        <v>70</v>
      </c>
      <c r="C24" s="680">
        <f>VLOOKUP(A24,'2-Kosten per locatie'!$A$13:$C$88,3,FALSE)</f>
        <v>2</v>
      </c>
      <c r="D24" s="540" t="str">
        <f ca="1">VLOOKUP(A24,'3-Ruimtestaat'!B:D,3,FALSE)</f>
        <v>Oostlijn bovengronds</v>
      </c>
      <c r="E24" s="772"/>
      <c r="F24" s="772"/>
      <c r="G24" s="773">
        <f t="shared" si="0"/>
        <v>0</v>
      </c>
      <c r="H24" s="773">
        <f t="shared" si="1"/>
        <v>0</v>
      </c>
      <c r="I24" s="773">
        <f t="shared" si="10"/>
        <v>0</v>
      </c>
      <c r="J24" s="773">
        <f t="shared" si="11"/>
        <v>0</v>
      </c>
      <c r="K24" s="774">
        <v>0.4</v>
      </c>
      <c r="L24" s="774">
        <v>0.6</v>
      </c>
      <c r="M24" s="777">
        <f>SUMIF('10b-Bereikbaarheidsvoorz.'!B:B,'10a-Periodieke beurt'!B24,'10b-Bereikbaarheidsvoorz.'!H:H)</f>
        <v>0</v>
      </c>
      <c r="N24" s="776" t="s">
        <v>1197</v>
      </c>
      <c r="O24" s="777">
        <f t="shared" si="7"/>
        <v>0</v>
      </c>
      <c r="P24" s="777">
        <f t="shared" si="12"/>
        <v>0</v>
      </c>
      <c r="Q24" s="777">
        <f t="shared" si="9"/>
        <v>0</v>
      </c>
      <c r="R24" s="271"/>
    </row>
    <row r="25" spans="1:18">
      <c r="A25" s="544">
        <v>114</v>
      </c>
      <c r="B25" s="551" t="s">
        <v>71</v>
      </c>
      <c r="C25" s="680">
        <f>VLOOKUP(A25,'2-Kosten per locatie'!$A$13:$C$88,3,FALSE)</f>
        <v>2</v>
      </c>
      <c r="D25" s="540" t="str">
        <f ca="1">VLOOKUP(A25,'3-Ruimtestaat'!B:D,3,FALSE)</f>
        <v>Oostlijn bovengronds</v>
      </c>
      <c r="E25" s="772"/>
      <c r="F25" s="772"/>
      <c r="G25" s="773">
        <f t="shared" si="0"/>
        <v>0</v>
      </c>
      <c r="H25" s="773">
        <f t="shared" si="1"/>
        <v>0</v>
      </c>
      <c r="I25" s="773">
        <f t="shared" si="10"/>
        <v>0</v>
      </c>
      <c r="J25" s="773">
        <f t="shared" si="11"/>
        <v>0</v>
      </c>
      <c r="K25" s="774">
        <v>0.4</v>
      </c>
      <c r="L25" s="774">
        <v>0.6</v>
      </c>
      <c r="M25" s="777">
        <f>SUMIF('10b-Bereikbaarheidsvoorz.'!B:B,'10a-Periodieke beurt'!B25,'10b-Bereikbaarheidsvoorz.'!H:H)</f>
        <v>0</v>
      </c>
      <c r="N25" s="776" t="s">
        <v>1197</v>
      </c>
      <c r="O25" s="777">
        <f t="shared" si="7"/>
        <v>0</v>
      </c>
      <c r="P25" s="777">
        <f t="shared" si="12"/>
        <v>0</v>
      </c>
      <c r="Q25" s="777">
        <f t="shared" si="9"/>
        <v>0</v>
      </c>
      <c r="R25" s="271"/>
    </row>
    <row r="26" spans="1:18">
      <c r="A26" s="544">
        <v>115</v>
      </c>
      <c r="B26" s="551" t="s">
        <v>72</v>
      </c>
      <c r="C26" s="680">
        <f>VLOOKUP(A26,'2-Kosten per locatie'!$A$13:$C$88,3,FALSE)</f>
        <v>2</v>
      </c>
      <c r="D26" s="540" t="str">
        <f ca="1">VLOOKUP(A26,'3-Ruimtestaat'!B:D,3,FALSE)</f>
        <v>Oostlijn Bovengronds</v>
      </c>
      <c r="E26" s="772"/>
      <c r="F26" s="772"/>
      <c r="G26" s="773">
        <f t="shared" si="0"/>
        <v>0</v>
      </c>
      <c r="H26" s="773">
        <f t="shared" si="1"/>
        <v>0</v>
      </c>
      <c r="I26" s="773">
        <f t="shared" si="10"/>
        <v>0</v>
      </c>
      <c r="J26" s="773">
        <f t="shared" si="11"/>
        <v>0</v>
      </c>
      <c r="K26" s="774">
        <v>0.4</v>
      </c>
      <c r="L26" s="774">
        <v>0.6</v>
      </c>
      <c r="M26" s="777">
        <f>SUMIF('10b-Bereikbaarheidsvoorz.'!B:B,'10a-Periodieke beurt'!B26,'10b-Bereikbaarheidsvoorz.'!H:H)</f>
        <v>0</v>
      </c>
      <c r="N26" s="776" t="s">
        <v>1197</v>
      </c>
      <c r="O26" s="777">
        <f t="shared" si="7"/>
        <v>0</v>
      </c>
      <c r="P26" s="777">
        <f t="shared" si="12"/>
        <v>0</v>
      </c>
      <c r="Q26" s="777">
        <f t="shared" si="9"/>
        <v>0</v>
      </c>
      <c r="R26" s="271"/>
    </row>
    <row r="27" spans="1:18">
      <c r="A27" s="544">
        <v>116</v>
      </c>
      <c r="B27" s="551" t="s">
        <v>73</v>
      </c>
      <c r="C27" s="680">
        <f>VLOOKUP(A27,'2-Kosten per locatie'!$A$13:$C$88,3,FALSE)</f>
        <v>2</v>
      </c>
      <c r="D27" s="540" t="str">
        <f ca="1">VLOOKUP(A27,'3-Ruimtestaat'!B:D,3,FALSE)</f>
        <v>Oostlijn bovengronds</v>
      </c>
      <c r="E27" s="772"/>
      <c r="F27" s="772"/>
      <c r="G27" s="773">
        <f t="shared" si="0"/>
        <v>0</v>
      </c>
      <c r="H27" s="773">
        <f t="shared" si="1"/>
        <v>0</v>
      </c>
      <c r="I27" s="773">
        <f t="shared" si="10"/>
        <v>0</v>
      </c>
      <c r="J27" s="773">
        <f t="shared" si="11"/>
        <v>0</v>
      </c>
      <c r="K27" s="774">
        <v>0.4</v>
      </c>
      <c r="L27" s="774">
        <v>0.6</v>
      </c>
      <c r="M27" s="777">
        <f>SUMIF('10b-Bereikbaarheidsvoorz.'!B:B,'10a-Periodieke beurt'!B27,'10b-Bereikbaarheidsvoorz.'!H:H)</f>
        <v>0</v>
      </c>
      <c r="N27" s="776" t="s">
        <v>1197</v>
      </c>
      <c r="O27" s="777">
        <f t="shared" ref="O27:O32" si="13">(((E27*G27)+(F27*H27))*N27)+(M27*N27)</f>
        <v>0</v>
      </c>
      <c r="P27" s="777">
        <f t="shared" ref="P27:P32" si="14">(((E27*I27)+(F27*J27))*N27)+(M27*N27)</f>
        <v>0</v>
      </c>
      <c r="Q27" s="777">
        <f t="shared" ref="Q27:Q32" si="15">(O27*K27)+(P27*L27)</f>
        <v>0</v>
      </c>
      <c r="R27" s="271"/>
    </row>
    <row r="28" spans="1:18">
      <c r="A28" s="544">
        <v>117</v>
      </c>
      <c r="B28" s="551" t="s">
        <v>74</v>
      </c>
      <c r="C28" s="680">
        <f>VLOOKUP(A28,'2-Kosten per locatie'!$A$13:$C$88,3,FALSE)</f>
        <v>2</v>
      </c>
      <c r="D28" s="540" t="str">
        <f ca="1">VLOOKUP(A28,'3-Ruimtestaat'!B:D,3,FALSE)</f>
        <v>Oostlijn bovengronds</v>
      </c>
      <c r="E28" s="772"/>
      <c r="F28" s="772"/>
      <c r="G28" s="773">
        <f t="shared" si="0"/>
        <v>0</v>
      </c>
      <c r="H28" s="773">
        <f t="shared" si="1"/>
        <v>0</v>
      </c>
      <c r="I28" s="773">
        <f t="shared" si="10"/>
        <v>0</v>
      </c>
      <c r="J28" s="773">
        <f t="shared" si="11"/>
        <v>0</v>
      </c>
      <c r="K28" s="774">
        <v>0.4</v>
      </c>
      <c r="L28" s="774">
        <v>0.6</v>
      </c>
      <c r="M28" s="777">
        <f>SUMIF('10b-Bereikbaarheidsvoorz.'!B:B,'10a-Periodieke beurt'!B28,'10b-Bereikbaarheidsvoorz.'!H:H)</f>
        <v>0</v>
      </c>
      <c r="N28" s="776" t="s">
        <v>1197</v>
      </c>
      <c r="O28" s="777">
        <f t="shared" si="13"/>
        <v>0</v>
      </c>
      <c r="P28" s="777">
        <f t="shared" si="14"/>
        <v>0</v>
      </c>
      <c r="Q28" s="777">
        <f t="shared" si="15"/>
        <v>0</v>
      </c>
      <c r="R28" s="271"/>
    </row>
    <row r="29" spans="1:18">
      <c r="A29" s="544">
        <v>118</v>
      </c>
      <c r="B29" s="551" t="s">
        <v>75</v>
      </c>
      <c r="C29" s="680">
        <f>VLOOKUP(A29,'2-Kosten per locatie'!$A$13:$C$88,3,FALSE)</f>
        <v>2</v>
      </c>
      <c r="D29" s="540" t="str">
        <f ca="1">VLOOKUP(A29,'3-Ruimtestaat'!B:D,3,FALSE)</f>
        <v>Oostlijn bovengronds</v>
      </c>
      <c r="E29" s="772"/>
      <c r="F29" s="772"/>
      <c r="G29" s="773">
        <f t="shared" si="0"/>
        <v>0</v>
      </c>
      <c r="H29" s="773">
        <f t="shared" si="1"/>
        <v>0</v>
      </c>
      <c r="I29" s="773">
        <f t="shared" si="10"/>
        <v>0</v>
      </c>
      <c r="J29" s="773">
        <f t="shared" si="11"/>
        <v>0</v>
      </c>
      <c r="K29" s="774">
        <v>0.4</v>
      </c>
      <c r="L29" s="774">
        <v>0.6</v>
      </c>
      <c r="M29" s="777">
        <f>SUMIF('10b-Bereikbaarheidsvoorz.'!B:B,'10a-Periodieke beurt'!B29,'10b-Bereikbaarheidsvoorz.'!H:H)</f>
        <v>0</v>
      </c>
      <c r="N29" s="776" t="s">
        <v>1197</v>
      </c>
      <c r="O29" s="777">
        <f t="shared" si="13"/>
        <v>0</v>
      </c>
      <c r="P29" s="777">
        <f t="shared" si="14"/>
        <v>0</v>
      </c>
      <c r="Q29" s="777">
        <f t="shared" si="15"/>
        <v>0</v>
      </c>
      <c r="R29" s="271"/>
    </row>
    <row r="30" spans="1:18">
      <c r="A30" s="544">
        <v>119</v>
      </c>
      <c r="B30" s="551" t="s">
        <v>76</v>
      </c>
      <c r="C30" s="680">
        <f>VLOOKUP(A30,'2-Kosten per locatie'!$A$13:$C$88,3,FALSE)</f>
        <v>2</v>
      </c>
      <c r="D30" s="540" t="str">
        <f ca="1">VLOOKUP(A30,'3-Ruimtestaat'!B:D,3,FALSE)</f>
        <v>Oostlijn bovengronds</v>
      </c>
      <c r="E30" s="772"/>
      <c r="F30" s="772"/>
      <c r="G30" s="773">
        <f t="shared" si="0"/>
        <v>0</v>
      </c>
      <c r="H30" s="773">
        <f t="shared" si="1"/>
        <v>0</v>
      </c>
      <c r="I30" s="773">
        <f t="shared" si="10"/>
        <v>0</v>
      </c>
      <c r="J30" s="773">
        <f t="shared" si="11"/>
        <v>0</v>
      </c>
      <c r="K30" s="774">
        <v>0.4</v>
      </c>
      <c r="L30" s="774">
        <v>0.6</v>
      </c>
      <c r="M30" s="777">
        <f>SUMIF('10b-Bereikbaarheidsvoorz.'!B:B,'10a-Periodieke beurt'!B30,'10b-Bereikbaarheidsvoorz.'!H:H)</f>
        <v>0</v>
      </c>
      <c r="N30" s="776" t="s">
        <v>1197</v>
      </c>
      <c r="O30" s="777">
        <f t="shared" si="13"/>
        <v>0</v>
      </c>
      <c r="P30" s="777">
        <f t="shared" si="14"/>
        <v>0</v>
      </c>
      <c r="Q30" s="777">
        <f t="shared" si="15"/>
        <v>0</v>
      </c>
      <c r="R30" s="271"/>
    </row>
    <row r="31" spans="1:18">
      <c r="A31" s="544">
        <v>120</v>
      </c>
      <c r="B31" s="551" t="s">
        <v>77</v>
      </c>
      <c r="C31" s="680">
        <f>VLOOKUP(A31,'2-Kosten per locatie'!$A$13:$C$88,3,FALSE)</f>
        <v>2</v>
      </c>
      <c r="D31" s="540" t="str">
        <f ca="1">VLOOKUP(A31,'3-Ruimtestaat'!B:D,3,FALSE)</f>
        <v>Oostlijn bovengronds</v>
      </c>
      <c r="E31" s="772"/>
      <c r="F31" s="772"/>
      <c r="G31" s="773">
        <f t="shared" si="0"/>
        <v>0</v>
      </c>
      <c r="H31" s="773">
        <f t="shared" si="1"/>
        <v>0</v>
      </c>
      <c r="I31" s="773">
        <f t="shared" si="10"/>
        <v>0</v>
      </c>
      <c r="J31" s="773">
        <f t="shared" si="11"/>
        <v>0</v>
      </c>
      <c r="K31" s="774">
        <v>0.4</v>
      </c>
      <c r="L31" s="774">
        <v>0.6</v>
      </c>
      <c r="M31" s="777">
        <f>SUMIF('10b-Bereikbaarheidsvoorz.'!B:B,'10a-Periodieke beurt'!B31,'10b-Bereikbaarheidsvoorz.'!H:H)</f>
        <v>0</v>
      </c>
      <c r="N31" s="776" t="s">
        <v>1197</v>
      </c>
      <c r="O31" s="777">
        <f t="shared" si="13"/>
        <v>0</v>
      </c>
      <c r="P31" s="777">
        <f t="shared" si="14"/>
        <v>0</v>
      </c>
      <c r="Q31" s="777">
        <f t="shared" si="15"/>
        <v>0</v>
      </c>
      <c r="R31" s="271"/>
    </row>
    <row r="32" spans="1:18">
      <c r="A32" s="544">
        <v>121</v>
      </c>
      <c r="B32" s="551" t="s">
        <v>78</v>
      </c>
      <c r="C32" s="680">
        <f>VLOOKUP(A32,'2-Kosten per locatie'!$A$13:$C$88,3,FALSE)</f>
        <v>2</v>
      </c>
      <c r="D32" s="540" t="str">
        <f ca="1">VLOOKUP(A32,'3-Ruimtestaat'!B:D,3,FALSE)</f>
        <v>Oostlijn bovengronds</v>
      </c>
      <c r="E32" s="772"/>
      <c r="F32" s="772"/>
      <c r="G32" s="773">
        <f t="shared" si="0"/>
        <v>0</v>
      </c>
      <c r="H32" s="773">
        <f t="shared" si="1"/>
        <v>0</v>
      </c>
      <c r="I32" s="773">
        <f t="shared" si="10"/>
        <v>0</v>
      </c>
      <c r="J32" s="773">
        <f t="shared" si="11"/>
        <v>0</v>
      </c>
      <c r="K32" s="774">
        <v>0.4</v>
      </c>
      <c r="L32" s="774">
        <v>0.6</v>
      </c>
      <c r="M32" s="777">
        <f>SUMIF('10b-Bereikbaarheidsvoorz.'!B:B,'10a-Periodieke beurt'!B32,'10b-Bereikbaarheidsvoorz.'!H:H)</f>
        <v>0</v>
      </c>
      <c r="N32" s="776" t="s">
        <v>1197</v>
      </c>
      <c r="O32" s="777">
        <f t="shared" si="13"/>
        <v>0</v>
      </c>
      <c r="P32" s="777">
        <f t="shared" si="14"/>
        <v>0</v>
      </c>
      <c r="Q32" s="777">
        <f t="shared" si="15"/>
        <v>0</v>
      </c>
      <c r="R32" s="271"/>
    </row>
    <row r="33" spans="1:18">
      <c r="A33" s="544">
        <v>201</v>
      </c>
      <c r="B33" s="551" t="s">
        <v>79</v>
      </c>
      <c r="C33" s="680">
        <f>VLOOKUP(A33,'2-Kosten per locatie'!$A$13:$C$88,3,FALSE)</f>
        <v>2</v>
      </c>
      <c r="D33" s="540" t="str">
        <f ca="1">VLOOKUP(A33,'3-Ruimtestaat'!B:D,3,FALSE)</f>
        <v>Amstellijn</v>
      </c>
      <c r="E33" s="772"/>
      <c r="F33" s="772"/>
      <c r="G33" s="773">
        <f t="shared" si="0"/>
        <v>0</v>
      </c>
      <c r="H33" s="773">
        <f t="shared" si="1"/>
        <v>0</v>
      </c>
      <c r="I33" s="773">
        <f t="shared" si="10"/>
        <v>0</v>
      </c>
      <c r="J33" s="773">
        <f t="shared" si="11"/>
        <v>0</v>
      </c>
      <c r="K33" s="774">
        <v>0.4</v>
      </c>
      <c r="L33" s="774">
        <v>0.6</v>
      </c>
      <c r="M33" s="777">
        <f>SUMIF('10b-Bereikbaarheidsvoorz.'!B:B,'10a-Periodieke beurt'!B33,'10b-Bereikbaarheidsvoorz.'!H:H)</f>
        <v>0</v>
      </c>
      <c r="N33" s="776" t="s">
        <v>1197</v>
      </c>
      <c r="O33" s="777">
        <f t="shared" si="7"/>
        <v>0</v>
      </c>
      <c r="P33" s="777">
        <f t="shared" si="12"/>
        <v>0</v>
      </c>
      <c r="Q33" s="777">
        <f t="shared" si="9"/>
        <v>0</v>
      </c>
      <c r="R33" s="271"/>
    </row>
    <row r="34" spans="1:18">
      <c r="A34" s="544">
        <v>202</v>
      </c>
      <c r="B34" s="551" t="s">
        <v>80</v>
      </c>
      <c r="C34" s="680">
        <f>VLOOKUP(A34,'2-Kosten per locatie'!$A$13:$C$88,3,FALSE)</f>
        <v>2</v>
      </c>
      <c r="D34" s="540" t="str">
        <f ca="1">VLOOKUP(A34,'3-Ruimtestaat'!B:D,3,FALSE)</f>
        <v>Amstellijn</v>
      </c>
      <c r="E34" s="772"/>
      <c r="F34" s="772"/>
      <c r="G34" s="773">
        <f t="shared" si="0"/>
        <v>0</v>
      </c>
      <c r="H34" s="773">
        <f t="shared" si="1"/>
        <v>0</v>
      </c>
      <c r="I34" s="773">
        <f t="shared" si="10"/>
        <v>0</v>
      </c>
      <c r="J34" s="773">
        <f t="shared" si="11"/>
        <v>0</v>
      </c>
      <c r="K34" s="774">
        <v>0.4</v>
      </c>
      <c r="L34" s="774">
        <v>0.6</v>
      </c>
      <c r="M34" s="777">
        <f>SUMIF('10b-Bereikbaarheidsvoorz.'!B:B,'10a-Periodieke beurt'!B34,'10b-Bereikbaarheidsvoorz.'!H:H)</f>
        <v>0</v>
      </c>
      <c r="N34" s="776" t="s">
        <v>1197</v>
      </c>
      <c r="O34" s="777">
        <f t="shared" si="7"/>
        <v>0</v>
      </c>
      <c r="P34" s="777">
        <f t="shared" si="12"/>
        <v>0</v>
      </c>
      <c r="Q34" s="777">
        <f t="shared" si="9"/>
        <v>0</v>
      </c>
      <c r="R34" s="271"/>
    </row>
    <row r="35" spans="1:18">
      <c r="A35" s="544">
        <v>203</v>
      </c>
      <c r="B35" s="551" t="s">
        <v>81</v>
      </c>
      <c r="C35" s="680">
        <f>VLOOKUP(A35,'2-Kosten per locatie'!$A$13:$C$88,3,FALSE)</f>
        <v>2</v>
      </c>
      <c r="D35" s="540" t="str">
        <f ca="1">VLOOKUP(A35,'3-Ruimtestaat'!B:D,3,FALSE)</f>
        <v>Amstellijn</v>
      </c>
      <c r="E35" s="772"/>
      <c r="F35" s="772"/>
      <c r="G35" s="773">
        <f t="shared" si="0"/>
        <v>0</v>
      </c>
      <c r="H35" s="773">
        <f t="shared" si="1"/>
        <v>0</v>
      </c>
      <c r="I35" s="773">
        <f t="shared" si="10"/>
        <v>0</v>
      </c>
      <c r="J35" s="773">
        <f t="shared" si="11"/>
        <v>0</v>
      </c>
      <c r="K35" s="774">
        <v>0.4</v>
      </c>
      <c r="L35" s="774">
        <v>0.6</v>
      </c>
      <c r="M35" s="777">
        <f>SUMIF('10b-Bereikbaarheidsvoorz.'!B:B,'10a-Periodieke beurt'!B35,'10b-Bereikbaarheidsvoorz.'!H:H)</f>
        <v>0</v>
      </c>
      <c r="N35" s="776" t="s">
        <v>1197</v>
      </c>
      <c r="O35" s="777">
        <f t="shared" si="7"/>
        <v>0</v>
      </c>
      <c r="P35" s="777">
        <f t="shared" si="12"/>
        <v>0</v>
      </c>
      <c r="Q35" s="777">
        <f t="shared" si="9"/>
        <v>0</v>
      </c>
      <c r="R35" s="271"/>
    </row>
    <row r="36" spans="1:18">
      <c r="A36" s="544">
        <v>204</v>
      </c>
      <c r="B36" s="551" t="s">
        <v>82</v>
      </c>
      <c r="C36" s="680">
        <f>VLOOKUP(A36,'2-Kosten per locatie'!$A$13:$C$88,3,FALSE)</f>
        <v>2</v>
      </c>
      <c r="D36" s="540" t="str">
        <f ca="1">VLOOKUP(A36,'3-Ruimtestaat'!B:D,3,FALSE)</f>
        <v>Amstellijn</v>
      </c>
      <c r="E36" s="772"/>
      <c r="F36" s="772"/>
      <c r="G36" s="773">
        <f t="shared" si="0"/>
        <v>0</v>
      </c>
      <c r="H36" s="773">
        <f t="shared" si="1"/>
        <v>0</v>
      </c>
      <c r="I36" s="773">
        <f t="shared" si="10"/>
        <v>0</v>
      </c>
      <c r="J36" s="773">
        <f t="shared" si="11"/>
        <v>0</v>
      </c>
      <c r="K36" s="774">
        <v>0.4</v>
      </c>
      <c r="L36" s="774">
        <v>0.6</v>
      </c>
      <c r="M36" s="777">
        <f>SUMIF('10b-Bereikbaarheidsvoorz.'!B:B,'10a-Periodieke beurt'!B36,'10b-Bereikbaarheidsvoorz.'!H:H)</f>
        <v>0</v>
      </c>
      <c r="N36" s="776" t="s">
        <v>1197</v>
      </c>
      <c r="O36" s="777">
        <f t="shared" si="7"/>
        <v>0</v>
      </c>
      <c r="P36" s="777">
        <f t="shared" si="12"/>
        <v>0</v>
      </c>
      <c r="Q36" s="777">
        <f t="shared" si="9"/>
        <v>0</v>
      </c>
      <c r="R36" s="271"/>
    </row>
    <row r="37" spans="1:18">
      <c r="A37" s="544">
        <v>205</v>
      </c>
      <c r="B37" s="551" t="s">
        <v>83</v>
      </c>
      <c r="C37" s="680">
        <f>VLOOKUP(A37,'2-Kosten per locatie'!$A$13:$C$88,3,FALSE)</f>
        <v>2</v>
      </c>
      <c r="D37" s="540" t="str">
        <f ca="1">VLOOKUP(A37,'3-Ruimtestaat'!B:D,3,FALSE)</f>
        <v>Amstellijn</v>
      </c>
      <c r="E37" s="772"/>
      <c r="F37" s="772"/>
      <c r="G37" s="773">
        <f t="shared" si="0"/>
        <v>0</v>
      </c>
      <c r="H37" s="773">
        <f t="shared" si="1"/>
        <v>0</v>
      </c>
      <c r="I37" s="773">
        <f t="shared" si="10"/>
        <v>0</v>
      </c>
      <c r="J37" s="773">
        <f t="shared" si="11"/>
        <v>0</v>
      </c>
      <c r="K37" s="774">
        <v>0.4</v>
      </c>
      <c r="L37" s="774">
        <v>0.6</v>
      </c>
      <c r="M37" s="777">
        <f>SUMIF('10b-Bereikbaarheidsvoorz.'!B:B,'10a-Periodieke beurt'!B37,'10b-Bereikbaarheidsvoorz.'!H:H)</f>
        <v>0</v>
      </c>
      <c r="N37" s="776" t="s">
        <v>1197</v>
      </c>
      <c r="O37" s="777">
        <f t="shared" si="7"/>
        <v>0</v>
      </c>
      <c r="P37" s="777">
        <f t="shared" si="12"/>
        <v>0</v>
      </c>
      <c r="Q37" s="777">
        <f t="shared" si="9"/>
        <v>0</v>
      </c>
      <c r="R37" s="271"/>
    </row>
    <row r="38" spans="1:18">
      <c r="A38" s="544">
        <v>206</v>
      </c>
      <c r="B38" s="551" t="s">
        <v>84</v>
      </c>
      <c r="C38" s="680">
        <f>VLOOKUP(A38,'2-Kosten per locatie'!$A$13:$C$88,3,FALSE)</f>
        <v>2</v>
      </c>
      <c r="D38" s="540" t="str">
        <f ca="1">VLOOKUP(A38,'3-Ruimtestaat'!B:D,3,FALSE)</f>
        <v>Amstellijn</v>
      </c>
      <c r="E38" s="772"/>
      <c r="F38" s="772"/>
      <c r="G38" s="773">
        <f t="shared" si="0"/>
        <v>0</v>
      </c>
      <c r="H38" s="773">
        <f t="shared" si="1"/>
        <v>0</v>
      </c>
      <c r="I38" s="773">
        <f t="shared" si="10"/>
        <v>0</v>
      </c>
      <c r="J38" s="773">
        <f t="shared" si="11"/>
        <v>0</v>
      </c>
      <c r="K38" s="774">
        <v>0.4</v>
      </c>
      <c r="L38" s="774">
        <v>0.6</v>
      </c>
      <c r="M38" s="777">
        <f>SUMIF('10b-Bereikbaarheidsvoorz.'!B:B,'10a-Periodieke beurt'!B38,'10b-Bereikbaarheidsvoorz.'!H:H)</f>
        <v>0</v>
      </c>
      <c r="N38" s="776" t="s">
        <v>1197</v>
      </c>
      <c r="O38" s="777">
        <f t="shared" si="7"/>
        <v>0</v>
      </c>
      <c r="P38" s="777">
        <f t="shared" si="12"/>
        <v>0</v>
      </c>
      <c r="Q38" s="777">
        <f t="shared" si="9"/>
        <v>0</v>
      </c>
      <c r="R38" s="271"/>
    </row>
    <row r="39" spans="1:18">
      <c r="A39" s="544">
        <v>207</v>
      </c>
      <c r="B39" s="551" t="s">
        <v>85</v>
      </c>
      <c r="C39" s="680">
        <f>VLOOKUP(A39,'2-Kosten per locatie'!$A$13:$C$88,3,FALSE)</f>
        <v>2</v>
      </c>
      <c r="D39" s="540" t="str">
        <f ca="1">VLOOKUP(A39,'3-Ruimtestaat'!B:D,3,FALSE)</f>
        <v>Amstellijn</v>
      </c>
      <c r="E39" s="772"/>
      <c r="F39" s="772"/>
      <c r="G39" s="773">
        <f t="shared" si="0"/>
        <v>0</v>
      </c>
      <c r="H39" s="773">
        <f t="shared" si="1"/>
        <v>0</v>
      </c>
      <c r="I39" s="773">
        <f t="shared" si="10"/>
        <v>0</v>
      </c>
      <c r="J39" s="773">
        <f t="shared" si="11"/>
        <v>0</v>
      </c>
      <c r="K39" s="774">
        <v>0.4</v>
      </c>
      <c r="L39" s="774">
        <v>0.6</v>
      </c>
      <c r="M39" s="777">
        <f>SUMIF('10b-Bereikbaarheidsvoorz.'!B:B,'10a-Periodieke beurt'!B39,'10b-Bereikbaarheidsvoorz.'!H:H)</f>
        <v>0</v>
      </c>
      <c r="N39" s="776" t="s">
        <v>1197</v>
      </c>
      <c r="O39" s="777">
        <f t="shared" si="7"/>
        <v>0</v>
      </c>
      <c r="P39" s="777">
        <f t="shared" si="12"/>
        <v>0</v>
      </c>
      <c r="Q39" s="777">
        <f t="shared" si="9"/>
        <v>0</v>
      </c>
      <c r="R39" s="271"/>
    </row>
    <row r="40" spans="1:18">
      <c r="A40" s="544">
        <v>208</v>
      </c>
      <c r="B40" s="551" t="s">
        <v>86</v>
      </c>
      <c r="C40" s="680">
        <f>VLOOKUP(A40,'2-Kosten per locatie'!$A$13:$C$88,3,FALSE)</f>
        <v>2</v>
      </c>
      <c r="D40" s="540" t="str">
        <f ca="1">VLOOKUP(A40,'3-Ruimtestaat'!B:D,3,FALSE)</f>
        <v>Amstellijn</v>
      </c>
      <c r="E40" s="772"/>
      <c r="F40" s="772"/>
      <c r="G40" s="773">
        <f t="shared" si="0"/>
        <v>0</v>
      </c>
      <c r="H40" s="773">
        <f t="shared" si="1"/>
        <v>0</v>
      </c>
      <c r="I40" s="773">
        <f t="shared" si="10"/>
        <v>0</v>
      </c>
      <c r="J40" s="773">
        <f t="shared" si="11"/>
        <v>0</v>
      </c>
      <c r="K40" s="774">
        <v>0.4</v>
      </c>
      <c r="L40" s="774">
        <v>0.6</v>
      </c>
      <c r="M40" s="777">
        <f>SUMIF('10b-Bereikbaarheidsvoorz.'!B:B,'10a-Periodieke beurt'!B40,'10b-Bereikbaarheidsvoorz.'!H:H)</f>
        <v>0</v>
      </c>
      <c r="N40" s="776" t="s">
        <v>1197</v>
      </c>
      <c r="O40" s="777">
        <f t="shared" si="7"/>
        <v>0</v>
      </c>
      <c r="P40" s="777">
        <f t="shared" si="12"/>
        <v>0</v>
      </c>
      <c r="Q40" s="777">
        <f t="shared" si="9"/>
        <v>0</v>
      </c>
      <c r="R40" s="271"/>
    </row>
    <row r="41" spans="1:18">
      <c r="A41" s="544">
        <v>209</v>
      </c>
      <c r="B41" s="551" t="s">
        <v>87</v>
      </c>
      <c r="C41" s="680">
        <f>VLOOKUP(A41,'2-Kosten per locatie'!$A$13:$C$88,3,FALSE)</f>
        <v>2</v>
      </c>
      <c r="D41" s="540" t="str">
        <f ca="1">VLOOKUP(A41,'3-Ruimtestaat'!B:D,3,FALSE)</f>
        <v>Amstellijn</v>
      </c>
      <c r="E41" s="772"/>
      <c r="F41" s="772"/>
      <c r="G41" s="773">
        <f t="shared" si="0"/>
        <v>0</v>
      </c>
      <c r="H41" s="773">
        <f t="shared" si="1"/>
        <v>0</v>
      </c>
      <c r="I41" s="773">
        <f t="shared" si="10"/>
        <v>0</v>
      </c>
      <c r="J41" s="773">
        <f t="shared" si="11"/>
        <v>0</v>
      </c>
      <c r="K41" s="774">
        <v>0.4</v>
      </c>
      <c r="L41" s="774">
        <v>0.6</v>
      </c>
      <c r="M41" s="777">
        <f>SUMIF('10b-Bereikbaarheidsvoorz.'!B:B,'10a-Periodieke beurt'!B41,'10b-Bereikbaarheidsvoorz.'!H:H)</f>
        <v>0</v>
      </c>
      <c r="N41" s="776" t="s">
        <v>1197</v>
      </c>
      <c r="O41" s="777">
        <f t="shared" si="7"/>
        <v>0</v>
      </c>
      <c r="P41" s="777">
        <f t="shared" si="12"/>
        <v>0</v>
      </c>
      <c r="Q41" s="777">
        <f t="shared" si="9"/>
        <v>0</v>
      </c>
      <c r="R41" s="271"/>
    </row>
    <row r="42" spans="1:18">
      <c r="A42" s="544">
        <v>210</v>
      </c>
      <c r="B42" s="551" t="s">
        <v>88</v>
      </c>
      <c r="C42" s="680">
        <f>VLOOKUP(A42,'2-Kosten per locatie'!$A$13:$C$88,3,FALSE)</f>
        <v>2</v>
      </c>
      <c r="D42" s="540" t="str">
        <f ca="1">VLOOKUP(A42,'3-Ruimtestaat'!B:D,3,FALSE)</f>
        <v>Amstellijn</v>
      </c>
      <c r="E42" s="772"/>
      <c r="F42" s="772"/>
      <c r="G42" s="773">
        <f t="shared" si="0"/>
        <v>0</v>
      </c>
      <c r="H42" s="773">
        <f t="shared" si="1"/>
        <v>0</v>
      </c>
      <c r="I42" s="773">
        <f t="shared" si="10"/>
        <v>0</v>
      </c>
      <c r="J42" s="773">
        <f t="shared" si="11"/>
        <v>0</v>
      </c>
      <c r="K42" s="774">
        <v>0.4</v>
      </c>
      <c r="L42" s="774">
        <v>0.6</v>
      </c>
      <c r="M42" s="777">
        <f>SUMIF('10b-Bereikbaarheidsvoorz.'!B:B,'10a-Periodieke beurt'!B42,'10b-Bereikbaarheidsvoorz.'!H:H)</f>
        <v>0</v>
      </c>
      <c r="N42" s="776" t="s">
        <v>1197</v>
      </c>
      <c r="O42" s="777">
        <f t="shared" si="7"/>
        <v>0</v>
      </c>
      <c r="P42" s="777">
        <f t="shared" si="12"/>
        <v>0</v>
      </c>
      <c r="Q42" s="777">
        <f t="shared" si="9"/>
        <v>0</v>
      </c>
      <c r="R42" s="271"/>
    </row>
    <row r="43" spans="1:18">
      <c r="A43" s="544">
        <v>211</v>
      </c>
      <c r="B43" s="551" t="s">
        <v>89</v>
      </c>
      <c r="C43" s="680">
        <f>VLOOKUP(A43,'2-Kosten per locatie'!$A$13:$C$88,3,FALSE)</f>
        <v>2</v>
      </c>
      <c r="D43" s="540" t="str">
        <f ca="1">VLOOKUP(A43,'3-Ruimtestaat'!B:D,3,FALSE)</f>
        <v>Amstellijn</v>
      </c>
      <c r="E43" s="772"/>
      <c r="F43" s="772"/>
      <c r="G43" s="773">
        <f t="shared" si="0"/>
        <v>0</v>
      </c>
      <c r="H43" s="773">
        <f t="shared" si="1"/>
        <v>0</v>
      </c>
      <c r="I43" s="773">
        <f t="shared" si="10"/>
        <v>0</v>
      </c>
      <c r="J43" s="773">
        <f t="shared" si="11"/>
        <v>0</v>
      </c>
      <c r="K43" s="774">
        <v>0.4</v>
      </c>
      <c r="L43" s="774">
        <v>0.6</v>
      </c>
      <c r="M43" s="777">
        <f>SUMIF('10b-Bereikbaarheidsvoorz.'!B:B,'10a-Periodieke beurt'!B43,'10b-Bereikbaarheidsvoorz.'!H:H)</f>
        <v>0</v>
      </c>
      <c r="N43" s="776" t="s">
        <v>1197</v>
      </c>
      <c r="O43" s="777">
        <f t="shared" si="7"/>
        <v>0</v>
      </c>
      <c r="P43" s="777">
        <f t="shared" si="12"/>
        <v>0</v>
      </c>
      <c r="Q43" s="777">
        <f t="shared" si="9"/>
        <v>0</v>
      </c>
      <c r="R43" s="271"/>
    </row>
    <row r="44" spans="1:18">
      <c r="A44" s="544">
        <v>212</v>
      </c>
      <c r="B44" s="551" t="s">
        <v>90</v>
      </c>
      <c r="C44" s="680">
        <f>VLOOKUP(A44,'2-Kosten per locatie'!$A$13:$C$88,3,FALSE)</f>
        <v>2</v>
      </c>
      <c r="D44" s="540" t="str">
        <f ca="1">VLOOKUP(A44,'3-Ruimtestaat'!B:D,3,FALSE)</f>
        <v>Amstellijn</v>
      </c>
      <c r="E44" s="772"/>
      <c r="F44" s="772"/>
      <c r="G44" s="773">
        <f t="shared" si="0"/>
        <v>0</v>
      </c>
      <c r="H44" s="773">
        <f t="shared" si="1"/>
        <v>0</v>
      </c>
      <c r="I44" s="773">
        <f t="shared" si="10"/>
        <v>0</v>
      </c>
      <c r="J44" s="773">
        <f t="shared" si="11"/>
        <v>0</v>
      </c>
      <c r="K44" s="774">
        <v>0.4</v>
      </c>
      <c r="L44" s="774">
        <v>0.6</v>
      </c>
      <c r="M44" s="777">
        <f>SUMIF('10b-Bereikbaarheidsvoorz.'!B:B,'10a-Periodieke beurt'!B44,'10b-Bereikbaarheidsvoorz.'!H:H)</f>
        <v>0</v>
      </c>
      <c r="N44" s="776" t="s">
        <v>1197</v>
      </c>
      <c r="O44" s="777">
        <f t="shared" si="7"/>
        <v>0</v>
      </c>
      <c r="P44" s="777">
        <f t="shared" si="12"/>
        <v>0</v>
      </c>
      <c r="Q44" s="777">
        <f t="shared" si="9"/>
        <v>0</v>
      </c>
      <c r="R44" s="271"/>
    </row>
    <row r="45" spans="1:18">
      <c r="A45" s="544">
        <v>213</v>
      </c>
      <c r="B45" s="551" t="s">
        <v>91</v>
      </c>
      <c r="C45" s="680">
        <f>VLOOKUP(A45,'2-Kosten per locatie'!$A$13:$C$88,3,FALSE)</f>
        <v>2</v>
      </c>
      <c r="D45" s="540" t="str">
        <f ca="1">VLOOKUP(A45,'3-Ruimtestaat'!B:D,3,FALSE)</f>
        <v>Amstellijn</v>
      </c>
      <c r="E45" s="772"/>
      <c r="F45" s="772"/>
      <c r="G45" s="773">
        <f t="shared" si="0"/>
        <v>0</v>
      </c>
      <c r="H45" s="773">
        <f t="shared" si="1"/>
        <v>0</v>
      </c>
      <c r="I45" s="773">
        <f t="shared" si="10"/>
        <v>0</v>
      </c>
      <c r="J45" s="773">
        <f t="shared" si="11"/>
        <v>0</v>
      </c>
      <c r="K45" s="774">
        <v>0.4</v>
      </c>
      <c r="L45" s="774">
        <v>0.6</v>
      </c>
      <c r="M45" s="777">
        <f>SUMIF('10b-Bereikbaarheidsvoorz.'!B:B,'10a-Periodieke beurt'!B45,'10b-Bereikbaarheidsvoorz.'!H:H)</f>
        <v>0</v>
      </c>
      <c r="N45" s="776" t="s">
        <v>1197</v>
      </c>
      <c r="O45" s="777">
        <f t="shared" si="7"/>
        <v>0</v>
      </c>
      <c r="P45" s="777">
        <f t="shared" si="12"/>
        <v>0</v>
      </c>
      <c r="Q45" s="777">
        <f t="shared" si="9"/>
        <v>0</v>
      </c>
      <c r="R45" s="271"/>
    </row>
    <row r="46" spans="1:18">
      <c r="A46" s="544">
        <v>214</v>
      </c>
      <c r="B46" s="551" t="s">
        <v>92</v>
      </c>
      <c r="C46" s="680">
        <f>VLOOKUP(A46,'2-Kosten per locatie'!$A$13:$C$88,3,FALSE)</f>
        <v>2</v>
      </c>
      <c r="D46" s="540" t="str">
        <f ca="1">VLOOKUP(A46,'3-Ruimtestaat'!B:D,3,FALSE)</f>
        <v>Amstellijn</v>
      </c>
      <c r="E46" s="772"/>
      <c r="F46" s="772"/>
      <c r="G46" s="773">
        <f t="shared" si="0"/>
        <v>0</v>
      </c>
      <c r="H46" s="773">
        <f t="shared" si="1"/>
        <v>0</v>
      </c>
      <c r="I46" s="773">
        <f t="shared" si="10"/>
        <v>0</v>
      </c>
      <c r="J46" s="773">
        <f t="shared" si="11"/>
        <v>0</v>
      </c>
      <c r="K46" s="774">
        <v>0.4</v>
      </c>
      <c r="L46" s="774">
        <v>0.6</v>
      </c>
      <c r="M46" s="777">
        <f>SUMIF('10b-Bereikbaarheidsvoorz.'!B:B,'10a-Periodieke beurt'!B46,'10b-Bereikbaarheidsvoorz.'!H:H)</f>
        <v>0</v>
      </c>
      <c r="N46" s="776" t="s">
        <v>1197</v>
      </c>
      <c r="O46" s="777">
        <f t="shared" si="7"/>
        <v>0</v>
      </c>
      <c r="P46" s="777">
        <f t="shared" si="12"/>
        <v>0</v>
      </c>
      <c r="Q46" s="777">
        <f t="shared" si="9"/>
        <v>0</v>
      </c>
      <c r="R46" s="271"/>
    </row>
    <row r="47" spans="1:18">
      <c r="A47" s="544">
        <v>215</v>
      </c>
      <c r="B47" s="551" t="s">
        <v>93</v>
      </c>
      <c r="C47" s="680">
        <f>VLOOKUP(A47,'2-Kosten per locatie'!$A$13:$C$88,3,FALSE)</f>
        <v>2</v>
      </c>
      <c r="D47" s="540" t="str">
        <f ca="1">VLOOKUP(A47,'3-Ruimtestaat'!B:D,3,FALSE)</f>
        <v>Amstellijn</v>
      </c>
      <c r="E47" s="772"/>
      <c r="F47" s="772"/>
      <c r="G47" s="773">
        <f t="shared" si="0"/>
        <v>0</v>
      </c>
      <c r="H47" s="773">
        <f t="shared" si="1"/>
        <v>0</v>
      </c>
      <c r="I47" s="773">
        <f t="shared" si="10"/>
        <v>0</v>
      </c>
      <c r="J47" s="773">
        <f t="shared" si="11"/>
        <v>0</v>
      </c>
      <c r="K47" s="774">
        <v>0.4</v>
      </c>
      <c r="L47" s="774">
        <v>0.6</v>
      </c>
      <c r="M47" s="777">
        <f>SUMIF('10b-Bereikbaarheidsvoorz.'!B:B,'10a-Periodieke beurt'!B47,'10b-Bereikbaarheidsvoorz.'!H:H)</f>
        <v>0</v>
      </c>
      <c r="N47" s="776" t="s">
        <v>1197</v>
      </c>
      <c r="O47" s="777">
        <f t="shared" si="7"/>
        <v>0</v>
      </c>
      <c r="P47" s="777">
        <f t="shared" si="12"/>
        <v>0</v>
      </c>
      <c r="Q47" s="777">
        <f t="shared" si="9"/>
        <v>0</v>
      </c>
      <c r="R47" s="271"/>
    </row>
    <row r="48" spans="1:18">
      <c r="A48" s="544" t="s">
        <v>94</v>
      </c>
      <c r="B48" s="551" t="s">
        <v>95</v>
      </c>
      <c r="C48" s="680">
        <f>VLOOKUP(A48,'2-Kosten per locatie'!$A$13:$C$88,3,FALSE)</f>
        <v>2</v>
      </c>
      <c r="D48" s="540" t="str">
        <f ca="1">VLOOKUP(A48,'3-Ruimtestaat'!B:D,3,FALSE)</f>
        <v>Amstellijn</v>
      </c>
      <c r="E48" s="772"/>
      <c r="F48" s="772"/>
      <c r="G48" s="773">
        <f t="shared" si="0"/>
        <v>0</v>
      </c>
      <c r="H48" s="773">
        <f t="shared" si="1"/>
        <v>0</v>
      </c>
      <c r="I48" s="773">
        <f t="shared" si="10"/>
        <v>0</v>
      </c>
      <c r="J48" s="773">
        <f t="shared" si="11"/>
        <v>0</v>
      </c>
      <c r="K48" s="774">
        <v>0.4</v>
      </c>
      <c r="L48" s="774">
        <v>0.6</v>
      </c>
      <c r="M48" s="777">
        <f>SUMIF('10b-Bereikbaarheidsvoorz.'!B:B,'10a-Periodieke beurt'!B48,'10b-Bereikbaarheidsvoorz.'!H:H)</f>
        <v>0</v>
      </c>
      <c r="N48" s="776" t="s">
        <v>1197</v>
      </c>
      <c r="O48" s="777">
        <f t="shared" ref="O48:O50" si="16">(((E48*G48)+(F48*H48))*N48)+(M48*N48)</f>
        <v>0</v>
      </c>
      <c r="P48" s="777">
        <f t="shared" ref="P48:P50" si="17">(((E48*I48)+(F48*J48))*N48)+(M48*N48)</f>
        <v>0</v>
      </c>
      <c r="Q48" s="777">
        <f t="shared" ref="Q48:Q50" si="18">(O48*K48)+(P48*L48)</f>
        <v>0</v>
      </c>
      <c r="R48" s="271"/>
    </row>
    <row r="49" spans="1:18">
      <c r="A49" s="544" t="s">
        <v>96</v>
      </c>
      <c r="B49" s="551" t="s">
        <v>97</v>
      </c>
      <c r="C49" s="680">
        <f>VLOOKUP(A49,'2-Kosten per locatie'!$A$13:$C$88,3,FALSE)</f>
        <v>2</v>
      </c>
      <c r="D49" s="540" t="str">
        <f ca="1">VLOOKUP(A49,'3-Ruimtestaat'!B:D,3,FALSE)</f>
        <v>Amstellijn</v>
      </c>
      <c r="E49" s="772"/>
      <c r="F49" s="772"/>
      <c r="G49" s="773">
        <f t="shared" si="0"/>
        <v>0</v>
      </c>
      <c r="H49" s="773">
        <f t="shared" si="1"/>
        <v>0</v>
      </c>
      <c r="I49" s="773">
        <f t="shared" si="10"/>
        <v>0</v>
      </c>
      <c r="J49" s="773">
        <f t="shared" si="11"/>
        <v>0</v>
      </c>
      <c r="K49" s="774">
        <v>0.4</v>
      </c>
      <c r="L49" s="774">
        <v>0.6</v>
      </c>
      <c r="M49" s="777">
        <f>SUMIF('10b-Bereikbaarheidsvoorz.'!B:B,'10a-Periodieke beurt'!B49,'10b-Bereikbaarheidsvoorz.'!H:H)</f>
        <v>0</v>
      </c>
      <c r="N49" s="776" t="s">
        <v>1197</v>
      </c>
      <c r="O49" s="777">
        <f t="shared" si="16"/>
        <v>0</v>
      </c>
      <c r="P49" s="777">
        <f t="shared" si="17"/>
        <v>0</v>
      </c>
      <c r="Q49" s="777">
        <f t="shared" si="18"/>
        <v>0</v>
      </c>
      <c r="R49" s="271"/>
    </row>
    <row r="50" spans="1:18">
      <c r="A50" s="544" t="s">
        <v>98</v>
      </c>
      <c r="B50" s="551" t="s">
        <v>99</v>
      </c>
      <c r="C50" s="680">
        <f>VLOOKUP(A50,'2-Kosten per locatie'!$A$13:$C$88,3,FALSE)</f>
        <v>2</v>
      </c>
      <c r="D50" s="540" t="str">
        <f ca="1">VLOOKUP(A50,'3-Ruimtestaat'!B:D,3,FALSE)</f>
        <v>Amstellijn</v>
      </c>
      <c r="E50" s="772"/>
      <c r="F50" s="772"/>
      <c r="G50" s="773">
        <f t="shared" si="0"/>
        <v>0</v>
      </c>
      <c r="H50" s="773">
        <f t="shared" si="1"/>
        <v>0</v>
      </c>
      <c r="I50" s="773">
        <f t="shared" si="10"/>
        <v>0</v>
      </c>
      <c r="J50" s="773">
        <f t="shared" si="11"/>
        <v>0</v>
      </c>
      <c r="K50" s="774">
        <v>0.4</v>
      </c>
      <c r="L50" s="774">
        <v>0.6</v>
      </c>
      <c r="M50" s="777">
        <f>SUMIF('10b-Bereikbaarheidsvoorz.'!B:B,'10a-Periodieke beurt'!B50,'10b-Bereikbaarheidsvoorz.'!H:H)</f>
        <v>0</v>
      </c>
      <c r="N50" s="776" t="s">
        <v>1197</v>
      </c>
      <c r="O50" s="777">
        <f t="shared" si="16"/>
        <v>0</v>
      </c>
      <c r="P50" s="777">
        <f t="shared" si="17"/>
        <v>0</v>
      </c>
      <c r="Q50" s="777">
        <f t="shared" si="18"/>
        <v>0</v>
      </c>
      <c r="R50" s="271"/>
    </row>
    <row r="51" spans="1:18">
      <c r="A51" s="544">
        <v>301</v>
      </c>
      <c r="B51" s="551" t="s">
        <v>100</v>
      </c>
      <c r="C51" s="680">
        <f>VLOOKUP(A51,'2-Kosten per locatie'!$A$13:$C$88,3,FALSE)</f>
        <v>2</v>
      </c>
      <c r="D51" s="540" t="str">
        <f ca="1">VLOOKUP(A51,'3-Ruimtestaat'!B:D,3,FALSE)</f>
        <v>Ringlijn</v>
      </c>
      <c r="E51" s="772"/>
      <c r="F51" s="772"/>
      <c r="G51" s="773">
        <f t="shared" si="0"/>
        <v>0</v>
      </c>
      <c r="H51" s="773">
        <f t="shared" si="1"/>
        <v>0</v>
      </c>
      <c r="I51" s="773">
        <f t="shared" si="10"/>
        <v>0</v>
      </c>
      <c r="J51" s="773">
        <f t="shared" si="11"/>
        <v>0</v>
      </c>
      <c r="K51" s="774">
        <v>0.4</v>
      </c>
      <c r="L51" s="774">
        <v>0.6</v>
      </c>
      <c r="M51" s="777">
        <f>SUMIF('10b-Bereikbaarheidsvoorz.'!B:B,'10a-Periodieke beurt'!B51,'10b-Bereikbaarheidsvoorz.'!H:H)</f>
        <v>0</v>
      </c>
      <c r="N51" s="776" t="s">
        <v>1197</v>
      </c>
      <c r="O51" s="777">
        <f t="shared" si="7"/>
        <v>0</v>
      </c>
      <c r="P51" s="777">
        <f t="shared" si="12"/>
        <v>0</v>
      </c>
      <c r="Q51" s="777">
        <f t="shared" si="9"/>
        <v>0</v>
      </c>
      <c r="R51" s="271"/>
    </row>
    <row r="52" spans="1:18">
      <c r="A52" s="544">
        <v>302</v>
      </c>
      <c r="B52" s="551" t="s">
        <v>101</v>
      </c>
      <c r="C52" s="680">
        <f>VLOOKUP(A52,'2-Kosten per locatie'!$A$13:$C$88,3,FALSE)</f>
        <v>2</v>
      </c>
      <c r="D52" s="540" t="str">
        <f ca="1">VLOOKUP(A52,'3-Ruimtestaat'!B:D,3,FALSE)</f>
        <v>Ringlijn</v>
      </c>
      <c r="E52" s="772"/>
      <c r="F52" s="772"/>
      <c r="G52" s="773">
        <f t="shared" si="0"/>
        <v>0</v>
      </c>
      <c r="H52" s="773">
        <f t="shared" si="1"/>
        <v>0</v>
      </c>
      <c r="I52" s="773">
        <f t="shared" si="10"/>
        <v>0</v>
      </c>
      <c r="J52" s="773">
        <f t="shared" si="11"/>
        <v>0</v>
      </c>
      <c r="K52" s="774">
        <v>0.4</v>
      </c>
      <c r="L52" s="774">
        <v>0.6</v>
      </c>
      <c r="M52" s="777">
        <f>SUMIF('10b-Bereikbaarheidsvoorz.'!B:B,'10a-Periodieke beurt'!B52,'10b-Bereikbaarheidsvoorz.'!H:H)</f>
        <v>0</v>
      </c>
      <c r="N52" s="776" t="s">
        <v>1197</v>
      </c>
      <c r="O52" s="777">
        <f t="shared" si="7"/>
        <v>0</v>
      </c>
      <c r="P52" s="777">
        <f t="shared" si="12"/>
        <v>0</v>
      </c>
      <c r="Q52" s="777">
        <f t="shared" si="9"/>
        <v>0</v>
      </c>
      <c r="R52" s="271"/>
    </row>
    <row r="53" spans="1:18">
      <c r="A53" s="544">
        <v>303</v>
      </c>
      <c r="B53" s="551" t="s">
        <v>102</v>
      </c>
      <c r="C53" s="680">
        <f>VLOOKUP(A53,'2-Kosten per locatie'!$A$13:$C$88,3,FALSE)</f>
        <v>2</v>
      </c>
      <c r="D53" s="540" t="str">
        <f ca="1">VLOOKUP(A53,'3-Ruimtestaat'!B:D,3,FALSE)</f>
        <v>Ringlijn</v>
      </c>
      <c r="E53" s="772"/>
      <c r="F53" s="772"/>
      <c r="G53" s="773">
        <f t="shared" si="0"/>
        <v>0</v>
      </c>
      <c r="H53" s="773">
        <f t="shared" si="1"/>
        <v>0</v>
      </c>
      <c r="I53" s="773">
        <f t="shared" si="10"/>
        <v>0</v>
      </c>
      <c r="J53" s="773">
        <f t="shared" si="11"/>
        <v>0</v>
      </c>
      <c r="K53" s="774">
        <v>0.4</v>
      </c>
      <c r="L53" s="774">
        <v>0.6</v>
      </c>
      <c r="M53" s="777">
        <f>SUMIF('10b-Bereikbaarheidsvoorz.'!B:B,'10a-Periodieke beurt'!B53,'10b-Bereikbaarheidsvoorz.'!H:H)</f>
        <v>0</v>
      </c>
      <c r="N53" s="776" t="s">
        <v>1234</v>
      </c>
      <c r="O53" s="777">
        <f t="shared" si="7"/>
        <v>0</v>
      </c>
      <c r="P53" s="777">
        <f t="shared" si="12"/>
        <v>0</v>
      </c>
      <c r="Q53" s="777">
        <f t="shared" si="9"/>
        <v>0</v>
      </c>
      <c r="R53" s="271"/>
    </row>
    <row r="54" spans="1:18">
      <c r="A54" s="544">
        <v>304</v>
      </c>
      <c r="B54" s="551" t="s">
        <v>105</v>
      </c>
      <c r="C54" s="680">
        <f>VLOOKUP(A54,'2-Kosten per locatie'!$A$13:$C$88,3,FALSE)</f>
        <v>2</v>
      </c>
      <c r="D54" s="540" t="str">
        <f ca="1">VLOOKUP(A54,'3-Ruimtestaat'!B:D,3,FALSE)</f>
        <v>Ringlijn</v>
      </c>
      <c r="E54" s="772"/>
      <c r="F54" s="772"/>
      <c r="G54" s="773">
        <f t="shared" si="0"/>
        <v>0</v>
      </c>
      <c r="H54" s="773">
        <f t="shared" si="1"/>
        <v>0</v>
      </c>
      <c r="I54" s="773">
        <f t="shared" si="10"/>
        <v>0</v>
      </c>
      <c r="J54" s="773">
        <f t="shared" si="11"/>
        <v>0</v>
      </c>
      <c r="K54" s="774">
        <v>0.4</v>
      </c>
      <c r="L54" s="774">
        <v>0.6</v>
      </c>
      <c r="M54" s="777">
        <f>SUMIF('10b-Bereikbaarheidsvoorz.'!B:B,'10a-Periodieke beurt'!B54,'10b-Bereikbaarheidsvoorz.'!H:H)</f>
        <v>0</v>
      </c>
      <c r="N54" s="776" t="s">
        <v>1197</v>
      </c>
      <c r="O54" s="777">
        <f t="shared" si="7"/>
        <v>0</v>
      </c>
      <c r="P54" s="777">
        <f t="shared" si="12"/>
        <v>0</v>
      </c>
      <c r="Q54" s="777">
        <f t="shared" si="9"/>
        <v>0</v>
      </c>
      <c r="R54" s="271"/>
    </row>
    <row r="55" spans="1:18">
      <c r="A55" s="544">
        <v>305</v>
      </c>
      <c r="B55" s="551" t="s">
        <v>106</v>
      </c>
      <c r="C55" s="680">
        <f>VLOOKUP(A55,'2-Kosten per locatie'!$A$13:$C$88,3,FALSE)</f>
        <v>2</v>
      </c>
      <c r="D55" s="540" t="str">
        <f ca="1">VLOOKUP(A55,'3-Ruimtestaat'!B:D,3,FALSE)</f>
        <v>Ringlijn</v>
      </c>
      <c r="E55" s="772"/>
      <c r="F55" s="772"/>
      <c r="G55" s="773">
        <f t="shared" si="0"/>
        <v>0</v>
      </c>
      <c r="H55" s="773">
        <f t="shared" si="1"/>
        <v>0</v>
      </c>
      <c r="I55" s="773">
        <f t="shared" si="10"/>
        <v>0</v>
      </c>
      <c r="J55" s="773">
        <f t="shared" si="11"/>
        <v>0</v>
      </c>
      <c r="K55" s="774">
        <v>0.4</v>
      </c>
      <c r="L55" s="774">
        <v>0.6</v>
      </c>
      <c r="M55" s="777">
        <f>SUMIF('10b-Bereikbaarheidsvoorz.'!B:B,'10a-Periodieke beurt'!B55,'10b-Bereikbaarheidsvoorz.'!H:H)</f>
        <v>0</v>
      </c>
      <c r="N55" s="776" t="s">
        <v>1197</v>
      </c>
      <c r="O55" s="777">
        <f t="shared" si="7"/>
        <v>0</v>
      </c>
      <c r="P55" s="777">
        <f t="shared" si="12"/>
        <v>0</v>
      </c>
      <c r="Q55" s="777">
        <f t="shared" si="9"/>
        <v>0</v>
      </c>
      <c r="R55" s="271"/>
    </row>
    <row r="56" spans="1:18">
      <c r="A56" s="544">
        <v>306</v>
      </c>
      <c r="B56" s="551" t="s">
        <v>107</v>
      </c>
      <c r="C56" s="680">
        <f>VLOOKUP(A56,'2-Kosten per locatie'!$A$13:$C$88,3,FALSE)</f>
        <v>2</v>
      </c>
      <c r="D56" s="540" t="str">
        <f ca="1">VLOOKUP(A56,'3-Ruimtestaat'!B:D,3,FALSE)</f>
        <v>Ringlijn</v>
      </c>
      <c r="E56" s="772"/>
      <c r="F56" s="772"/>
      <c r="G56" s="773">
        <f t="shared" si="0"/>
        <v>0</v>
      </c>
      <c r="H56" s="773">
        <f t="shared" si="1"/>
        <v>0</v>
      </c>
      <c r="I56" s="773">
        <f t="shared" si="10"/>
        <v>0</v>
      </c>
      <c r="J56" s="773">
        <f t="shared" si="11"/>
        <v>0</v>
      </c>
      <c r="K56" s="774">
        <v>0.4</v>
      </c>
      <c r="L56" s="774">
        <v>0.6</v>
      </c>
      <c r="M56" s="777">
        <f>SUMIF('10b-Bereikbaarheidsvoorz.'!B:B,'10a-Periodieke beurt'!B56,'10b-Bereikbaarheidsvoorz.'!H:H)</f>
        <v>0</v>
      </c>
      <c r="N56" s="776" t="s">
        <v>1197</v>
      </c>
      <c r="O56" s="777">
        <f t="shared" si="7"/>
        <v>0</v>
      </c>
      <c r="P56" s="777">
        <f t="shared" si="12"/>
        <v>0</v>
      </c>
      <c r="Q56" s="777">
        <f t="shared" si="9"/>
        <v>0</v>
      </c>
      <c r="R56" s="271"/>
    </row>
    <row r="57" spans="1:18">
      <c r="A57" s="544">
        <v>307</v>
      </c>
      <c r="B57" s="551" t="s">
        <v>108</v>
      </c>
      <c r="C57" s="680">
        <f>VLOOKUP(A57,'2-Kosten per locatie'!$A$13:$C$88,3,FALSE)</f>
        <v>2</v>
      </c>
      <c r="D57" s="540" t="str">
        <f ca="1">VLOOKUP(A57,'3-Ruimtestaat'!B:D,3,FALSE)</f>
        <v>Ringlijn</v>
      </c>
      <c r="E57" s="772"/>
      <c r="F57" s="772"/>
      <c r="G57" s="773">
        <f t="shared" si="0"/>
        <v>0</v>
      </c>
      <c r="H57" s="773">
        <f t="shared" si="1"/>
        <v>0</v>
      </c>
      <c r="I57" s="773">
        <f t="shared" si="10"/>
        <v>0</v>
      </c>
      <c r="J57" s="773">
        <f t="shared" si="11"/>
        <v>0</v>
      </c>
      <c r="K57" s="774">
        <v>0.4</v>
      </c>
      <c r="L57" s="774">
        <v>0.6</v>
      </c>
      <c r="M57" s="777">
        <f>SUMIF('10b-Bereikbaarheidsvoorz.'!B:B,'10a-Periodieke beurt'!B57,'10b-Bereikbaarheidsvoorz.'!H:H)</f>
        <v>0</v>
      </c>
      <c r="N57" s="776" t="s">
        <v>1197</v>
      </c>
      <c r="O57" s="777">
        <f t="shared" si="7"/>
        <v>0</v>
      </c>
      <c r="P57" s="777">
        <f t="shared" si="12"/>
        <v>0</v>
      </c>
      <c r="Q57" s="777">
        <f t="shared" si="9"/>
        <v>0</v>
      </c>
      <c r="R57" s="271"/>
    </row>
    <row r="58" spans="1:18">
      <c r="A58" s="544">
        <v>308</v>
      </c>
      <c r="B58" s="551" t="s">
        <v>109</v>
      </c>
      <c r="C58" s="680">
        <f>VLOOKUP(A58,'2-Kosten per locatie'!$A$13:$C$88,3,FALSE)</f>
        <v>2</v>
      </c>
      <c r="D58" s="540" t="str">
        <f ca="1">VLOOKUP(A58,'3-Ruimtestaat'!B:D,3,FALSE)</f>
        <v>Ringlijn</v>
      </c>
      <c r="E58" s="772"/>
      <c r="F58" s="772"/>
      <c r="G58" s="773">
        <f t="shared" si="0"/>
        <v>0</v>
      </c>
      <c r="H58" s="773">
        <f t="shared" si="1"/>
        <v>0</v>
      </c>
      <c r="I58" s="773">
        <f t="shared" si="10"/>
        <v>0</v>
      </c>
      <c r="J58" s="773">
        <f t="shared" si="11"/>
        <v>0</v>
      </c>
      <c r="K58" s="774">
        <v>0.4</v>
      </c>
      <c r="L58" s="774">
        <v>0.6</v>
      </c>
      <c r="M58" s="777">
        <f>SUMIF('10b-Bereikbaarheidsvoorz.'!B:B,'10a-Periodieke beurt'!B58,'10b-Bereikbaarheidsvoorz.'!H:H)</f>
        <v>0</v>
      </c>
      <c r="N58" s="776" t="s">
        <v>1197</v>
      </c>
      <c r="O58" s="777">
        <f t="shared" si="7"/>
        <v>0</v>
      </c>
      <c r="P58" s="777">
        <f t="shared" si="12"/>
        <v>0</v>
      </c>
      <c r="Q58" s="777">
        <f t="shared" si="9"/>
        <v>0</v>
      </c>
      <c r="R58" s="271"/>
    </row>
    <row r="59" spans="1:18">
      <c r="A59" s="544">
        <v>309</v>
      </c>
      <c r="B59" s="551" t="s">
        <v>110</v>
      </c>
      <c r="C59" s="680">
        <f>VLOOKUP(A59,'2-Kosten per locatie'!$A$13:$C$88,3,FALSE)</f>
        <v>2</v>
      </c>
      <c r="D59" s="540" t="str">
        <f ca="1">VLOOKUP(A59,'3-Ruimtestaat'!B:D,3,FALSE)</f>
        <v>Ringlijn</v>
      </c>
      <c r="E59" s="772"/>
      <c r="F59" s="772"/>
      <c r="G59" s="773">
        <f t="shared" si="0"/>
        <v>0</v>
      </c>
      <c r="H59" s="773">
        <f t="shared" si="1"/>
        <v>0</v>
      </c>
      <c r="I59" s="773">
        <f t="shared" si="10"/>
        <v>0</v>
      </c>
      <c r="J59" s="773">
        <f t="shared" si="11"/>
        <v>0</v>
      </c>
      <c r="K59" s="774">
        <v>0.4</v>
      </c>
      <c r="L59" s="774">
        <v>0.6</v>
      </c>
      <c r="M59" s="777">
        <f>SUMIF('10b-Bereikbaarheidsvoorz.'!B:B,'10a-Periodieke beurt'!B59,'10b-Bereikbaarheidsvoorz.'!H:H)</f>
        <v>0</v>
      </c>
      <c r="N59" s="776" t="s">
        <v>1197</v>
      </c>
      <c r="O59" s="777">
        <f t="shared" si="7"/>
        <v>0</v>
      </c>
      <c r="P59" s="777">
        <f t="shared" si="12"/>
        <v>0</v>
      </c>
      <c r="Q59" s="777">
        <f t="shared" si="9"/>
        <v>0</v>
      </c>
      <c r="R59" s="271"/>
    </row>
    <row r="60" spans="1:18">
      <c r="A60" s="544">
        <v>310</v>
      </c>
      <c r="B60" s="551" t="s">
        <v>111</v>
      </c>
      <c r="C60" s="680">
        <f>VLOOKUP(A60,'2-Kosten per locatie'!$A$13:$C$88,3,FALSE)</f>
        <v>2</v>
      </c>
      <c r="D60" s="540" t="str">
        <f ca="1">VLOOKUP(A60,'3-Ruimtestaat'!B:D,3,FALSE)</f>
        <v>Ringlijn</v>
      </c>
      <c r="E60" s="772"/>
      <c r="F60" s="772"/>
      <c r="G60" s="773">
        <f t="shared" si="0"/>
        <v>0</v>
      </c>
      <c r="H60" s="773">
        <f t="shared" si="1"/>
        <v>0</v>
      </c>
      <c r="I60" s="773">
        <f t="shared" si="10"/>
        <v>0</v>
      </c>
      <c r="J60" s="773">
        <f t="shared" si="11"/>
        <v>0</v>
      </c>
      <c r="K60" s="774">
        <v>0.4</v>
      </c>
      <c r="L60" s="774">
        <v>0.6</v>
      </c>
      <c r="M60" s="777">
        <f>SUMIF('10b-Bereikbaarheidsvoorz.'!B:B,'10a-Periodieke beurt'!B60,'10b-Bereikbaarheidsvoorz.'!H:H)</f>
        <v>0</v>
      </c>
      <c r="N60" s="776" t="s">
        <v>1197</v>
      </c>
      <c r="O60" s="777">
        <f t="shared" si="7"/>
        <v>0</v>
      </c>
      <c r="P60" s="777">
        <f t="shared" si="12"/>
        <v>0</v>
      </c>
      <c r="Q60" s="777">
        <f t="shared" si="9"/>
        <v>0</v>
      </c>
      <c r="R60" s="271"/>
    </row>
    <row r="61" spans="1:18">
      <c r="A61" s="544">
        <v>311</v>
      </c>
      <c r="B61" s="551" t="s">
        <v>112</v>
      </c>
      <c r="C61" s="680">
        <f>VLOOKUP(A61,'2-Kosten per locatie'!$A$13:$C$88,3,FALSE)</f>
        <v>2</v>
      </c>
      <c r="D61" s="540" t="str">
        <f ca="1">VLOOKUP(A61,'3-Ruimtestaat'!B:D,3,FALSE)</f>
        <v>Ringlijn</v>
      </c>
      <c r="E61" s="772"/>
      <c r="F61" s="772"/>
      <c r="G61" s="773">
        <f t="shared" si="0"/>
        <v>0</v>
      </c>
      <c r="H61" s="773">
        <f t="shared" si="1"/>
        <v>0</v>
      </c>
      <c r="I61" s="773">
        <f t="shared" si="10"/>
        <v>0</v>
      </c>
      <c r="J61" s="773">
        <f t="shared" si="11"/>
        <v>0</v>
      </c>
      <c r="K61" s="774">
        <v>0.4</v>
      </c>
      <c r="L61" s="774">
        <v>0.6</v>
      </c>
      <c r="M61" s="777">
        <f>SUMIF('10b-Bereikbaarheidsvoorz.'!B:B,'10a-Periodieke beurt'!B61,'10b-Bereikbaarheidsvoorz.'!H:H)</f>
        <v>0</v>
      </c>
      <c r="N61" s="776" t="s">
        <v>1197</v>
      </c>
      <c r="O61" s="777">
        <f t="shared" si="7"/>
        <v>0</v>
      </c>
      <c r="P61" s="777">
        <f t="shared" si="12"/>
        <v>0</v>
      </c>
      <c r="Q61" s="777">
        <f t="shared" si="9"/>
        <v>0</v>
      </c>
      <c r="R61" s="271"/>
    </row>
    <row r="62" spans="1:18">
      <c r="A62" s="544">
        <v>312</v>
      </c>
      <c r="B62" s="551" t="s">
        <v>115</v>
      </c>
      <c r="C62" s="680">
        <f>VLOOKUP(A62,'2-Kosten per locatie'!$A$13:$C$88,3,FALSE)</f>
        <v>2</v>
      </c>
      <c r="D62" s="540" t="str">
        <f ca="1">VLOOKUP(A62,'3-Ruimtestaat'!B:D,3,FALSE)</f>
        <v>Ringlijn</v>
      </c>
      <c r="E62" s="772"/>
      <c r="F62" s="772"/>
      <c r="G62" s="773">
        <f t="shared" si="0"/>
        <v>0</v>
      </c>
      <c r="H62" s="773">
        <f t="shared" si="1"/>
        <v>0</v>
      </c>
      <c r="I62" s="773">
        <f t="shared" si="10"/>
        <v>0</v>
      </c>
      <c r="J62" s="773">
        <f t="shared" si="11"/>
        <v>0</v>
      </c>
      <c r="K62" s="774">
        <v>0.4</v>
      </c>
      <c r="L62" s="774">
        <v>0.6</v>
      </c>
      <c r="M62" s="777">
        <f>SUMIF('10b-Bereikbaarheidsvoorz.'!B:B,'10a-Periodieke beurt'!B62,'10b-Bereikbaarheidsvoorz.'!H:H)</f>
        <v>0</v>
      </c>
      <c r="N62" s="776" t="s">
        <v>1197</v>
      </c>
      <c r="O62" s="777">
        <f t="shared" ref="O62:O63" si="19">(((E62*G62)+(F62*H62))*N62)+(M62*N62)</f>
        <v>0</v>
      </c>
      <c r="P62" s="777">
        <f t="shared" ref="P62:P63" si="20">(((E62*I62)+(F62*J62))*N62)+(M62*N62)</f>
        <v>0</v>
      </c>
      <c r="Q62" s="777">
        <f t="shared" ref="Q62:Q63" si="21">(O62*K62)+(P62*L62)</f>
        <v>0</v>
      </c>
      <c r="R62" s="271"/>
    </row>
    <row r="63" spans="1:18">
      <c r="A63" s="544">
        <v>1001</v>
      </c>
      <c r="B63" s="551" t="s">
        <v>116</v>
      </c>
      <c r="C63" s="680">
        <f>VLOOKUP(A63,'2-Kosten per locatie'!$A$13:$C$88,3,FALSE)</f>
        <v>2</v>
      </c>
      <c r="D63" s="540" t="str">
        <f ca="1">VLOOKUP(A63,'3-Ruimtestaat'!B:D,3,FALSE)</f>
        <v>Ijtram</v>
      </c>
      <c r="E63" s="772"/>
      <c r="F63" s="772"/>
      <c r="G63" s="773">
        <f t="shared" si="0"/>
        <v>0</v>
      </c>
      <c r="H63" s="773">
        <f t="shared" si="1"/>
        <v>0</v>
      </c>
      <c r="I63" s="773">
        <f t="shared" si="10"/>
        <v>0</v>
      </c>
      <c r="J63" s="773">
        <f t="shared" si="11"/>
        <v>0</v>
      </c>
      <c r="K63" s="774">
        <v>0.4</v>
      </c>
      <c r="L63" s="774">
        <v>0.6</v>
      </c>
      <c r="M63" s="777">
        <f>SUMIF('10b-Bereikbaarheidsvoorz.'!B:B,'10a-Periodieke beurt'!B63,'10b-Bereikbaarheidsvoorz.'!H:H)</f>
        <v>0</v>
      </c>
      <c r="N63" s="776" t="s">
        <v>1197</v>
      </c>
      <c r="O63" s="777">
        <f t="shared" si="19"/>
        <v>0</v>
      </c>
      <c r="P63" s="777">
        <f t="shared" si="20"/>
        <v>0</v>
      </c>
      <c r="Q63" s="777">
        <f t="shared" si="21"/>
        <v>0</v>
      </c>
      <c r="R63" s="271"/>
    </row>
    <row r="64" spans="1:18">
      <c r="A64" s="544">
        <v>1002</v>
      </c>
      <c r="B64" s="551" t="s">
        <v>117</v>
      </c>
      <c r="C64" s="680">
        <f>VLOOKUP(A64,'2-Kosten per locatie'!$A$13:$C$88,3,FALSE)</f>
        <v>2</v>
      </c>
      <c r="D64" s="540" t="str">
        <f ca="1">VLOOKUP(A64,'3-Ruimtestaat'!B:D,3,FALSE)</f>
        <v>Ijtram</v>
      </c>
      <c r="E64" s="772"/>
      <c r="F64" s="772"/>
      <c r="G64" s="773">
        <f t="shared" si="0"/>
        <v>0</v>
      </c>
      <c r="H64" s="773">
        <f t="shared" si="1"/>
        <v>0</v>
      </c>
      <c r="I64" s="773">
        <f t="shared" si="10"/>
        <v>0</v>
      </c>
      <c r="J64" s="773">
        <f t="shared" si="11"/>
        <v>0</v>
      </c>
      <c r="K64" s="774">
        <v>0.4</v>
      </c>
      <c r="L64" s="774">
        <v>0.6</v>
      </c>
      <c r="M64" s="777">
        <f>SUMIF('10b-Bereikbaarheidsvoorz.'!B:B,'10a-Periodieke beurt'!B64,'10b-Bereikbaarheidsvoorz.'!H:H)</f>
        <v>0</v>
      </c>
      <c r="N64" s="776" t="s">
        <v>1197</v>
      </c>
      <c r="O64" s="777">
        <f t="shared" si="7"/>
        <v>0</v>
      </c>
      <c r="P64" s="777">
        <f t="shared" si="12"/>
        <v>0</v>
      </c>
      <c r="Q64" s="777">
        <f t="shared" si="9"/>
        <v>0</v>
      </c>
      <c r="R64" s="271"/>
    </row>
    <row r="65" spans="1:25">
      <c r="E65" s="271"/>
      <c r="F65" s="271"/>
      <c r="G65" s="271"/>
      <c r="H65" s="271"/>
      <c r="I65" s="271"/>
      <c r="J65" s="271"/>
      <c r="K65" s="271"/>
      <c r="L65" s="271"/>
      <c r="M65" s="271"/>
      <c r="N65" s="272"/>
      <c r="O65" s="272"/>
      <c r="P65" s="272"/>
      <c r="Q65" s="271"/>
      <c r="R65" s="271"/>
    </row>
    <row r="66" spans="1:25" s="190" customFormat="1">
      <c r="A66" s="711" t="s">
        <v>917</v>
      </c>
      <c r="B66" s="778"/>
      <c r="C66" s="778"/>
      <c r="D66" s="778"/>
      <c r="E66" s="779"/>
      <c r="F66" s="779"/>
      <c r="G66" s="779"/>
      <c r="H66" s="779"/>
      <c r="I66" s="779"/>
      <c r="J66" s="779"/>
      <c r="K66" s="779"/>
      <c r="L66" s="779"/>
      <c r="M66" s="780"/>
      <c r="N66" s="781"/>
      <c r="O66" s="781"/>
      <c r="P66" s="782"/>
      <c r="Q66" s="783">
        <f>SUM(Q19:Q65)</f>
        <v>0</v>
      </c>
      <c r="R66" s="273"/>
      <c r="T66" s="108"/>
      <c r="U66" s="108"/>
      <c r="V66" s="108"/>
      <c r="W66" s="108"/>
      <c r="X66" s="108"/>
      <c r="Y66" s="108"/>
    </row>
    <row r="67" spans="1:25">
      <c r="E67" s="274"/>
      <c r="F67" s="274"/>
      <c r="G67" s="274"/>
      <c r="H67" s="274"/>
      <c r="I67" s="274"/>
      <c r="J67" s="274"/>
      <c r="K67" s="274"/>
      <c r="L67" s="274"/>
      <c r="M67" s="271"/>
      <c r="N67" s="272"/>
      <c r="O67" s="272"/>
      <c r="P67" s="272"/>
      <c r="Q67" s="272"/>
      <c r="R67" s="272"/>
      <c r="T67" s="191"/>
      <c r="U67" s="191"/>
    </row>
    <row r="68" spans="1:25">
      <c r="A68" s="403" t="s">
        <v>1235</v>
      </c>
      <c r="Q68" s="188"/>
      <c r="R68" s="188"/>
    </row>
  </sheetData>
  <autoFilter ref="A18:Y18" xr:uid="{00000000-0001-0000-1200-000000000000}"/>
  <mergeCells count="5">
    <mergeCell ref="A15:B15"/>
    <mergeCell ref="A16:B16"/>
    <mergeCell ref="A12:B12"/>
    <mergeCell ref="A13:B13"/>
    <mergeCell ref="A14:B14"/>
  </mergeCells>
  <pageMargins left="0.7" right="0.7" top="0.75" bottom="0.75" header="0.3" footer="0.3"/>
  <pageSetup paperSize="9" scale="4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B33B1-6022-4295-A10F-871CBE1AE94D}">
  <sheetPr>
    <tabColor theme="0" tint="-4.9989318521683403E-2"/>
    <pageSetUpPr fitToPage="1"/>
  </sheetPr>
  <dimension ref="A1:Q68"/>
  <sheetViews>
    <sheetView showGridLines="0" zoomScale="86" zoomScaleNormal="86" workbookViewId="0">
      <pane ySplit="13" topLeftCell="A14" activePane="bottomLeft" state="frozen"/>
      <selection pane="bottomLeft" activeCell="E14" sqref="E14:G42"/>
      <selection activeCell="A872" sqref="A872"/>
    </sheetView>
  </sheetViews>
  <sheetFormatPr defaultColWidth="9.140625" defaultRowHeight="13.15"/>
  <cols>
    <col min="1" max="1" width="10.85546875" style="43" customWidth="1"/>
    <col min="2" max="2" width="20.140625" style="43" bestFit="1" customWidth="1"/>
    <col min="3" max="3" width="20.140625" style="43" customWidth="1"/>
    <col min="4" max="4" width="23.85546875" style="43" customWidth="1"/>
    <col min="5" max="5" width="15.28515625" style="182" customWidth="1"/>
    <col min="6" max="7" width="17" style="43" customWidth="1"/>
    <col min="8" max="8" width="22.5703125" style="43" bestFit="1" customWidth="1"/>
    <col min="9" max="16384" width="9.140625" style="43"/>
  </cols>
  <sheetData>
    <row r="1" spans="1:17" s="90" customFormat="1">
      <c r="A1" s="784" t="s">
        <v>0</v>
      </c>
      <c r="B1" s="785"/>
      <c r="D1" s="173"/>
    </row>
    <row r="2" spans="1:17" s="90" customFormat="1">
      <c r="A2" s="91"/>
      <c r="C2" s="91"/>
      <c r="D2" s="173"/>
      <c r="N2" s="43"/>
      <c r="O2" s="43"/>
      <c r="P2" s="43"/>
      <c r="Q2" s="43"/>
    </row>
    <row r="3" spans="1:17" s="96" customFormat="1" ht="15.6">
      <c r="A3" s="111" t="s">
        <v>1</v>
      </c>
      <c r="B3" s="111"/>
      <c r="C3" s="174" t="str">
        <f>'1-Inschrijfstaat'!B3</f>
        <v>GVB Infra B.V.</v>
      </c>
      <c r="D3" s="175"/>
      <c r="E3" s="94"/>
      <c r="F3" s="94"/>
      <c r="G3" s="94"/>
      <c r="H3" s="94"/>
      <c r="I3" s="94"/>
      <c r="J3" s="94"/>
      <c r="K3" s="94"/>
      <c r="L3" s="94"/>
      <c r="M3" s="94"/>
      <c r="N3" s="43"/>
      <c r="O3" s="43"/>
      <c r="P3" s="43"/>
      <c r="Q3" s="43"/>
    </row>
    <row r="4" spans="1:17" s="96" customFormat="1" ht="15.6">
      <c r="A4" s="111" t="s">
        <v>918</v>
      </c>
      <c r="B4" s="111"/>
      <c r="C4" s="93" t="e">
        <f ca="1">MID(CELL("bestandsnaam",$E$11),SEARCH("]",CELL("bestandsnaam",$E$11),1)+1,256)</f>
        <v>#VALUE!</v>
      </c>
      <c r="D4" s="175"/>
      <c r="E4" s="94"/>
      <c r="F4" s="94"/>
      <c r="G4" s="94"/>
      <c r="H4" s="94"/>
      <c r="I4" s="94"/>
      <c r="J4" s="94"/>
      <c r="K4" s="94"/>
      <c r="L4" s="94"/>
      <c r="M4" s="94"/>
      <c r="N4" s="43"/>
      <c r="O4" s="43"/>
      <c r="P4" s="43"/>
      <c r="Q4" s="43"/>
    </row>
    <row r="5" spans="1:17" s="96" customFormat="1" ht="18.75" customHeight="1">
      <c r="A5" s="111" t="s">
        <v>4</v>
      </c>
      <c r="B5" s="111"/>
      <c r="C5" s="174" t="str">
        <f>'1-Inschrijfstaat'!B5</f>
        <v>Diverse</v>
      </c>
      <c r="D5" s="175"/>
      <c r="E5" s="94"/>
      <c r="F5" s="94"/>
      <c r="G5" s="94"/>
      <c r="H5" s="94"/>
      <c r="I5" s="94"/>
      <c r="J5" s="94"/>
      <c r="K5" s="94"/>
      <c r="L5" s="94"/>
      <c r="M5" s="94"/>
    </row>
    <row r="6" spans="1:17" s="96" customFormat="1" ht="15.6">
      <c r="A6" s="12" t="s">
        <v>47</v>
      </c>
      <c r="B6" s="111"/>
      <c r="C6" s="174" t="str">
        <f>'1-Inschrijfstaat'!B6</f>
        <v>2024-20</v>
      </c>
      <c r="D6" s="175"/>
      <c r="E6" s="94"/>
      <c r="F6" s="94"/>
      <c r="G6" s="94"/>
      <c r="H6" s="94"/>
      <c r="I6" s="94"/>
      <c r="J6" s="94"/>
      <c r="K6" s="94"/>
      <c r="L6" s="94"/>
      <c r="M6" s="94"/>
      <c r="N6" s="43"/>
      <c r="O6" s="43"/>
      <c r="P6" s="43"/>
      <c r="Q6" s="43"/>
    </row>
    <row r="7" spans="1:17" s="96" customFormat="1" ht="15.6">
      <c r="A7" s="111" t="s">
        <v>8</v>
      </c>
      <c r="B7" s="111"/>
      <c r="C7" s="174">
        <f>'1-Inschrijfstaat'!B7</f>
        <v>0</v>
      </c>
      <c r="D7" s="176"/>
      <c r="E7" s="95"/>
      <c r="F7" s="95"/>
      <c r="G7" s="95"/>
      <c r="H7" s="95"/>
      <c r="I7" s="95"/>
      <c r="J7" s="95"/>
      <c r="K7" s="95"/>
      <c r="L7" s="95"/>
      <c r="M7" s="95"/>
      <c r="N7" s="43"/>
      <c r="O7" s="43"/>
      <c r="P7" s="43"/>
      <c r="Q7" s="43"/>
    </row>
    <row r="8" spans="1:17" s="96" customFormat="1" ht="15.6">
      <c r="A8" s="111" t="s">
        <v>9</v>
      </c>
      <c r="B8" s="111"/>
      <c r="C8" s="177" t="str">
        <f>'1-Inschrijfstaat'!B8</f>
        <v>1 januari 2025</v>
      </c>
      <c r="D8" s="175"/>
      <c r="E8" s="94"/>
      <c r="F8" s="94"/>
      <c r="G8" s="94"/>
      <c r="H8" s="94"/>
      <c r="I8" s="94"/>
      <c r="J8" s="94"/>
      <c r="K8" s="94"/>
      <c r="L8" s="94"/>
      <c r="M8" s="94"/>
      <c r="N8" s="43"/>
      <c r="O8" s="43"/>
      <c r="P8" s="43"/>
      <c r="Q8" s="43"/>
    </row>
    <row r="9" spans="1:17" s="96" customFormat="1" ht="15.6">
      <c r="A9" s="115" t="s">
        <v>11</v>
      </c>
      <c r="B9" s="115"/>
      <c r="C9" s="174" t="str">
        <f>'1-Inschrijfstaat'!B9</f>
        <v>2 Specialistiche schoonmaak</v>
      </c>
      <c r="D9" s="175"/>
      <c r="E9" s="94"/>
      <c r="F9" s="94"/>
      <c r="G9" s="43"/>
      <c r="H9" s="43"/>
      <c r="I9" s="43"/>
      <c r="J9" s="43"/>
      <c r="K9" s="43"/>
      <c r="L9" s="43"/>
      <c r="M9" s="43"/>
      <c r="N9" s="43"/>
      <c r="O9" s="43"/>
    </row>
    <row r="10" spans="1:17" s="96" customFormat="1" ht="15.6">
      <c r="A10" s="178"/>
      <c r="D10" s="178"/>
      <c r="E10" s="179"/>
      <c r="F10" s="180"/>
      <c r="G10" s="180"/>
    </row>
    <row r="11" spans="1:17" s="96" customFormat="1" ht="15.6">
      <c r="A11" s="786" t="s">
        <v>1236</v>
      </c>
      <c r="B11" s="787"/>
      <c r="C11" s="787"/>
      <c r="D11" s="787"/>
      <c r="E11" s="788"/>
      <c r="F11" s="787"/>
      <c r="G11" s="787"/>
      <c r="H11" s="789"/>
    </row>
    <row r="12" spans="1:17" s="90" customFormat="1">
      <c r="E12" s="173"/>
    </row>
    <row r="13" spans="1:17" s="181" customFormat="1" ht="50.45" customHeight="1">
      <c r="A13" s="611" t="s">
        <v>49</v>
      </c>
      <c r="B13" s="611" t="s">
        <v>50</v>
      </c>
      <c r="C13" s="611" t="s">
        <v>11</v>
      </c>
      <c r="D13" s="611" t="s">
        <v>51</v>
      </c>
      <c r="E13" s="613" t="s">
        <v>1237</v>
      </c>
      <c r="F13" s="611" t="s">
        <v>1238</v>
      </c>
      <c r="G13" s="611" t="s">
        <v>1239</v>
      </c>
      <c r="H13" s="611" t="s">
        <v>1240</v>
      </c>
    </row>
    <row r="14" spans="1:17">
      <c r="A14" s="544">
        <v>106</v>
      </c>
      <c r="B14" s="551" t="s">
        <v>63</v>
      </c>
      <c r="C14" s="680">
        <f>VLOOKUP(A14,'2-Kosten per locatie'!$A$13:$C$88,3,FALSE)</f>
        <v>2</v>
      </c>
      <c r="D14" s="540" t="str">
        <f ca="1">VLOOKUP(A14,'3-Ruimtestaat'!B:D,3,FALSE)</f>
        <v>Oostlijn bovengronds</v>
      </c>
      <c r="E14" s="790"/>
      <c r="F14" s="742"/>
      <c r="G14" s="791"/>
      <c r="H14" s="616">
        <f t="shared" ref="H14" si="0">(E14+F14)*G14</f>
        <v>0</v>
      </c>
    </row>
    <row r="15" spans="1:17">
      <c r="A15" s="544">
        <v>107</v>
      </c>
      <c r="B15" s="551" t="s">
        <v>64</v>
      </c>
      <c r="C15" s="680">
        <f>VLOOKUP(A15,'2-Kosten per locatie'!$A$13:$C$88,3,FALSE)</f>
        <v>2</v>
      </c>
      <c r="D15" s="540" t="str">
        <f ca="1">VLOOKUP(A15,'3-Ruimtestaat'!B:D,3,FALSE)</f>
        <v>Oostlijn bovengronds</v>
      </c>
      <c r="E15" s="790"/>
      <c r="F15" s="742"/>
      <c r="G15" s="791"/>
      <c r="H15" s="616">
        <f t="shared" ref="H15:H16" si="1">(E15+F15)*G15</f>
        <v>0</v>
      </c>
    </row>
    <row r="16" spans="1:17">
      <c r="A16" s="544">
        <v>108</v>
      </c>
      <c r="B16" s="551" t="s">
        <v>65</v>
      </c>
      <c r="C16" s="680">
        <f>VLOOKUP(A16,'2-Kosten per locatie'!$A$13:$C$88,3,FALSE)</f>
        <v>2</v>
      </c>
      <c r="D16" s="540" t="str">
        <f ca="1">VLOOKUP(A16,'3-Ruimtestaat'!B:D,3,FALSE)</f>
        <v>Oostlijn bovengronds</v>
      </c>
      <c r="E16" s="790"/>
      <c r="F16" s="742"/>
      <c r="G16" s="791"/>
      <c r="H16" s="616">
        <f t="shared" si="1"/>
        <v>0</v>
      </c>
    </row>
    <row r="17" spans="1:8">
      <c r="A17" s="544">
        <v>109</v>
      </c>
      <c r="B17" s="551" t="s">
        <v>66</v>
      </c>
      <c r="C17" s="680">
        <f>VLOOKUP(A17,'2-Kosten per locatie'!$A$13:$C$88,3,FALSE)</f>
        <v>2</v>
      </c>
      <c r="D17" s="540" t="str">
        <f ca="1">VLOOKUP(A17,'3-Ruimtestaat'!B:D,3,FALSE)</f>
        <v>Oostlijn bovengronds</v>
      </c>
      <c r="E17" s="790"/>
      <c r="F17" s="724"/>
      <c r="G17" s="791"/>
      <c r="H17" s="616">
        <f t="shared" ref="H17:H63" si="2">(E17+F17)*G17</f>
        <v>0</v>
      </c>
    </row>
    <row r="18" spans="1:8">
      <c r="A18" s="544">
        <v>110</v>
      </c>
      <c r="B18" s="551" t="s">
        <v>67</v>
      </c>
      <c r="C18" s="680">
        <f>VLOOKUP(A18,'2-Kosten per locatie'!$A$13:$C$88,3,FALSE)</f>
        <v>2</v>
      </c>
      <c r="D18" s="540" t="str">
        <f ca="1">VLOOKUP(A18,'3-Ruimtestaat'!B:D,3,FALSE)</f>
        <v>Oostlijn bovengronds</v>
      </c>
      <c r="E18" s="790"/>
      <c r="F18" s="724"/>
      <c r="G18" s="791"/>
      <c r="H18" s="616">
        <f t="shared" si="2"/>
        <v>0</v>
      </c>
    </row>
    <row r="19" spans="1:8">
      <c r="A19" s="544">
        <v>111</v>
      </c>
      <c r="B19" s="551" t="s">
        <v>68</v>
      </c>
      <c r="C19" s="680">
        <f>VLOOKUP(A19,'2-Kosten per locatie'!$A$13:$C$88,3,FALSE)</f>
        <v>2</v>
      </c>
      <c r="D19" s="540" t="str">
        <f ca="1">VLOOKUP(A19,'3-Ruimtestaat'!B:D,3,FALSE)</f>
        <v>Oostlijn bovengronds</v>
      </c>
      <c r="E19" s="790"/>
      <c r="F19" s="724"/>
      <c r="G19" s="791"/>
      <c r="H19" s="616">
        <f t="shared" si="2"/>
        <v>0</v>
      </c>
    </row>
    <row r="20" spans="1:8">
      <c r="A20" s="544">
        <v>112</v>
      </c>
      <c r="B20" s="551" t="s">
        <v>69</v>
      </c>
      <c r="C20" s="680">
        <f>VLOOKUP(A20,'2-Kosten per locatie'!$A$13:$C$88,3,FALSE)</f>
        <v>2</v>
      </c>
      <c r="D20" s="540" t="str">
        <f ca="1">VLOOKUP(A20,'3-Ruimtestaat'!B:D,3,FALSE)</f>
        <v>Oostlijn bovengronds</v>
      </c>
      <c r="E20" s="790"/>
      <c r="F20" s="724"/>
      <c r="G20" s="791"/>
      <c r="H20" s="616">
        <f t="shared" si="2"/>
        <v>0</v>
      </c>
    </row>
    <row r="21" spans="1:8">
      <c r="A21" s="544">
        <v>113</v>
      </c>
      <c r="B21" s="551" t="s">
        <v>70</v>
      </c>
      <c r="C21" s="680">
        <f>VLOOKUP(A21,'2-Kosten per locatie'!$A$13:$C$88,3,FALSE)</f>
        <v>2</v>
      </c>
      <c r="D21" s="540" t="str">
        <f ca="1">VLOOKUP(A21,'3-Ruimtestaat'!B:D,3,FALSE)</f>
        <v>Oostlijn bovengronds</v>
      </c>
      <c r="E21" s="790"/>
      <c r="F21" s="724"/>
      <c r="G21" s="791"/>
      <c r="H21" s="616">
        <f t="shared" si="2"/>
        <v>0</v>
      </c>
    </row>
    <row r="22" spans="1:8">
      <c r="A22" s="544">
        <v>114</v>
      </c>
      <c r="B22" s="551" t="s">
        <v>71</v>
      </c>
      <c r="C22" s="680">
        <f>VLOOKUP(A22,'2-Kosten per locatie'!$A$13:$C$88,3,FALSE)</f>
        <v>2</v>
      </c>
      <c r="D22" s="540" t="str">
        <f ca="1">VLOOKUP(A22,'3-Ruimtestaat'!B:D,3,FALSE)</f>
        <v>Oostlijn bovengronds</v>
      </c>
      <c r="E22" s="790"/>
      <c r="F22" s="724"/>
      <c r="G22" s="791"/>
      <c r="H22" s="616">
        <f t="shared" si="2"/>
        <v>0</v>
      </c>
    </row>
    <row r="23" spans="1:8">
      <c r="A23" s="544">
        <v>115</v>
      </c>
      <c r="B23" s="551" t="s">
        <v>72</v>
      </c>
      <c r="C23" s="680">
        <f>VLOOKUP(A23,'2-Kosten per locatie'!$A$13:$C$88,3,FALSE)</f>
        <v>2</v>
      </c>
      <c r="D23" s="540" t="str">
        <f ca="1">VLOOKUP(A23,'3-Ruimtestaat'!B:D,3,FALSE)</f>
        <v>Oostlijn Bovengronds</v>
      </c>
      <c r="E23" s="790"/>
      <c r="F23" s="724"/>
      <c r="G23" s="791"/>
      <c r="H23" s="616">
        <f t="shared" si="2"/>
        <v>0</v>
      </c>
    </row>
    <row r="24" spans="1:8">
      <c r="A24" s="544">
        <v>116</v>
      </c>
      <c r="B24" s="551" t="s">
        <v>73</v>
      </c>
      <c r="C24" s="680">
        <f>VLOOKUP(A24,'2-Kosten per locatie'!$A$13:$C$88,3,FALSE)</f>
        <v>2</v>
      </c>
      <c r="D24" s="540" t="str">
        <f ca="1">VLOOKUP(A24,'3-Ruimtestaat'!B:D,3,FALSE)</f>
        <v>Oostlijn bovengronds</v>
      </c>
      <c r="E24" s="792"/>
      <c r="F24" s="742"/>
      <c r="G24" s="791"/>
      <c r="H24" s="616">
        <f t="shared" si="2"/>
        <v>0</v>
      </c>
    </row>
    <row r="25" spans="1:8">
      <c r="A25" s="544">
        <v>117</v>
      </c>
      <c r="B25" s="551" t="s">
        <v>74</v>
      </c>
      <c r="C25" s="680">
        <f>VLOOKUP(A25,'2-Kosten per locatie'!$A$13:$C$88,3,FALSE)</f>
        <v>2</v>
      </c>
      <c r="D25" s="540" t="str">
        <f ca="1">VLOOKUP(A25,'3-Ruimtestaat'!B:D,3,FALSE)</f>
        <v>Oostlijn bovengronds</v>
      </c>
      <c r="E25" s="792"/>
      <c r="F25" s="742"/>
      <c r="G25" s="791"/>
      <c r="H25" s="616">
        <f t="shared" si="2"/>
        <v>0</v>
      </c>
    </row>
    <row r="26" spans="1:8">
      <c r="A26" s="544">
        <v>118</v>
      </c>
      <c r="B26" s="551" t="s">
        <v>75</v>
      </c>
      <c r="C26" s="680">
        <f>VLOOKUP(A26,'2-Kosten per locatie'!$A$13:$C$88,3,FALSE)</f>
        <v>2</v>
      </c>
      <c r="D26" s="540" t="str">
        <f ca="1">VLOOKUP(A26,'3-Ruimtestaat'!B:D,3,FALSE)</f>
        <v>Oostlijn bovengronds</v>
      </c>
      <c r="E26" s="792"/>
      <c r="F26" s="742"/>
      <c r="G26" s="791"/>
      <c r="H26" s="616">
        <f t="shared" si="2"/>
        <v>0</v>
      </c>
    </row>
    <row r="27" spans="1:8">
      <c r="A27" s="544">
        <v>119</v>
      </c>
      <c r="B27" s="551" t="s">
        <v>76</v>
      </c>
      <c r="C27" s="680">
        <f>VLOOKUP(A27,'2-Kosten per locatie'!$A$13:$C$88,3,FALSE)</f>
        <v>2</v>
      </c>
      <c r="D27" s="540" t="str">
        <f ca="1">VLOOKUP(A27,'3-Ruimtestaat'!B:D,3,FALSE)</f>
        <v>Oostlijn bovengronds</v>
      </c>
      <c r="E27" s="792"/>
      <c r="F27" s="742"/>
      <c r="G27" s="791"/>
      <c r="H27" s="616">
        <f t="shared" si="2"/>
        <v>0</v>
      </c>
    </row>
    <row r="28" spans="1:8">
      <c r="A28" s="544">
        <v>120</v>
      </c>
      <c r="B28" s="551" t="s">
        <v>77</v>
      </c>
      <c r="C28" s="680">
        <f>VLOOKUP(A28,'2-Kosten per locatie'!$A$13:$C$88,3,FALSE)</f>
        <v>2</v>
      </c>
      <c r="D28" s="540" t="str">
        <f ca="1">VLOOKUP(A28,'3-Ruimtestaat'!B:D,3,FALSE)</f>
        <v>Oostlijn bovengronds</v>
      </c>
      <c r="E28" s="792"/>
      <c r="F28" s="742"/>
      <c r="G28" s="791"/>
      <c r="H28" s="616">
        <f t="shared" si="2"/>
        <v>0</v>
      </c>
    </row>
    <row r="29" spans="1:8">
      <c r="A29" s="544">
        <v>121</v>
      </c>
      <c r="B29" s="551" t="s">
        <v>78</v>
      </c>
      <c r="C29" s="680">
        <f>VLOOKUP(A29,'2-Kosten per locatie'!$A$13:$C$88,3,FALSE)</f>
        <v>2</v>
      </c>
      <c r="D29" s="540" t="str">
        <f ca="1">VLOOKUP(A29,'3-Ruimtestaat'!B:D,3,FALSE)</f>
        <v>Oostlijn bovengronds</v>
      </c>
      <c r="E29" s="792"/>
      <c r="F29" s="742"/>
      <c r="G29" s="791"/>
      <c r="H29" s="616">
        <f t="shared" si="2"/>
        <v>0</v>
      </c>
    </row>
    <row r="30" spans="1:8">
      <c r="A30" s="544">
        <v>201</v>
      </c>
      <c r="B30" s="551" t="s">
        <v>79</v>
      </c>
      <c r="C30" s="680">
        <f>VLOOKUP(A30,'2-Kosten per locatie'!$A$13:$C$88,3,FALSE)</f>
        <v>2</v>
      </c>
      <c r="D30" s="540" t="str">
        <f ca="1">VLOOKUP(A30,'3-Ruimtestaat'!B:D,3,FALSE)</f>
        <v>Amstellijn</v>
      </c>
      <c r="E30" s="790"/>
      <c r="F30" s="724"/>
      <c r="G30" s="791"/>
      <c r="H30" s="616">
        <f t="shared" si="2"/>
        <v>0</v>
      </c>
    </row>
    <row r="31" spans="1:8">
      <c r="A31" s="544">
        <v>202</v>
      </c>
      <c r="B31" s="551" t="s">
        <v>80</v>
      </c>
      <c r="C31" s="680">
        <f>VLOOKUP(A31,'2-Kosten per locatie'!$A$13:$C$88,3,FALSE)</f>
        <v>2</v>
      </c>
      <c r="D31" s="540" t="str">
        <f ca="1">VLOOKUP(A31,'3-Ruimtestaat'!B:D,3,FALSE)</f>
        <v>Amstellijn</v>
      </c>
      <c r="E31" s="790"/>
      <c r="F31" s="724"/>
      <c r="G31" s="791"/>
      <c r="H31" s="616">
        <f t="shared" si="2"/>
        <v>0</v>
      </c>
    </row>
    <row r="32" spans="1:8">
      <c r="A32" s="544">
        <v>203</v>
      </c>
      <c r="B32" s="551" t="s">
        <v>81</v>
      </c>
      <c r="C32" s="680">
        <f>VLOOKUP(A32,'2-Kosten per locatie'!$A$13:$C$88,3,FALSE)</f>
        <v>2</v>
      </c>
      <c r="D32" s="540" t="str">
        <f ca="1">VLOOKUP(A32,'3-Ruimtestaat'!B:D,3,FALSE)</f>
        <v>Amstellijn</v>
      </c>
      <c r="E32" s="790"/>
      <c r="F32" s="724"/>
      <c r="G32" s="791"/>
      <c r="H32" s="616">
        <f t="shared" si="2"/>
        <v>0</v>
      </c>
    </row>
    <row r="33" spans="1:8">
      <c r="A33" s="544">
        <v>204</v>
      </c>
      <c r="B33" s="551" t="s">
        <v>82</v>
      </c>
      <c r="C33" s="680">
        <f>VLOOKUP(A33,'2-Kosten per locatie'!$A$13:$C$88,3,FALSE)</f>
        <v>2</v>
      </c>
      <c r="D33" s="540" t="str">
        <f ca="1">VLOOKUP(A33,'3-Ruimtestaat'!B:D,3,FALSE)</f>
        <v>Amstellijn</v>
      </c>
      <c r="E33" s="790"/>
      <c r="F33" s="724"/>
      <c r="G33" s="791"/>
      <c r="H33" s="616">
        <f t="shared" si="2"/>
        <v>0</v>
      </c>
    </row>
    <row r="34" spans="1:8">
      <c r="A34" s="544">
        <v>205</v>
      </c>
      <c r="B34" s="551" t="s">
        <v>83</v>
      </c>
      <c r="C34" s="680">
        <f>VLOOKUP(A34,'2-Kosten per locatie'!$A$13:$C$88,3,FALSE)</f>
        <v>2</v>
      </c>
      <c r="D34" s="540" t="str">
        <f ca="1">VLOOKUP(A34,'3-Ruimtestaat'!B:D,3,FALSE)</f>
        <v>Amstellijn</v>
      </c>
      <c r="E34" s="790"/>
      <c r="F34" s="724"/>
      <c r="G34" s="791"/>
      <c r="H34" s="616">
        <f t="shared" si="2"/>
        <v>0</v>
      </c>
    </row>
    <row r="35" spans="1:8">
      <c r="A35" s="544">
        <v>206</v>
      </c>
      <c r="B35" s="551" t="s">
        <v>84</v>
      </c>
      <c r="C35" s="680">
        <f>VLOOKUP(A35,'2-Kosten per locatie'!$A$13:$C$88,3,FALSE)</f>
        <v>2</v>
      </c>
      <c r="D35" s="540" t="str">
        <f ca="1">VLOOKUP(A35,'3-Ruimtestaat'!B:D,3,FALSE)</f>
        <v>Amstellijn</v>
      </c>
      <c r="E35" s="790"/>
      <c r="F35" s="724"/>
      <c r="G35" s="791"/>
      <c r="H35" s="616">
        <f t="shared" si="2"/>
        <v>0</v>
      </c>
    </row>
    <row r="36" spans="1:8">
      <c r="A36" s="544">
        <v>207</v>
      </c>
      <c r="B36" s="551" t="s">
        <v>85</v>
      </c>
      <c r="C36" s="680">
        <f>VLOOKUP(A36,'2-Kosten per locatie'!$A$13:$C$88,3,FALSE)</f>
        <v>2</v>
      </c>
      <c r="D36" s="540" t="str">
        <f ca="1">VLOOKUP(A36,'3-Ruimtestaat'!B:D,3,FALSE)</f>
        <v>Amstellijn</v>
      </c>
      <c r="E36" s="790"/>
      <c r="F36" s="724"/>
      <c r="G36" s="791"/>
      <c r="H36" s="616">
        <f t="shared" si="2"/>
        <v>0</v>
      </c>
    </row>
    <row r="37" spans="1:8">
      <c r="A37" s="544">
        <v>208</v>
      </c>
      <c r="B37" s="551" t="s">
        <v>86</v>
      </c>
      <c r="C37" s="680">
        <f>VLOOKUP(A37,'2-Kosten per locatie'!$A$13:$C$88,3,FALSE)</f>
        <v>2</v>
      </c>
      <c r="D37" s="540" t="str">
        <f ca="1">VLOOKUP(A37,'3-Ruimtestaat'!B:D,3,FALSE)</f>
        <v>Amstellijn</v>
      </c>
      <c r="E37" s="790"/>
      <c r="F37" s="724"/>
      <c r="G37" s="791"/>
      <c r="H37" s="616">
        <f t="shared" si="2"/>
        <v>0</v>
      </c>
    </row>
    <row r="38" spans="1:8">
      <c r="A38" s="544">
        <v>209</v>
      </c>
      <c r="B38" s="551" t="s">
        <v>87</v>
      </c>
      <c r="C38" s="680">
        <f>VLOOKUP(A38,'2-Kosten per locatie'!$A$13:$C$88,3,FALSE)</f>
        <v>2</v>
      </c>
      <c r="D38" s="540" t="str">
        <f ca="1">VLOOKUP(A38,'3-Ruimtestaat'!B:D,3,FALSE)</f>
        <v>Amstellijn</v>
      </c>
      <c r="E38" s="790"/>
      <c r="F38" s="724"/>
      <c r="G38" s="791"/>
      <c r="H38" s="616">
        <f t="shared" si="2"/>
        <v>0</v>
      </c>
    </row>
    <row r="39" spans="1:8">
      <c r="A39" s="544">
        <v>210</v>
      </c>
      <c r="B39" s="551" t="s">
        <v>88</v>
      </c>
      <c r="C39" s="680">
        <f>VLOOKUP(A39,'2-Kosten per locatie'!$A$13:$C$88,3,FALSE)</f>
        <v>2</v>
      </c>
      <c r="D39" s="540" t="str">
        <f ca="1">VLOOKUP(A39,'3-Ruimtestaat'!B:D,3,FALSE)</f>
        <v>Amstellijn</v>
      </c>
      <c r="E39" s="790"/>
      <c r="F39" s="724"/>
      <c r="G39" s="791"/>
      <c r="H39" s="616">
        <f t="shared" si="2"/>
        <v>0</v>
      </c>
    </row>
    <row r="40" spans="1:8">
      <c r="A40" s="544">
        <v>211</v>
      </c>
      <c r="B40" s="551" t="s">
        <v>89</v>
      </c>
      <c r="C40" s="680">
        <f>VLOOKUP(A40,'2-Kosten per locatie'!$A$13:$C$88,3,FALSE)</f>
        <v>2</v>
      </c>
      <c r="D40" s="540" t="str">
        <f ca="1">VLOOKUP(A40,'3-Ruimtestaat'!B:D,3,FALSE)</f>
        <v>Amstellijn</v>
      </c>
      <c r="E40" s="790"/>
      <c r="F40" s="724"/>
      <c r="G40" s="791"/>
      <c r="H40" s="616">
        <f t="shared" si="2"/>
        <v>0</v>
      </c>
    </row>
    <row r="41" spans="1:8">
      <c r="A41" s="544">
        <v>212</v>
      </c>
      <c r="B41" s="551" t="s">
        <v>90</v>
      </c>
      <c r="C41" s="680">
        <f>VLOOKUP(A41,'2-Kosten per locatie'!$A$13:$C$88,3,FALSE)</f>
        <v>2</v>
      </c>
      <c r="D41" s="540" t="str">
        <f ca="1">VLOOKUP(A41,'3-Ruimtestaat'!B:D,3,FALSE)</f>
        <v>Amstellijn</v>
      </c>
      <c r="E41" s="790"/>
      <c r="F41" s="724"/>
      <c r="G41" s="791"/>
      <c r="H41" s="616">
        <f t="shared" si="2"/>
        <v>0</v>
      </c>
    </row>
    <row r="42" spans="1:8">
      <c r="A42" s="544">
        <v>213</v>
      </c>
      <c r="B42" s="551" t="s">
        <v>91</v>
      </c>
      <c r="C42" s="680">
        <f>VLOOKUP(A42,'2-Kosten per locatie'!$A$13:$C$88,3,FALSE)</f>
        <v>2</v>
      </c>
      <c r="D42" s="540" t="str">
        <f ca="1">VLOOKUP(A42,'3-Ruimtestaat'!B:D,3,FALSE)</f>
        <v>Amstellijn</v>
      </c>
      <c r="E42" s="790"/>
      <c r="F42" s="724"/>
      <c r="G42" s="791"/>
      <c r="H42" s="616">
        <f t="shared" si="2"/>
        <v>0</v>
      </c>
    </row>
    <row r="43" spans="1:8">
      <c r="A43" s="544">
        <v>214</v>
      </c>
      <c r="B43" s="551" t="s">
        <v>92</v>
      </c>
      <c r="C43" s="680">
        <f>VLOOKUP(A43,'2-Kosten per locatie'!$A$13:$C$88,3,FALSE)</f>
        <v>2</v>
      </c>
      <c r="D43" s="540" t="str">
        <f ca="1">VLOOKUP(A43,'3-Ruimtestaat'!B:D,3,FALSE)</f>
        <v>Amstellijn</v>
      </c>
      <c r="E43" s="790"/>
      <c r="F43" s="724"/>
      <c r="G43" s="791"/>
      <c r="H43" s="616">
        <f t="shared" si="2"/>
        <v>0</v>
      </c>
    </row>
    <row r="44" spans="1:8">
      <c r="A44" s="544">
        <v>215</v>
      </c>
      <c r="B44" s="551" t="s">
        <v>93</v>
      </c>
      <c r="C44" s="680">
        <f>VLOOKUP(A44,'2-Kosten per locatie'!$A$13:$C$88,3,FALSE)</f>
        <v>2</v>
      </c>
      <c r="D44" s="540" t="str">
        <f ca="1">VLOOKUP(A44,'3-Ruimtestaat'!B:D,3,FALSE)</f>
        <v>Amstellijn</v>
      </c>
      <c r="E44" s="790"/>
      <c r="F44" s="724"/>
      <c r="G44" s="791"/>
      <c r="H44" s="616">
        <f t="shared" si="2"/>
        <v>0</v>
      </c>
    </row>
    <row r="45" spans="1:8">
      <c r="A45" s="544" t="s">
        <v>94</v>
      </c>
      <c r="B45" s="551" t="s">
        <v>95</v>
      </c>
      <c r="C45" s="680">
        <f>VLOOKUP(A45,'2-Kosten per locatie'!$A$13:$C$88,3,FALSE)</f>
        <v>2</v>
      </c>
      <c r="D45" s="540" t="str">
        <f ca="1">VLOOKUP(A45,'3-Ruimtestaat'!B:D,3,FALSE)</f>
        <v>Amstellijn</v>
      </c>
      <c r="E45" s="790"/>
      <c r="F45" s="724"/>
      <c r="G45" s="791"/>
      <c r="H45" s="616">
        <f t="shared" ref="H45:H47" si="3">(E45+F45)*G45</f>
        <v>0</v>
      </c>
    </row>
    <row r="46" spans="1:8">
      <c r="A46" s="544" t="s">
        <v>96</v>
      </c>
      <c r="B46" s="551" t="s">
        <v>97</v>
      </c>
      <c r="C46" s="680">
        <f>VLOOKUP(A46,'2-Kosten per locatie'!$A$13:$C$88,3,FALSE)</f>
        <v>2</v>
      </c>
      <c r="D46" s="540" t="str">
        <f ca="1">VLOOKUP(A46,'3-Ruimtestaat'!B:D,3,FALSE)</f>
        <v>Amstellijn</v>
      </c>
      <c r="E46" s="790"/>
      <c r="F46" s="724"/>
      <c r="G46" s="791"/>
      <c r="H46" s="616">
        <f t="shared" si="3"/>
        <v>0</v>
      </c>
    </row>
    <row r="47" spans="1:8">
      <c r="A47" s="544" t="s">
        <v>98</v>
      </c>
      <c r="B47" s="551" t="s">
        <v>99</v>
      </c>
      <c r="C47" s="680">
        <f>VLOOKUP(A47,'2-Kosten per locatie'!$A$13:$C$88,3,FALSE)</f>
        <v>2</v>
      </c>
      <c r="D47" s="540" t="str">
        <f ca="1">VLOOKUP(A47,'3-Ruimtestaat'!B:D,3,FALSE)</f>
        <v>Amstellijn</v>
      </c>
      <c r="E47" s="790"/>
      <c r="F47" s="724"/>
      <c r="G47" s="791"/>
      <c r="H47" s="616">
        <f t="shared" si="3"/>
        <v>0</v>
      </c>
    </row>
    <row r="48" spans="1:8">
      <c r="A48" s="620">
        <v>301</v>
      </c>
      <c r="B48" s="622" t="s">
        <v>100</v>
      </c>
      <c r="C48" s="680">
        <f>VLOOKUP(A48,'2-Kosten per locatie'!$A$13:$C$88,3,FALSE)</f>
        <v>2</v>
      </c>
      <c r="D48" s="540" t="str">
        <f ca="1">VLOOKUP(A48,'3-Ruimtestaat'!B:D,3,FALSE)</f>
        <v>Ringlijn</v>
      </c>
      <c r="E48" s="790"/>
      <c r="F48" s="724"/>
      <c r="G48" s="791"/>
      <c r="H48" s="616">
        <f t="shared" si="2"/>
        <v>0</v>
      </c>
    </row>
    <row r="49" spans="1:8">
      <c r="A49" s="544">
        <v>302</v>
      </c>
      <c r="B49" s="551" t="s">
        <v>101</v>
      </c>
      <c r="C49" s="680">
        <f>VLOOKUP(A49,'2-Kosten per locatie'!$A$13:$C$88,3,FALSE)</f>
        <v>2</v>
      </c>
      <c r="D49" s="540" t="str">
        <f ca="1">VLOOKUP(A49,'3-Ruimtestaat'!B:D,3,FALSE)</f>
        <v>Ringlijn</v>
      </c>
      <c r="E49" s="790"/>
      <c r="F49" s="724"/>
      <c r="G49" s="793"/>
      <c r="H49" s="616">
        <f t="shared" si="2"/>
        <v>0</v>
      </c>
    </row>
    <row r="50" spans="1:8">
      <c r="A50" s="544">
        <v>303</v>
      </c>
      <c r="B50" s="551" t="s">
        <v>102</v>
      </c>
      <c r="C50" s="680">
        <f>VLOOKUP(A50,'2-Kosten per locatie'!$A$13:$C$88,3,FALSE)</f>
        <v>2</v>
      </c>
      <c r="D50" s="540" t="str">
        <f ca="1">VLOOKUP(A50,'3-Ruimtestaat'!B:D,3,FALSE)</f>
        <v>Ringlijn</v>
      </c>
      <c r="E50" s="790"/>
      <c r="F50" s="724"/>
      <c r="G50" s="793"/>
      <c r="H50" s="616">
        <f t="shared" si="2"/>
        <v>0</v>
      </c>
    </row>
    <row r="51" spans="1:8">
      <c r="A51" s="544" t="s">
        <v>103</v>
      </c>
      <c r="B51" s="545" t="s">
        <v>104</v>
      </c>
      <c r="C51" s="680">
        <f>VLOOKUP(A51,'2-Kosten per locatie'!$A$13:$C$88,3,FALSE)</f>
        <v>2</v>
      </c>
      <c r="D51" s="540" t="str">
        <f ca="1">VLOOKUP(A51,'3-Ruimtestaat'!B:D,3,FALSE)</f>
        <v>Ringlijn</v>
      </c>
      <c r="E51" s="790"/>
      <c r="F51" s="724"/>
      <c r="G51" s="791"/>
      <c r="H51" s="616">
        <f t="shared" si="2"/>
        <v>0</v>
      </c>
    </row>
    <row r="52" spans="1:8">
      <c r="A52" s="544">
        <v>304</v>
      </c>
      <c r="B52" s="619" t="s">
        <v>105</v>
      </c>
      <c r="C52" s="680">
        <f>VLOOKUP(A52,'2-Kosten per locatie'!$A$13:$C$88,3,FALSE)</f>
        <v>2</v>
      </c>
      <c r="D52" s="540" t="str">
        <f ca="1">VLOOKUP(A52,'3-Ruimtestaat'!B:D,3,FALSE)</f>
        <v>Ringlijn</v>
      </c>
      <c r="E52" s="790"/>
      <c r="F52" s="724"/>
      <c r="G52" s="793"/>
      <c r="H52" s="616">
        <f t="shared" si="2"/>
        <v>0</v>
      </c>
    </row>
    <row r="53" spans="1:8">
      <c r="A53" s="544">
        <v>305</v>
      </c>
      <c r="B53" s="551" t="s">
        <v>106</v>
      </c>
      <c r="C53" s="680">
        <f>VLOOKUP(A53,'2-Kosten per locatie'!$A$13:$C$88,3,FALSE)</f>
        <v>2</v>
      </c>
      <c r="D53" s="540" t="str">
        <f ca="1">VLOOKUP(A53,'3-Ruimtestaat'!B:D,3,FALSE)</f>
        <v>Ringlijn</v>
      </c>
      <c r="E53" s="790"/>
      <c r="F53" s="724"/>
      <c r="G53" s="793"/>
      <c r="H53" s="616">
        <f t="shared" si="2"/>
        <v>0</v>
      </c>
    </row>
    <row r="54" spans="1:8">
      <c r="A54" s="544">
        <v>306</v>
      </c>
      <c r="B54" s="551" t="s">
        <v>107</v>
      </c>
      <c r="C54" s="680">
        <f>VLOOKUP(A54,'2-Kosten per locatie'!$A$13:$C$88,3,FALSE)</f>
        <v>2</v>
      </c>
      <c r="D54" s="540" t="str">
        <f ca="1">VLOOKUP(A54,'3-Ruimtestaat'!B:D,3,FALSE)</f>
        <v>Ringlijn</v>
      </c>
      <c r="E54" s="790"/>
      <c r="F54" s="724"/>
      <c r="G54" s="793"/>
      <c r="H54" s="616">
        <f t="shared" si="2"/>
        <v>0</v>
      </c>
    </row>
    <row r="55" spans="1:8">
      <c r="A55" s="544">
        <v>307</v>
      </c>
      <c r="B55" s="551" t="s">
        <v>108</v>
      </c>
      <c r="C55" s="680">
        <f>VLOOKUP(A55,'2-Kosten per locatie'!$A$13:$C$88,3,FALSE)</f>
        <v>2</v>
      </c>
      <c r="D55" s="540" t="str">
        <f ca="1">VLOOKUP(A55,'3-Ruimtestaat'!B:D,3,FALSE)</f>
        <v>Ringlijn</v>
      </c>
      <c r="E55" s="790"/>
      <c r="F55" s="724"/>
      <c r="G55" s="793"/>
      <c r="H55" s="616">
        <f t="shared" si="2"/>
        <v>0</v>
      </c>
    </row>
    <row r="56" spans="1:8">
      <c r="A56" s="544">
        <v>308</v>
      </c>
      <c r="B56" s="551" t="s">
        <v>109</v>
      </c>
      <c r="C56" s="680">
        <f>VLOOKUP(A56,'2-Kosten per locatie'!$A$13:$C$88,3,FALSE)</f>
        <v>2</v>
      </c>
      <c r="D56" s="540" t="str">
        <f ca="1">VLOOKUP(A56,'3-Ruimtestaat'!B:D,3,FALSE)</f>
        <v>Ringlijn</v>
      </c>
      <c r="E56" s="790"/>
      <c r="F56" s="724"/>
      <c r="G56" s="793"/>
      <c r="H56" s="616">
        <f t="shared" si="2"/>
        <v>0</v>
      </c>
    </row>
    <row r="57" spans="1:8">
      <c r="A57" s="544">
        <v>309</v>
      </c>
      <c r="B57" s="551" t="s">
        <v>110</v>
      </c>
      <c r="C57" s="680">
        <f>VLOOKUP(A57,'2-Kosten per locatie'!$A$13:$C$88,3,FALSE)</f>
        <v>2</v>
      </c>
      <c r="D57" s="540" t="str">
        <f ca="1">VLOOKUP(A57,'3-Ruimtestaat'!B:D,3,FALSE)</f>
        <v>Ringlijn</v>
      </c>
      <c r="E57" s="790"/>
      <c r="F57" s="724"/>
      <c r="G57" s="793"/>
      <c r="H57" s="616">
        <f t="shared" si="2"/>
        <v>0</v>
      </c>
    </row>
    <row r="58" spans="1:8">
      <c r="A58" s="544">
        <v>310</v>
      </c>
      <c r="B58" s="551" t="s">
        <v>111</v>
      </c>
      <c r="C58" s="680">
        <f>VLOOKUP(A58,'2-Kosten per locatie'!$A$13:$C$88,3,FALSE)</f>
        <v>2</v>
      </c>
      <c r="D58" s="540" t="str">
        <f ca="1">VLOOKUP(A58,'3-Ruimtestaat'!B:D,3,FALSE)</f>
        <v>Ringlijn</v>
      </c>
      <c r="E58" s="790"/>
      <c r="F58" s="724"/>
      <c r="G58" s="793"/>
      <c r="H58" s="616">
        <f t="shared" si="2"/>
        <v>0</v>
      </c>
    </row>
    <row r="59" spans="1:8">
      <c r="A59" s="544">
        <v>311</v>
      </c>
      <c r="B59" s="551" t="s">
        <v>112</v>
      </c>
      <c r="C59" s="680">
        <f>VLOOKUP(A59,'2-Kosten per locatie'!$A$13:$C$88,3,FALSE)</f>
        <v>2</v>
      </c>
      <c r="D59" s="540" t="str">
        <f ca="1">VLOOKUP(A59,'3-Ruimtestaat'!B:D,3,FALSE)</f>
        <v>Ringlijn</v>
      </c>
      <c r="E59" s="790"/>
      <c r="F59" s="724"/>
      <c r="G59" s="793"/>
      <c r="H59" s="616">
        <f t="shared" si="2"/>
        <v>0</v>
      </c>
    </row>
    <row r="60" spans="1:8">
      <c r="A60" s="544" t="s">
        <v>113</v>
      </c>
      <c r="B60" s="545" t="s">
        <v>114</v>
      </c>
      <c r="C60" s="680">
        <f>VLOOKUP(A60,'2-Kosten per locatie'!$A$13:$C$88,3,FALSE)</f>
        <v>2</v>
      </c>
      <c r="D60" s="540" t="str">
        <f ca="1">VLOOKUP(A60,'3-Ruimtestaat'!B:D,3,FALSE)</f>
        <v>Ringlijn</v>
      </c>
      <c r="E60" s="790"/>
      <c r="F60" s="724"/>
      <c r="G60" s="791"/>
      <c r="H60" s="616">
        <f t="shared" si="2"/>
        <v>0</v>
      </c>
    </row>
    <row r="61" spans="1:8">
      <c r="A61" s="544">
        <v>312</v>
      </c>
      <c r="B61" s="551" t="s">
        <v>115</v>
      </c>
      <c r="C61" s="680">
        <f>VLOOKUP(A61,'2-Kosten per locatie'!$A$13:$C$88,3,FALSE)</f>
        <v>2</v>
      </c>
      <c r="D61" s="540" t="str">
        <f ca="1">VLOOKUP(A61,'3-Ruimtestaat'!B:D,3,FALSE)</f>
        <v>Ringlijn</v>
      </c>
      <c r="E61" s="790"/>
      <c r="F61" s="724"/>
      <c r="G61" s="793"/>
      <c r="H61" s="616">
        <f t="shared" ref="H61:H62" si="4">(E61+F61)*G61</f>
        <v>0</v>
      </c>
    </row>
    <row r="62" spans="1:8">
      <c r="A62" s="544">
        <v>1001</v>
      </c>
      <c r="B62" s="551" t="s">
        <v>116</v>
      </c>
      <c r="C62" s="680">
        <f>VLOOKUP(A62,'2-Kosten per locatie'!$A$13:$C$88,3,FALSE)</f>
        <v>2</v>
      </c>
      <c r="D62" s="540" t="str">
        <f ca="1">VLOOKUP(A62,'3-Ruimtestaat'!B:D,3,FALSE)</f>
        <v>Ijtram</v>
      </c>
      <c r="E62" s="790"/>
      <c r="F62" s="742"/>
      <c r="G62" s="791"/>
      <c r="H62" s="616">
        <f t="shared" si="4"/>
        <v>0</v>
      </c>
    </row>
    <row r="63" spans="1:8">
      <c r="A63" s="544">
        <v>1002</v>
      </c>
      <c r="B63" s="551" t="s">
        <v>117</v>
      </c>
      <c r="C63" s="680">
        <f>VLOOKUP(A63,'2-Kosten per locatie'!$A$13:$C$88,3,FALSE)</f>
        <v>2</v>
      </c>
      <c r="D63" s="540" t="str">
        <f ca="1">VLOOKUP(A63,'3-Ruimtestaat'!B:D,3,FALSE)</f>
        <v>Ijtram</v>
      </c>
      <c r="E63" s="790"/>
      <c r="F63" s="742"/>
      <c r="G63" s="791"/>
      <c r="H63" s="616">
        <f t="shared" si="2"/>
        <v>0</v>
      </c>
    </row>
    <row r="64" spans="1:8">
      <c r="E64" s="275"/>
      <c r="F64" s="73"/>
      <c r="G64" s="276"/>
      <c r="H64" s="73"/>
    </row>
    <row r="65" spans="1:8" s="132" customFormat="1">
      <c r="A65" s="794" t="s">
        <v>917</v>
      </c>
      <c r="B65" s="795"/>
      <c r="C65" s="795"/>
      <c r="D65" s="795"/>
      <c r="E65" s="795"/>
      <c r="F65" s="795"/>
      <c r="G65" s="796"/>
      <c r="H65" s="797">
        <f>SUM(H14:H63)</f>
        <v>0</v>
      </c>
    </row>
    <row r="66" spans="1:8">
      <c r="E66" s="275"/>
      <c r="F66" s="73"/>
      <c r="G66" s="73"/>
      <c r="H66" s="73"/>
    </row>
    <row r="67" spans="1:8">
      <c r="A67" s="150" t="s">
        <v>1241</v>
      </c>
      <c r="B67" s="185"/>
      <c r="C67" s="185"/>
      <c r="D67" s="185"/>
      <c r="E67" s="186"/>
      <c r="F67" s="185"/>
    </row>
    <row r="68" spans="1:8">
      <c r="A68" s="150" t="s">
        <v>1242</v>
      </c>
      <c r="B68" s="185"/>
      <c r="C68" s="185"/>
      <c r="D68" s="185"/>
      <c r="E68" s="186"/>
      <c r="F68" s="185"/>
    </row>
  </sheetData>
  <autoFilter ref="A13:H65" xr:uid="{E7F9568E-A4F1-428F-9CA5-9F24B7932071}"/>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2F73-F2AD-47CA-831B-480112B89458}">
  <sheetPr>
    <tabColor theme="0" tint="-4.9989318521683403E-2"/>
  </sheetPr>
  <dimension ref="A1:F28"/>
  <sheetViews>
    <sheetView showGridLines="0" zoomScale="124" zoomScaleNormal="124" workbookViewId="0">
      <pane ySplit="9" topLeftCell="A10" activePane="bottomLeft" state="frozen"/>
      <selection pane="bottomLeft" activeCell="A27" sqref="A27"/>
      <selection activeCell="E28" sqref="E28"/>
    </sheetView>
  </sheetViews>
  <sheetFormatPr defaultColWidth="11.42578125" defaultRowHeight="13.15"/>
  <cols>
    <col min="1" max="1" width="41.7109375" style="43" customWidth="1"/>
    <col min="2" max="2" width="26.42578125" style="43" customWidth="1"/>
    <col min="3" max="3" width="20.140625" style="43" bestFit="1" customWidth="1"/>
    <col min="4" max="5" width="20.42578125" style="43" customWidth="1"/>
    <col min="6" max="7" width="17.5703125" style="43" customWidth="1"/>
    <col min="8" max="16384" width="11.42578125" style="43"/>
  </cols>
  <sheetData>
    <row r="1" spans="1:6">
      <c r="A1" s="644" t="s">
        <v>0</v>
      </c>
    </row>
    <row r="3" spans="1:6" ht="15.6">
      <c r="A3" s="111" t="s">
        <v>1</v>
      </c>
      <c r="B3" s="161" t="str">
        <f>'1-Inschrijfstaat'!B3</f>
        <v>GVB Infra B.V.</v>
      </c>
    </row>
    <row r="4" spans="1:6" ht="15.6">
      <c r="A4" s="111" t="s">
        <v>918</v>
      </c>
      <c r="B4" s="161" t="e">
        <f ca="1">MID(CELL("bestandsnaam",$C$8),SEARCH("]",CELL("bestandsnaam",$C$8),1)+1,256)</f>
        <v>#VALUE!</v>
      </c>
    </row>
    <row r="5" spans="1:6" ht="15.6">
      <c r="A5" s="115" t="str">
        <f>'9-Machinekosten'!A5</f>
        <v>Gebouw/plaats</v>
      </c>
      <c r="B5" s="161" t="str">
        <f>'9-Machinekosten'!B5</f>
        <v>Diverse</v>
      </c>
      <c r="C5" s="112"/>
      <c r="E5" s="112"/>
      <c r="F5" s="112"/>
    </row>
    <row r="6" spans="1:6" ht="15.6">
      <c r="A6" s="115" t="str">
        <f>'9-Machinekosten'!A6</f>
        <v>Besteknummer</v>
      </c>
      <c r="B6" s="161" t="str">
        <f>'1-Inschrijfstaat'!B6</f>
        <v>2024-20</v>
      </c>
      <c r="C6" s="113"/>
      <c r="E6" s="166"/>
      <c r="F6" s="166"/>
    </row>
    <row r="7" spans="1:6" ht="15.6">
      <c r="A7" s="115" t="str">
        <f>'9-Machinekosten'!A7</f>
        <v>Naam leverancier</v>
      </c>
      <c r="B7" s="161">
        <f>'1-Inschrijfstaat'!B7:D7</f>
        <v>0</v>
      </c>
      <c r="C7" s="113"/>
      <c r="E7" s="166"/>
    </row>
    <row r="8" spans="1:6" ht="15.6">
      <c r="A8" s="115" t="str">
        <f>'9-Machinekosten'!A8</f>
        <v>Prijspeil</v>
      </c>
      <c r="B8" s="136" t="str">
        <f>'1-Inschrijfstaat'!B8</f>
        <v>1 januari 2025</v>
      </c>
      <c r="C8" s="113"/>
      <c r="D8" s="166"/>
      <c r="E8" s="166"/>
    </row>
    <row r="9" spans="1:6" ht="15.6">
      <c r="A9" s="115" t="str">
        <f>'9-Machinekosten'!A9</f>
        <v>Perceel</v>
      </c>
      <c r="B9" s="393" t="str">
        <f>'1-Inschrijfstaat'!B9</f>
        <v>2 Specialistiche schoonmaak</v>
      </c>
      <c r="C9" s="113"/>
      <c r="D9" s="166"/>
      <c r="E9" s="166"/>
    </row>
    <row r="10" spans="1:6">
      <c r="A10" s="167"/>
      <c r="B10" s="168"/>
      <c r="C10" s="168"/>
      <c r="D10" s="168"/>
      <c r="E10" s="168"/>
    </row>
    <row r="11" spans="1:6" ht="34.15" customHeight="1">
      <c r="A11" s="798" t="s">
        <v>1243</v>
      </c>
      <c r="B11" s="799"/>
      <c r="C11" s="799"/>
      <c r="D11" s="799"/>
      <c r="E11" s="800"/>
    </row>
    <row r="13" spans="1:6" ht="15.6">
      <c r="A13" s="801" t="s">
        <v>1244</v>
      </c>
      <c r="B13" s="802"/>
      <c r="C13" s="802"/>
      <c r="D13" s="802"/>
      <c r="E13" s="803"/>
    </row>
    <row r="14" spans="1:6">
      <c r="A14" s="395"/>
      <c r="B14" s="395"/>
      <c r="C14" s="395"/>
      <c r="D14" s="395"/>
      <c r="E14" s="395"/>
    </row>
    <row r="15" spans="1:6" ht="15.6">
      <c r="A15" s="804" t="s">
        <v>1245</v>
      </c>
      <c r="B15" s="805"/>
      <c r="C15" s="805"/>
      <c r="D15" s="805"/>
      <c r="E15" s="806"/>
    </row>
    <row r="16" spans="1:6">
      <c r="A16" s="396" t="s">
        <v>1246</v>
      </c>
      <c r="B16" s="397">
        <v>250</v>
      </c>
      <c r="C16" s="397">
        <v>250</v>
      </c>
      <c r="D16" s="397">
        <v>500</v>
      </c>
      <c r="E16" s="397">
        <v>2500</v>
      </c>
    </row>
    <row r="17" spans="1:5">
      <c r="A17" s="807" t="s">
        <v>1247</v>
      </c>
      <c r="B17" s="808" t="s">
        <v>1248</v>
      </c>
      <c r="C17" s="808" t="s">
        <v>1249</v>
      </c>
      <c r="D17" s="808" t="s">
        <v>1250</v>
      </c>
      <c r="E17" s="808" t="s">
        <v>1251</v>
      </c>
    </row>
    <row r="18" spans="1:5">
      <c r="A18" s="809" t="s">
        <v>1252</v>
      </c>
      <c r="B18" s="810"/>
      <c r="C18" s="810"/>
      <c r="D18" s="810"/>
      <c r="E18" s="810"/>
    </row>
    <row r="19" spans="1:5">
      <c r="A19" s="809" t="s">
        <v>1253</v>
      </c>
      <c r="B19" s="810"/>
      <c r="C19" s="810"/>
      <c r="D19" s="810"/>
      <c r="E19" s="810"/>
    </row>
    <row r="20" spans="1:5">
      <c r="A20" s="809" t="s">
        <v>1254</v>
      </c>
      <c r="B20" s="810"/>
      <c r="C20" s="810"/>
      <c r="D20" s="810"/>
      <c r="E20" s="810"/>
    </row>
    <row r="21" spans="1:5">
      <c r="A21" s="809" t="s">
        <v>1255</v>
      </c>
      <c r="B21" s="810"/>
      <c r="C21" s="810"/>
      <c r="D21" s="810"/>
      <c r="E21" s="810"/>
    </row>
    <row r="22" spans="1:5">
      <c r="A22" s="809" t="s">
        <v>1256</v>
      </c>
      <c r="B22" s="810"/>
      <c r="C22" s="810"/>
      <c r="D22" s="810"/>
      <c r="E22" s="810"/>
    </row>
    <row r="23" spans="1:5">
      <c r="A23" s="809" t="s">
        <v>1257</v>
      </c>
      <c r="B23" s="810"/>
      <c r="C23" s="810"/>
      <c r="D23" s="810"/>
      <c r="E23" s="810"/>
    </row>
    <row r="24" spans="1:5">
      <c r="A24" s="809" t="s">
        <v>1258</v>
      </c>
      <c r="B24" s="810"/>
      <c r="C24" s="810"/>
      <c r="D24" s="810"/>
      <c r="E24" s="810"/>
    </row>
    <row r="25" spans="1:5">
      <c r="A25" s="809" t="s">
        <v>1259</v>
      </c>
      <c r="B25" s="810"/>
      <c r="C25" s="810"/>
      <c r="D25" s="810"/>
      <c r="E25" s="810"/>
    </row>
    <row r="26" spans="1:5">
      <c r="A26" s="395"/>
      <c r="B26" s="395"/>
      <c r="C26" s="395"/>
      <c r="D26" s="395"/>
      <c r="E26" s="395"/>
    </row>
    <row r="27" spans="1:5">
      <c r="A27" s="403" t="s">
        <v>1235</v>
      </c>
      <c r="B27" s="395"/>
      <c r="C27" s="395"/>
      <c r="D27" s="395"/>
      <c r="E27" s="395"/>
    </row>
    <row r="28" spans="1:5">
      <c r="A28" s="122"/>
      <c r="B28" s="122"/>
      <c r="C28" s="122"/>
      <c r="D28" s="122"/>
      <c r="E28" s="122"/>
    </row>
  </sheetData>
  <mergeCells count="2">
    <mergeCell ref="A11:E11"/>
    <mergeCell ref="A13:E13"/>
  </mergeCells>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F40"/>
  <sheetViews>
    <sheetView showGridLines="0" zoomScaleNormal="100" workbookViewId="0">
      <pane ySplit="9" topLeftCell="A10" activePane="bottomLeft" state="frozen"/>
      <selection pane="bottomLeft" activeCell="A19" sqref="A19"/>
      <selection activeCell="E28" sqref="E28"/>
    </sheetView>
  </sheetViews>
  <sheetFormatPr defaultColWidth="11.42578125" defaultRowHeight="13.15"/>
  <cols>
    <col min="1" max="1" width="41.7109375" style="43" customWidth="1"/>
    <col min="2" max="2" width="26.42578125" style="43" customWidth="1"/>
    <col min="3" max="3" width="23.7109375" style="43" customWidth="1"/>
    <col min="4" max="4" width="21.28515625" style="43" customWidth="1"/>
    <col min="5" max="6" width="17.5703125" style="43" customWidth="1"/>
    <col min="7" max="16384" width="11.42578125" style="43"/>
  </cols>
  <sheetData>
    <row r="1" spans="1:6">
      <c r="A1" s="644" t="s">
        <v>0</v>
      </c>
    </row>
    <row r="3" spans="1:6" ht="15.6">
      <c r="A3" s="111" t="s">
        <v>1</v>
      </c>
      <c r="B3" s="161" t="str">
        <f>'1-Inschrijfstaat'!B3</f>
        <v>GVB Infra B.V.</v>
      </c>
    </row>
    <row r="4" spans="1:6" ht="15.6">
      <c r="A4" s="111" t="s">
        <v>918</v>
      </c>
      <c r="B4" s="161" t="e">
        <f ca="1">MID(CELL("bestandsnaam",$C$8),SEARCH("]",CELL("bestandsnaam",$C$8),1)+1,256)</f>
        <v>#VALUE!</v>
      </c>
    </row>
    <row r="5" spans="1:6" ht="15.6">
      <c r="A5" s="115" t="str">
        <f>'9-Machinekosten'!A5</f>
        <v>Gebouw/plaats</v>
      </c>
      <c r="B5" s="161" t="str">
        <f>'9-Machinekosten'!B5</f>
        <v>Diverse</v>
      </c>
      <c r="C5" s="112"/>
    </row>
    <row r="6" spans="1:6" ht="15.6">
      <c r="A6" s="115" t="str">
        <f>'9-Machinekosten'!A6</f>
        <v>Besteknummer</v>
      </c>
      <c r="B6" s="161" t="str">
        <f>'1-Inschrijfstaat'!B6</f>
        <v>2024-20</v>
      </c>
      <c r="C6" s="113"/>
      <c r="D6" s="166"/>
    </row>
    <row r="7" spans="1:6" ht="15.6">
      <c r="A7" s="115" t="str">
        <f>'9-Machinekosten'!A7</f>
        <v>Naam leverancier</v>
      </c>
      <c r="B7" s="161">
        <f>'1-Inschrijfstaat'!B7:D7</f>
        <v>0</v>
      </c>
      <c r="C7" s="113"/>
      <c r="D7" s="166"/>
    </row>
    <row r="8" spans="1:6" ht="15.6">
      <c r="A8" s="115" t="str">
        <f>'9-Machinekosten'!A8</f>
        <v>Prijspeil</v>
      </c>
      <c r="B8" s="136" t="str">
        <f>'1-Inschrijfstaat'!B8</f>
        <v>1 januari 2025</v>
      </c>
      <c r="C8" s="113"/>
      <c r="D8" s="166"/>
    </row>
    <row r="9" spans="1:6" ht="15.6">
      <c r="A9" s="115" t="str">
        <f>'9-Machinekosten'!A9</f>
        <v>Perceel</v>
      </c>
      <c r="B9" s="393" t="str">
        <f>'1-Inschrijfstaat'!B9</f>
        <v>2 Specialistiche schoonmaak</v>
      </c>
      <c r="C9" s="113"/>
      <c r="D9" s="166"/>
    </row>
    <row r="10" spans="1:6">
      <c r="A10" s="167"/>
      <c r="B10" s="168"/>
      <c r="C10" s="168"/>
      <c r="D10" s="168"/>
    </row>
    <row r="11" spans="1:6" ht="34.15" customHeight="1">
      <c r="A11" s="798" t="s">
        <v>1260</v>
      </c>
      <c r="B11" s="799"/>
      <c r="C11" s="799"/>
      <c r="D11" s="799"/>
    </row>
    <row r="13" spans="1:6">
      <c r="A13" s="811"/>
      <c r="B13" s="812"/>
      <c r="C13" s="813" t="s">
        <v>1245</v>
      </c>
      <c r="D13" s="814"/>
    </row>
    <row r="14" spans="1:6">
      <c r="A14" s="807" t="s">
        <v>920</v>
      </c>
      <c r="B14" s="807" t="s">
        <v>1261</v>
      </c>
      <c r="C14" s="808" t="s">
        <v>1262</v>
      </c>
      <c r="D14" s="815" t="s">
        <v>1263</v>
      </c>
    </row>
    <row r="15" spans="1:6">
      <c r="A15" s="816" t="s">
        <v>1264</v>
      </c>
      <c r="B15" s="816" t="s">
        <v>1265</v>
      </c>
      <c r="C15" s="817"/>
      <c r="D15" s="817"/>
      <c r="E15" s="169"/>
      <c r="F15" s="169"/>
    </row>
    <row r="16" spans="1:6">
      <c r="A16" s="816" t="s">
        <v>1266</v>
      </c>
      <c r="B16" s="816" t="s">
        <v>1267</v>
      </c>
      <c r="C16" s="817"/>
      <c r="D16" s="817"/>
      <c r="E16" s="169"/>
      <c r="F16" s="169"/>
    </row>
    <row r="17" spans="1:6">
      <c r="A17" s="818" t="s">
        <v>1268</v>
      </c>
      <c r="B17" s="816"/>
      <c r="C17" s="817"/>
      <c r="D17" s="817"/>
      <c r="E17" s="169"/>
      <c r="F17" s="169"/>
    </row>
    <row r="18" spans="1:6">
      <c r="A18" s="818" t="s">
        <v>1269</v>
      </c>
      <c r="B18" s="816"/>
      <c r="C18" s="817"/>
      <c r="D18" s="817"/>
      <c r="E18" s="169"/>
      <c r="F18" s="169"/>
    </row>
    <row r="19" spans="1:6">
      <c r="A19" s="170"/>
      <c r="B19" s="171"/>
      <c r="C19" s="171"/>
      <c r="D19" s="170"/>
    </row>
    <row r="20" spans="1:6">
      <c r="A20" s="807" t="s">
        <v>1270</v>
      </c>
      <c r="B20" s="807" t="s">
        <v>1271</v>
      </c>
      <c r="C20" s="250" t="s">
        <v>897</v>
      </c>
      <c r="D20" s="819" t="s">
        <v>1272</v>
      </c>
    </row>
    <row r="21" spans="1:6">
      <c r="A21" s="816" t="s">
        <v>1273</v>
      </c>
      <c r="B21" s="820" t="s">
        <v>1274</v>
      </c>
      <c r="C21" s="820" t="s">
        <v>1275</v>
      </c>
      <c r="D21" s="817"/>
      <c r="E21" s="169"/>
    </row>
    <row r="22" spans="1:6">
      <c r="A22" s="816" t="s">
        <v>1273</v>
      </c>
      <c r="B22" s="820" t="s">
        <v>1276</v>
      </c>
      <c r="C22" s="820" t="s">
        <v>1275</v>
      </c>
      <c r="D22" s="817"/>
      <c r="E22" s="169"/>
    </row>
    <row r="23" spans="1:6">
      <c r="A23" s="816" t="s">
        <v>1273</v>
      </c>
      <c r="B23" s="820" t="s">
        <v>1277</v>
      </c>
      <c r="C23" s="820" t="s">
        <v>1278</v>
      </c>
      <c r="D23" s="817"/>
      <c r="E23" s="169"/>
    </row>
    <row r="24" spans="1:6">
      <c r="A24" s="816" t="s">
        <v>1273</v>
      </c>
      <c r="B24" s="820" t="s">
        <v>1279</v>
      </c>
      <c r="C24" s="820" t="s">
        <v>1280</v>
      </c>
      <c r="D24" s="817"/>
      <c r="E24" s="169"/>
    </row>
    <row r="25" spans="1:6">
      <c r="A25" s="816" t="s">
        <v>1273</v>
      </c>
      <c r="B25" s="820" t="s">
        <v>1281</v>
      </c>
      <c r="C25" s="820" t="s">
        <v>1280</v>
      </c>
      <c r="D25" s="817"/>
      <c r="E25" s="169"/>
    </row>
    <row r="26" spans="1:6">
      <c r="A26" s="816" t="s">
        <v>1282</v>
      </c>
      <c r="B26" s="820" t="s">
        <v>1274</v>
      </c>
      <c r="C26" s="820" t="s">
        <v>1275</v>
      </c>
      <c r="D26" s="817"/>
      <c r="E26" s="169"/>
    </row>
    <row r="27" spans="1:6">
      <c r="A27" s="816" t="s">
        <v>1282</v>
      </c>
      <c r="B27" s="820" t="s">
        <v>1276</v>
      </c>
      <c r="C27" s="820" t="s">
        <v>1275</v>
      </c>
      <c r="D27" s="817"/>
      <c r="E27" s="169"/>
    </row>
    <row r="28" spans="1:6">
      <c r="A28" s="816" t="s">
        <v>1282</v>
      </c>
      <c r="B28" s="820" t="s">
        <v>1277</v>
      </c>
      <c r="C28" s="820" t="s">
        <v>1278</v>
      </c>
      <c r="D28" s="817"/>
      <c r="E28" s="169"/>
    </row>
    <row r="29" spans="1:6">
      <c r="A29" s="816" t="s">
        <v>1282</v>
      </c>
      <c r="B29" s="820" t="s">
        <v>1279</v>
      </c>
      <c r="C29" s="820" t="s">
        <v>1280</v>
      </c>
      <c r="D29" s="817"/>
      <c r="E29" s="169"/>
    </row>
    <row r="30" spans="1:6">
      <c r="A30" s="816" t="s">
        <v>1282</v>
      </c>
      <c r="B30" s="820" t="s">
        <v>1281</v>
      </c>
      <c r="C30" s="820" t="s">
        <v>1280</v>
      </c>
      <c r="D30" s="817"/>
      <c r="E30" s="169"/>
    </row>
    <row r="31" spans="1:6">
      <c r="A31" s="816" t="s">
        <v>1283</v>
      </c>
      <c r="B31" s="820" t="s">
        <v>1274</v>
      </c>
      <c r="C31" s="820" t="s">
        <v>1275</v>
      </c>
      <c r="D31" s="817"/>
      <c r="E31" s="169"/>
    </row>
    <row r="32" spans="1:6">
      <c r="A32" s="816" t="s">
        <v>1283</v>
      </c>
      <c r="B32" s="820" t="s">
        <v>1276</v>
      </c>
      <c r="C32" s="820" t="s">
        <v>1275</v>
      </c>
      <c r="D32" s="817"/>
      <c r="E32" s="169"/>
    </row>
    <row r="33" spans="1:5">
      <c r="A33" s="816" t="s">
        <v>1283</v>
      </c>
      <c r="B33" s="820" t="s">
        <v>1277</v>
      </c>
      <c r="C33" s="820" t="s">
        <v>1278</v>
      </c>
      <c r="D33" s="817"/>
      <c r="E33" s="169"/>
    </row>
    <row r="34" spans="1:5">
      <c r="A34" s="816" t="s">
        <v>1283</v>
      </c>
      <c r="B34" s="820" t="s">
        <v>1279</v>
      </c>
      <c r="C34" s="820" t="s">
        <v>1280</v>
      </c>
      <c r="D34" s="817"/>
      <c r="E34" s="169"/>
    </row>
    <row r="35" spans="1:5">
      <c r="A35" s="816" t="s">
        <v>1283</v>
      </c>
      <c r="B35" s="820" t="s">
        <v>1281</v>
      </c>
      <c r="C35" s="820" t="s">
        <v>1280</v>
      </c>
      <c r="D35" s="817"/>
      <c r="E35" s="169"/>
    </row>
    <row r="36" spans="1:5">
      <c r="A36" s="150"/>
      <c r="B36" s="261"/>
      <c r="C36" s="261"/>
      <c r="D36" s="261"/>
      <c r="E36" s="261"/>
    </row>
    <row r="37" spans="1:5">
      <c r="A37" s="403" t="s">
        <v>1284</v>
      </c>
      <c r="B37" s="122"/>
      <c r="C37" s="122"/>
      <c r="D37" s="150"/>
    </row>
    <row r="38" spans="1:5">
      <c r="A38" s="150"/>
      <c r="B38" s="122"/>
      <c r="C38" s="122"/>
      <c r="D38" s="150"/>
    </row>
    <row r="39" spans="1:5">
      <c r="B39" s="122"/>
      <c r="C39" s="122"/>
      <c r="D39" s="172"/>
    </row>
    <row r="40" spans="1:5">
      <c r="A40" s="122"/>
      <c r="B40" s="122"/>
      <c r="C40" s="122"/>
      <c r="D40" s="122"/>
    </row>
  </sheetData>
  <mergeCells count="2">
    <mergeCell ref="C13:D13"/>
    <mergeCell ref="A11:D11"/>
  </mergeCells>
  <pageMargins left="0.7" right="0.7" top="0.75" bottom="0.75" header="0.3" footer="0.3"/>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HK39"/>
  <sheetViews>
    <sheetView showGridLines="0" zoomScaleNormal="100" workbookViewId="0">
      <pane ySplit="10" topLeftCell="A11" activePane="bottomLeft" state="frozen"/>
      <selection pane="bottomLeft" activeCell="F33" sqref="F33:F34"/>
      <selection activeCell="E28" sqref="E28"/>
    </sheetView>
  </sheetViews>
  <sheetFormatPr defaultColWidth="7" defaultRowHeight="10.15"/>
  <cols>
    <col min="1" max="1" width="26.140625" style="159" bestFit="1" customWidth="1"/>
    <col min="2" max="2" width="54.7109375" style="158" customWidth="1"/>
    <col min="3" max="3" width="9.5703125" style="158" customWidth="1"/>
    <col min="4" max="4" width="9.28515625" style="158" customWidth="1"/>
    <col min="5" max="5" width="14.85546875" style="158" customWidth="1"/>
    <col min="6" max="7" width="12.140625" style="158" customWidth="1"/>
    <col min="8" max="8" width="14" style="158" customWidth="1"/>
    <col min="9" max="9" width="11.85546875" style="158" bestFit="1" customWidth="1"/>
    <col min="10" max="10" width="13.5703125" style="158" customWidth="1"/>
    <col min="11" max="11" width="28.5703125" style="158" customWidth="1"/>
    <col min="12" max="12" width="4.42578125" style="158" customWidth="1"/>
    <col min="13" max="13" width="10" style="159" customWidth="1"/>
    <col min="14" max="254" width="7" style="158"/>
    <col min="255" max="255" width="3.5703125" style="158" customWidth="1"/>
    <col min="256" max="256" width="24.140625" style="158" customWidth="1"/>
    <col min="257" max="257" width="54.7109375" style="158" customWidth="1"/>
    <col min="258" max="258" width="18.28515625" style="158" customWidth="1"/>
    <col min="259" max="259" width="7" style="158" customWidth="1"/>
    <col min="260" max="260" width="9.85546875" style="158" bestFit="1" customWidth="1"/>
    <col min="261" max="261" width="15.5703125" style="158" customWidth="1"/>
    <col min="262" max="262" width="11.140625" style="158" bestFit="1" customWidth="1"/>
    <col min="263" max="263" width="14" style="158" customWidth="1"/>
    <col min="264" max="264" width="12" style="158" customWidth="1"/>
    <col min="265" max="265" width="11.85546875" style="158" bestFit="1" customWidth="1"/>
    <col min="266" max="266" width="7" style="158"/>
    <col min="267" max="267" width="28.5703125" style="158" customWidth="1"/>
    <col min="268" max="268" width="4.42578125" style="158" customWidth="1"/>
    <col min="269" max="269" width="10" style="158" customWidth="1"/>
    <col min="270" max="510" width="7" style="158"/>
    <col min="511" max="511" width="3.5703125" style="158" customWidth="1"/>
    <col min="512" max="512" width="24.140625" style="158" customWidth="1"/>
    <col min="513" max="513" width="54.7109375" style="158" customWidth="1"/>
    <col min="514" max="514" width="18.28515625" style="158" customWidth="1"/>
    <col min="515" max="515" width="7" style="158" customWidth="1"/>
    <col min="516" max="516" width="9.85546875" style="158" bestFit="1" customWidth="1"/>
    <col min="517" max="517" width="15.5703125" style="158" customWidth="1"/>
    <col min="518" max="518" width="11.140625" style="158" bestFit="1" customWidth="1"/>
    <col min="519" max="519" width="14" style="158" customWidth="1"/>
    <col min="520" max="520" width="12" style="158" customWidth="1"/>
    <col min="521" max="521" width="11.85546875" style="158" bestFit="1" customWidth="1"/>
    <col min="522" max="522" width="7" style="158"/>
    <col min="523" max="523" width="28.5703125" style="158" customWidth="1"/>
    <col min="524" max="524" width="4.42578125" style="158" customWidth="1"/>
    <col min="525" max="525" width="10" style="158" customWidth="1"/>
    <col min="526" max="766" width="7" style="158"/>
    <col min="767" max="767" width="3.5703125" style="158" customWidth="1"/>
    <col min="768" max="768" width="24.140625" style="158" customWidth="1"/>
    <col min="769" max="769" width="54.7109375" style="158" customWidth="1"/>
    <col min="770" max="770" width="18.28515625" style="158" customWidth="1"/>
    <col min="771" max="771" width="7" style="158" customWidth="1"/>
    <col min="772" max="772" width="9.85546875" style="158" bestFit="1" customWidth="1"/>
    <col min="773" max="773" width="15.5703125" style="158" customWidth="1"/>
    <col min="774" max="774" width="11.140625" style="158" bestFit="1" customWidth="1"/>
    <col min="775" max="775" width="14" style="158" customWidth="1"/>
    <col min="776" max="776" width="12" style="158" customWidth="1"/>
    <col min="777" max="777" width="11.85546875" style="158" bestFit="1" customWidth="1"/>
    <col min="778" max="778" width="7" style="158"/>
    <col min="779" max="779" width="28.5703125" style="158" customWidth="1"/>
    <col min="780" max="780" width="4.42578125" style="158" customWidth="1"/>
    <col min="781" max="781" width="10" style="158" customWidth="1"/>
    <col min="782" max="1022" width="7" style="158"/>
    <col min="1023" max="1023" width="3.5703125" style="158" customWidth="1"/>
    <col min="1024" max="1024" width="24.140625" style="158" customWidth="1"/>
    <col min="1025" max="1025" width="54.7109375" style="158" customWidth="1"/>
    <col min="1026" max="1026" width="18.28515625" style="158" customWidth="1"/>
    <col min="1027" max="1027" width="7" style="158" customWidth="1"/>
    <col min="1028" max="1028" width="9.85546875" style="158" bestFit="1" customWidth="1"/>
    <col min="1029" max="1029" width="15.5703125" style="158" customWidth="1"/>
    <col min="1030" max="1030" width="11.140625" style="158" bestFit="1" customWidth="1"/>
    <col min="1031" max="1031" width="14" style="158" customWidth="1"/>
    <col min="1032" max="1032" width="12" style="158" customWidth="1"/>
    <col min="1033" max="1033" width="11.85546875" style="158" bestFit="1" customWidth="1"/>
    <col min="1034" max="1034" width="7" style="158"/>
    <col min="1035" max="1035" width="28.5703125" style="158" customWidth="1"/>
    <col min="1036" max="1036" width="4.42578125" style="158" customWidth="1"/>
    <col min="1037" max="1037" width="10" style="158" customWidth="1"/>
    <col min="1038" max="1278" width="7" style="158"/>
    <col min="1279" max="1279" width="3.5703125" style="158" customWidth="1"/>
    <col min="1280" max="1280" width="24.140625" style="158" customWidth="1"/>
    <col min="1281" max="1281" width="54.7109375" style="158" customWidth="1"/>
    <col min="1282" max="1282" width="18.28515625" style="158" customWidth="1"/>
    <col min="1283" max="1283" width="7" style="158" customWidth="1"/>
    <col min="1284" max="1284" width="9.85546875" style="158" bestFit="1" customWidth="1"/>
    <col min="1285" max="1285" width="15.5703125" style="158" customWidth="1"/>
    <col min="1286" max="1286" width="11.140625" style="158" bestFit="1" customWidth="1"/>
    <col min="1287" max="1287" width="14" style="158" customWidth="1"/>
    <col min="1288" max="1288" width="12" style="158" customWidth="1"/>
    <col min="1289" max="1289" width="11.85546875" style="158" bestFit="1" customWidth="1"/>
    <col min="1290" max="1290" width="7" style="158"/>
    <col min="1291" max="1291" width="28.5703125" style="158" customWidth="1"/>
    <col min="1292" max="1292" width="4.42578125" style="158" customWidth="1"/>
    <col min="1293" max="1293" width="10" style="158" customWidth="1"/>
    <col min="1294" max="1534" width="7" style="158"/>
    <col min="1535" max="1535" width="3.5703125" style="158" customWidth="1"/>
    <col min="1536" max="1536" width="24.140625" style="158" customWidth="1"/>
    <col min="1537" max="1537" width="54.7109375" style="158" customWidth="1"/>
    <col min="1538" max="1538" width="18.28515625" style="158" customWidth="1"/>
    <col min="1539" max="1539" width="7" style="158" customWidth="1"/>
    <col min="1540" max="1540" width="9.85546875" style="158" bestFit="1" customWidth="1"/>
    <col min="1541" max="1541" width="15.5703125" style="158" customWidth="1"/>
    <col min="1542" max="1542" width="11.140625" style="158" bestFit="1" customWidth="1"/>
    <col min="1543" max="1543" width="14" style="158" customWidth="1"/>
    <col min="1544" max="1544" width="12" style="158" customWidth="1"/>
    <col min="1545" max="1545" width="11.85546875" style="158" bestFit="1" customWidth="1"/>
    <col min="1546" max="1546" width="7" style="158"/>
    <col min="1547" max="1547" width="28.5703125" style="158" customWidth="1"/>
    <col min="1548" max="1548" width="4.42578125" style="158" customWidth="1"/>
    <col min="1549" max="1549" width="10" style="158" customWidth="1"/>
    <col min="1550" max="1790" width="7" style="158"/>
    <col min="1791" max="1791" width="3.5703125" style="158" customWidth="1"/>
    <col min="1792" max="1792" width="24.140625" style="158" customWidth="1"/>
    <col min="1793" max="1793" width="54.7109375" style="158" customWidth="1"/>
    <col min="1794" max="1794" width="18.28515625" style="158" customWidth="1"/>
    <col min="1795" max="1795" width="7" style="158" customWidth="1"/>
    <col min="1796" max="1796" width="9.85546875" style="158" bestFit="1" customWidth="1"/>
    <col min="1797" max="1797" width="15.5703125" style="158" customWidth="1"/>
    <col min="1798" max="1798" width="11.140625" style="158" bestFit="1" customWidth="1"/>
    <col min="1799" max="1799" width="14" style="158" customWidth="1"/>
    <col min="1800" max="1800" width="12" style="158" customWidth="1"/>
    <col min="1801" max="1801" width="11.85546875" style="158" bestFit="1" customWidth="1"/>
    <col min="1802" max="1802" width="7" style="158"/>
    <col min="1803" max="1803" width="28.5703125" style="158" customWidth="1"/>
    <col min="1804" max="1804" width="4.42578125" style="158" customWidth="1"/>
    <col min="1805" max="1805" width="10" style="158" customWidth="1"/>
    <col min="1806" max="2046" width="7" style="158"/>
    <col min="2047" max="2047" width="3.5703125" style="158" customWidth="1"/>
    <col min="2048" max="2048" width="24.140625" style="158" customWidth="1"/>
    <col min="2049" max="2049" width="54.7109375" style="158" customWidth="1"/>
    <col min="2050" max="2050" width="18.28515625" style="158" customWidth="1"/>
    <col min="2051" max="2051" width="7" style="158" customWidth="1"/>
    <col min="2052" max="2052" width="9.85546875" style="158" bestFit="1" customWidth="1"/>
    <col min="2053" max="2053" width="15.5703125" style="158" customWidth="1"/>
    <col min="2054" max="2054" width="11.140625" style="158" bestFit="1" customWidth="1"/>
    <col min="2055" max="2055" width="14" style="158" customWidth="1"/>
    <col min="2056" max="2056" width="12" style="158" customWidth="1"/>
    <col min="2057" max="2057" width="11.85546875" style="158" bestFit="1" customWidth="1"/>
    <col min="2058" max="2058" width="7" style="158"/>
    <col min="2059" max="2059" width="28.5703125" style="158" customWidth="1"/>
    <col min="2060" max="2060" width="4.42578125" style="158" customWidth="1"/>
    <col min="2061" max="2061" width="10" style="158" customWidth="1"/>
    <col min="2062" max="2302" width="7" style="158"/>
    <col min="2303" max="2303" width="3.5703125" style="158" customWidth="1"/>
    <col min="2304" max="2304" width="24.140625" style="158" customWidth="1"/>
    <col min="2305" max="2305" width="54.7109375" style="158" customWidth="1"/>
    <col min="2306" max="2306" width="18.28515625" style="158" customWidth="1"/>
    <col min="2307" max="2307" width="7" style="158" customWidth="1"/>
    <col min="2308" max="2308" width="9.85546875" style="158" bestFit="1" customWidth="1"/>
    <col min="2309" max="2309" width="15.5703125" style="158" customWidth="1"/>
    <col min="2310" max="2310" width="11.140625" style="158" bestFit="1" customWidth="1"/>
    <col min="2311" max="2311" width="14" style="158" customWidth="1"/>
    <col min="2312" max="2312" width="12" style="158" customWidth="1"/>
    <col min="2313" max="2313" width="11.85546875" style="158" bestFit="1" customWidth="1"/>
    <col min="2314" max="2314" width="7" style="158"/>
    <col min="2315" max="2315" width="28.5703125" style="158" customWidth="1"/>
    <col min="2316" max="2316" width="4.42578125" style="158" customWidth="1"/>
    <col min="2317" max="2317" width="10" style="158" customWidth="1"/>
    <col min="2318" max="2558" width="7" style="158"/>
    <col min="2559" max="2559" width="3.5703125" style="158" customWidth="1"/>
    <col min="2560" max="2560" width="24.140625" style="158" customWidth="1"/>
    <col min="2561" max="2561" width="54.7109375" style="158" customWidth="1"/>
    <col min="2562" max="2562" width="18.28515625" style="158" customWidth="1"/>
    <col min="2563" max="2563" width="7" style="158" customWidth="1"/>
    <col min="2564" max="2564" width="9.85546875" style="158" bestFit="1" customWidth="1"/>
    <col min="2565" max="2565" width="15.5703125" style="158" customWidth="1"/>
    <col min="2566" max="2566" width="11.140625" style="158" bestFit="1" customWidth="1"/>
    <col min="2567" max="2567" width="14" style="158" customWidth="1"/>
    <col min="2568" max="2568" width="12" style="158" customWidth="1"/>
    <col min="2569" max="2569" width="11.85546875" style="158" bestFit="1" customWidth="1"/>
    <col min="2570" max="2570" width="7" style="158"/>
    <col min="2571" max="2571" width="28.5703125" style="158" customWidth="1"/>
    <col min="2572" max="2572" width="4.42578125" style="158" customWidth="1"/>
    <col min="2573" max="2573" width="10" style="158" customWidth="1"/>
    <col min="2574" max="2814" width="7" style="158"/>
    <col min="2815" max="2815" width="3.5703125" style="158" customWidth="1"/>
    <col min="2816" max="2816" width="24.140625" style="158" customWidth="1"/>
    <col min="2817" max="2817" width="54.7109375" style="158" customWidth="1"/>
    <col min="2818" max="2818" width="18.28515625" style="158" customWidth="1"/>
    <col min="2819" max="2819" width="7" style="158" customWidth="1"/>
    <col min="2820" max="2820" width="9.85546875" style="158" bestFit="1" customWidth="1"/>
    <col min="2821" max="2821" width="15.5703125" style="158" customWidth="1"/>
    <col min="2822" max="2822" width="11.140625" style="158" bestFit="1" customWidth="1"/>
    <col min="2823" max="2823" width="14" style="158" customWidth="1"/>
    <col min="2824" max="2824" width="12" style="158" customWidth="1"/>
    <col min="2825" max="2825" width="11.85546875" style="158" bestFit="1" customWidth="1"/>
    <col min="2826" max="2826" width="7" style="158"/>
    <col min="2827" max="2827" width="28.5703125" style="158" customWidth="1"/>
    <col min="2828" max="2828" width="4.42578125" style="158" customWidth="1"/>
    <col min="2829" max="2829" width="10" style="158" customWidth="1"/>
    <col min="2830" max="3070" width="7" style="158"/>
    <col min="3071" max="3071" width="3.5703125" style="158" customWidth="1"/>
    <col min="3072" max="3072" width="24.140625" style="158" customWidth="1"/>
    <col min="3073" max="3073" width="54.7109375" style="158" customWidth="1"/>
    <col min="3074" max="3074" width="18.28515625" style="158" customWidth="1"/>
    <col min="3075" max="3075" width="7" style="158" customWidth="1"/>
    <col min="3076" max="3076" width="9.85546875" style="158" bestFit="1" customWidth="1"/>
    <col min="3077" max="3077" width="15.5703125" style="158" customWidth="1"/>
    <col min="3078" max="3078" width="11.140625" style="158" bestFit="1" customWidth="1"/>
    <col min="3079" max="3079" width="14" style="158" customWidth="1"/>
    <col min="3080" max="3080" width="12" style="158" customWidth="1"/>
    <col min="3081" max="3081" width="11.85546875" style="158" bestFit="1" customWidth="1"/>
    <col min="3082" max="3082" width="7" style="158"/>
    <col min="3083" max="3083" width="28.5703125" style="158" customWidth="1"/>
    <col min="3084" max="3084" width="4.42578125" style="158" customWidth="1"/>
    <col min="3085" max="3085" width="10" style="158" customWidth="1"/>
    <col min="3086" max="3326" width="7" style="158"/>
    <col min="3327" max="3327" width="3.5703125" style="158" customWidth="1"/>
    <col min="3328" max="3328" width="24.140625" style="158" customWidth="1"/>
    <col min="3329" max="3329" width="54.7109375" style="158" customWidth="1"/>
    <col min="3330" max="3330" width="18.28515625" style="158" customWidth="1"/>
    <col min="3331" max="3331" width="7" style="158" customWidth="1"/>
    <col min="3332" max="3332" width="9.85546875" style="158" bestFit="1" customWidth="1"/>
    <col min="3333" max="3333" width="15.5703125" style="158" customWidth="1"/>
    <col min="3334" max="3334" width="11.140625" style="158" bestFit="1" customWidth="1"/>
    <col min="3335" max="3335" width="14" style="158" customWidth="1"/>
    <col min="3336" max="3336" width="12" style="158" customWidth="1"/>
    <col min="3337" max="3337" width="11.85546875" style="158" bestFit="1" customWidth="1"/>
    <col min="3338" max="3338" width="7" style="158"/>
    <col min="3339" max="3339" width="28.5703125" style="158" customWidth="1"/>
    <col min="3340" max="3340" width="4.42578125" style="158" customWidth="1"/>
    <col min="3341" max="3341" width="10" style="158" customWidth="1"/>
    <col min="3342" max="3582" width="7" style="158"/>
    <col min="3583" max="3583" width="3.5703125" style="158" customWidth="1"/>
    <col min="3584" max="3584" width="24.140625" style="158" customWidth="1"/>
    <col min="3585" max="3585" width="54.7109375" style="158" customWidth="1"/>
    <col min="3586" max="3586" width="18.28515625" style="158" customWidth="1"/>
    <col min="3587" max="3587" width="7" style="158" customWidth="1"/>
    <col min="3588" max="3588" width="9.85546875" style="158" bestFit="1" customWidth="1"/>
    <col min="3589" max="3589" width="15.5703125" style="158" customWidth="1"/>
    <col min="3590" max="3590" width="11.140625" style="158" bestFit="1" customWidth="1"/>
    <col min="3591" max="3591" width="14" style="158" customWidth="1"/>
    <col min="3592" max="3592" width="12" style="158" customWidth="1"/>
    <col min="3593" max="3593" width="11.85546875" style="158" bestFit="1" customWidth="1"/>
    <col min="3594" max="3594" width="7" style="158"/>
    <col min="3595" max="3595" width="28.5703125" style="158" customWidth="1"/>
    <col min="3596" max="3596" width="4.42578125" style="158" customWidth="1"/>
    <col min="3597" max="3597" width="10" style="158" customWidth="1"/>
    <col min="3598" max="3838" width="7" style="158"/>
    <col min="3839" max="3839" width="3.5703125" style="158" customWidth="1"/>
    <col min="3840" max="3840" width="24.140625" style="158" customWidth="1"/>
    <col min="3841" max="3841" width="54.7109375" style="158" customWidth="1"/>
    <col min="3842" max="3842" width="18.28515625" style="158" customWidth="1"/>
    <col min="3843" max="3843" width="7" style="158" customWidth="1"/>
    <col min="3844" max="3844" width="9.85546875" style="158" bestFit="1" customWidth="1"/>
    <col min="3845" max="3845" width="15.5703125" style="158" customWidth="1"/>
    <col min="3846" max="3846" width="11.140625" style="158" bestFit="1" customWidth="1"/>
    <col min="3847" max="3847" width="14" style="158" customWidth="1"/>
    <col min="3848" max="3848" width="12" style="158" customWidth="1"/>
    <col min="3849" max="3849" width="11.85546875" style="158" bestFit="1" customWidth="1"/>
    <col min="3850" max="3850" width="7" style="158"/>
    <col min="3851" max="3851" width="28.5703125" style="158" customWidth="1"/>
    <col min="3852" max="3852" width="4.42578125" style="158" customWidth="1"/>
    <col min="3853" max="3853" width="10" style="158" customWidth="1"/>
    <col min="3854" max="4094" width="7" style="158"/>
    <col min="4095" max="4095" width="3.5703125" style="158" customWidth="1"/>
    <col min="4096" max="4096" width="24.140625" style="158" customWidth="1"/>
    <col min="4097" max="4097" width="54.7109375" style="158" customWidth="1"/>
    <col min="4098" max="4098" width="18.28515625" style="158" customWidth="1"/>
    <col min="4099" max="4099" width="7" style="158" customWidth="1"/>
    <col min="4100" max="4100" width="9.85546875" style="158" bestFit="1" customWidth="1"/>
    <col min="4101" max="4101" width="15.5703125" style="158" customWidth="1"/>
    <col min="4102" max="4102" width="11.140625" style="158" bestFit="1" customWidth="1"/>
    <col min="4103" max="4103" width="14" style="158" customWidth="1"/>
    <col min="4104" max="4104" width="12" style="158" customWidth="1"/>
    <col min="4105" max="4105" width="11.85546875" style="158" bestFit="1" customWidth="1"/>
    <col min="4106" max="4106" width="7" style="158"/>
    <col min="4107" max="4107" width="28.5703125" style="158" customWidth="1"/>
    <col min="4108" max="4108" width="4.42578125" style="158" customWidth="1"/>
    <col min="4109" max="4109" width="10" style="158" customWidth="1"/>
    <col min="4110" max="4350" width="7" style="158"/>
    <col min="4351" max="4351" width="3.5703125" style="158" customWidth="1"/>
    <col min="4352" max="4352" width="24.140625" style="158" customWidth="1"/>
    <col min="4353" max="4353" width="54.7109375" style="158" customWidth="1"/>
    <col min="4354" max="4354" width="18.28515625" style="158" customWidth="1"/>
    <col min="4355" max="4355" width="7" style="158" customWidth="1"/>
    <col min="4356" max="4356" width="9.85546875" style="158" bestFit="1" customWidth="1"/>
    <col min="4357" max="4357" width="15.5703125" style="158" customWidth="1"/>
    <col min="4358" max="4358" width="11.140625" style="158" bestFit="1" customWidth="1"/>
    <col min="4359" max="4359" width="14" style="158" customWidth="1"/>
    <col min="4360" max="4360" width="12" style="158" customWidth="1"/>
    <col min="4361" max="4361" width="11.85546875" style="158" bestFit="1" customWidth="1"/>
    <col min="4362" max="4362" width="7" style="158"/>
    <col min="4363" max="4363" width="28.5703125" style="158" customWidth="1"/>
    <col min="4364" max="4364" width="4.42578125" style="158" customWidth="1"/>
    <col min="4365" max="4365" width="10" style="158" customWidth="1"/>
    <col min="4366" max="4606" width="7" style="158"/>
    <col min="4607" max="4607" width="3.5703125" style="158" customWidth="1"/>
    <col min="4608" max="4608" width="24.140625" style="158" customWidth="1"/>
    <col min="4609" max="4609" width="54.7109375" style="158" customWidth="1"/>
    <col min="4610" max="4610" width="18.28515625" style="158" customWidth="1"/>
    <col min="4611" max="4611" width="7" style="158" customWidth="1"/>
    <col min="4612" max="4612" width="9.85546875" style="158" bestFit="1" customWidth="1"/>
    <col min="4613" max="4613" width="15.5703125" style="158" customWidth="1"/>
    <col min="4614" max="4614" width="11.140625" style="158" bestFit="1" customWidth="1"/>
    <col min="4615" max="4615" width="14" style="158" customWidth="1"/>
    <col min="4616" max="4616" width="12" style="158" customWidth="1"/>
    <col min="4617" max="4617" width="11.85546875" style="158" bestFit="1" customWidth="1"/>
    <col min="4618" max="4618" width="7" style="158"/>
    <col min="4619" max="4619" width="28.5703125" style="158" customWidth="1"/>
    <col min="4620" max="4620" width="4.42578125" style="158" customWidth="1"/>
    <col min="4621" max="4621" width="10" style="158" customWidth="1"/>
    <col min="4622" max="4862" width="7" style="158"/>
    <col min="4863" max="4863" width="3.5703125" style="158" customWidth="1"/>
    <col min="4864" max="4864" width="24.140625" style="158" customWidth="1"/>
    <col min="4865" max="4865" width="54.7109375" style="158" customWidth="1"/>
    <col min="4866" max="4866" width="18.28515625" style="158" customWidth="1"/>
    <col min="4867" max="4867" width="7" style="158" customWidth="1"/>
    <col min="4868" max="4868" width="9.85546875" style="158" bestFit="1" customWidth="1"/>
    <col min="4869" max="4869" width="15.5703125" style="158" customWidth="1"/>
    <col min="4870" max="4870" width="11.140625" style="158" bestFit="1" customWidth="1"/>
    <col min="4871" max="4871" width="14" style="158" customWidth="1"/>
    <col min="4872" max="4872" width="12" style="158" customWidth="1"/>
    <col min="4873" max="4873" width="11.85546875" style="158" bestFit="1" customWidth="1"/>
    <col min="4874" max="4874" width="7" style="158"/>
    <col min="4875" max="4875" width="28.5703125" style="158" customWidth="1"/>
    <col min="4876" max="4876" width="4.42578125" style="158" customWidth="1"/>
    <col min="4877" max="4877" width="10" style="158" customWidth="1"/>
    <col min="4878" max="5118" width="7" style="158"/>
    <col min="5119" max="5119" width="3.5703125" style="158" customWidth="1"/>
    <col min="5120" max="5120" width="24.140625" style="158" customWidth="1"/>
    <col min="5121" max="5121" width="54.7109375" style="158" customWidth="1"/>
    <col min="5122" max="5122" width="18.28515625" style="158" customWidth="1"/>
    <col min="5123" max="5123" width="7" style="158" customWidth="1"/>
    <col min="5124" max="5124" width="9.85546875" style="158" bestFit="1" customWidth="1"/>
    <col min="5125" max="5125" width="15.5703125" style="158" customWidth="1"/>
    <col min="5126" max="5126" width="11.140625" style="158" bestFit="1" customWidth="1"/>
    <col min="5127" max="5127" width="14" style="158" customWidth="1"/>
    <col min="5128" max="5128" width="12" style="158" customWidth="1"/>
    <col min="5129" max="5129" width="11.85546875" style="158" bestFit="1" customWidth="1"/>
    <col min="5130" max="5130" width="7" style="158"/>
    <col min="5131" max="5131" width="28.5703125" style="158" customWidth="1"/>
    <col min="5132" max="5132" width="4.42578125" style="158" customWidth="1"/>
    <col min="5133" max="5133" width="10" style="158" customWidth="1"/>
    <col min="5134" max="5374" width="7" style="158"/>
    <col min="5375" max="5375" width="3.5703125" style="158" customWidth="1"/>
    <col min="5376" max="5376" width="24.140625" style="158" customWidth="1"/>
    <col min="5377" max="5377" width="54.7109375" style="158" customWidth="1"/>
    <col min="5378" max="5378" width="18.28515625" style="158" customWidth="1"/>
    <col min="5379" max="5379" width="7" style="158" customWidth="1"/>
    <col min="5380" max="5380" width="9.85546875" style="158" bestFit="1" customWidth="1"/>
    <col min="5381" max="5381" width="15.5703125" style="158" customWidth="1"/>
    <col min="5382" max="5382" width="11.140625" style="158" bestFit="1" customWidth="1"/>
    <col min="5383" max="5383" width="14" style="158" customWidth="1"/>
    <col min="5384" max="5384" width="12" style="158" customWidth="1"/>
    <col min="5385" max="5385" width="11.85546875" style="158" bestFit="1" customWidth="1"/>
    <col min="5386" max="5386" width="7" style="158"/>
    <col min="5387" max="5387" width="28.5703125" style="158" customWidth="1"/>
    <col min="5388" max="5388" width="4.42578125" style="158" customWidth="1"/>
    <col min="5389" max="5389" width="10" style="158" customWidth="1"/>
    <col min="5390" max="5630" width="7" style="158"/>
    <col min="5631" max="5631" width="3.5703125" style="158" customWidth="1"/>
    <col min="5632" max="5632" width="24.140625" style="158" customWidth="1"/>
    <col min="5633" max="5633" width="54.7109375" style="158" customWidth="1"/>
    <col min="5634" max="5634" width="18.28515625" style="158" customWidth="1"/>
    <col min="5635" max="5635" width="7" style="158" customWidth="1"/>
    <col min="5636" max="5636" width="9.85546875" style="158" bestFit="1" customWidth="1"/>
    <col min="5637" max="5637" width="15.5703125" style="158" customWidth="1"/>
    <col min="5638" max="5638" width="11.140625" style="158" bestFit="1" customWidth="1"/>
    <col min="5639" max="5639" width="14" style="158" customWidth="1"/>
    <col min="5640" max="5640" width="12" style="158" customWidth="1"/>
    <col min="5641" max="5641" width="11.85546875" style="158" bestFit="1" customWidth="1"/>
    <col min="5642" max="5642" width="7" style="158"/>
    <col min="5643" max="5643" width="28.5703125" style="158" customWidth="1"/>
    <col min="5644" max="5644" width="4.42578125" style="158" customWidth="1"/>
    <col min="5645" max="5645" width="10" style="158" customWidth="1"/>
    <col min="5646" max="5886" width="7" style="158"/>
    <col min="5887" max="5887" width="3.5703125" style="158" customWidth="1"/>
    <col min="5888" max="5888" width="24.140625" style="158" customWidth="1"/>
    <col min="5889" max="5889" width="54.7109375" style="158" customWidth="1"/>
    <col min="5890" max="5890" width="18.28515625" style="158" customWidth="1"/>
    <col min="5891" max="5891" width="7" style="158" customWidth="1"/>
    <col min="5892" max="5892" width="9.85546875" style="158" bestFit="1" customWidth="1"/>
    <col min="5893" max="5893" width="15.5703125" style="158" customWidth="1"/>
    <col min="5894" max="5894" width="11.140625" style="158" bestFit="1" customWidth="1"/>
    <col min="5895" max="5895" width="14" style="158" customWidth="1"/>
    <col min="5896" max="5896" width="12" style="158" customWidth="1"/>
    <col min="5897" max="5897" width="11.85546875" style="158" bestFit="1" customWidth="1"/>
    <col min="5898" max="5898" width="7" style="158"/>
    <col min="5899" max="5899" width="28.5703125" style="158" customWidth="1"/>
    <col min="5900" max="5900" width="4.42578125" style="158" customWidth="1"/>
    <col min="5901" max="5901" width="10" style="158" customWidth="1"/>
    <col min="5902" max="6142" width="7" style="158"/>
    <col min="6143" max="6143" width="3.5703125" style="158" customWidth="1"/>
    <col min="6144" max="6144" width="24.140625" style="158" customWidth="1"/>
    <col min="6145" max="6145" width="54.7109375" style="158" customWidth="1"/>
    <col min="6146" max="6146" width="18.28515625" style="158" customWidth="1"/>
    <col min="6147" max="6147" width="7" style="158" customWidth="1"/>
    <col min="6148" max="6148" width="9.85546875" style="158" bestFit="1" customWidth="1"/>
    <col min="6149" max="6149" width="15.5703125" style="158" customWidth="1"/>
    <col min="6150" max="6150" width="11.140625" style="158" bestFit="1" customWidth="1"/>
    <col min="6151" max="6151" width="14" style="158" customWidth="1"/>
    <col min="6152" max="6152" width="12" style="158" customWidth="1"/>
    <col min="6153" max="6153" width="11.85546875" style="158" bestFit="1" customWidth="1"/>
    <col min="6154" max="6154" width="7" style="158"/>
    <col min="6155" max="6155" width="28.5703125" style="158" customWidth="1"/>
    <col min="6156" max="6156" width="4.42578125" style="158" customWidth="1"/>
    <col min="6157" max="6157" width="10" style="158" customWidth="1"/>
    <col min="6158" max="6398" width="7" style="158"/>
    <col min="6399" max="6399" width="3.5703125" style="158" customWidth="1"/>
    <col min="6400" max="6400" width="24.140625" style="158" customWidth="1"/>
    <col min="6401" max="6401" width="54.7109375" style="158" customWidth="1"/>
    <col min="6402" max="6402" width="18.28515625" style="158" customWidth="1"/>
    <col min="6403" max="6403" width="7" style="158" customWidth="1"/>
    <col min="6404" max="6404" width="9.85546875" style="158" bestFit="1" customWidth="1"/>
    <col min="6405" max="6405" width="15.5703125" style="158" customWidth="1"/>
    <col min="6406" max="6406" width="11.140625" style="158" bestFit="1" customWidth="1"/>
    <col min="6407" max="6407" width="14" style="158" customWidth="1"/>
    <col min="6408" max="6408" width="12" style="158" customWidth="1"/>
    <col min="6409" max="6409" width="11.85546875" style="158" bestFit="1" customWidth="1"/>
    <col min="6410" max="6410" width="7" style="158"/>
    <col min="6411" max="6411" width="28.5703125" style="158" customWidth="1"/>
    <col min="6412" max="6412" width="4.42578125" style="158" customWidth="1"/>
    <col min="6413" max="6413" width="10" style="158" customWidth="1"/>
    <col min="6414" max="6654" width="7" style="158"/>
    <col min="6655" max="6655" width="3.5703125" style="158" customWidth="1"/>
    <col min="6656" max="6656" width="24.140625" style="158" customWidth="1"/>
    <col min="6657" max="6657" width="54.7109375" style="158" customWidth="1"/>
    <col min="6658" max="6658" width="18.28515625" style="158" customWidth="1"/>
    <col min="6659" max="6659" width="7" style="158" customWidth="1"/>
    <col min="6660" max="6660" width="9.85546875" style="158" bestFit="1" customWidth="1"/>
    <col min="6661" max="6661" width="15.5703125" style="158" customWidth="1"/>
    <col min="6662" max="6662" width="11.140625" style="158" bestFit="1" customWidth="1"/>
    <col min="6663" max="6663" width="14" style="158" customWidth="1"/>
    <col min="6664" max="6664" width="12" style="158" customWidth="1"/>
    <col min="6665" max="6665" width="11.85546875" style="158" bestFit="1" customWidth="1"/>
    <col min="6666" max="6666" width="7" style="158"/>
    <col min="6667" max="6667" width="28.5703125" style="158" customWidth="1"/>
    <col min="6668" max="6668" width="4.42578125" style="158" customWidth="1"/>
    <col min="6669" max="6669" width="10" style="158" customWidth="1"/>
    <col min="6670" max="6910" width="7" style="158"/>
    <col min="6911" max="6911" width="3.5703125" style="158" customWidth="1"/>
    <col min="6912" max="6912" width="24.140625" style="158" customWidth="1"/>
    <col min="6913" max="6913" width="54.7109375" style="158" customWidth="1"/>
    <col min="6914" max="6914" width="18.28515625" style="158" customWidth="1"/>
    <col min="6915" max="6915" width="7" style="158" customWidth="1"/>
    <col min="6916" max="6916" width="9.85546875" style="158" bestFit="1" customWidth="1"/>
    <col min="6917" max="6917" width="15.5703125" style="158" customWidth="1"/>
    <col min="6918" max="6918" width="11.140625" style="158" bestFit="1" customWidth="1"/>
    <col min="6919" max="6919" width="14" style="158" customWidth="1"/>
    <col min="6920" max="6920" width="12" style="158" customWidth="1"/>
    <col min="6921" max="6921" width="11.85546875" style="158" bestFit="1" customWidth="1"/>
    <col min="6922" max="6922" width="7" style="158"/>
    <col min="6923" max="6923" width="28.5703125" style="158" customWidth="1"/>
    <col min="6924" max="6924" width="4.42578125" style="158" customWidth="1"/>
    <col min="6925" max="6925" width="10" style="158" customWidth="1"/>
    <col min="6926" max="7166" width="7" style="158"/>
    <col min="7167" max="7167" width="3.5703125" style="158" customWidth="1"/>
    <col min="7168" max="7168" width="24.140625" style="158" customWidth="1"/>
    <col min="7169" max="7169" width="54.7109375" style="158" customWidth="1"/>
    <col min="7170" max="7170" width="18.28515625" style="158" customWidth="1"/>
    <col min="7171" max="7171" width="7" style="158" customWidth="1"/>
    <col min="7172" max="7172" width="9.85546875" style="158" bestFit="1" customWidth="1"/>
    <col min="7173" max="7173" width="15.5703125" style="158" customWidth="1"/>
    <col min="7174" max="7174" width="11.140625" style="158" bestFit="1" customWidth="1"/>
    <col min="7175" max="7175" width="14" style="158" customWidth="1"/>
    <col min="7176" max="7176" width="12" style="158" customWidth="1"/>
    <col min="7177" max="7177" width="11.85546875" style="158" bestFit="1" customWidth="1"/>
    <col min="7178" max="7178" width="7" style="158"/>
    <col min="7179" max="7179" width="28.5703125" style="158" customWidth="1"/>
    <col min="7180" max="7180" width="4.42578125" style="158" customWidth="1"/>
    <col min="7181" max="7181" width="10" style="158" customWidth="1"/>
    <col min="7182" max="7422" width="7" style="158"/>
    <col min="7423" max="7423" width="3.5703125" style="158" customWidth="1"/>
    <col min="7424" max="7424" width="24.140625" style="158" customWidth="1"/>
    <col min="7425" max="7425" width="54.7109375" style="158" customWidth="1"/>
    <col min="7426" max="7426" width="18.28515625" style="158" customWidth="1"/>
    <col min="7427" max="7427" width="7" style="158" customWidth="1"/>
    <col min="7428" max="7428" width="9.85546875" style="158" bestFit="1" customWidth="1"/>
    <col min="7429" max="7429" width="15.5703125" style="158" customWidth="1"/>
    <col min="7430" max="7430" width="11.140625" style="158" bestFit="1" customWidth="1"/>
    <col min="7431" max="7431" width="14" style="158" customWidth="1"/>
    <col min="7432" max="7432" width="12" style="158" customWidth="1"/>
    <col min="7433" max="7433" width="11.85546875" style="158" bestFit="1" customWidth="1"/>
    <col min="7434" max="7434" width="7" style="158"/>
    <col min="7435" max="7435" width="28.5703125" style="158" customWidth="1"/>
    <col min="7436" max="7436" width="4.42578125" style="158" customWidth="1"/>
    <col min="7437" max="7437" width="10" style="158" customWidth="1"/>
    <col min="7438" max="7678" width="7" style="158"/>
    <col min="7679" max="7679" width="3.5703125" style="158" customWidth="1"/>
    <col min="7680" max="7680" width="24.140625" style="158" customWidth="1"/>
    <col min="7681" max="7681" width="54.7109375" style="158" customWidth="1"/>
    <col min="7682" max="7682" width="18.28515625" style="158" customWidth="1"/>
    <col min="7683" max="7683" width="7" style="158" customWidth="1"/>
    <col min="7684" max="7684" width="9.85546875" style="158" bestFit="1" customWidth="1"/>
    <col min="7685" max="7685" width="15.5703125" style="158" customWidth="1"/>
    <col min="7686" max="7686" width="11.140625" style="158" bestFit="1" customWidth="1"/>
    <col min="7687" max="7687" width="14" style="158" customWidth="1"/>
    <col min="7688" max="7688" width="12" style="158" customWidth="1"/>
    <col min="7689" max="7689" width="11.85546875" style="158" bestFit="1" customWidth="1"/>
    <col min="7690" max="7690" width="7" style="158"/>
    <col min="7691" max="7691" width="28.5703125" style="158" customWidth="1"/>
    <col min="7692" max="7692" width="4.42578125" style="158" customWidth="1"/>
    <col min="7693" max="7693" width="10" style="158" customWidth="1"/>
    <col min="7694" max="7934" width="7" style="158"/>
    <col min="7935" max="7935" width="3.5703125" style="158" customWidth="1"/>
    <col min="7936" max="7936" width="24.140625" style="158" customWidth="1"/>
    <col min="7937" max="7937" width="54.7109375" style="158" customWidth="1"/>
    <col min="7938" max="7938" width="18.28515625" style="158" customWidth="1"/>
    <col min="7939" max="7939" width="7" style="158" customWidth="1"/>
    <col min="7940" max="7940" width="9.85546875" style="158" bestFit="1" customWidth="1"/>
    <col min="7941" max="7941" width="15.5703125" style="158" customWidth="1"/>
    <col min="7942" max="7942" width="11.140625" style="158" bestFit="1" customWidth="1"/>
    <col min="7943" max="7943" width="14" style="158" customWidth="1"/>
    <col min="7944" max="7944" width="12" style="158" customWidth="1"/>
    <col min="7945" max="7945" width="11.85546875" style="158" bestFit="1" customWidth="1"/>
    <col min="7946" max="7946" width="7" style="158"/>
    <col min="7947" max="7947" width="28.5703125" style="158" customWidth="1"/>
    <col min="7948" max="7948" width="4.42578125" style="158" customWidth="1"/>
    <col min="7949" max="7949" width="10" style="158" customWidth="1"/>
    <col min="7950" max="8190" width="7" style="158"/>
    <col min="8191" max="8191" width="3.5703125" style="158" customWidth="1"/>
    <col min="8192" max="8192" width="24.140625" style="158" customWidth="1"/>
    <col min="8193" max="8193" width="54.7109375" style="158" customWidth="1"/>
    <col min="8194" max="8194" width="18.28515625" style="158" customWidth="1"/>
    <col min="8195" max="8195" width="7" style="158" customWidth="1"/>
    <col min="8196" max="8196" width="9.85546875" style="158" bestFit="1" customWidth="1"/>
    <col min="8197" max="8197" width="15.5703125" style="158" customWidth="1"/>
    <col min="8198" max="8198" width="11.140625" style="158" bestFit="1" customWidth="1"/>
    <col min="8199" max="8199" width="14" style="158" customWidth="1"/>
    <col min="8200" max="8200" width="12" style="158" customWidth="1"/>
    <col min="8201" max="8201" width="11.85546875" style="158" bestFit="1" customWidth="1"/>
    <col min="8202" max="8202" width="7" style="158"/>
    <col min="8203" max="8203" width="28.5703125" style="158" customWidth="1"/>
    <col min="8204" max="8204" width="4.42578125" style="158" customWidth="1"/>
    <col min="8205" max="8205" width="10" style="158" customWidth="1"/>
    <col min="8206" max="8446" width="7" style="158"/>
    <col min="8447" max="8447" width="3.5703125" style="158" customWidth="1"/>
    <col min="8448" max="8448" width="24.140625" style="158" customWidth="1"/>
    <col min="8449" max="8449" width="54.7109375" style="158" customWidth="1"/>
    <col min="8450" max="8450" width="18.28515625" style="158" customWidth="1"/>
    <col min="8451" max="8451" width="7" style="158" customWidth="1"/>
    <col min="8452" max="8452" width="9.85546875" style="158" bestFit="1" customWidth="1"/>
    <col min="8453" max="8453" width="15.5703125" style="158" customWidth="1"/>
    <col min="8454" max="8454" width="11.140625" style="158" bestFit="1" customWidth="1"/>
    <col min="8455" max="8455" width="14" style="158" customWidth="1"/>
    <col min="8456" max="8456" width="12" style="158" customWidth="1"/>
    <col min="8457" max="8457" width="11.85546875" style="158" bestFit="1" customWidth="1"/>
    <col min="8458" max="8458" width="7" style="158"/>
    <col min="8459" max="8459" width="28.5703125" style="158" customWidth="1"/>
    <col min="8460" max="8460" width="4.42578125" style="158" customWidth="1"/>
    <col min="8461" max="8461" width="10" style="158" customWidth="1"/>
    <col min="8462" max="8702" width="7" style="158"/>
    <col min="8703" max="8703" width="3.5703125" style="158" customWidth="1"/>
    <col min="8704" max="8704" width="24.140625" style="158" customWidth="1"/>
    <col min="8705" max="8705" width="54.7109375" style="158" customWidth="1"/>
    <col min="8706" max="8706" width="18.28515625" style="158" customWidth="1"/>
    <col min="8707" max="8707" width="7" style="158" customWidth="1"/>
    <col min="8708" max="8708" width="9.85546875" style="158" bestFit="1" customWidth="1"/>
    <col min="8709" max="8709" width="15.5703125" style="158" customWidth="1"/>
    <col min="8710" max="8710" width="11.140625" style="158" bestFit="1" customWidth="1"/>
    <col min="8711" max="8711" width="14" style="158" customWidth="1"/>
    <col min="8712" max="8712" width="12" style="158" customWidth="1"/>
    <col min="8713" max="8713" width="11.85546875" style="158" bestFit="1" customWidth="1"/>
    <col min="8714" max="8714" width="7" style="158"/>
    <col min="8715" max="8715" width="28.5703125" style="158" customWidth="1"/>
    <col min="8716" max="8716" width="4.42578125" style="158" customWidth="1"/>
    <col min="8717" max="8717" width="10" style="158" customWidth="1"/>
    <col min="8718" max="8958" width="7" style="158"/>
    <col min="8959" max="8959" width="3.5703125" style="158" customWidth="1"/>
    <col min="8960" max="8960" width="24.140625" style="158" customWidth="1"/>
    <col min="8961" max="8961" width="54.7109375" style="158" customWidth="1"/>
    <col min="8962" max="8962" width="18.28515625" style="158" customWidth="1"/>
    <col min="8963" max="8963" width="7" style="158" customWidth="1"/>
    <col min="8964" max="8964" width="9.85546875" style="158" bestFit="1" customWidth="1"/>
    <col min="8965" max="8965" width="15.5703125" style="158" customWidth="1"/>
    <col min="8966" max="8966" width="11.140625" style="158" bestFit="1" customWidth="1"/>
    <col min="8967" max="8967" width="14" style="158" customWidth="1"/>
    <col min="8968" max="8968" width="12" style="158" customWidth="1"/>
    <col min="8969" max="8969" width="11.85546875" style="158" bestFit="1" customWidth="1"/>
    <col min="8970" max="8970" width="7" style="158"/>
    <col min="8971" max="8971" width="28.5703125" style="158" customWidth="1"/>
    <col min="8972" max="8972" width="4.42578125" style="158" customWidth="1"/>
    <col min="8973" max="8973" width="10" style="158" customWidth="1"/>
    <col min="8974" max="9214" width="7" style="158"/>
    <col min="9215" max="9215" width="3.5703125" style="158" customWidth="1"/>
    <col min="9216" max="9216" width="24.140625" style="158" customWidth="1"/>
    <col min="9217" max="9217" width="54.7109375" style="158" customWidth="1"/>
    <col min="9218" max="9218" width="18.28515625" style="158" customWidth="1"/>
    <col min="9219" max="9219" width="7" style="158" customWidth="1"/>
    <col min="9220" max="9220" width="9.85546875" style="158" bestFit="1" customWidth="1"/>
    <col min="9221" max="9221" width="15.5703125" style="158" customWidth="1"/>
    <col min="9222" max="9222" width="11.140625" style="158" bestFit="1" customWidth="1"/>
    <col min="9223" max="9223" width="14" style="158" customWidth="1"/>
    <col min="9224" max="9224" width="12" style="158" customWidth="1"/>
    <col min="9225" max="9225" width="11.85546875" style="158" bestFit="1" customWidth="1"/>
    <col min="9226" max="9226" width="7" style="158"/>
    <col min="9227" max="9227" width="28.5703125" style="158" customWidth="1"/>
    <col min="9228" max="9228" width="4.42578125" style="158" customWidth="1"/>
    <col min="9229" max="9229" width="10" style="158" customWidth="1"/>
    <col min="9230" max="9470" width="7" style="158"/>
    <col min="9471" max="9471" width="3.5703125" style="158" customWidth="1"/>
    <col min="9472" max="9472" width="24.140625" style="158" customWidth="1"/>
    <col min="9473" max="9473" width="54.7109375" style="158" customWidth="1"/>
    <col min="9474" max="9474" width="18.28515625" style="158" customWidth="1"/>
    <col min="9475" max="9475" width="7" style="158" customWidth="1"/>
    <col min="9476" max="9476" width="9.85546875" style="158" bestFit="1" customWidth="1"/>
    <col min="9477" max="9477" width="15.5703125" style="158" customWidth="1"/>
    <col min="9478" max="9478" width="11.140625" style="158" bestFit="1" customWidth="1"/>
    <col min="9479" max="9479" width="14" style="158" customWidth="1"/>
    <col min="9480" max="9480" width="12" style="158" customWidth="1"/>
    <col min="9481" max="9481" width="11.85546875" style="158" bestFit="1" customWidth="1"/>
    <col min="9482" max="9482" width="7" style="158"/>
    <col min="9483" max="9483" width="28.5703125" style="158" customWidth="1"/>
    <col min="9484" max="9484" width="4.42578125" style="158" customWidth="1"/>
    <col min="9485" max="9485" width="10" style="158" customWidth="1"/>
    <col min="9486" max="9726" width="7" style="158"/>
    <col min="9727" max="9727" width="3.5703125" style="158" customWidth="1"/>
    <col min="9728" max="9728" width="24.140625" style="158" customWidth="1"/>
    <col min="9729" max="9729" width="54.7109375" style="158" customWidth="1"/>
    <col min="9730" max="9730" width="18.28515625" style="158" customWidth="1"/>
    <col min="9731" max="9731" width="7" style="158" customWidth="1"/>
    <col min="9732" max="9732" width="9.85546875" style="158" bestFit="1" customWidth="1"/>
    <col min="9733" max="9733" width="15.5703125" style="158" customWidth="1"/>
    <col min="9734" max="9734" width="11.140625" style="158" bestFit="1" customWidth="1"/>
    <col min="9735" max="9735" width="14" style="158" customWidth="1"/>
    <col min="9736" max="9736" width="12" style="158" customWidth="1"/>
    <col min="9737" max="9737" width="11.85546875" style="158" bestFit="1" customWidth="1"/>
    <col min="9738" max="9738" width="7" style="158"/>
    <col min="9739" max="9739" width="28.5703125" style="158" customWidth="1"/>
    <col min="9740" max="9740" width="4.42578125" style="158" customWidth="1"/>
    <col min="9741" max="9741" width="10" style="158" customWidth="1"/>
    <col min="9742" max="9982" width="7" style="158"/>
    <col min="9983" max="9983" width="3.5703125" style="158" customWidth="1"/>
    <col min="9984" max="9984" width="24.140625" style="158" customWidth="1"/>
    <col min="9985" max="9985" width="54.7109375" style="158" customWidth="1"/>
    <col min="9986" max="9986" width="18.28515625" style="158" customWidth="1"/>
    <col min="9987" max="9987" width="7" style="158" customWidth="1"/>
    <col min="9988" max="9988" width="9.85546875" style="158" bestFit="1" customWidth="1"/>
    <col min="9989" max="9989" width="15.5703125" style="158" customWidth="1"/>
    <col min="9990" max="9990" width="11.140625" style="158" bestFit="1" customWidth="1"/>
    <col min="9991" max="9991" width="14" style="158" customWidth="1"/>
    <col min="9992" max="9992" width="12" style="158" customWidth="1"/>
    <col min="9993" max="9993" width="11.85546875" style="158" bestFit="1" customWidth="1"/>
    <col min="9994" max="9994" width="7" style="158"/>
    <col min="9995" max="9995" width="28.5703125" style="158" customWidth="1"/>
    <col min="9996" max="9996" width="4.42578125" style="158" customWidth="1"/>
    <col min="9997" max="9997" width="10" style="158" customWidth="1"/>
    <col min="9998" max="10238" width="7" style="158"/>
    <col min="10239" max="10239" width="3.5703125" style="158" customWidth="1"/>
    <col min="10240" max="10240" width="24.140625" style="158" customWidth="1"/>
    <col min="10241" max="10241" width="54.7109375" style="158" customWidth="1"/>
    <col min="10242" max="10242" width="18.28515625" style="158" customWidth="1"/>
    <col min="10243" max="10243" width="7" style="158" customWidth="1"/>
    <col min="10244" max="10244" width="9.85546875" style="158" bestFit="1" customWidth="1"/>
    <col min="10245" max="10245" width="15.5703125" style="158" customWidth="1"/>
    <col min="10246" max="10246" width="11.140625" style="158" bestFit="1" customWidth="1"/>
    <col min="10247" max="10247" width="14" style="158" customWidth="1"/>
    <col min="10248" max="10248" width="12" style="158" customWidth="1"/>
    <col min="10249" max="10249" width="11.85546875" style="158" bestFit="1" customWidth="1"/>
    <col min="10250" max="10250" width="7" style="158"/>
    <col min="10251" max="10251" width="28.5703125" style="158" customWidth="1"/>
    <col min="10252" max="10252" width="4.42578125" style="158" customWidth="1"/>
    <col min="10253" max="10253" width="10" style="158" customWidth="1"/>
    <col min="10254" max="10494" width="7" style="158"/>
    <col min="10495" max="10495" width="3.5703125" style="158" customWidth="1"/>
    <col min="10496" max="10496" width="24.140625" style="158" customWidth="1"/>
    <col min="10497" max="10497" width="54.7109375" style="158" customWidth="1"/>
    <col min="10498" max="10498" width="18.28515625" style="158" customWidth="1"/>
    <col min="10499" max="10499" width="7" style="158" customWidth="1"/>
    <col min="10500" max="10500" width="9.85546875" style="158" bestFit="1" customWidth="1"/>
    <col min="10501" max="10501" width="15.5703125" style="158" customWidth="1"/>
    <col min="10502" max="10502" width="11.140625" style="158" bestFit="1" customWidth="1"/>
    <col min="10503" max="10503" width="14" style="158" customWidth="1"/>
    <col min="10504" max="10504" width="12" style="158" customWidth="1"/>
    <col min="10505" max="10505" width="11.85546875" style="158" bestFit="1" customWidth="1"/>
    <col min="10506" max="10506" width="7" style="158"/>
    <col min="10507" max="10507" width="28.5703125" style="158" customWidth="1"/>
    <col min="10508" max="10508" width="4.42578125" style="158" customWidth="1"/>
    <col min="10509" max="10509" width="10" style="158" customWidth="1"/>
    <col min="10510" max="10750" width="7" style="158"/>
    <col min="10751" max="10751" width="3.5703125" style="158" customWidth="1"/>
    <col min="10752" max="10752" width="24.140625" style="158" customWidth="1"/>
    <col min="10753" max="10753" width="54.7109375" style="158" customWidth="1"/>
    <col min="10754" max="10754" width="18.28515625" style="158" customWidth="1"/>
    <col min="10755" max="10755" width="7" style="158" customWidth="1"/>
    <col min="10756" max="10756" width="9.85546875" style="158" bestFit="1" customWidth="1"/>
    <col min="10757" max="10757" width="15.5703125" style="158" customWidth="1"/>
    <col min="10758" max="10758" width="11.140625" style="158" bestFit="1" customWidth="1"/>
    <col min="10759" max="10759" width="14" style="158" customWidth="1"/>
    <col min="10760" max="10760" width="12" style="158" customWidth="1"/>
    <col min="10761" max="10761" width="11.85546875" style="158" bestFit="1" customWidth="1"/>
    <col min="10762" max="10762" width="7" style="158"/>
    <col min="10763" max="10763" width="28.5703125" style="158" customWidth="1"/>
    <col min="10764" max="10764" width="4.42578125" style="158" customWidth="1"/>
    <col min="10765" max="10765" width="10" style="158" customWidth="1"/>
    <col min="10766" max="11006" width="7" style="158"/>
    <col min="11007" max="11007" width="3.5703125" style="158" customWidth="1"/>
    <col min="11008" max="11008" width="24.140625" style="158" customWidth="1"/>
    <col min="11009" max="11009" width="54.7109375" style="158" customWidth="1"/>
    <col min="11010" max="11010" width="18.28515625" style="158" customWidth="1"/>
    <col min="11011" max="11011" width="7" style="158" customWidth="1"/>
    <col min="11012" max="11012" width="9.85546875" style="158" bestFit="1" customWidth="1"/>
    <col min="11013" max="11013" width="15.5703125" style="158" customWidth="1"/>
    <col min="11014" max="11014" width="11.140625" style="158" bestFit="1" customWidth="1"/>
    <col min="11015" max="11015" width="14" style="158" customWidth="1"/>
    <col min="11016" max="11016" width="12" style="158" customWidth="1"/>
    <col min="11017" max="11017" width="11.85546875" style="158" bestFit="1" customWidth="1"/>
    <col min="11018" max="11018" width="7" style="158"/>
    <col min="11019" max="11019" width="28.5703125" style="158" customWidth="1"/>
    <col min="11020" max="11020" width="4.42578125" style="158" customWidth="1"/>
    <col min="11021" max="11021" width="10" style="158" customWidth="1"/>
    <col min="11022" max="11262" width="7" style="158"/>
    <col min="11263" max="11263" width="3.5703125" style="158" customWidth="1"/>
    <col min="11264" max="11264" width="24.140625" style="158" customWidth="1"/>
    <col min="11265" max="11265" width="54.7109375" style="158" customWidth="1"/>
    <col min="11266" max="11266" width="18.28515625" style="158" customWidth="1"/>
    <col min="11267" max="11267" width="7" style="158" customWidth="1"/>
    <col min="11268" max="11268" width="9.85546875" style="158" bestFit="1" customWidth="1"/>
    <col min="11269" max="11269" width="15.5703125" style="158" customWidth="1"/>
    <col min="11270" max="11270" width="11.140625" style="158" bestFit="1" customWidth="1"/>
    <col min="11271" max="11271" width="14" style="158" customWidth="1"/>
    <col min="11272" max="11272" width="12" style="158" customWidth="1"/>
    <col min="11273" max="11273" width="11.85546875" style="158" bestFit="1" customWidth="1"/>
    <col min="11274" max="11274" width="7" style="158"/>
    <col min="11275" max="11275" width="28.5703125" style="158" customWidth="1"/>
    <col min="11276" max="11276" width="4.42578125" style="158" customWidth="1"/>
    <col min="11277" max="11277" width="10" style="158" customWidth="1"/>
    <col min="11278" max="11518" width="7" style="158"/>
    <col min="11519" max="11519" width="3.5703125" style="158" customWidth="1"/>
    <col min="11520" max="11520" width="24.140625" style="158" customWidth="1"/>
    <col min="11521" max="11521" width="54.7109375" style="158" customWidth="1"/>
    <col min="11522" max="11522" width="18.28515625" style="158" customWidth="1"/>
    <col min="11523" max="11523" width="7" style="158" customWidth="1"/>
    <col min="11524" max="11524" width="9.85546875" style="158" bestFit="1" customWidth="1"/>
    <col min="11525" max="11525" width="15.5703125" style="158" customWidth="1"/>
    <col min="11526" max="11526" width="11.140625" style="158" bestFit="1" customWidth="1"/>
    <col min="11527" max="11527" width="14" style="158" customWidth="1"/>
    <col min="11528" max="11528" width="12" style="158" customWidth="1"/>
    <col min="11529" max="11529" width="11.85546875" style="158" bestFit="1" customWidth="1"/>
    <col min="11530" max="11530" width="7" style="158"/>
    <col min="11531" max="11531" width="28.5703125" style="158" customWidth="1"/>
    <col min="11532" max="11532" width="4.42578125" style="158" customWidth="1"/>
    <col min="11533" max="11533" width="10" style="158" customWidth="1"/>
    <col min="11534" max="11774" width="7" style="158"/>
    <col min="11775" max="11775" width="3.5703125" style="158" customWidth="1"/>
    <col min="11776" max="11776" width="24.140625" style="158" customWidth="1"/>
    <col min="11777" max="11777" width="54.7109375" style="158" customWidth="1"/>
    <col min="11778" max="11778" width="18.28515625" style="158" customWidth="1"/>
    <col min="11779" max="11779" width="7" style="158" customWidth="1"/>
    <col min="11780" max="11780" width="9.85546875" style="158" bestFit="1" customWidth="1"/>
    <col min="11781" max="11781" width="15.5703125" style="158" customWidth="1"/>
    <col min="11782" max="11782" width="11.140625" style="158" bestFit="1" customWidth="1"/>
    <col min="11783" max="11783" width="14" style="158" customWidth="1"/>
    <col min="11784" max="11784" width="12" style="158" customWidth="1"/>
    <col min="11785" max="11785" width="11.85546875" style="158" bestFit="1" customWidth="1"/>
    <col min="11786" max="11786" width="7" style="158"/>
    <col min="11787" max="11787" width="28.5703125" style="158" customWidth="1"/>
    <col min="11788" max="11788" width="4.42578125" style="158" customWidth="1"/>
    <col min="11789" max="11789" width="10" style="158" customWidth="1"/>
    <col min="11790" max="12030" width="7" style="158"/>
    <col min="12031" max="12031" width="3.5703125" style="158" customWidth="1"/>
    <col min="12032" max="12032" width="24.140625" style="158" customWidth="1"/>
    <col min="12033" max="12033" width="54.7109375" style="158" customWidth="1"/>
    <col min="12034" max="12034" width="18.28515625" style="158" customWidth="1"/>
    <col min="12035" max="12035" width="7" style="158" customWidth="1"/>
    <col min="12036" max="12036" width="9.85546875" style="158" bestFit="1" customWidth="1"/>
    <col min="12037" max="12037" width="15.5703125" style="158" customWidth="1"/>
    <col min="12038" max="12038" width="11.140625" style="158" bestFit="1" customWidth="1"/>
    <col min="12039" max="12039" width="14" style="158" customWidth="1"/>
    <col min="12040" max="12040" width="12" style="158" customWidth="1"/>
    <col min="12041" max="12041" width="11.85546875" style="158" bestFit="1" customWidth="1"/>
    <col min="12042" max="12042" width="7" style="158"/>
    <col min="12043" max="12043" width="28.5703125" style="158" customWidth="1"/>
    <col min="12044" max="12044" width="4.42578125" style="158" customWidth="1"/>
    <col min="12045" max="12045" width="10" style="158" customWidth="1"/>
    <col min="12046" max="12286" width="7" style="158"/>
    <col min="12287" max="12287" width="3.5703125" style="158" customWidth="1"/>
    <col min="12288" max="12288" width="24.140625" style="158" customWidth="1"/>
    <col min="12289" max="12289" width="54.7109375" style="158" customWidth="1"/>
    <col min="12290" max="12290" width="18.28515625" style="158" customWidth="1"/>
    <col min="12291" max="12291" width="7" style="158" customWidth="1"/>
    <col min="12292" max="12292" width="9.85546875" style="158" bestFit="1" customWidth="1"/>
    <col min="12293" max="12293" width="15.5703125" style="158" customWidth="1"/>
    <col min="12294" max="12294" width="11.140625" style="158" bestFit="1" customWidth="1"/>
    <col min="12295" max="12295" width="14" style="158" customWidth="1"/>
    <col min="12296" max="12296" width="12" style="158" customWidth="1"/>
    <col min="12297" max="12297" width="11.85546875" style="158" bestFit="1" customWidth="1"/>
    <col min="12298" max="12298" width="7" style="158"/>
    <col min="12299" max="12299" width="28.5703125" style="158" customWidth="1"/>
    <col min="12300" max="12300" width="4.42578125" style="158" customWidth="1"/>
    <col min="12301" max="12301" width="10" style="158" customWidth="1"/>
    <col min="12302" max="12542" width="7" style="158"/>
    <col min="12543" max="12543" width="3.5703125" style="158" customWidth="1"/>
    <col min="12544" max="12544" width="24.140625" style="158" customWidth="1"/>
    <col min="12545" max="12545" width="54.7109375" style="158" customWidth="1"/>
    <col min="12546" max="12546" width="18.28515625" style="158" customWidth="1"/>
    <col min="12547" max="12547" width="7" style="158" customWidth="1"/>
    <col min="12548" max="12548" width="9.85546875" style="158" bestFit="1" customWidth="1"/>
    <col min="12549" max="12549" width="15.5703125" style="158" customWidth="1"/>
    <col min="12550" max="12550" width="11.140625" style="158" bestFit="1" customWidth="1"/>
    <col min="12551" max="12551" width="14" style="158" customWidth="1"/>
    <col min="12552" max="12552" width="12" style="158" customWidth="1"/>
    <col min="12553" max="12553" width="11.85546875" style="158" bestFit="1" customWidth="1"/>
    <col min="12554" max="12554" width="7" style="158"/>
    <col min="12555" max="12555" width="28.5703125" style="158" customWidth="1"/>
    <col min="12556" max="12556" width="4.42578125" style="158" customWidth="1"/>
    <col min="12557" max="12557" width="10" style="158" customWidth="1"/>
    <col min="12558" max="12798" width="7" style="158"/>
    <col min="12799" max="12799" width="3.5703125" style="158" customWidth="1"/>
    <col min="12800" max="12800" width="24.140625" style="158" customWidth="1"/>
    <col min="12801" max="12801" width="54.7109375" style="158" customWidth="1"/>
    <col min="12802" max="12802" width="18.28515625" style="158" customWidth="1"/>
    <col min="12803" max="12803" width="7" style="158" customWidth="1"/>
    <col min="12804" max="12804" width="9.85546875" style="158" bestFit="1" customWidth="1"/>
    <col min="12805" max="12805" width="15.5703125" style="158" customWidth="1"/>
    <col min="12806" max="12806" width="11.140625" style="158" bestFit="1" customWidth="1"/>
    <col min="12807" max="12807" width="14" style="158" customWidth="1"/>
    <col min="12808" max="12808" width="12" style="158" customWidth="1"/>
    <col min="12809" max="12809" width="11.85546875" style="158" bestFit="1" customWidth="1"/>
    <col min="12810" max="12810" width="7" style="158"/>
    <col min="12811" max="12811" width="28.5703125" style="158" customWidth="1"/>
    <col min="12812" max="12812" width="4.42578125" style="158" customWidth="1"/>
    <col min="12813" max="12813" width="10" style="158" customWidth="1"/>
    <col min="12814" max="13054" width="7" style="158"/>
    <col min="13055" max="13055" width="3.5703125" style="158" customWidth="1"/>
    <col min="13056" max="13056" width="24.140625" style="158" customWidth="1"/>
    <col min="13057" max="13057" width="54.7109375" style="158" customWidth="1"/>
    <col min="13058" max="13058" width="18.28515625" style="158" customWidth="1"/>
    <col min="13059" max="13059" width="7" style="158" customWidth="1"/>
    <col min="13060" max="13060" width="9.85546875" style="158" bestFit="1" customWidth="1"/>
    <col min="13061" max="13061" width="15.5703125" style="158" customWidth="1"/>
    <col min="13062" max="13062" width="11.140625" style="158" bestFit="1" customWidth="1"/>
    <col min="13063" max="13063" width="14" style="158" customWidth="1"/>
    <col min="13064" max="13064" width="12" style="158" customWidth="1"/>
    <col min="13065" max="13065" width="11.85546875" style="158" bestFit="1" customWidth="1"/>
    <col min="13066" max="13066" width="7" style="158"/>
    <col min="13067" max="13067" width="28.5703125" style="158" customWidth="1"/>
    <col min="13068" max="13068" width="4.42578125" style="158" customWidth="1"/>
    <col min="13069" max="13069" width="10" style="158" customWidth="1"/>
    <col min="13070" max="13310" width="7" style="158"/>
    <col min="13311" max="13311" width="3.5703125" style="158" customWidth="1"/>
    <col min="13312" max="13312" width="24.140625" style="158" customWidth="1"/>
    <col min="13313" max="13313" width="54.7109375" style="158" customWidth="1"/>
    <col min="13314" max="13314" width="18.28515625" style="158" customWidth="1"/>
    <col min="13315" max="13315" width="7" style="158" customWidth="1"/>
    <col min="13316" max="13316" width="9.85546875" style="158" bestFit="1" customWidth="1"/>
    <col min="13317" max="13317" width="15.5703125" style="158" customWidth="1"/>
    <col min="13318" max="13318" width="11.140625" style="158" bestFit="1" customWidth="1"/>
    <col min="13319" max="13319" width="14" style="158" customWidth="1"/>
    <col min="13320" max="13320" width="12" style="158" customWidth="1"/>
    <col min="13321" max="13321" width="11.85546875" style="158" bestFit="1" customWidth="1"/>
    <col min="13322" max="13322" width="7" style="158"/>
    <col min="13323" max="13323" width="28.5703125" style="158" customWidth="1"/>
    <col min="13324" max="13324" width="4.42578125" style="158" customWidth="1"/>
    <col min="13325" max="13325" width="10" style="158" customWidth="1"/>
    <col min="13326" max="13566" width="7" style="158"/>
    <col min="13567" max="13567" width="3.5703125" style="158" customWidth="1"/>
    <col min="13568" max="13568" width="24.140625" style="158" customWidth="1"/>
    <col min="13569" max="13569" width="54.7109375" style="158" customWidth="1"/>
    <col min="13570" max="13570" width="18.28515625" style="158" customWidth="1"/>
    <col min="13571" max="13571" width="7" style="158" customWidth="1"/>
    <col min="13572" max="13572" width="9.85546875" style="158" bestFit="1" customWidth="1"/>
    <col min="13573" max="13573" width="15.5703125" style="158" customWidth="1"/>
    <col min="13574" max="13574" width="11.140625" style="158" bestFit="1" customWidth="1"/>
    <col min="13575" max="13575" width="14" style="158" customWidth="1"/>
    <col min="13576" max="13576" width="12" style="158" customWidth="1"/>
    <col min="13577" max="13577" width="11.85546875" style="158" bestFit="1" customWidth="1"/>
    <col min="13578" max="13578" width="7" style="158"/>
    <col min="13579" max="13579" width="28.5703125" style="158" customWidth="1"/>
    <col min="13580" max="13580" width="4.42578125" style="158" customWidth="1"/>
    <col min="13581" max="13581" width="10" style="158" customWidth="1"/>
    <col min="13582" max="13822" width="7" style="158"/>
    <col min="13823" max="13823" width="3.5703125" style="158" customWidth="1"/>
    <col min="13824" max="13824" width="24.140625" style="158" customWidth="1"/>
    <col min="13825" max="13825" width="54.7109375" style="158" customWidth="1"/>
    <col min="13826" max="13826" width="18.28515625" style="158" customWidth="1"/>
    <col min="13827" max="13827" width="7" style="158" customWidth="1"/>
    <col min="13828" max="13828" width="9.85546875" style="158" bestFit="1" customWidth="1"/>
    <col min="13829" max="13829" width="15.5703125" style="158" customWidth="1"/>
    <col min="13830" max="13830" width="11.140625" style="158" bestFit="1" customWidth="1"/>
    <col min="13831" max="13831" width="14" style="158" customWidth="1"/>
    <col min="13832" max="13832" width="12" style="158" customWidth="1"/>
    <col min="13833" max="13833" width="11.85546875" style="158" bestFit="1" customWidth="1"/>
    <col min="13834" max="13834" width="7" style="158"/>
    <col min="13835" max="13835" width="28.5703125" style="158" customWidth="1"/>
    <col min="13836" max="13836" width="4.42578125" style="158" customWidth="1"/>
    <col min="13837" max="13837" width="10" style="158" customWidth="1"/>
    <col min="13838" max="14078" width="7" style="158"/>
    <col min="14079" max="14079" width="3.5703125" style="158" customWidth="1"/>
    <col min="14080" max="14080" width="24.140625" style="158" customWidth="1"/>
    <col min="14081" max="14081" width="54.7109375" style="158" customWidth="1"/>
    <col min="14082" max="14082" width="18.28515625" style="158" customWidth="1"/>
    <col min="14083" max="14083" width="7" style="158" customWidth="1"/>
    <col min="14084" max="14084" width="9.85546875" style="158" bestFit="1" customWidth="1"/>
    <col min="14085" max="14085" width="15.5703125" style="158" customWidth="1"/>
    <col min="14086" max="14086" width="11.140625" style="158" bestFit="1" customWidth="1"/>
    <col min="14087" max="14087" width="14" style="158" customWidth="1"/>
    <col min="14088" max="14088" width="12" style="158" customWidth="1"/>
    <col min="14089" max="14089" width="11.85546875" style="158" bestFit="1" customWidth="1"/>
    <col min="14090" max="14090" width="7" style="158"/>
    <col min="14091" max="14091" width="28.5703125" style="158" customWidth="1"/>
    <col min="14092" max="14092" width="4.42578125" style="158" customWidth="1"/>
    <col min="14093" max="14093" width="10" style="158" customWidth="1"/>
    <col min="14094" max="14334" width="7" style="158"/>
    <col min="14335" max="14335" width="3.5703125" style="158" customWidth="1"/>
    <col min="14336" max="14336" width="24.140625" style="158" customWidth="1"/>
    <col min="14337" max="14337" width="54.7109375" style="158" customWidth="1"/>
    <col min="14338" max="14338" width="18.28515625" style="158" customWidth="1"/>
    <col min="14339" max="14339" width="7" style="158" customWidth="1"/>
    <col min="14340" max="14340" width="9.85546875" style="158" bestFit="1" customWidth="1"/>
    <col min="14341" max="14341" width="15.5703125" style="158" customWidth="1"/>
    <col min="14342" max="14342" width="11.140625" style="158" bestFit="1" customWidth="1"/>
    <col min="14343" max="14343" width="14" style="158" customWidth="1"/>
    <col min="14344" max="14344" width="12" style="158" customWidth="1"/>
    <col min="14345" max="14345" width="11.85546875" style="158" bestFit="1" customWidth="1"/>
    <col min="14346" max="14346" width="7" style="158"/>
    <col min="14347" max="14347" width="28.5703125" style="158" customWidth="1"/>
    <col min="14348" max="14348" width="4.42578125" style="158" customWidth="1"/>
    <col min="14349" max="14349" width="10" style="158" customWidth="1"/>
    <col min="14350" max="14590" width="7" style="158"/>
    <col min="14591" max="14591" width="3.5703125" style="158" customWidth="1"/>
    <col min="14592" max="14592" width="24.140625" style="158" customWidth="1"/>
    <col min="14593" max="14593" width="54.7109375" style="158" customWidth="1"/>
    <col min="14594" max="14594" width="18.28515625" style="158" customWidth="1"/>
    <col min="14595" max="14595" width="7" style="158" customWidth="1"/>
    <col min="14596" max="14596" width="9.85546875" style="158" bestFit="1" customWidth="1"/>
    <col min="14597" max="14597" width="15.5703125" style="158" customWidth="1"/>
    <col min="14598" max="14598" width="11.140625" style="158" bestFit="1" customWidth="1"/>
    <col min="14599" max="14599" width="14" style="158" customWidth="1"/>
    <col min="14600" max="14600" width="12" style="158" customWidth="1"/>
    <col min="14601" max="14601" width="11.85546875" style="158" bestFit="1" customWidth="1"/>
    <col min="14602" max="14602" width="7" style="158"/>
    <col min="14603" max="14603" width="28.5703125" style="158" customWidth="1"/>
    <col min="14604" max="14604" width="4.42578125" style="158" customWidth="1"/>
    <col min="14605" max="14605" width="10" style="158" customWidth="1"/>
    <col min="14606" max="14846" width="7" style="158"/>
    <col min="14847" max="14847" width="3.5703125" style="158" customWidth="1"/>
    <col min="14848" max="14848" width="24.140625" style="158" customWidth="1"/>
    <col min="14849" max="14849" width="54.7109375" style="158" customWidth="1"/>
    <col min="14850" max="14850" width="18.28515625" style="158" customWidth="1"/>
    <col min="14851" max="14851" width="7" style="158" customWidth="1"/>
    <col min="14852" max="14852" width="9.85546875" style="158" bestFit="1" customWidth="1"/>
    <col min="14853" max="14853" width="15.5703125" style="158" customWidth="1"/>
    <col min="14854" max="14854" width="11.140625" style="158" bestFit="1" customWidth="1"/>
    <col min="14855" max="14855" width="14" style="158" customWidth="1"/>
    <col min="14856" max="14856" width="12" style="158" customWidth="1"/>
    <col min="14857" max="14857" width="11.85546875" style="158" bestFit="1" customWidth="1"/>
    <col min="14858" max="14858" width="7" style="158"/>
    <col min="14859" max="14859" width="28.5703125" style="158" customWidth="1"/>
    <col min="14860" max="14860" width="4.42578125" style="158" customWidth="1"/>
    <col min="14861" max="14861" width="10" style="158" customWidth="1"/>
    <col min="14862" max="15102" width="7" style="158"/>
    <col min="15103" max="15103" width="3.5703125" style="158" customWidth="1"/>
    <col min="15104" max="15104" width="24.140625" style="158" customWidth="1"/>
    <col min="15105" max="15105" width="54.7109375" style="158" customWidth="1"/>
    <col min="15106" max="15106" width="18.28515625" style="158" customWidth="1"/>
    <col min="15107" max="15107" width="7" style="158" customWidth="1"/>
    <col min="15108" max="15108" width="9.85546875" style="158" bestFit="1" customWidth="1"/>
    <col min="15109" max="15109" width="15.5703125" style="158" customWidth="1"/>
    <col min="15110" max="15110" width="11.140625" style="158" bestFit="1" customWidth="1"/>
    <col min="15111" max="15111" width="14" style="158" customWidth="1"/>
    <col min="15112" max="15112" width="12" style="158" customWidth="1"/>
    <col min="15113" max="15113" width="11.85546875" style="158" bestFit="1" customWidth="1"/>
    <col min="15114" max="15114" width="7" style="158"/>
    <col min="15115" max="15115" width="28.5703125" style="158" customWidth="1"/>
    <col min="15116" max="15116" width="4.42578125" style="158" customWidth="1"/>
    <col min="15117" max="15117" width="10" style="158" customWidth="1"/>
    <col min="15118" max="15358" width="7" style="158"/>
    <col min="15359" max="15359" width="3.5703125" style="158" customWidth="1"/>
    <col min="15360" max="15360" width="24.140625" style="158" customWidth="1"/>
    <col min="15361" max="15361" width="54.7109375" style="158" customWidth="1"/>
    <col min="15362" max="15362" width="18.28515625" style="158" customWidth="1"/>
    <col min="15363" max="15363" width="7" style="158" customWidth="1"/>
    <col min="15364" max="15364" width="9.85546875" style="158" bestFit="1" customWidth="1"/>
    <col min="15365" max="15365" width="15.5703125" style="158" customWidth="1"/>
    <col min="15366" max="15366" width="11.140625" style="158" bestFit="1" customWidth="1"/>
    <col min="15367" max="15367" width="14" style="158" customWidth="1"/>
    <col min="15368" max="15368" width="12" style="158" customWidth="1"/>
    <col min="15369" max="15369" width="11.85546875" style="158" bestFit="1" customWidth="1"/>
    <col min="15370" max="15370" width="7" style="158"/>
    <col min="15371" max="15371" width="28.5703125" style="158" customWidth="1"/>
    <col min="15372" max="15372" width="4.42578125" style="158" customWidth="1"/>
    <col min="15373" max="15373" width="10" style="158" customWidth="1"/>
    <col min="15374" max="15614" width="7" style="158"/>
    <col min="15615" max="15615" width="3.5703125" style="158" customWidth="1"/>
    <col min="15616" max="15616" width="24.140625" style="158" customWidth="1"/>
    <col min="15617" max="15617" width="54.7109375" style="158" customWidth="1"/>
    <col min="15618" max="15618" width="18.28515625" style="158" customWidth="1"/>
    <col min="15619" max="15619" width="7" style="158" customWidth="1"/>
    <col min="15620" max="15620" width="9.85546875" style="158" bestFit="1" customWidth="1"/>
    <col min="15621" max="15621" width="15.5703125" style="158" customWidth="1"/>
    <col min="15622" max="15622" width="11.140625" style="158" bestFit="1" customWidth="1"/>
    <col min="15623" max="15623" width="14" style="158" customWidth="1"/>
    <col min="15624" max="15624" width="12" style="158" customWidth="1"/>
    <col min="15625" max="15625" width="11.85546875" style="158" bestFit="1" customWidth="1"/>
    <col min="15626" max="15626" width="7" style="158"/>
    <col min="15627" max="15627" width="28.5703125" style="158" customWidth="1"/>
    <col min="15628" max="15628" width="4.42578125" style="158" customWidth="1"/>
    <col min="15629" max="15629" width="10" style="158" customWidth="1"/>
    <col min="15630" max="15870" width="7" style="158"/>
    <col min="15871" max="15871" width="3.5703125" style="158" customWidth="1"/>
    <col min="15872" max="15872" width="24.140625" style="158" customWidth="1"/>
    <col min="15873" max="15873" width="54.7109375" style="158" customWidth="1"/>
    <col min="15874" max="15874" width="18.28515625" style="158" customWidth="1"/>
    <col min="15875" max="15875" width="7" style="158" customWidth="1"/>
    <col min="15876" max="15876" width="9.85546875" style="158" bestFit="1" customWidth="1"/>
    <col min="15877" max="15877" width="15.5703125" style="158" customWidth="1"/>
    <col min="15878" max="15878" width="11.140625" style="158" bestFit="1" customWidth="1"/>
    <col min="15879" max="15879" width="14" style="158" customWidth="1"/>
    <col min="15880" max="15880" width="12" style="158" customWidth="1"/>
    <col min="15881" max="15881" width="11.85546875" style="158" bestFit="1" customWidth="1"/>
    <col min="15882" max="15882" width="7" style="158"/>
    <col min="15883" max="15883" width="28.5703125" style="158" customWidth="1"/>
    <col min="15884" max="15884" width="4.42578125" style="158" customWidth="1"/>
    <col min="15885" max="15885" width="10" style="158" customWidth="1"/>
    <col min="15886" max="16126" width="7" style="158"/>
    <col min="16127" max="16127" width="3.5703125" style="158" customWidth="1"/>
    <col min="16128" max="16128" width="24.140625" style="158" customWidth="1"/>
    <col min="16129" max="16129" width="54.7109375" style="158" customWidth="1"/>
    <col min="16130" max="16130" width="18.28515625" style="158" customWidth="1"/>
    <col min="16131" max="16131" width="7" style="158" customWidth="1"/>
    <col min="16132" max="16132" width="9.85546875" style="158" bestFit="1" customWidth="1"/>
    <col min="16133" max="16133" width="15.5703125" style="158" customWidth="1"/>
    <col min="16134" max="16134" width="11.140625" style="158" bestFit="1" customWidth="1"/>
    <col min="16135" max="16135" width="14" style="158" customWidth="1"/>
    <col min="16136" max="16136" width="12" style="158" customWidth="1"/>
    <col min="16137" max="16137" width="11.85546875" style="158" bestFit="1" customWidth="1"/>
    <col min="16138" max="16138" width="7" style="158"/>
    <col min="16139" max="16139" width="28.5703125" style="158" customWidth="1"/>
    <col min="16140" max="16140" width="4.42578125" style="158" customWidth="1"/>
    <col min="16141" max="16141" width="10" style="158" customWidth="1"/>
    <col min="16142" max="16384" width="7" style="158"/>
  </cols>
  <sheetData>
    <row r="1" spans="1:219" ht="11.45">
      <c r="A1" s="644" t="s">
        <v>0</v>
      </c>
    </row>
    <row r="2" spans="1:219" ht="11.45">
      <c r="A2" s="160"/>
    </row>
    <row r="3" spans="1:219" ht="21" customHeight="1">
      <c r="A3" s="115" t="str">
        <f>'1-Inschrijfstaat'!A3</f>
        <v>Naam opdrachtgever</v>
      </c>
      <c r="B3" s="161" t="str">
        <f>'1-Inschrijfstaat'!B3</f>
        <v>GVB Infra B.V.</v>
      </c>
    </row>
    <row r="4" spans="1:219" ht="21" customHeight="1">
      <c r="A4" s="115" t="str">
        <f>'1-Inschrijfstaat'!A4</f>
        <v>Calculatie onderdeel</v>
      </c>
      <c r="B4" s="161" t="e">
        <f ca="1">MID(CELL("bestandsnaam",$B$10),SEARCH("]",CELL("bestandsnaam",$B$10),1)+1,256)</f>
        <v>#VALUE!</v>
      </c>
    </row>
    <row r="5" spans="1:219" ht="15.6">
      <c r="A5" s="115" t="str">
        <f>'11b- Afroepprijs Algemeen'!A5</f>
        <v>Gebouw/plaats</v>
      </c>
      <c r="B5" s="161" t="str">
        <f>'1-Inschrijfstaat'!B5</f>
        <v>Diverse</v>
      </c>
    </row>
    <row r="6" spans="1:219" ht="15.6">
      <c r="A6" s="115" t="str">
        <f>'11b- Afroepprijs Algemeen'!A6</f>
        <v>Besteknummer</v>
      </c>
      <c r="B6" s="161" t="str">
        <f>'1-Inschrijfstaat'!B6</f>
        <v>2024-20</v>
      </c>
    </row>
    <row r="7" spans="1:219" ht="15.6">
      <c r="A7" s="115" t="str">
        <f>'11b- Afroepprijs Algemeen'!A7</f>
        <v>Naam leverancier</v>
      </c>
      <c r="B7" s="161">
        <f>'1-Inschrijfstaat'!B7:D7</f>
        <v>0</v>
      </c>
    </row>
    <row r="8" spans="1:219" ht="15.6">
      <c r="A8" s="115" t="str">
        <f>'11b- Afroepprijs Algemeen'!A8</f>
        <v>Prijspeil</v>
      </c>
      <c r="B8" s="136" t="str">
        <f>'1-Inschrijfstaat'!B8</f>
        <v>1 januari 2025</v>
      </c>
    </row>
    <row r="9" spans="1:219" ht="15.6">
      <c r="A9" s="115" t="str">
        <f>'11b- Afroepprijs Algemeen'!A9</f>
        <v>Perceel</v>
      </c>
      <c r="B9" s="393" t="str">
        <f>'1-Inschrijfstaat'!B9</f>
        <v>2 Specialistiche schoonmaak</v>
      </c>
    </row>
    <row r="10" spans="1:219" ht="15.6">
      <c r="A10" s="12"/>
      <c r="B10" s="161"/>
    </row>
    <row r="11" spans="1:219" ht="26.45">
      <c r="A11" s="648" t="s">
        <v>896</v>
      </c>
      <c r="B11" s="250" t="s">
        <v>897</v>
      </c>
      <c r="C11" s="649" t="s">
        <v>898</v>
      </c>
      <c r="J11" s="163"/>
      <c r="K11" s="163"/>
      <c r="L11" s="163"/>
      <c r="M11" s="164"/>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c r="DP11" s="163"/>
      <c r="DQ11" s="163"/>
      <c r="DR11" s="163"/>
      <c r="DS11" s="163"/>
      <c r="DT11" s="163"/>
      <c r="DU11" s="163"/>
      <c r="DV11" s="163"/>
      <c r="DW11" s="163"/>
      <c r="DX11" s="163"/>
      <c r="DY11" s="163"/>
      <c r="DZ11" s="163"/>
      <c r="EA11" s="163"/>
      <c r="EB11" s="163"/>
      <c r="EC11" s="163"/>
      <c r="ED11" s="163"/>
      <c r="EE11" s="163"/>
      <c r="EF11" s="163"/>
      <c r="EG11" s="163"/>
      <c r="EH11" s="163"/>
      <c r="EI11" s="163"/>
      <c r="EJ11" s="163"/>
      <c r="EK11" s="163"/>
      <c r="EL11" s="163"/>
      <c r="EM11" s="163"/>
      <c r="EN11" s="163"/>
      <c r="EO11" s="163"/>
      <c r="EP11" s="163"/>
      <c r="EQ11" s="163"/>
      <c r="ER11" s="163"/>
      <c r="ES11" s="163"/>
      <c r="ET11" s="163"/>
      <c r="EU11" s="163"/>
      <c r="EV11" s="163"/>
      <c r="EW11" s="163"/>
      <c r="EX11" s="163"/>
      <c r="EY11" s="163"/>
      <c r="EZ11" s="163"/>
      <c r="FA11" s="163"/>
      <c r="FB11" s="163"/>
      <c r="FC11" s="163"/>
      <c r="FD11" s="163"/>
      <c r="FE11" s="163"/>
      <c r="FF11" s="163"/>
      <c r="FG11" s="163"/>
      <c r="FH11" s="163"/>
      <c r="FI11" s="163"/>
      <c r="FJ11" s="163"/>
      <c r="FK11" s="163"/>
      <c r="FL11" s="163"/>
      <c r="FM11" s="163"/>
      <c r="FN11" s="163"/>
      <c r="FO11" s="163"/>
      <c r="FP11" s="163"/>
      <c r="FQ11" s="163"/>
      <c r="FR11" s="163"/>
      <c r="FS11" s="163"/>
      <c r="FT11" s="163"/>
      <c r="FU11" s="163"/>
      <c r="FV11" s="163"/>
      <c r="FW11" s="163"/>
      <c r="FX11" s="163"/>
      <c r="FY11" s="163"/>
      <c r="FZ11" s="163"/>
      <c r="GA11" s="163"/>
      <c r="GB11" s="163"/>
      <c r="GC11" s="163"/>
      <c r="GD11" s="163"/>
      <c r="GE11" s="163"/>
      <c r="GF11" s="163"/>
      <c r="GG11" s="163"/>
      <c r="GH11" s="163"/>
      <c r="GI11" s="163"/>
      <c r="GJ11" s="163"/>
      <c r="GK11" s="163"/>
      <c r="GL11" s="163"/>
      <c r="GM11" s="163"/>
      <c r="GN11" s="163"/>
      <c r="GO11" s="163"/>
      <c r="GP11" s="163"/>
      <c r="GQ11" s="163"/>
      <c r="GR11" s="163"/>
      <c r="GS11" s="163"/>
      <c r="GT11" s="163"/>
      <c r="GU11" s="163"/>
      <c r="GV11" s="163"/>
      <c r="GW11" s="163"/>
      <c r="GX11" s="163"/>
      <c r="GY11" s="163"/>
      <c r="GZ11" s="163"/>
      <c r="HA11" s="163"/>
      <c r="HB11" s="163"/>
      <c r="HC11" s="163"/>
      <c r="HD11" s="163"/>
      <c r="HE11" s="163"/>
      <c r="HF11" s="163"/>
      <c r="HG11" s="163"/>
      <c r="HH11" s="163"/>
      <c r="HI11" s="163"/>
      <c r="HJ11" s="163"/>
      <c r="HK11" s="163"/>
    </row>
    <row r="12" spans="1:219" ht="13.9" customHeight="1">
      <c r="A12" s="821" t="s">
        <v>899</v>
      </c>
      <c r="B12" s="822" t="s">
        <v>900</v>
      </c>
      <c r="C12" s="82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c r="DJ12" s="163"/>
      <c r="DK12" s="163"/>
      <c r="DL12" s="163"/>
      <c r="DM12" s="163"/>
      <c r="DN12" s="163"/>
      <c r="DO12" s="163"/>
      <c r="DP12" s="163"/>
      <c r="DQ12" s="163"/>
      <c r="DR12" s="163"/>
      <c r="DS12" s="163"/>
      <c r="DT12" s="163"/>
      <c r="DU12" s="163"/>
      <c r="DV12" s="163"/>
      <c r="DW12" s="163"/>
      <c r="DX12" s="163"/>
      <c r="DY12" s="163"/>
      <c r="DZ12" s="163"/>
      <c r="EA12" s="163"/>
      <c r="EB12" s="163"/>
      <c r="EC12" s="163"/>
      <c r="ED12" s="163"/>
      <c r="EE12" s="163"/>
      <c r="EF12" s="163"/>
      <c r="EG12" s="163"/>
      <c r="EH12" s="163"/>
      <c r="EI12" s="163"/>
      <c r="EJ12" s="163"/>
      <c r="EK12" s="163"/>
      <c r="EL12" s="163"/>
      <c r="EM12" s="163"/>
      <c r="EN12" s="163"/>
      <c r="EO12" s="163"/>
      <c r="EP12" s="163"/>
      <c r="EQ12" s="163"/>
      <c r="ER12" s="163"/>
      <c r="ES12" s="163"/>
      <c r="ET12" s="163"/>
      <c r="EU12" s="163"/>
      <c r="EV12" s="163"/>
      <c r="EW12" s="163"/>
      <c r="EX12" s="163"/>
      <c r="EY12" s="163"/>
      <c r="EZ12" s="163"/>
      <c r="FA12" s="163"/>
      <c r="FB12" s="163"/>
      <c r="FC12" s="163"/>
      <c r="FD12" s="163"/>
      <c r="FE12" s="163"/>
      <c r="FF12" s="163"/>
      <c r="FG12" s="163"/>
      <c r="FH12" s="163"/>
      <c r="FI12" s="163"/>
      <c r="FJ12" s="163"/>
      <c r="FK12" s="163"/>
      <c r="FL12" s="163"/>
      <c r="FM12" s="163"/>
      <c r="FN12" s="163"/>
      <c r="FO12" s="163"/>
      <c r="FP12" s="163"/>
      <c r="FQ12" s="163"/>
      <c r="FR12" s="163"/>
      <c r="FS12" s="163"/>
      <c r="FT12" s="163"/>
      <c r="FU12" s="163"/>
      <c r="FV12" s="163"/>
      <c r="FW12" s="163"/>
      <c r="FX12" s="163"/>
      <c r="FY12" s="163"/>
      <c r="FZ12" s="163"/>
      <c r="GA12" s="163"/>
      <c r="GB12" s="163"/>
      <c r="GC12" s="163"/>
      <c r="GD12" s="163"/>
      <c r="GE12" s="163"/>
      <c r="GF12" s="163"/>
      <c r="GG12" s="163"/>
      <c r="GH12" s="163"/>
      <c r="GI12" s="163"/>
      <c r="GJ12" s="163"/>
      <c r="GK12" s="163"/>
      <c r="GL12" s="163"/>
      <c r="GM12" s="163"/>
      <c r="GN12" s="163"/>
      <c r="GO12" s="163"/>
      <c r="GP12" s="163"/>
      <c r="GQ12" s="163"/>
      <c r="GR12" s="163"/>
      <c r="GS12" s="163"/>
      <c r="GT12" s="163"/>
      <c r="GU12" s="163"/>
      <c r="GV12" s="163"/>
      <c r="GW12" s="163"/>
      <c r="GX12" s="163"/>
      <c r="GY12" s="163"/>
      <c r="GZ12" s="163"/>
      <c r="HA12" s="163"/>
      <c r="HB12" s="163"/>
      <c r="HC12" s="163"/>
      <c r="HD12" s="163"/>
      <c r="HE12" s="163"/>
      <c r="HF12" s="163"/>
      <c r="HG12" s="163"/>
      <c r="HH12" s="163"/>
      <c r="HI12" s="163"/>
      <c r="HJ12" s="163"/>
      <c r="HK12" s="163"/>
    </row>
    <row r="13" spans="1:219" ht="13.15">
      <c r="A13" s="821" t="s">
        <v>899</v>
      </c>
      <c r="B13" s="822" t="s">
        <v>901</v>
      </c>
      <c r="C13" s="823"/>
      <c r="D13" s="162"/>
      <c r="E13" s="162"/>
      <c r="J13" s="163"/>
      <c r="K13" s="163"/>
      <c r="L13" s="163"/>
      <c r="M13" s="164"/>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c r="EX13" s="163"/>
      <c r="EY13" s="163"/>
      <c r="EZ13" s="163"/>
      <c r="FA13" s="163"/>
      <c r="FB13" s="163"/>
      <c r="FC13" s="163"/>
      <c r="FD13" s="163"/>
      <c r="FE13" s="163"/>
      <c r="FF13" s="163"/>
      <c r="FG13" s="163"/>
      <c r="FH13" s="163"/>
      <c r="FI13" s="163"/>
      <c r="FJ13" s="163"/>
      <c r="FK13" s="163"/>
      <c r="FL13" s="163"/>
      <c r="FM13" s="163"/>
      <c r="FN13" s="163"/>
      <c r="FO13" s="163"/>
      <c r="FP13" s="163"/>
      <c r="FQ13" s="163"/>
      <c r="FR13" s="163"/>
      <c r="FS13" s="163"/>
      <c r="FT13" s="163"/>
      <c r="FU13" s="163"/>
      <c r="FV13" s="163"/>
      <c r="FW13" s="163"/>
      <c r="FX13" s="163"/>
      <c r="FY13" s="163"/>
      <c r="FZ13" s="163"/>
      <c r="GA13" s="163"/>
      <c r="GB13" s="163"/>
      <c r="GC13" s="163"/>
      <c r="GD13" s="163"/>
      <c r="GE13" s="163"/>
      <c r="GF13" s="163"/>
      <c r="GG13" s="163"/>
      <c r="GH13" s="163"/>
      <c r="GI13" s="163"/>
      <c r="GJ13" s="163"/>
      <c r="GK13" s="163"/>
      <c r="GL13" s="163"/>
      <c r="GM13" s="163"/>
      <c r="GN13" s="163"/>
      <c r="GO13" s="163"/>
      <c r="GP13" s="163"/>
      <c r="GQ13" s="163"/>
      <c r="GR13" s="163"/>
      <c r="GS13" s="163"/>
      <c r="GT13" s="163"/>
      <c r="GU13" s="163"/>
      <c r="GV13" s="163"/>
      <c r="GW13" s="163"/>
      <c r="GX13" s="163"/>
      <c r="GY13" s="163"/>
      <c r="GZ13" s="163"/>
      <c r="HA13" s="163"/>
      <c r="HB13" s="163"/>
      <c r="HC13" s="163"/>
      <c r="HD13" s="163"/>
      <c r="HE13" s="163"/>
      <c r="HF13" s="163"/>
      <c r="HG13" s="163"/>
      <c r="HH13" s="163"/>
      <c r="HI13" s="163"/>
      <c r="HJ13" s="163"/>
      <c r="HK13" s="163"/>
    </row>
    <row r="14" spans="1:219" ht="13.15">
      <c r="A14" s="821" t="s">
        <v>1221</v>
      </c>
      <c r="B14" s="822" t="s">
        <v>900</v>
      </c>
      <c r="C14" s="823"/>
      <c r="D14" s="162"/>
      <c r="E14" s="162"/>
      <c r="J14" s="163"/>
      <c r="K14" s="163"/>
      <c r="L14" s="163"/>
      <c r="M14" s="164"/>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c r="DO14" s="163"/>
      <c r="DP14" s="163"/>
      <c r="DQ14" s="163"/>
      <c r="DR14" s="163"/>
      <c r="DS14" s="163"/>
      <c r="DT14" s="163"/>
      <c r="DU14" s="163"/>
      <c r="DV14" s="163"/>
      <c r="DW14" s="163"/>
      <c r="DX14" s="163"/>
      <c r="DY14" s="163"/>
      <c r="DZ14" s="163"/>
      <c r="EA14" s="163"/>
      <c r="EB14" s="163"/>
      <c r="EC14" s="163"/>
      <c r="ED14" s="163"/>
      <c r="EE14" s="163"/>
      <c r="EF14" s="163"/>
      <c r="EG14" s="163"/>
      <c r="EH14" s="163"/>
      <c r="EI14" s="163"/>
      <c r="EJ14" s="163"/>
      <c r="EK14" s="163"/>
      <c r="EL14" s="163"/>
      <c r="EM14" s="163"/>
      <c r="EN14" s="163"/>
      <c r="EO14" s="163"/>
      <c r="EP14" s="163"/>
      <c r="EQ14" s="163"/>
      <c r="ER14" s="163"/>
      <c r="ES14" s="163"/>
      <c r="ET14" s="163"/>
      <c r="EU14" s="163"/>
      <c r="EV14" s="163"/>
      <c r="EW14" s="163"/>
      <c r="EX14" s="163"/>
      <c r="EY14" s="163"/>
      <c r="EZ14" s="163"/>
      <c r="FA14" s="163"/>
      <c r="FB14" s="163"/>
      <c r="FC14" s="163"/>
      <c r="FD14" s="163"/>
      <c r="FE14" s="163"/>
      <c r="FF14" s="163"/>
      <c r="FG14" s="163"/>
      <c r="FH14" s="163"/>
      <c r="FI14" s="163"/>
      <c r="FJ14" s="163"/>
      <c r="FK14" s="163"/>
      <c r="FL14" s="163"/>
      <c r="FM14" s="163"/>
      <c r="FN14" s="163"/>
      <c r="FO14" s="163"/>
      <c r="FP14" s="163"/>
      <c r="FQ14" s="163"/>
      <c r="FR14" s="163"/>
      <c r="FS14" s="163"/>
      <c r="FT14" s="163"/>
      <c r="FU14" s="163"/>
      <c r="FV14" s="163"/>
      <c r="FW14" s="163"/>
      <c r="FX14" s="163"/>
      <c r="FY14" s="163"/>
      <c r="FZ14" s="163"/>
      <c r="GA14" s="163"/>
      <c r="GB14" s="163"/>
      <c r="GC14" s="163"/>
      <c r="GD14" s="163"/>
      <c r="GE14" s="163"/>
      <c r="GF14" s="163"/>
      <c r="GG14" s="163"/>
      <c r="GH14" s="163"/>
      <c r="GI14" s="163"/>
      <c r="GJ14" s="163"/>
      <c r="GK14" s="163"/>
      <c r="GL14" s="163"/>
      <c r="GM14" s="163"/>
      <c r="GN14" s="163"/>
      <c r="GO14" s="163"/>
      <c r="GP14" s="163"/>
      <c r="GQ14" s="163"/>
      <c r="GR14" s="163"/>
      <c r="GS14" s="163"/>
      <c r="GT14" s="163"/>
      <c r="GU14" s="163"/>
      <c r="GV14" s="163"/>
      <c r="GW14" s="163"/>
      <c r="GX14" s="163"/>
      <c r="GY14" s="163"/>
      <c r="GZ14" s="163"/>
      <c r="HA14" s="163"/>
      <c r="HB14" s="163"/>
      <c r="HC14" s="163"/>
      <c r="HD14" s="163"/>
      <c r="HE14" s="163"/>
      <c r="HF14" s="163"/>
      <c r="HG14" s="163"/>
      <c r="HH14" s="163"/>
      <c r="HI14" s="163"/>
      <c r="HJ14" s="163"/>
      <c r="HK14" s="163"/>
    </row>
    <row r="15" spans="1:219" ht="13.15">
      <c r="A15" s="821" t="s">
        <v>1221</v>
      </c>
      <c r="B15" s="822" t="s">
        <v>901</v>
      </c>
      <c r="C15" s="823"/>
      <c r="D15" s="162"/>
      <c r="E15" s="162"/>
      <c r="J15" s="163"/>
      <c r="K15" s="163"/>
      <c r="L15" s="163"/>
      <c r="M15" s="164"/>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63"/>
      <c r="EF15" s="163"/>
      <c r="EG15" s="163"/>
      <c r="EH15" s="163"/>
      <c r="EI15" s="163"/>
      <c r="EJ15" s="163"/>
      <c r="EK15" s="163"/>
      <c r="EL15" s="163"/>
      <c r="EM15" s="163"/>
      <c r="EN15" s="163"/>
      <c r="EO15" s="163"/>
      <c r="EP15" s="163"/>
      <c r="EQ15" s="163"/>
      <c r="ER15" s="163"/>
      <c r="ES15" s="163"/>
      <c r="ET15" s="163"/>
      <c r="EU15" s="163"/>
      <c r="EV15" s="163"/>
      <c r="EW15" s="163"/>
      <c r="EX15" s="163"/>
      <c r="EY15" s="163"/>
      <c r="EZ15" s="163"/>
      <c r="FA15" s="163"/>
      <c r="FB15" s="163"/>
      <c r="FC15" s="163"/>
      <c r="FD15" s="163"/>
      <c r="FE15" s="163"/>
      <c r="FF15" s="163"/>
      <c r="FG15" s="163"/>
      <c r="FH15" s="163"/>
      <c r="FI15" s="163"/>
      <c r="FJ15" s="163"/>
      <c r="FK15" s="163"/>
      <c r="FL15" s="163"/>
      <c r="FM15" s="163"/>
      <c r="FN15" s="163"/>
      <c r="FO15" s="163"/>
      <c r="FP15" s="163"/>
      <c r="FQ15" s="163"/>
      <c r="FR15" s="163"/>
      <c r="FS15" s="163"/>
      <c r="FT15" s="163"/>
      <c r="FU15" s="163"/>
      <c r="FV15" s="163"/>
      <c r="FW15" s="163"/>
      <c r="FX15" s="163"/>
      <c r="FY15" s="163"/>
      <c r="FZ15" s="163"/>
      <c r="GA15" s="163"/>
      <c r="GB15" s="163"/>
      <c r="GC15" s="163"/>
      <c r="GD15" s="163"/>
      <c r="GE15" s="163"/>
      <c r="GF15" s="163"/>
      <c r="GG15" s="163"/>
      <c r="GH15" s="163"/>
      <c r="GI15" s="163"/>
      <c r="GJ15" s="163"/>
      <c r="GK15" s="163"/>
      <c r="GL15" s="163"/>
      <c r="GM15" s="163"/>
      <c r="GN15" s="163"/>
      <c r="GO15" s="163"/>
      <c r="GP15" s="163"/>
      <c r="GQ15" s="163"/>
      <c r="GR15" s="163"/>
      <c r="GS15" s="163"/>
      <c r="GT15" s="163"/>
      <c r="GU15" s="163"/>
      <c r="GV15" s="163"/>
      <c r="GW15" s="163"/>
      <c r="GX15" s="163"/>
      <c r="GY15" s="163"/>
      <c r="GZ15" s="163"/>
      <c r="HA15" s="163"/>
      <c r="HB15" s="163"/>
      <c r="HC15" s="163"/>
      <c r="HD15" s="163"/>
      <c r="HE15" s="163"/>
      <c r="HF15" s="163"/>
      <c r="HG15" s="163"/>
      <c r="HH15" s="163"/>
      <c r="HI15" s="163"/>
      <c r="HJ15" s="163"/>
      <c r="HK15" s="163"/>
    </row>
    <row r="16" spans="1:219" ht="13.15">
      <c r="A16" s="158"/>
      <c r="B16" s="162"/>
      <c r="D16" s="162"/>
      <c r="E16" s="162"/>
      <c r="J16" s="163"/>
      <c r="K16" s="163"/>
      <c r="L16" s="163"/>
      <c r="M16" s="164"/>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c r="DJ16" s="163"/>
      <c r="DK16" s="163"/>
      <c r="DL16" s="163"/>
      <c r="DM16" s="163"/>
      <c r="DN16" s="163"/>
      <c r="DO16" s="163"/>
      <c r="DP16" s="163"/>
      <c r="DQ16" s="163"/>
      <c r="DR16" s="163"/>
      <c r="DS16" s="163"/>
      <c r="DT16" s="163"/>
      <c r="DU16" s="163"/>
      <c r="DV16" s="163"/>
      <c r="DW16" s="163"/>
      <c r="DX16" s="163"/>
      <c r="DY16" s="163"/>
      <c r="DZ16" s="163"/>
      <c r="EA16" s="163"/>
      <c r="EB16" s="163"/>
      <c r="EC16" s="163"/>
      <c r="ED16" s="163"/>
      <c r="EE16" s="163"/>
      <c r="EF16" s="163"/>
      <c r="EG16" s="163"/>
      <c r="EH16" s="163"/>
      <c r="EI16" s="163"/>
      <c r="EJ16" s="163"/>
      <c r="EK16" s="163"/>
      <c r="EL16" s="163"/>
      <c r="EM16" s="163"/>
      <c r="EN16" s="163"/>
      <c r="EO16" s="163"/>
      <c r="EP16" s="163"/>
      <c r="EQ16" s="163"/>
      <c r="ER16" s="163"/>
      <c r="ES16" s="163"/>
      <c r="ET16" s="163"/>
      <c r="EU16" s="163"/>
      <c r="EV16" s="163"/>
      <c r="EW16" s="163"/>
      <c r="EX16" s="163"/>
      <c r="EY16" s="163"/>
      <c r="EZ16" s="163"/>
      <c r="FA16" s="163"/>
      <c r="FB16" s="163"/>
      <c r="FC16" s="163"/>
      <c r="FD16" s="163"/>
      <c r="FE16" s="163"/>
      <c r="FF16" s="163"/>
      <c r="FG16" s="163"/>
      <c r="FH16" s="163"/>
      <c r="FI16" s="163"/>
      <c r="FJ16" s="163"/>
      <c r="FK16" s="163"/>
      <c r="FL16" s="163"/>
      <c r="FM16" s="163"/>
      <c r="FN16" s="163"/>
      <c r="FO16" s="163"/>
      <c r="FP16" s="163"/>
      <c r="FQ16" s="163"/>
      <c r="FR16" s="163"/>
      <c r="FS16" s="163"/>
      <c r="FT16" s="163"/>
      <c r="FU16" s="163"/>
      <c r="FV16" s="163"/>
      <c r="FW16" s="163"/>
      <c r="FX16" s="163"/>
      <c r="FY16" s="163"/>
      <c r="FZ16" s="163"/>
      <c r="GA16" s="163"/>
      <c r="GB16" s="163"/>
      <c r="GC16" s="163"/>
      <c r="GD16" s="163"/>
      <c r="GE16" s="163"/>
      <c r="GF16" s="163"/>
      <c r="GG16" s="163"/>
      <c r="GH16" s="163"/>
      <c r="GI16" s="163"/>
      <c r="GJ16" s="163"/>
      <c r="GK16" s="163"/>
      <c r="GL16" s="163"/>
      <c r="GM16" s="163"/>
      <c r="GN16" s="163"/>
      <c r="GO16" s="163"/>
      <c r="GP16" s="163"/>
      <c r="GQ16" s="163"/>
      <c r="GR16" s="163"/>
      <c r="GS16" s="163"/>
      <c r="GT16" s="163"/>
      <c r="GU16" s="163"/>
      <c r="GV16" s="163"/>
      <c r="GW16" s="163"/>
      <c r="GX16" s="163"/>
      <c r="GY16" s="163"/>
      <c r="GZ16" s="163"/>
      <c r="HA16" s="163"/>
      <c r="HB16" s="163"/>
      <c r="HC16" s="163"/>
      <c r="HD16" s="163"/>
      <c r="HE16" s="163"/>
      <c r="HF16" s="163"/>
      <c r="HG16" s="163"/>
      <c r="HH16" s="163"/>
      <c r="HI16" s="163"/>
      <c r="HJ16" s="163"/>
      <c r="HK16" s="163"/>
    </row>
    <row r="17" spans="1:218" ht="39.6">
      <c r="A17" s="824" t="s">
        <v>1285</v>
      </c>
      <c r="B17" s="825" t="s">
        <v>1286</v>
      </c>
      <c r="C17" s="825" t="s">
        <v>1287</v>
      </c>
      <c r="D17" s="825" t="s">
        <v>1288</v>
      </c>
      <c r="E17" s="825" t="s">
        <v>921</v>
      </c>
      <c r="F17" s="825" t="s">
        <v>1289</v>
      </c>
      <c r="G17" s="825" t="s">
        <v>898</v>
      </c>
      <c r="H17" s="826" t="s">
        <v>1290</v>
      </c>
      <c r="I17" s="163"/>
      <c r="J17" s="163"/>
      <c r="K17" s="163"/>
      <c r="L17" s="163"/>
      <c r="M17" s="164"/>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63"/>
      <c r="CO17" s="163"/>
      <c r="CP17" s="163"/>
      <c r="CQ17" s="163"/>
      <c r="CR17" s="163"/>
      <c r="CS17" s="163"/>
      <c r="CT17" s="163"/>
      <c r="CU17" s="163"/>
      <c r="CV17" s="163"/>
      <c r="CW17" s="163"/>
      <c r="CX17" s="163"/>
      <c r="CY17" s="163"/>
      <c r="CZ17" s="163"/>
      <c r="DA17" s="163"/>
      <c r="DB17" s="163"/>
      <c r="DC17" s="163"/>
      <c r="DD17" s="163"/>
      <c r="DE17" s="163"/>
      <c r="DF17" s="163"/>
      <c r="DG17" s="163"/>
      <c r="DH17" s="163"/>
      <c r="DI17" s="163"/>
      <c r="DJ17" s="163"/>
      <c r="DK17" s="163"/>
      <c r="DL17" s="163"/>
      <c r="DM17" s="163"/>
      <c r="DN17" s="163"/>
      <c r="DO17" s="163"/>
      <c r="DP17" s="163"/>
      <c r="DQ17" s="163"/>
      <c r="DR17" s="163"/>
      <c r="DS17" s="163"/>
      <c r="DT17" s="163"/>
      <c r="DU17" s="163"/>
      <c r="DV17" s="163"/>
      <c r="DW17" s="163"/>
      <c r="DX17" s="163"/>
      <c r="DY17" s="163"/>
      <c r="DZ17" s="163"/>
      <c r="EA17" s="163"/>
      <c r="EB17" s="163"/>
      <c r="EC17" s="163"/>
      <c r="ED17" s="163"/>
      <c r="EE17" s="163"/>
      <c r="EF17" s="163"/>
      <c r="EG17" s="163"/>
      <c r="EH17" s="163"/>
      <c r="EI17" s="163"/>
      <c r="EJ17" s="163"/>
      <c r="EK17" s="163"/>
      <c r="EL17" s="163"/>
      <c r="EM17" s="163"/>
      <c r="EN17" s="163"/>
      <c r="EO17" s="163"/>
      <c r="EP17" s="163"/>
      <c r="EQ17" s="163"/>
      <c r="ER17" s="163"/>
      <c r="ES17" s="163"/>
      <c r="ET17" s="163"/>
      <c r="EU17" s="163"/>
      <c r="EV17" s="163"/>
      <c r="EW17" s="163"/>
      <c r="EX17" s="163"/>
      <c r="EY17" s="163"/>
      <c r="EZ17" s="163"/>
      <c r="FA17" s="163"/>
      <c r="FB17" s="163"/>
      <c r="FC17" s="163"/>
      <c r="FD17" s="163"/>
      <c r="FE17" s="163"/>
      <c r="FF17" s="163"/>
      <c r="FG17" s="163"/>
      <c r="FH17" s="163"/>
      <c r="FI17" s="163"/>
      <c r="FJ17" s="163"/>
      <c r="FK17" s="163"/>
      <c r="FL17" s="163"/>
      <c r="FM17" s="163"/>
      <c r="FN17" s="163"/>
      <c r="FO17" s="163"/>
      <c r="FP17" s="163"/>
      <c r="FQ17" s="163"/>
      <c r="FR17" s="163"/>
      <c r="FS17" s="163"/>
      <c r="FT17" s="163"/>
      <c r="FU17" s="163"/>
      <c r="FV17" s="163"/>
      <c r="FW17" s="163"/>
      <c r="FX17" s="163"/>
      <c r="FY17" s="163"/>
      <c r="FZ17" s="163"/>
      <c r="GA17" s="163"/>
      <c r="GB17" s="163"/>
      <c r="GC17" s="163"/>
      <c r="GD17" s="163"/>
      <c r="GE17" s="163"/>
      <c r="GF17" s="163"/>
      <c r="GG17" s="163"/>
      <c r="GH17" s="163"/>
      <c r="GI17" s="163"/>
      <c r="GJ17" s="163"/>
      <c r="GK17" s="163"/>
      <c r="GL17" s="163"/>
      <c r="GM17" s="163"/>
      <c r="GN17" s="163"/>
      <c r="GO17" s="163"/>
      <c r="GP17" s="163"/>
      <c r="GQ17" s="163"/>
      <c r="GR17" s="163"/>
      <c r="GS17" s="163"/>
      <c r="GT17" s="163"/>
      <c r="GU17" s="163"/>
      <c r="GV17" s="163"/>
      <c r="GW17" s="163"/>
      <c r="GX17" s="163"/>
      <c r="GY17" s="163"/>
      <c r="GZ17" s="163"/>
      <c r="HA17" s="163"/>
      <c r="HB17" s="163"/>
      <c r="HC17" s="163"/>
      <c r="HD17" s="163"/>
      <c r="HE17" s="163"/>
      <c r="HF17" s="163"/>
      <c r="HG17" s="163"/>
      <c r="HH17" s="163"/>
      <c r="HI17" s="163"/>
      <c r="HJ17" s="163"/>
    </row>
    <row r="18" spans="1:218">
      <c r="A18" s="379" t="s">
        <v>1291</v>
      </c>
      <c r="B18" s="380" t="s">
        <v>1292</v>
      </c>
      <c r="C18" s="381" t="s">
        <v>1293</v>
      </c>
      <c r="D18" s="297"/>
      <c r="E18" s="262">
        <v>2190</v>
      </c>
      <c r="F18" s="298">
        <f>E18*D18</f>
        <v>0</v>
      </c>
      <c r="G18" s="298">
        <f>C13</f>
        <v>0</v>
      </c>
      <c r="H18" s="302">
        <f>G18*F18</f>
        <v>0</v>
      </c>
      <c r="I18" s="163"/>
      <c r="J18" s="163"/>
      <c r="K18" s="163"/>
      <c r="L18" s="163"/>
      <c r="M18" s="164"/>
      <c r="N18" s="163"/>
    </row>
    <row r="19" spans="1:218">
      <c r="A19" s="379" t="s">
        <v>1291</v>
      </c>
      <c r="B19" s="380" t="s">
        <v>1294</v>
      </c>
      <c r="C19" s="381" t="s">
        <v>1293</v>
      </c>
      <c r="D19" s="297"/>
      <c r="E19" s="262">
        <v>1032</v>
      </c>
      <c r="F19" s="298">
        <f>E19*D19</f>
        <v>0</v>
      </c>
      <c r="G19" s="298">
        <f>C13</f>
        <v>0</v>
      </c>
      <c r="H19" s="302">
        <f t="shared" ref="H19:H22" si="0">G19*F19</f>
        <v>0</v>
      </c>
      <c r="I19" s="163"/>
      <c r="J19" s="163"/>
      <c r="K19" s="163"/>
      <c r="L19" s="163"/>
      <c r="M19" s="164"/>
      <c r="N19" s="163"/>
    </row>
    <row r="20" spans="1:218">
      <c r="A20" s="379" t="s">
        <v>1291</v>
      </c>
      <c r="B20" s="380" t="s">
        <v>1295</v>
      </c>
      <c r="C20" s="381" t="s">
        <v>1293</v>
      </c>
      <c r="D20" s="297"/>
      <c r="E20" s="262">
        <v>959</v>
      </c>
      <c r="F20" s="298">
        <f>E20*D20</f>
        <v>0</v>
      </c>
      <c r="G20" s="298">
        <f>C13</f>
        <v>0</v>
      </c>
      <c r="H20" s="302">
        <f t="shared" si="0"/>
        <v>0</v>
      </c>
      <c r="I20" s="163"/>
      <c r="J20" s="163"/>
      <c r="K20" s="163"/>
      <c r="L20" s="163"/>
      <c r="M20" s="164"/>
      <c r="N20" s="163"/>
    </row>
    <row r="21" spans="1:218">
      <c r="A21" s="379" t="s">
        <v>1291</v>
      </c>
      <c r="B21" s="382" t="s">
        <v>1296</v>
      </c>
      <c r="C21" s="381" t="s">
        <v>1293</v>
      </c>
      <c r="D21" s="297"/>
      <c r="E21" s="262">
        <v>1032</v>
      </c>
      <c r="F21" s="298">
        <f>E21*D21</f>
        <v>0</v>
      </c>
      <c r="G21" s="298">
        <f>C12</f>
        <v>0</v>
      </c>
      <c r="H21" s="302">
        <f t="shared" si="0"/>
        <v>0</v>
      </c>
      <c r="I21" s="163"/>
      <c r="J21" s="163"/>
      <c r="K21" s="163"/>
      <c r="L21" s="163"/>
      <c r="M21" s="164"/>
      <c r="N21" s="163"/>
    </row>
    <row r="22" spans="1:218">
      <c r="A22" s="379" t="s">
        <v>1291</v>
      </c>
      <c r="B22" s="382" t="s">
        <v>1297</v>
      </c>
      <c r="C22" s="381" t="s">
        <v>1293</v>
      </c>
      <c r="D22" s="297"/>
      <c r="E22" s="262">
        <v>959</v>
      </c>
      <c r="F22" s="298">
        <f>E22*D22</f>
        <v>0</v>
      </c>
      <c r="G22" s="298">
        <f>C12</f>
        <v>0</v>
      </c>
      <c r="H22" s="302">
        <f t="shared" si="0"/>
        <v>0</v>
      </c>
      <c r="I22" s="163"/>
      <c r="J22" s="163"/>
      <c r="K22" s="163"/>
      <c r="L22" s="163"/>
      <c r="M22" s="164"/>
      <c r="N22" s="163"/>
    </row>
    <row r="23" spans="1:218">
      <c r="A23" s="158"/>
      <c r="K23" s="163"/>
      <c r="L23" s="163"/>
      <c r="M23" s="164"/>
      <c r="N23" s="163"/>
    </row>
    <row r="24" spans="1:218" ht="26.45">
      <c r="A24" s="565" t="s">
        <v>1298</v>
      </c>
      <c r="B24" s="566"/>
      <c r="C24" s="825" t="s">
        <v>1287</v>
      </c>
      <c r="D24" s="825" t="s">
        <v>921</v>
      </c>
      <c r="E24" s="825" t="s">
        <v>1299</v>
      </c>
      <c r="F24" s="825"/>
      <c r="G24" s="825"/>
      <c r="H24" s="826" t="s">
        <v>1290</v>
      </c>
      <c r="I24" s="163"/>
      <c r="J24" s="163"/>
      <c r="K24" s="163"/>
      <c r="L24" s="163"/>
      <c r="M24" s="164"/>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c r="DC24" s="163"/>
      <c r="DD24" s="163"/>
      <c r="DE24" s="163"/>
      <c r="DF24" s="163"/>
      <c r="DG24" s="163"/>
      <c r="DH24" s="163"/>
      <c r="DI24" s="163"/>
      <c r="DJ24" s="163"/>
      <c r="DK24" s="163"/>
      <c r="DL24" s="163"/>
      <c r="DM24" s="163"/>
      <c r="DN24" s="163"/>
      <c r="DO24" s="163"/>
      <c r="DP24" s="163"/>
      <c r="DQ24" s="163"/>
      <c r="DR24" s="163"/>
      <c r="DS24" s="163"/>
      <c r="DT24" s="163"/>
      <c r="DU24" s="163"/>
      <c r="DV24" s="163"/>
      <c r="DW24" s="163"/>
      <c r="DX24" s="163"/>
      <c r="DY24" s="163"/>
      <c r="DZ24" s="163"/>
      <c r="EA24" s="163"/>
      <c r="EB24" s="163"/>
      <c r="EC24" s="163"/>
      <c r="ED24" s="163"/>
      <c r="EE24" s="163"/>
      <c r="EF24" s="163"/>
      <c r="EG24" s="163"/>
      <c r="EH24" s="163"/>
      <c r="EI24" s="163"/>
      <c r="EJ24" s="163"/>
      <c r="EK24" s="163"/>
      <c r="EL24" s="163"/>
      <c r="EM24" s="163"/>
      <c r="EN24" s="163"/>
      <c r="EO24" s="163"/>
      <c r="EP24" s="163"/>
      <c r="EQ24" s="163"/>
      <c r="ER24" s="163"/>
      <c r="ES24" s="163"/>
      <c r="ET24" s="163"/>
      <c r="EU24" s="163"/>
      <c r="EV24" s="163"/>
      <c r="EW24" s="163"/>
      <c r="EX24" s="163"/>
      <c r="EY24" s="163"/>
      <c r="EZ24" s="163"/>
      <c r="FA24" s="163"/>
      <c r="FB24" s="163"/>
      <c r="FC24" s="163"/>
      <c r="FD24" s="163"/>
      <c r="FE24" s="163"/>
      <c r="FF24" s="163"/>
      <c r="FG24" s="163"/>
      <c r="FH24" s="163"/>
      <c r="FI24" s="163"/>
      <c r="FJ24" s="163"/>
      <c r="FK24" s="163"/>
      <c r="FL24" s="163"/>
      <c r="FM24" s="163"/>
      <c r="FN24" s="163"/>
      <c r="FO24" s="163"/>
      <c r="FP24" s="163"/>
      <c r="FQ24" s="163"/>
      <c r="FR24" s="163"/>
      <c r="FS24" s="163"/>
      <c r="FT24" s="163"/>
      <c r="FU24" s="163"/>
      <c r="FV24" s="163"/>
      <c r="FW24" s="163"/>
      <c r="FX24" s="163"/>
      <c r="FY24" s="163"/>
      <c r="FZ24" s="163"/>
      <c r="GA24" s="163"/>
      <c r="GB24" s="163"/>
      <c r="GC24" s="163"/>
      <c r="GD24" s="163"/>
      <c r="GE24" s="163"/>
      <c r="GF24" s="163"/>
      <c r="GG24" s="163"/>
      <c r="GH24" s="163"/>
      <c r="GI24" s="163"/>
      <c r="GJ24" s="163"/>
      <c r="GK24" s="163"/>
      <c r="GL24" s="163"/>
      <c r="GM24" s="163"/>
      <c r="GN24" s="163"/>
      <c r="GO24" s="163"/>
      <c r="GP24" s="163"/>
      <c r="GQ24" s="163"/>
      <c r="GR24" s="163"/>
      <c r="GS24" s="163"/>
      <c r="GT24" s="163"/>
      <c r="GU24" s="163"/>
      <c r="GV24" s="163"/>
      <c r="GW24" s="163"/>
      <c r="GX24" s="163"/>
      <c r="GY24" s="163"/>
      <c r="GZ24" s="163"/>
      <c r="HA24" s="163"/>
      <c r="HB24" s="163"/>
      <c r="HC24" s="163"/>
      <c r="HD24" s="163"/>
      <c r="HE24" s="163"/>
      <c r="HF24" s="163"/>
      <c r="HG24" s="163"/>
      <c r="HH24" s="163"/>
      <c r="HI24" s="163"/>
      <c r="HJ24" s="163"/>
    </row>
    <row r="25" spans="1:218">
      <c r="A25" s="563"/>
      <c r="B25" s="564"/>
      <c r="C25" s="299"/>
      <c r="D25" s="300"/>
      <c r="E25" s="301"/>
      <c r="F25" s="298"/>
      <c r="G25" s="298"/>
      <c r="H25" s="302">
        <f>E25*D25</f>
        <v>0</v>
      </c>
    </row>
    <row r="26" spans="1:218">
      <c r="A26" s="563"/>
      <c r="B26" s="564"/>
      <c r="C26" s="303"/>
      <c r="D26" s="300"/>
      <c r="E26" s="301"/>
      <c r="F26" s="298"/>
      <c r="G26" s="298"/>
      <c r="H26" s="302">
        <f t="shared" ref="H26:H30" si="1">E26*D26</f>
        <v>0</v>
      </c>
    </row>
    <row r="27" spans="1:218">
      <c r="A27" s="563"/>
      <c r="B27" s="564"/>
      <c r="C27" s="303"/>
      <c r="D27" s="300"/>
      <c r="E27" s="301"/>
      <c r="F27" s="298"/>
      <c r="G27" s="298"/>
      <c r="H27" s="302">
        <f t="shared" si="1"/>
        <v>0</v>
      </c>
    </row>
    <row r="28" spans="1:218">
      <c r="A28" s="563"/>
      <c r="B28" s="564"/>
      <c r="C28" s="303"/>
      <c r="D28" s="300"/>
      <c r="E28" s="301"/>
      <c r="F28" s="298"/>
      <c r="G28" s="298"/>
      <c r="H28" s="302">
        <f t="shared" si="1"/>
        <v>0</v>
      </c>
    </row>
    <row r="29" spans="1:218">
      <c r="A29" s="563"/>
      <c r="B29" s="564"/>
      <c r="C29" s="303"/>
      <c r="D29" s="300"/>
      <c r="E29" s="301"/>
      <c r="F29" s="298"/>
      <c r="G29" s="298"/>
      <c r="H29" s="302">
        <f t="shared" si="1"/>
        <v>0</v>
      </c>
    </row>
    <row r="30" spans="1:218">
      <c r="A30" s="563"/>
      <c r="B30" s="564"/>
      <c r="C30" s="304"/>
      <c r="D30" s="300"/>
      <c r="E30" s="301"/>
      <c r="F30" s="298"/>
      <c r="G30" s="298"/>
      <c r="H30" s="302">
        <f t="shared" si="1"/>
        <v>0</v>
      </c>
    </row>
    <row r="31" spans="1:218">
      <c r="A31" s="158"/>
    </row>
    <row r="32" spans="1:218" ht="26.45">
      <c r="A32" s="824" t="s">
        <v>1300</v>
      </c>
      <c r="B32" s="825"/>
      <c r="C32" s="825"/>
      <c r="D32" s="825"/>
      <c r="E32" s="250" t="s">
        <v>897</v>
      </c>
      <c r="F32" s="825" t="s">
        <v>1289</v>
      </c>
      <c r="G32" s="825" t="s">
        <v>898</v>
      </c>
      <c r="H32" s="826" t="s">
        <v>1290</v>
      </c>
      <c r="I32" s="163"/>
      <c r="J32" s="163"/>
      <c r="K32" s="163"/>
      <c r="L32" s="163"/>
      <c r="M32" s="164"/>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63"/>
      <c r="CR32" s="163"/>
      <c r="CS32" s="163"/>
      <c r="CT32" s="163"/>
      <c r="CU32" s="163"/>
      <c r="CV32" s="163"/>
      <c r="CW32" s="163"/>
      <c r="CX32" s="163"/>
      <c r="CY32" s="163"/>
      <c r="CZ32" s="163"/>
      <c r="DA32" s="163"/>
      <c r="DB32" s="163"/>
      <c r="DC32" s="163"/>
      <c r="DD32" s="163"/>
      <c r="DE32" s="163"/>
      <c r="DF32" s="163"/>
      <c r="DG32" s="163"/>
      <c r="DH32" s="163"/>
      <c r="DI32" s="163"/>
      <c r="DJ32" s="163"/>
      <c r="DK32" s="163"/>
      <c r="DL32" s="163"/>
      <c r="DM32" s="163"/>
      <c r="DN32" s="163"/>
      <c r="DO32" s="163"/>
      <c r="DP32" s="163"/>
      <c r="DQ32" s="163"/>
      <c r="DR32" s="163"/>
      <c r="DS32" s="163"/>
      <c r="DT32" s="163"/>
      <c r="DU32" s="163"/>
      <c r="DV32" s="163"/>
      <c r="DW32" s="163"/>
      <c r="DX32" s="163"/>
      <c r="DY32" s="163"/>
      <c r="DZ32" s="163"/>
      <c r="EA32" s="163"/>
      <c r="EB32" s="163"/>
      <c r="EC32" s="163"/>
      <c r="ED32" s="163"/>
      <c r="EE32" s="163"/>
      <c r="EF32" s="163"/>
      <c r="EG32" s="163"/>
      <c r="EH32" s="163"/>
      <c r="EI32" s="163"/>
      <c r="EJ32" s="163"/>
      <c r="EK32" s="163"/>
      <c r="EL32" s="163"/>
      <c r="EM32" s="163"/>
      <c r="EN32" s="163"/>
      <c r="EO32" s="163"/>
      <c r="EP32" s="163"/>
      <c r="EQ32" s="163"/>
      <c r="ER32" s="163"/>
      <c r="ES32" s="163"/>
      <c r="ET32" s="163"/>
      <c r="EU32" s="163"/>
      <c r="EV32" s="163"/>
      <c r="EW32" s="163"/>
      <c r="EX32" s="163"/>
      <c r="EY32" s="163"/>
      <c r="EZ32" s="163"/>
      <c r="FA32" s="163"/>
      <c r="FB32" s="163"/>
      <c r="FC32" s="163"/>
      <c r="FD32" s="163"/>
      <c r="FE32" s="163"/>
      <c r="FF32" s="163"/>
      <c r="FG32" s="163"/>
      <c r="FH32" s="163"/>
      <c r="FI32" s="163"/>
      <c r="FJ32" s="163"/>
      <c r="FK32" s="163"/>
      <c r="FL32" s="163"/>
      <c r="FM32" s="163"/>
      <c r="FN32" s="163"/>
      <c r="FO32" s="163"/>
      <c r="FP32" s="163"/>
      <c r="FQ32" s="163"/>
      <c r="FR32" s="163"/>
      <c r="FS32" s="163"/>
      <c r="FT32" s="163"/>
      <c r="FU32" s="163"/>
      <c r="FV32" s="163"/>
      <c r="FW32" s="163"/>
      <c r="FX32" s="163"/>
      <c r="FY32" s="163"/>
      <c r="FZ32" s="163"/>
      <c r="GA32" s="163"/>
      <c r="GB32" s="163"/>
      <c r="GC32" s="163"/>
      <c r="GD32" s="163"/>
      <c r="GE32" s="163"/>
      <c r="GF32" s="163"/>
      <c r="GG32" s="163"/>
      <c r="GH32" s="163"/>
      <c r="GI32" s="163"/>
      <c r="GJ32" s="163"/>
      <c r="GK32" s="163"/>
      <c r="GL32" s="163"/>
      <c r="GM32" s="163"/>
      <c r="GN32" s="163"/>
      <c r="GO32" s="163"/>
      <c r="GP32" s="163"/>
      <c r="GQ32" s="163"/>
      <c r="GR32" s="163"/>
      <c r="GS32" s="163"/>
      <c r="GT32" s="163"/>
      <c r="GU32" s="163"/>
      <c r="GV32" s="163"/>
      <c r="GW32" s="163"/>
      <c r="GX32" s="163"/>
      <c r="GY32" s="163"/>
      <c r="GZ32" s="163"/>
      <c r="HA32" s="163"/>
      <c r="HB32" s="163"/>
      <c r="HC32" s="163"/>
      <c r="HD32" s="163"/>
      <c r="HE32" s="163"/>
      <c r="HF32" s="163"/>
      <c r="HG32" s="163"/>
      <c r="HH32" s="163"/>
      <c r="HI32" s="163"/>
      <c r="HJ32" s="163"/>
    </row>
    <row r="33" spans="1:13" ht="13.15">
      <c r="A33" s="379" t="s">
        <v>1301</v>
      </c>
      <c r="B33" s="382" t="s">
        <v>1302</v>
      </c>
      <c r="C33" s="382"/>
      <c r="D33" s="383"/>
      <c r="E33" s="401" t="s">
        <v>900</v>
      </c>
      <c r="F33" s="305"/>
      <c r="G33" s="298">
        <f>C14</f>
        <v>0</v>
      </c>
      <c r="H33" s="302">
        <f t="shared" ref="H33:H34" si="2">G33*F33</f>
        <v>0</v>
      </c>
      <c r="I33" s="163"/>
      <c r="J33" s="163"/>
    </row>
    <row r="34" spans="1:13" ht="13.15">
      <c r="A34" s="379" t="s">
        <v>1301</v>
      </c>
      <c r="B34" s="382" t="s">
        <v>1302</v>
      </c>
      <c r="C34" s="382"/>
      <c r="D34" s="383"/>
      <c r="E34" s="401" t="s">
        <v>901</v>
      </c>
      <c r="F34" s="305"/>
      <c r="G34" s="298">
        <f>C15</f>
        <v>0</v>
      </c>
      <c r="H34" s="302">
        <f t="shared" si="2"/>
        <v>0</v>
      </c>
      <c r="J34" s="163"/>
    </row>
    <row r="35" spans="1:13">
      <c r="B35" s="159"/>
      <c r="C35" s="159"/>
      <c r="D35" s="159"/>
      <c r="E35" s="159"/>
      <c r="F35" s="306" t="s">
        <v>917</v>
      </c>
      <c r="G35" s="306"/>
      <c r="H35" s="307">
        <f>SUM(H18:H34)</f>
        <v>0</v>
      </c>
      <c r="J35" s="163"/>
      <c r="M35" s="158"/>
    </row>
    <row r="36" spans="1:13" ht="13.15">
      <c r="A36" s="403" t="s">
        <v>1235</v>
      </c>
      <c r="J36" s="163"/>
    </row>
    <row r="37" spans="1:13" ht="13.15">
      <c r="A37" s="150"/>
      <c r="J37" s="163"/>
    </row>
    <row r="38" spans="1:13">
      <c r="J38" s="163"/>
    </row>
    <row r="39" spans="1:13">
      <c r="J39" s="163"/>
    </row>
  </sheetData>
  <mergeCells count="7">
    <mergeCell ref="A30:B30"/>
    <mergeCell ref="A24:B24"/>
    <mergeCell ref="A25:B25"/>
    <mergeCell ref="A26:B26"/>
    <mergeCell ref="A27:B27"/>
    <mergeCell ref="A28:B28"/>
    <mergeCell ref="A29:B29"/>
  </mergeCells>
  <pageMargins left="0.7" right="0.7" top="0.75" bottom="0.75" header="0.3" footer="0.3"/>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E7C1-0776-4F26-8073-DF29FE93436F}">
  <sheetPr>
    <tabColor theme="0" tint="-4.9989318521683403E-2"/>
  </sheetPr>
  <dimension ref="A1:L52"/>
  <sheetViews>
    <sheetView showGridLines="0" zoomScaleNormal="100" workbookViewId="0">
      <pane ySplit="10" topLeftCell="A11" activePane="bottomLeft" state="frozen"/>
      <selection pane="bottomLeft" activeCell="F41" sqref="F41:F42"/>
      <selection activeCell="O40" sqref="O40"/>
    </sheetView>
  </sheetViews>
  <sheetFormatPr defaultColWidth="7" defaultRowHeight="10.15"/>
  <cols>
    <col min="1" max="1" width="29.85546875" style="159" customWidth="1"/>
    <col min="2" max="2" width="47" style="158" customWidth="1"/>
    <col min="3" max="3" width="10.140625" style="158" customWidth="1"/>
    <col min="4" max="4" width="9.28515625" style="158" customWidth="1"/>
    <col min="5" max="5" width="15.28515625" style="158" customWidth="1"/>
    <col min="6" max="7" width="12.140625" style="158" customWidth="1"/>
    <col min="8" max="8" width="14" style="158" customWidth="1"/>
    <col min="9" max="9" width="7.140625" style="158" bestFit="1" customWidth="1"/>
    <col min="10" max="10" width="28.5703125" style="158" customWidth="1"/>
    <col min="11" max="11" width="4.42578125" style="158" customWidth="1"/>
    <col min="12" max="12" width="10" style="159" customWidth="1"/>
    <col min="13" max="253" width="7" style="158"/>
    <col min="254" max="254" width="3.5703125" style="158" customWidth="1"/>
    <col min="255" max="255" width="24.140625" style="158" customWidth="1"/>
    <col min="256" max="256" width="54.7109375" style="158" customWidth="1"/>
    <col min="257" max="257" width="18.28515625" style="158" customWidth="1"/>
    <col min="258" max="258" width="7" style="158" customWidth="1"/>
    <col min="259" max="259" width="9.85546875" style="158" bestFit="1" customWidth="1"/>
    <col min="260" max="260" width="15.5703125" style="158" customWidth="1"/>
    <col min="261" max="261" width="11.140625" style="158" bestFit="1" customWidth="1"/>
    <col min="262" max="262" width="14" style="158" customWidth="1"/>
    <col min="263" max="263" width="12" style="158" customWidth="1"/>
    <col min="264" max="264" width="11.85546875" style="158" bestFit="1" customWidth="1"/>
    <col min="265" max="265" width="7" style="158"/>
    <col min="266" max="266" width="28.5703125" style="158" customWidth="1"/>
    <col min="267" max="267" width="4.42578125" style="158" customWidth="1"/>
    <col min="268" max="268" width="10" style="158" customWidth="1"/>
    <col min="269" max="509" width="7" style="158"/>
    <col min="510" max="510" width="3.5703125" style="158" customWidth="1"/>
    <col min="511" max="511" width="24.140625" style="158" customWidth="1"/>
    <col min="512" max="512" width="54.7109375" style="158" customWidth="1"/>
    <col min="513" max="513" width="18.28515625" style="158" customWidth="1"/>
    <col min="514" max="514" width="7" style="158" customWidth="1"/>
    <col min="515" max="515" width="9.85546875" style="158" bestFit="1" customWidth="1"/>
    <col min="516" max="516" width="15.5703125" style="158" customWidth="1"/>
    <col min="517" max="517" width="11.140625" style="158" bestFit="1" customWidth="1"/>
    <col min="518" max="518" width="14" style="158" customWidth="1"/>
    <col min="519" max="519" width="12" style="158" customWidth="1"/>
    <col min="520" max="520" width="11.85546875" style="158" bestFit="1" customWidth="1"/>
    <col min="521" max="521" width="7" style="158"/>
    <col min="522" max="522" width="28.5703125" style="158" customWidth="1"/>
    <col min="523" max="523" width="4.42578125" style="158" customWidth="1"/>
    <col min="524" max="524" width="10" style="158" customWidth="1"/>
    <col min="525" max="765" width="7" style="158"/>
    <col min="766" max="766" width="3.5703125" style="158" customWidth="1"/>
    <col min="767" max="767" width="24.140625" style="158" customWidth="1"/>
    <col min="768" max="768" width="54.7109375" style="158" customWidth="1"/>
    <col min="769" max="769" width="18.28515625" style="158" customWidth="1"/>
    <col min="770" max="770" width="7" style="158" customWidth="1"/>
    <col min="771" max="771" width="9.85546875" style="158" bestFit="1" customWidth="1"/>
    <col min="772" max="772" width="15.5703125" style="158" customWidth="1"/>
    <col min="773" max="773" width="11.140625" style="158" bestFit="1" customWidth="1"/>
    <col min="774" max="774" width="14" style="158" customWidth="1"/>
    <col min="775" max="775" width="12" style="158" customWidth="1"/>
    <col min="776" max="776" width="11.85546875" style="158" bestFit="1" customWidth="1"/>
    <col min="777" max="777" width="7" style="158"/>
    <col min="778" max="778" width="28.5703125" style="158" customWidth="1"/>
    <col min="779" max="779" width="4.42578125" style="158" customWidth="1"/>
    <col min="780" max="780" width="10" style="158" customWidth="1"/>
    <col min="781" max="1021" width="7" style="158"/>
    <col min="1022" max="1022" width="3.5703125" style="158" customWidth="1"/>
    <col min="1023" max="1023" width="24.140625" style="158" customWidth="1"/>
    <col min="1024" max="1024" width="54.7109375" style="158" customWidth="1"/>
    <col min="1025" max="1025" width="18.28515625" style="158" customWidth="1"/>
    <col min="1026" max="1026" width="7" style="158" customWidth="1"/>
    <col min="1027" max="1027" width="9.85546875" style="158" bestFit="1" customWidth="1"/>
    <col min="1028" max="1028" width="15.5703125" style="158" customWidth="1"/>
    <col min="1029" max="1029" width="11.140625" style="158" bestFit="1" customWidth="1"/>
    <col min="1030" max="1030" width="14" style="158" customWidth="1"/>
    <col min="1031" max="1031" width="12" style="158" customWidth="1"/>
    <col min="1032" max="1032" width="11.85546875" style="158" bestFit="1" customWidth="1"/>
    <col min="1033" max="1033" width="7" style="158"/>
    <col min="1034" max="1034" width="28.5703125" style="158" customWidth="1"/>
    <col min="1035" max="1035" width="4.42578125" style="158" customWidth="1"/>
    <col min="1036" max="1036" width="10" style="158" customWidth="1"/>
    <col min="1037" max="1277" width="7" style="158"/>
    <col min="1278" max="1278" width="3.5703125" style="158" customWidth="1"/>
    <col min="1279" max="1279" width="24.140625" style="158" customWidth="1"/>
    <col min="1280" max="1280" width="54.7109375" style="158" customWidth="1"/>
    <col min="1281" max="1281" width="18.28515625" style="158" customWidth="1"/>
    <col min="1282" max="1282" width="7" style="158" customWidth="1"/>
    <col min="1283" max="1283" width="9.85546875" style="158" bestFit="1" customWidth="1"/>
    <col min="1284" max="1284" width="15.5703125" style="158" customWidth="1"/>
    <col min="1285" max="1285" width="11.140625" style="158" bestFit="1" customWidth="1"/>
    <col min="1286" max="1286" width="14" style="158" customWidth="1"/>
    <col min="1287" max="1287" width="12" style="158" customWidth="1"/>
    <col min="1288" max="1288" width="11.85546875" style="158" bestFit="1" customWidth="1"/>
    <col min="1289" max="1289" width="7" style="158"/>
    <col min="1290" max="1290" width="28.5703125" style="158" customWidth="1"/>
    <col min="1291" max="1291" width="4.42578125" style="158" customWidth="1"/>
    <col min="1292" max="1292" width="10" style="158" customWidth="1"/>
    <col min="1293" max="1533" width="7" style="158"/>
    <col min="1534" max="1534" width="3.5703125" style="158" customWidth="1"/>
    <col min="1535" max="1535" width="24.140625" style="158" customWidth="1"/>
    <col min="1536" max="1536" width="54.7109375" style="158" customWidth="1"/>
    <col min="1537" max="1537" width="18.28515625" style="158" customWidth="1"/>
    <col min="1538" max="1538" width="7" style="158" customWidth="1"/>
    <col min="1539" max="1539" width="9.85546875" style="158" bestFit="1" customWidth="1"/>
    <col min="1540" max="1540" width="15.5703125" style="158" customWidth="1"/>
    <col min="1541" max="1541" width="11.140625" style="158" bestFit="1" customWidth="1"/>
    <col min="1542" max="1542" width="14" style="158" customWidth="1"/>
    <col min="1543" max="1543" width="12" style="158" customWidth="1"/>
    <col min="1544" max="1544" width="11.85546875" style="158" bestFit="1" customWidth="1"/>
    <col min="1545" max="1545" width="7" style="158"/>
    <col min="1546" max="1546" width="28.5703125" style="158" customWidth="1"/>
    <col min="1547" max="1547" width="4.42578125" style="158" customWidth="1"/>
    <col min="1548" max="1548" width="10" style="158" customWidth="1"/>
    <col min="1549" max="1789" width="7" style="158"/>
    <col min="1790" max="1790" width="3.5703125" style="158" customWidth="1"/>
    <col min="1791" max="1791" width="24.140625" style="158" customWidth="1"/>
    <col min="1792" max="1792" width="54.7109375" style="158" customWidth="1"/>
    <col min="1793" max="1793" width="18.28515625" style="158" customWidth="1"/>
    <col min="1794" max="1794" width="7" style="158" customWidth="1"/>
    <col min="1795" max="1795" width="9.85546875" style="158" bestFit="1" customWidth="1"/>
    <col min="1796" max="1796" width="15.5703125" style="158" customWidth="1"/>
    <col min="1797" max="1797" width="11.140625" style="158" bestFit="1" customWidth="1"/>
    <col min="1798" max="1798" width="14" style="158" customWidth="1"/>
    <col min="1799" max="1799" width="12" style="158" customWidth="1"/>
    <col min="1800" max="1800" width="11.85546875" style="158" bestFit="1" customWidth="1"/>
    <col min="1801" max="1801" width="7" style="158"/>
    <col min="1802" max="1802" width="28.5703125" style="158" customWidth="1"/>
    <col min="1803" max="1803" width="4.42578125" style="158" customWidth="1"/>
    <col min="1804" max="1804" width="10" style="158" customWidth="1"/>
    <col min="1805" max="2045" width="7" style="158"/>
    <col min="2046" max="2046" width="3.5703125" style="158" customWidth="1"/>
    <col min="2047" max="2047" width="24.140625" style="158" customWidth="1"/>
    <col min="2048" max="2048" width="54.7109375" style="158" customWidth="1"/>
    <col min="2049" max="2049" width="18.28515625" style="158" customWidth="1"/>
    <col min="2050" max="2050" width="7" style="158" customWidth="1"/>
    <col min="2051" max="2051" width="9.85546875" style="158" bestFit="1" customWidth="1"/>
    <col min="2052" max="2052" width="15.5703125" style="158" customWidth="1"/>
    <col min="2053" max="2053" width="11.140625" style="158" bestFit="1" customWidth="1"/>
    <col min="2054" max="2054" width="14" style="158" customWidth="1"/>
    <col min="2055" max="2055" width="12" style="158" customWidth="1"/>
    <col min="2056" max="2056" width="11.85546875" style="158" bestFit="1" customWidth="1"/>
    <col min="2057" max="2057" width="7" style="158"/>
    <col min="2058" max="2058" width="28.5703125" style="158" customWidth="1"/>
    <col min="2059" max="2059" width="4.42578125" style="158" customWidth="1"/>
    <col min="2060" max="2060" width="10" style="158" customWidth="1"/>
    <col min="2061" max="2301" width="7" style="158"/>
    <col min="2302" max="2302" width="3.5703125" style="158" customWidth="1"/>
    <col min="2303" max="2303" width="24.140625" style="158" customWidth="1"/>
    <col min="2304" max="2304" width="54.7109375" style="158" customWidth="1"/>
    <col min="2305" max="2305" width="18.28515625" style="158" customWidth="1"/>
    <col min="2306" max="2306" width="7" style="158" customWidth="1"/>
    <col min="2307" max="2307" width="9.85546875" style="158" bestFit="1" customWidth="1"/>
    <col min="2308" max="2308" width="15.5703125" style="158" customWidth="1"/>
    <col min="2309" max="2309" width="11.140625" style="158" bestFit="1" customWidth="1"/>
    <col min="2310" max="2310" width="14" style="158" customWidth="1"/>
    <col min="2311" max="2311" width="12" style="158" customWidth="1"/>
    <col min="2312" max="2312" width="11.85546875" style="158" bestFit="1" customWidth="1"/>
    <col min="2313" max="2313" width="7" style="158"/>
    <col min="2314" max="2314" width="28.5703125" style="158" customWidth="1"/>
    <col min="2315" max="2315" width="4.42578125" style="158" customWidth="1"/>
    <col min="2316" max="2316" width="10" style="158" customWidth="1"/>
    <col min="2317" max="2557" width="7" style="158"/>
    <col min="2558" max="2558" width="3.5703125" style="158" customWidth="1"/>
    <col min="2559" max="2559" width="24.140625" style="158" customWidth="1"/>
    <col min="2560" max="2560" width="54.7109375" style="158" customWidth="1"/>
    <col min="2561" max="2561" width="18.28515625" style="158" customWidth="1"/>
    <col min="2562" max="2562" width="7" style="158" customWidth="1"/>
    <col min="2563" max="2563" width="9.85546875" style="158" bestFit="1" customWidth="1"/>
    <col min="2564" max="2564" width="15.5703125" style="158" customWidth="1"/>
    <col min="2565" max="2565" width="11.140625" style="158" bestFit="1" customWidth="1"/>
    <col min="2566" max="2566" width="14" style="158" customWidth="1"/>
    <col min="2567" max="2567" width="12" style="158" customWidth="1"/>
    <col min="2568" max="2568" width="11.85546875" style="158" bestFit="1" customWidth="1"/>
    <col min="2569" max="2569" width="7" style="158"/>
    <col min="2570" max="2570" width="28.5703125" style="158" customWidth="1"/>
    <col min="2571" max="2571" width="4.42578125" style="158" customWidth="1"/>
    <col min="2572" max="2572" width="10" style="158" customWidth="1"/>
    <col min="2573" max="2813" width="7" style="158"/>
    <col min="2814" max="2814" width="3.5703125" style="158" customWidth="1"/>
    <col min="2815" max="2815" width="24.140625" style="158" customWidth="1"/>
    <col min="2816" max="2816" width="54.7109375" style="158" customWidth="1"/>
    <col min="2817" max="2817" width="18.28515625" style="158" customWidth="1"/>
    <col min="2818" max="2818" width="7" style="158" customWidth="1"/>
    <col min="2819" max="2819" width="9.85546875" style="158" bestFit="1" customWidth="1"/>
    <col min="2820" max="2820" width="15.5703125" style="158" customWidth="1"/>
    <col min="2821" max="2821" width="11.140625" style="158" bestFit="1" customWidth="1"/>
    <col min="2822" max="2822" width="14" style="158" customWidth="1"/>
    <col min="2823" max="2823" width="12" style="158" customWidth="1"/>
    <col min="2824" max="2824" width="11.85546875" style="158" bestFit="1" customWidth="1"/>
    <col min="2825" max="2825" width="7" style="158"/>
    <col min="2826" max="2826" width="28.5703125" style="158" customWidth="1"/>
    <col min="2827" max="2827" width="4.42578125" style="158" customWidth="1"/>
    <col min="2828" max="2828" width="10" style="158" customWidth="1"/>
    <col min="2829" max="3069" width="7" style="158"/>
    <col min="3070" max="3070" width="3.5703125" style="158" customWidth="1"/>
    <col min="3071" max="3071" width="24.140625" style="158" customWidth="1"/>
    <col min="3072" max="3072" width="54.7109375" style="158" customWidth="1"/>
    <col min="3073" max="3073" width="18.28515625" style="158" customWidth="1"/>
    <col min="3074" max="3074" width="7" style="158" customWidth="1"/>
    <col min="3075" max="3075" width="9.85546875" style="158" bestFit="1" customWidth="1"/>
    <col min="3076" max="3076" width="15.5703125" style="158" customWidth="1"/>
    <col min="3077" max="3077" width="11.140625" style="158" bestFit="1" customWidth="1"/>
    <col min="3078" max="3078" width="14" style="158" customWidth="1"/>
    <col min="3079" max="3079" width="12" style="158" customWidth="1"/>
    <col min="3080" max="3080" width="11.85546875" style="158" bestFit="1" customWidth="1"/>
    <col min="3081" max="3081" width="7" style="158"/>
    <col min="3082" max="3082" width="28.5703125" style="158" customWidth="1"/>
    <col min="3083" max="3083" width="4.42578125" style="158" customWidth="1"/>
    <col min="3084" max="3084" width="10" style="158" customWidth="1"/>
    <col min="3085" max="3325" width="7" style="158"/>
    <col min="3326" max="3326" width="3.5703125" style="158" customWidth="1"/>
    <col min="3327" max="3327" width="24.140625" style="158" customWidth="1"/>
    <col min="3328" max="3328" width="54.7109375" style="158" customWidth="1"/>
    <col min="3329" max="3329" width="18.28515625" style="158" customWidth="1"/>
    <col min="3330" max="3330" width="7" style="158" customWidth="1"/>
    <col min="3331" max="3331" width="9.85546875" style="158" bestFit="1" customWidth="1"/>
    <col min="3332" max="3332" width="15.5703125" style="158" customWidth="1"/>
    <col min="3333" max="3333" width="11.140625" style="158" bestFit="1" customWidth="1"/>
    <col min="3334" max="3334" width="14" style="158" customWidth="1"/>
    <col min="3335" max="3335" width="12" style="158" customWidth="1"/>
    <col min="3336" max="3336" width="11.85546875" style="158" bestFit="1" customWidth="1"/>
    <col min="3337" max="3337" width="7" style="158"/>
    <col min="3338" max="3338" width="28.5703125" style="158" customWidth="1"/>
    <col min="3339" max="3339" width="4.42578125" style="158" customWidth="1"/>
    <col min="3340" max="3340" width="10" style="158" customWidth="1"/>
    <col min="3341" max="3581" width="7" style="158"/>
    <col min="3582" max="3582" width="3.5703125" style="158" customWidth="1"/>
    <col min="3583" max="3583" width="24.140625" style="158" customWidth="1"/>
    <col min="3584" max="3584" width="54.7109375" style="158" customWidth="1"/>
    <col min="3585" max="3585" width="18.28515625" style="158" customWidth="1"/>
    <col min="3586" max="3586" width="7" style="158" customWidth="1"/>
    <col min="3587" max="3587" width="9.85546875" style="158" bestFit="1" customWidth="1"/>
    <col min="3588" max="3588" width="15.5703125" style="158" customWidth="1"/>
    <col min="3589" max="3589" width="11.140625" style="158" bestFit="1" customWidth="1"/>
    <col min="3590" max="3590" width="14" style="158" customWidth="1"/>
    <col min="3591" max="3591" width="12" style="158" customWidth="1"/>
    <col min="3592" max="3592" width="11.85546875" style="158" bestFit="1" customWidth="1"/>
    <col min="3593" max="3593" width="7" style="158"/>
    <col min="3594" max="3594" width="28.5703125" style="158" customWidth="1"/>
    <col min="3595" max="3595" width="4.42578125" style="158" customWidth="1"/>
    <col min="3596" max="3596" width="10" style="158" customWidth="1"/>
    <col min="3597" max="3837" width="7" style="158"/>
    <col min="3838" max="3838" width="3.5703125" style="158" customWidth="1"/>
    <col min="3839" max="3839" width="24.140625" style="158" customWidth="1"/>
    <col min="3840" max="3840" width="54.7109375" style="158" customWidth="1"/>
    <col min="3841" max="3841" width="18.28515625" style="158" customWidth="1"/>
    <col min="3842" max="3842" width="7" style="158" customWidth="1"/>
    <col min="3843" max="3843" width="9.85546875" style="158" bestFit="1" customWidth="1"/>
    <col min="3844" max="3844" width="15.5703125" style="158" customWidth="1"/>
    <col min="3845" max="3845" width="11.140625" style="158" bestFit="1" customWidth="1"/>
    <col min="3846" max="3846" width="14" style="158" customWidth="1"/>
    <col min="3847" max="3847" width="12" style="158" customWidth="1"/>
    <col min="3848" max="3848" width="11.85546875" style="158" bestFit="1" customWidth="1"/>
    <col min="3849" max="3849" width="7" style="158"/>
    <col min="3850" max="3850" width="28.5703125" style="158" customWidth="1"/>
    <col min="3851" max="3851" width="4.42578125" style="158" customWidth="1"/>
    <col min="3852" max="3852" width="10" style="158" customWidth="1"/>
    <col min="3853" max="4093" width="7" style="158"/>
    <col min="4094" max="4094" width="3.5703125" style="158" customWidth="1"/>
    <col min="4095" max="4095" width="24.140625" style="158" customWidth="1"/>
    <col min="4096" max="4096" width="54.7109375" style="158" customWidth="1"/>
    <col min="4097" max="4097" width="18.28515625" style="158" customWidth="1"/>
    <col min="4098" max="4098" width="7" style="158" customWidth="1"/>
    <col min="4099" max="4099" width="9.85546875" style="158" bestFit="1" customWidth="1"/>
    <col min="4100" max="4100" width="15.5703125" style="158" customWidth="1"/>
    <col min="4101" max="4101" width="11.140625" style="158" bestFit="1" customWidth="1"/>
    <col min="4102" max="4102" width="14" style="158" customWidth="1"/>
    <col min="4103" max="4103" width="12" style="158" customWidth="1"/>
    <col min="4104" max="4104" width="11.85546875" style="158" bestFit="1" customWidth="1"/>
    <col min="4105" max="4105" width="7" style="158"/>
    <col min="4106" max="4106" width="28.5703125" style="158" customWidth="1"/>
    <col min="4107" max="4107" width="4.42578125" style="158" customWidth="1"/>
    <col min="4108" max="4108" width="10" style="158" customWidth="1"/>
    <col min="4109" max="4349" width="7" style="158"/>
    <col min="4350" max="4350" width="3.5703125" style="158" customWidth="1"/>
    <col min="4351" max="4351" width="24.140625" style="158" customWidth="1"/>
    <col min="4352" max="4352" width="54.7109375" style="158" customWidth="1"/>
    <col min="4353" max="4353" width="18.28515625" style="158" customWidth="1"/>
    <col min="4354" max="4354" width="7" style="158" customWidth="1"/>
    <col min="4355" max="4355" width="9.85546875" style="158" bestFit="1" customWidth="1"/>
    <col min="4356" max="4356" width="15.5703125" style="158" customWidth="1"/>
    <col min="4357" max="4357" width="11.140625" style="158" bestFit="1" customWidth="1"/>
    <col min="4358" max="4358" width="14" style="158" customWidth="1"/>
    <col min="4359" max="4359" width="12" style="158" customWidth="1"/>
    <col min="4360" max="4360" width="11.85546875" style="158" bestFit="1" customWidth="1"/>
    <col min="4361" max="4361" width="7" style="158"/>
    <col min="4362" max="4362" width="28.5703125" style="158" customWidth="1"/>
    <col min="4363" max="4363" width="4.42578125" style="158" customWidth="1"/>
    <col min="4364" max="4364" width="10" style="158" customWidth="1"/>
    <col min="4365" max="4605" width="7" style="158"/>
    <col min="4606" max="4606" width="3.5703125" style="158" customWidth="1"/>
    <col min="4607" max="4607" width="24.140625" style="158" customWidth="1"/>
    <col min="4608" max="4608" width="54.7109375" style="158" customWidth="1"/>
    <col min="4609" max="4609" width="18.28515625" style="158" customWidth="1"/>
    <col min="4610" max="4610" width="7" style="158" customWidth="1"/>
    <col min="4611" max="4611" width="9.85546875" style="158" bestFit="1" customWidth="1"/>
    <col min="4612" max="4612" width="15.5703125" style="158" customWidth="1"/>
    <col min="4613" max="4613" width="11.140625" style="158" bestFit="1" customWidth="1"/>
    <col min="4614" max="4614" width="14" style="158" customWidth="1"/>
    <col min="4615" max="4615" width="12" style="158" customWidth="1"/>
    <col min="4616" max="4616" width="11.85546875" style="158" bestFit="1" customWidth="1"/>
    <col min="4617" max="4617" width="7" style="158"/>
    <col min="4618" max="4618" width="28.5703125" style="158" customWidth="1"/>
    <col min="4619" max="4619" width="4.42578125" style="158" customWidth="1"/>
    <col min="4620" max="4620" width="10" style="158" customWidth="1"/>
    <col min="4621" max="4861" width="7" style="158"/>
    <col min="4862" max="4862" width="3.5703125" style="158" customWidth="1"/>
    <col min="4863" max="4863" width="24.140625" style="158" customWidth="1"/>
    <col min="4864" max="4864" width="54.7109375" style="158" customWidth="1"/>
    <col min="4865" max="4865" width="18.28515625" style="158" customWidth="1"/>
    <col min="4866" max="4866" width="7" style="158" customWidth="1"/>
    <col min="4867" max="4867" width="9.85546875" style="158" bestFit="1" customWidth="1"/>
    <col min="4868" max="4868" width="15.5703125" style="158" customWidth="1"/>
    <col min="4869" max="4869" width="11.140625" style="158" bestFit="1" customWidth="1"/>
    <col min="4870" max="4870" width="14" style="158" customWidth="1"/>
    <col min="4871" max="4871" width="12" style="158" customWidth="1"/>
    <col min="4872" max="4872" width="11.85546875" style="158" bestFit="1" customWidth="1"/>
    <col min="4873" max="4873" width="7" style="158"/>
    <col min="4874" max="4874" width="28.5703125" style="158" customWidth="1"/>
    <col min="4875" max="4875" width="4.42578125" style="158" customWidth="1"/>
    <col min="4876" max="4876" width="10" style="158" customWidth="1"/>
    <col min="4877" max="5117" width="7" style="158"/>
    <col min="5118" max="5118" width="3.5703125" style="158" customWidth="1"/>
    <col min="5119" max="5119" width="24.140625" style="158" customWidth="1"/>
    <col min="5120" max="5120" width="54.7109375" style="158" customWidth="1"/>
    <col min="5121" max="5121" width="18.28515625" style="158" customWidth="1"/>
    <col min="5122" max="5122" width="7" style="158" customWidth="1"/>
    <col min="5123" max="5123" width="9.85546875" style="158" bestFit="1" customWidth="1"/>
    <col min="5124" max="5124" width="15.5703125" style="158" customWidth="1"/>
    <col min="5125" max="5125" width="11.140625" style="158" bestFit="1" customWidth="1"/>
    <col min="5126" max="5126" width="14" style="158" customWidth="1"/>
    <col min="5127" max="5127" width="12" style="158" customWidth="1"/>
    <col min="5128" max="5128" width="11.85546875" style="158" bestFit="1" customWidth="1"/>
    <col min="5129" max="5129" width="7" style="158"/>
    <col min="5130" max="5130" width="28.5703125" style="158" customWidth="1"/>
    <col min="5131" max="5131" width="4.42578125" style="158" customWidth="1"/>
    <col min="5132" max="5132" width="10" style="158" customWidth="1"/>
    <col min="5133" max="5373" width="7" style="158"/>
    <col min="5374" max="5374" width="3.5703125" style="158" customWidth="1"/>
    <col min="5375" max="5375" width="24.140625" style="158" customWidth="1"/>
    <col min="5376" max="5376" width="54.7109375" style="158" customWidth="1"/>
    <col min="5377" max="5377" width="18.28515625" style="158" customWidth="1"/>
    <col min="5378" max="5378" width="7" style="158" customWidth="1"/>
    <col min="5379" max="5379" width="9.85546875" style="158" bestFit="1" customWidth="1"/>
    <col min="5380" max="5380" width="15.5703125" style="158" customWidth="1"/>
    <col min="5381" max="5381" width="11.140625" style="158" bestFit="1" customWidth="1"/>
    <col min="5382" max="5382" width="14" style="158" customWidth="1"/>
    <col min="5383" max="5383" width="12" style="158" customWidth="1"/>
    <col min="5384" max="5384" width="11.85546875" style="158" bestFit="1" customWidth="1"/>
    <col min="5385" max="5385" width="7" style="158"/>
    <col min="5386" max="5386" width="28.5703125" style="158" customWidth="1"/>
    <col min="5387" max="5387" width="4.42578125" style="158" customWidth="1"/>
    <col min="5388" max="5388" width="10" style="158" customWidth="1"/>
    <col min="5389" max="5629" width="7" style="158"/>
    <col min="5630" max="5630" width="3.5703125" style="158" customWidth="1"/>
    <col min="5631" max="5631" width="24.140625" style="158" customWidth="1"/>
    <col min="5632" max="5632" width="54.7109375" style="158" customWidth="1"/>
    <col min="5633" max="5633" width="18.28515625" style="158" customWidth="1"/>
    <col min="5634" max="5634" width="7" style="158" customWidth="1"/>
    <col min="5635" max="5635" width="9.85546875" style="158" bestFit="1" customWidth="1"/>
    <col min="5636" max="5636" width="15.5703125" style="158" customWidth="1"/>
    <col min="5637" max="5637" width="11.140625" style="158" bestFit="1" customWidth="1"/>
    <col min="5638" max="5638" width="14" style="158" customWidth="1"/>
    <col min="5639" max="5639" width="12" style="158" customWidth="1"/>
    <col min="5640" max="5640" width="11.85546875" style="158" bestFit="1" customWidth="1"/>
    <col min="5641" max="5641" width="7" style="158"/>
    <col min="5642" max="5642" width="28.5703125" style="158" customWidth="1"/>
    <col min="5643" max="5643" width="4.42578125" style="158" customWidth="1"/>
    <col min="5644" max="5644" width="10" style="158" customWidth="1"/>
    <col min="5645" max="5885" width="7" style="158"/>
    <col min="5886" max="5886" width="3.5703125" style="158" customWidth="1"/>
    <col min="5887" max="5887" width="24.140625" style="158" customWidth="1"/>
    <col min="5888" max="5888" width="54.7109375" style="158" customWidth="1"/>
    <col min="5889" max="5889" width="18.28515625" style="158" customWidth="1"/>
    <col min="5890" max="5890" width="7" style="158" customWidth="1"/>
    <col min="5891" max="5891" width="9.85546875" style="158" bestFit="1" customWidth="1"/>
    <col min="5892" max="5892" width="15.5703125" style="158" customWidth="1"/>
    <col min="5893" max="5893" width="11.140625" style="158" bestFit="1" customWidth="1"/>
    <col min="5894" max="5894" width="14" style="158" customWidth="1"/>
    <col min="5895" max="5895" width="12" style="158" customWidth="1"/>
    <col min="5896" max="5896" width="11.85546875" style="158" bestFit="1" customWidth="1"/>
    <col min="5897" max="5897" width="7" style="158"/>
    <col min="5898" max="5898" width="28.5703125" style="158" customWidth="1"/>
    <col min="5899" max="5899" width="4.42578125" style="158" customWidth="1"/>
    <col min="5900" max="5900" width="10" style="158" customWidth="1"/>
    <col min="5901" max="6141" width="7" style="158"/>
    <col min="6142" max="6142" width="3.5703125" style="158" customWidth="1"/>
    <col min="6143" max="6143" width="24.140625" style="158" customWidth="1"/>
    <col min="6144" max="6144" width="54.7109375" style="158" customWidth="1"/>
    <col min="6145" max="6145" width="18.28515625" style="158" customWidth="1"/>
    <col min="6146" max="6146" width="7" style="158" customWidth="1"/>
    <col min="6147" max="6147" width="9.85546875" style="158" bestFit="1" customWidth="1"/>
    <col min="6148" max="6148" width="15.5703125" style="158" customWidth="1"/>
    <col min="6149" max="6149" width="11.140625" style="158" bestFit="1" customWidth="1"/>
    <col min="6150" max="6150" width="14" style="158" customWidth="1"/>
    <col min="6151" max="6151" width="12" style="158" customWidth="1"/>
    <col min="6152" max="6152" width="11.85546875" style="158" bestFit="1" customWidth="1"/>
    <col min="6153" max="6153" width="7" style="158"/>
    <col min="6154" max="6154" width="28.5703125" style="158" customWidth="1"/>
    <col min="6155" max="6155" width="4.42578125" style="158" customWidth="1"/>
    <col min="6156" max="6156" width="10" style="158" customWidth="1"/>
    <col min="6157" max="6397" width="7" style="158"/>
    <col min="6398" max="6398" width="3.5703125" style="158" customWidth="1"/>
    <col min="6399" max="6399" width="24.140625" style="158" customWidth="1"/>
    <col min="6400" max="6400" width="54.7109375" style="158" customWidth="1"/>
    <col min="6401" max="6401" width="18.28515625" style="158" customWidth="1"/>
    <col min="6402" max="6402" width="7" style="158" customWidth="1"/>
    <col min="6403" max="6403" width="9.85546875" style="158" bestFit="1" customWidth="1"/>
    <col min="6404" max="6404" width="15.5703125" style="158" customWidth="1"/>
    <col min="6405" max="6405" width="11.140625" style="158" bestFit="1" customWidth="1"/>
    <col min="6406" max="6406" width="14" style="158" customWidth="1"/>
    <col min="6407" max="6407" width="12" style="158" customWidth="1"/>
    <col min="6408" max="6408" width="11.85546875" style="158" bestFit="1" customWidth="1"/>
    <col min="6409" max="6409" width="7" style="158"/>
    <col min="6410" max="6410" width="28.5703125" style="158" customWidth="1"/>
    <col min="6411" max="6411" width="4.42578125" style="158" customWidth="1"/>
    <col min="6412" max="6412" width="10" style="158" customWidth="1"/>
    <col min="6413" max="6653" width="7" style="158"/>
    <col min="6654" max="6654" width="3.5703125" style="158" customWidth="1"/>
    <col min="6655" max="6655" width="24.140625" style="158" customWidth="1"/>
    <col min="6656" max="6656" width="54.7109375" style="158" customWidth="1"/>
    <col min="6657" max="6657" width="18.28515625" style="158" customWidth="1"/>
    <col min="6658" max="6658" width="7" style="158" customWidth="1"/>
    <col min="6659" max="6659" width="9.85546875" style="158" bestFit="1" customWidth="1"/>
    <col min="6660" max="6660" width="15.5703125" style="158" customWidth="1"/>
    <col min="6661" max="6661" width="11.140625" style="158" bestFit="1" customWidth="1"/>
    <col min="6662" max="6662" width="14" style="158" customWidth="1"/>
    <col min="6663" max="6663" width="12" style="158" customWidth="1"/>
    <col min="6664" max="6664" width="11.85546875" style="158" bestFit="1" customWidth="1"/>
    <col min="6665" max="6665" width="7" style="158"/>
    <col min="6666" max="6666" width="28.5703125" style="158" customWidth="1"/>
    <col min="6667" max="6667" width="4.42578125" style="158" customWidth="1"/>
    <col min="6668" max="6668" width="10" style="158" customWidth="1"/>
    <col min="6669" max="6909" width="7" style="158"/>
    <col min="6910" max="6910" width="3.5703125" style="158" customWidth="1"/>
    <col min="6911" max="6911" width="24.140625" style="158" customWidth="1"/>
    <col min="6912" max="6912" width="54.7109375" style="158" customWidth="1"/>
    <col min="6913" max="6913" width="18.28515625" style="158" customWidth="1"/>
    <col min="6914" max="6914" width="7" style="158" customWidth="1"/>
    <col min="6915" max="6915" width="9.85546875" style="158" bestFit="1" customWidth="1"/>
    <col min="6916" max="6916" width="15.5703125" style="158" customWidth="1"/>
    <col min="6917" max="6917" width="11.140625" style="158" bestFit="1" customWidth="1"/>
    <col min="6918" max="6918" width="14" style="158" customWidth="1"/>
    <col min="6919" max="6919" width="12" style="158" customWidth="1"/>
    <col min="6920" max="6920" width="11.85546875" style="158" bestFit="1" customWidth="1"/>
    <col min="6921" max="6921" width="7" style="158"/>
    <col min="6922" max="6922" width="28.5703125" style="158" customWidth="1"/>
    <col min="6923" max="6923" width="4.42578125" style="158" customWidth="1"/>
    <col min="6924" max="6924" width="10" style="158" customWidth="1"/>
    <col min="6925" max="7165" width="7" style="158"/>
    <col min="7166" max="7166" width="3.5703125" style="158" customWidth="1"/>
    <col min="7167" max="7167" width="24.140625" style="158" customWidth="1"/>
    <col min="7168" max="7168" width="54.7109375" style="158" customWidth="1"/>
    <col min="7169" max="7169" width="18.28515625" style="158" customWidth="1"/>
    <col min="7170" max="7170" width="7" style="158" customWidth="1"/>
    <col min="7171" max="7171" width="9.85546875" style="158" bestFit="1" customWidth="1"/>
    <col min="7172" max="7172" width="15.5703125" style="158" customWidth="1"/>
    <col min="7173" max="7173" width="11.140625" style="158" bestFit="1" customWidth="1"/>
    <col min="7174" max="7174" width="14" style="158" customWidth="1"/>
    <col min="7175" max="7175" width="12" style="158" customWidth="1"/>
    <col min="7176" max="7176" width="11.85546875" style="158" bestFit="1" customWidth="1"/>
    <col min="7177" max="7177" width="7" style="158"/>
    <col min="7178" max="7178" width="28.5703125" style="158" customWidth="1"/>
    <col min="7179" max="7179" width="4.42578125" style="158" customWidth="1"/>
    <col min="7180" max="7180" width="10" style="158" customWidth="1"/>
    <col min="7181" max="7421" width="7" style="158"/>
    <col min="7422" max="7422" width="3.5703125" style="158" customWidth="1"/>
    <col min="7423" max="7423" width="24.140625" style="158" customWidth="1"/>
    <col min="7424" max="7424" width="54.7109375" style="158" customWidth="1"/>
    <col min="7425" max="7425" width="18.28515625" style="158" customWidth="1"/>
    <col min="7426" max="7426" width="7" style="158" customWidth="1"/>
    <col min="7427" max="7427" width="9.85546875" style="158" bestFit="1" customWidth="1"/>
    <col min="7428" max="7428" width="15.5703125" style="158" customWidth="1"/>
    <col min="7429" max="7429" width="11.140625" style="158" bestFit="1" customWidth="1"/>
    <col min="7430" max="7430" width="14" style="158" customWidth="1"/>
    <col min="7431" max="7431" width="12" style="158" customWidth="1"/>
    <col min="7432" max="7432" width="11.85546875" style="158" bestFit="1" customWidth="1"/>
    <col min="7433" max="7433" width="7" style="158"/>
    <col min="7434" max="7434" width="28.5703125" style="158" customWidth="1"/>
    <col min="7435" max="7435" width="4.42578125" style="158" customWidth="1"/>
    <col min="7436" max="7436" width="10" style="158" customWidth="1"/>
    <col min="7437" max="7677" width="7" style="158"/>
    <col min="7678" max="7678" width="3.5703125" style="158" customWidth="1"/>
    <col min="7679" max="7679" width="24.140625" style="158" customWidth="1"/>
    <col min="7680" max="7680" width="54.7109375" style="158" customWidth="1"/>
    <col min="7681" max="7681" width="18.28515625" style="158" customWidth="1"/>
    <col min="7682" max="7682" width="7" style="158" customWidth="1"/>
    <col min="7683" max="7683" width="9.85546875" style="158" bestFit="1" customWidth="1"/>
    <col min="7684" max="7684" width="15.5703125" style="158" customWidth="1"/>
    <col min="7685" max="7685" width="11.140625" style="158" bestFit="1" customWidth="1"/>
    <col min="7686" max="7686" width="14" style="158" customWidth="1"/>
    <col min="7687" max="7687" width="12" style="158" customWidth="1"/>
    <col min="7688" max="7688" width="11.85546875" style="158" bestFit="1" customWidth="1"/>
    <col min="7689" max="7689" width="7" style="158"/>
    <col min="7690" max="7690" width="28.5703125" style="158" customWidth="1"/>
    <col min="7691" max="7691" width="4.42578125" style="158" customWidth="1"/>
    <col min="7692" max="7692" width="10" style="158" customWidth="1"/>
    <col min="7693" max="7933" width="7" style="158"/>
    <col min="7934" max="7934" width="3.5703125" style="158" customWidth="1"/>
    <col min="7935" max="7935" width="24.140625" style="158" customWidth="1"/>
    <col min="7936" max="7936" width="54.7109375" style="158" customWidth="1"/>
    <col min="7937" max="7937" width="18.28515625" style="158" customWidth="1"/>
    <col min="7938" max="7938" width="7" style="158" customWidth="1"/>
    <col min="7939" max="7939" width="9.85546875" style="158" bestFit="1" customWidth="1"/>
    <col min="7940" max="7940" width="15.5703125" style="158" customWidth="1"/>
    <col min="7941" max="7941" width="11.140625" style="158" bestFit="1" customWidth="1"/>
    <col min="7942" max="7942" width="14" style="158" customWidth="1"/>
    <col min="7943" max="7943" width="12" style="158" customWidth="1"/>
    <col min="7944" max="7944" width="11.85546875" style="158" bestFit="1" customWidth="1"/>
    <col min="7945" max="7945" width="7" style="158"/>
    <col min="7946" max="7946" width="28.5703125" style="158" customWidth="1"/>
    <col min="7947" max="7947" width="4.42578125" style="158" customWidth="1"/>
    <col min="7948" max="7948" width="10" style="158" customWidth="1"/>
    <col min="7949" max="8189" width="7" style="158"/>
    <col min="8190" max="8190" width="3.5703125" style="158" customWidth="1"/>
    <col min="8191" max="8191" width="24.140625" style="158" customWidth="1"/>
    <col min="8192" max="8192" width="54.7109375" style="158" customWidth="1"/>
    <col min="8193" max="8193" width="18.28515625" style="158" customWidth="1"/>
    <col min="8194" max="8194" width="7" style="158" customWidth="1"/>
    <col min="8195" max="8195" width="9.85546875" style="158" bestFit="1" customWidth="1"/>
    <col min="8196" max="8196" width="15.5703125" style="158" customWidth="1"/>
    <col min="8197" max="8197" width="11.140625" style="158" bestFit="1" customWidth="1"/>
    <col min="8198" max="8198" width="14" style="158" customWidth="1"/>
    <col min="8199" max="8199" width="12" style="158" customWidth="1"/>
    <col min="8200" max="8200" width="11.85546875" style="158" bestFit="1" customWidth="1"/>
    <col min="8201" max="8201" width="7" style="158"/>
    <col min="8202" max="8202" width="28.5703125" style="158" customWidth="1"/>
    <col min="8203" max="8203" width="4.42578125" style="158" customWidth="1"/>
    <col min="8204" max="8204" width="10" style="158" customWidth="1"/>
    <col min="8205" max="8445" width="7" style="158"/>
    <col min="8446" max="8446" width="3.5703125" style="158" customWidth="1"/>
    <col min="8447" max="8447" width="24.140625" style="158" customWidth="1"/>
    <col min="8448" max="8448" width="54.7109375" style="158" customWidth="1"/>
    <col min="8449" max="8449" width="18.28515625" style="158" customWidth="1"/>
    <col min="8450" max="8450" width="7" style="158" customWidth="1"/>
    <col min="8451" max="8451" width="9.85546875" style="158" bestFit="1" customWidth="1"/>
    <col min="8452" max="8452" width="15.5703125" style="158" customWidth="1"/>
    <col min="8453" max="8453" width="11.140625" style="158" bestFit="1" customWidth="1"/>
    <col min="8454" max="8454" width="14" style="158" customWidth="1"/>
    <col min="8455" max="8455" width="12" style="158" customWidth="1"/>
    <col min="8456" max="8456" width="11.85546875" style="158" bestFit="1" customWidth="1"/>
    <col min="8457" max="8457" width="7" style="158"/>
    <col min="8458" max="8458" width="28.5703125" style="158" customWidth="1"/>
    <col min="8459" max="8459" width="4.42578125" style="158" customWidth="1"/>
    <col min="8460" max="8460" width="10" style="158" customWidth="1"/>
    <col min="8461" max="8701" width="7" style="158"/>
    <col min="8702" max="8702" width="3.5703125" style="158" customWidth="1"/>
    <col min="8703" max="8703" width="24.140625" style="158" customWidth="1"/>
    <col min="8704" max="8704" width="54.7109375" style="158" customWidth="1"/>
    <col min="8705" max="8705" width="18.28515625" style="158" customWidth="1"/>
    <col min="8706" max="8706" width="7" style="158" customWidth="1"/>
    <col min="8707" max="8707" width="9.85546875" style="158" bestFit="1" customWidth="1"/>
    <col min="8708" max="8708" width="15.5703125" style="158" customWidth="1"/>
    <col min="8709" max="8709" width="11.140625" style="158" bestFit="1" customWidth="1"/>
    <col min="8710" max="8710" width="14" style="158" customWidth="1"/>
    <col min="8711" max="8711" width="12" style="158" customWidth="1"/>
    <col min="8712" max="8712" width="11.85546875" style="158" bestFit="1" customWidth="1"/>
    <col min="8713" max="8713" width="7" style="158"/>
    <col min="8714" max="8714" width="28.5703125" style="158" customWidth="1"/>
    <col min="8715" max="8715" width="4.42578125" style="158" customWidth="1"/>
    <col min="8716" max="8716" width="10" style="158" customWidth="1"/>
    <col min="8717" max="8957" width="7" style="158"/>
    <col min="8958" max="8958" width="3.5703125" style="158" customWidth="1"/>
    <col min="8959" max="8959" width="24.140625" style="158" customWidth="1"/>
    <col min="8960" max="8960" width="54.7109375" style="158" customWidth="1"/>
    <col min="8961" max="8961" width="18.28515625" style="158" customWidth="1"/>
    <col min="8962" max="8962" width="7" style="158" customWidth="1"/>
    <col min="8963" max="8963" width="9.85546875" style="158" bestFit="1" customWidth="1"/>
    <col min="8964" max="8964" width="15.5703125" style="158" customWidth="1"/>
    <col min="8965" max="8965" width="11.140625" style="158" bestFit="1" customWidth="1"/>
    <col min="8966" max="8966" width="14" style="158" customWidth="1"/>
    <col min="8967" max="8967" width="12" style="158" customWidth="1"/>
    <col min="8968" max="8968" width="11.85546875" style="158" bestFit="1" customWidth="1"/>
    <col min="8969" max="8969" width="7" style="158"/>
    <col min="8970" max="8970" width="28.5703125" style="158" customWidth="1"/>
    <col min="8971" max="8971" width="4.42578125" style="158" customWidth="1"/>
    <col min="8972" max="8972" width="10" style="158" customWidth="1"/>
    <col min="8973" max="9213" width="7" style="158"/>
    <col min="9214" max="9214" width="3.5703125" style="158" customWidth="1"/>
    <col min="9215" max="9215" width="24.140625" style="158" customWidth="1"/>
    <col min="9216" max="9216" width="54.7109375" style="158" customWidth="1"/>
    <col min="9217" max="9217" width="18.28515625" style="158" customWidth="1"/>
    <col min="9218" max="9218" width="7" style="158" customWidth="1"/>
    <col min="9219" max="9219" width="9.85546875" style="158" bestFit="1" customWidth="1"/>
    <col min="9220" max="9220" width="15.5703125" style="158" customWidth="1"/>
    <col min="9221" max="9221" width="11.140625" style="158" bestFit="1" customWidth="1"/>
    <col min="9222" max="9222" width="14" style="158" customWidth="1"/>
    <col min="9223" max="9223" width="12" style="158" customWidth="1"/>
    <col min="9224" max="9224" width="11.85546875" style="158" bestFit="1" customWidth="1"/>
    <col min="9225" max="9225" width="7" style="158"/>
    <col min="9226" max="9226" width="28.5703125" style="158" customWidth="1"/>
    <col min="9227" max="9227" width="4.42578125" style="158" customWidth="1"/>
    <col min="9228" max="9228" width="10" style="158" customWidth="1"/>
    <col min="9229" max="9469" width="7" style="158"/>
    <col min="9470" max="9470" width="3.5703125" style="158" customWidth="1"/>
    <col min="9471" max="9471" width="24.140625" style="158" customWidth="1"/>
    <col min="9472" max="9472" width="54.7109375" style="158" customWidth="1"/>
    <col min="9473" max="9473" width="18.28515625" style="158" customWidth="1"/>
    <col min="9474" max="9474" width="7" style="158" customWidth="1"/>
    <col min="9475" max="9475" width="9.85546875" style="158" bestFit="1" customWidth="1"/>
    <col min="9476" max="9476" width="15.5703125" style="158" customWidth="1"/>
    <col min="9477" max="9477" width="11.140625" style="158" bestFit="1" customWidth="1"/>
    <col min="9478" max="9478" width="14" style="158" customWidth="1"/>
    <col min="9479" max="9479" width="12" style="158" customWidth="1"/>
    <col min="9480" max="9480" width="11.85546875" style="158" bestFit="1" customWidth="1"/>
    <col min="9481" max="9481" width="7" style="158"/>
    <col min="9482" max="9482" width="28.5703125" style="158" customWidth="1"/>
    <col min="9483" max="9483" width="4.42578125" style="158" customWidth="1"/>
    <col min="9484" max="9484" width="10" style="158" customWidth="1"/>
    <col min="9485" max="9725" width="7" style="158"/>
    <col min="9726" max="9726" width="3.5703125" style="158" customWidth="1"/>
    <col min="9727" max="9727" width="24.140625" style="158" customWidth="1"/>
    <col min="9728" max="9728" width="54.7109375" style="158" customWidth="1"/>
    <col min="9729" max="9729" width="18.28515625" style="158" customWidth="1"/>
    <col min="9730" max="9730" width="7" style="158" customWidth="1"/>
    <col min="9731" max="9731" width="9.85546875" style="158" bestFit="1" customWidth="1"/>
    <col min="9732" max="9732" width="15.5703125" style="158" customWidth="1"/>
    <col min="9733" max="9733" width="11.140625" style="158" bestFit="1" customWidth="1"/>
    <col min="9734" max="9734" width="14" style="158" customWidth="1"/>
    <col min="9735" max="9735" width="12" style="158" customWidth="1"/>
    <col min="9736" max="9736" width="11.85546875" style="158" bestFit="1" customWidth="1"/>
    <col min="9737" max="9737" width="7" style="158"/>
    <col min="9738" max="9738" width="28.5703125" style="158" customWidth="1"/>
    <col min="9739" max="9739" width="4.42578125" style="158" customWidth="1"/>
    <col min="9740" max="9740" width="10" style="158" customWidth="1"/>
    <col min="9741" max="9981" width="7" style="158"/>
    <col min="9982" max="9982" width="3.5703125" style="158" customWidth="1"/>
    <col min="9983" max="9983" width="24.140625" style="158" customWidth="1"/>
    <col min="9984" max="9984" width="54.7109375" style="158" customWidth="1"/>
    <col min="9985" max="9985" width="18.28515625" style="158" customWidth="1"/>
    <col min="9986" max="9986" width="7" style="158" customWidth="1"/>
    <col min="9987" max="9987" width="9.85546875" style="158" bestFit="1" customWidth="1"/>
    <col min="9988" max="9988" width="15.5703125" style="158" customWidth="1"/>
    <col min="9989" max="9989" width="11.140625" style="158" bestFit="1" customWidth="1"/>
    <col min="9990" max="9990" width="14" style="158" customWidth="1"/>
    <col min="9991" max="9991" width="12" style="158" customWidth="1"/>
    <col min="9992" max="9992" width="11.85546875" style="158" bestFit="1" customWidth="1"/>
    <col min="9993" max="9993" width="7" style="158"/>
    <col min="9994" max="9994" width="28.5703125" style="158" customWidth="1"/>
    <col min="9995" max="9995" width="4.42578125" style="158" customWidth="1"/>
    <col min="9996" max="9996" width="10" style="158" customWidth="1"/>
    <col min="9997" max="10237" width="7" style="158"/>
    <col min="10238" max="10238" width="3.5703125" style="158" customWidth="1"/>
    <col min="10239" max="10239" width="24.140625" style="158" customWidth="1"/>
    <col min="10240" max="10240" width="54.7109375" style="158" customWidth="1"/>
    <col min="10241" max="10241" width="18.28515625" style="158" customWidth="1"/>
    <col min="10242" max="10242" width="7" style="158" customWidth="1"/>
    <col min="10243" max="10243" width="9.85546875" style="158" bestFit="1" customWidth="1"/>
    <col min="10244" max="10244" width="15.5703125" style="158" customWidth="1"/>
    <col min="10245" max="10245" width="11.140625" style="158" bestFit="1" customWidth="1"/>
    <col min="10246" max="10246" width="14" style="158" customWidth="1"/>
    <col min="10247" max="10247" width="12" style="158" customWidth="1"/>
    <col min="10248" max="10248" width="11.85546875" style="158" bestFit="1" customWidth="1"/>
    <col min="10249" max="10249" width="7" style="158"/>
    <col min="10250" max="10250" width="28.5703125" style="158" customWidth="1"/>
    <col min="10251" max="10251" width="4.42578125" style="158" customWidth="1"/>
    <col min="10252" max="10252" width="10" style="158" customWidth="1"/>
    <col min="10253" max="10493" width="7" style="158"/>
    <col min="10494" max="10494" width="3.5703125" style="158" customWidth="1"/>
    <col min="10495" max="10495" width="24.140625" style="158" customWidth="1"/>
    <col min="10496" max="10496" width="54.7109375" style="158" customWidth="1"/>
    <col min="10497" max="10497" width="18.28515625" style="158" customWidth="1"/>
    <col min="10498" max="10498" width="7" style="158" customWidth="1"/>
    <col min="10499" max="10499" width="9.85546875" style="158" bestFit="1" customWidth="1"/>
    <col min="10500" max="10500" width="15.5703125" style="158" customWidth="1"/>
    <col min="10501" max="10501" width="11.140625" style="158" bestFit="1" customWidth="1"/>
    <col min="10502" max="10502" width="14" style="158" customWidth="1"/>
    <col min="10503" max="10503" width="12" style="158" customWidth="1"/>
    <col min="10504" max="10504" width="11.85546875" style="158" bestFit="1" customWidth="1"/>
    <col min="10505" max="10505" width="7" style="158"/>
    <col min="10506" max="10506" width="28.5703125" style="158" customWidth="1"/>
    <col min="10507" max="10507" width="4.42578125" style="158" customWidth="1"/>
    <col min="10508" max="10508" width="10" style="158" customWidth="1"/>
    <col min="10509" max="10749" width="7" style="158"/>
    <col min="10750" max="10750" width="3.5703125" style="158" customWidth="1"/>
    <col min="10751" max="10751" width="24.140625" style="158" customWidth="1"/>
    <col min="10752" max="10752" width="54.7109375" style="158" customWidth="1"/>
    <col min="10753" max="10753" width="18.28515625" style="158" customWidth="1"/>
    <col min="10754" max="10754" width="7" style="158" customWidth="1"/>
    <col min="10755" max="10755" width="9.85546875" style="158" bestFit="1" customWidth="1"/>
    <col min="10756" max="10756" width="15.5703125" style="158" customWidth="1"/>
    <col min="10757" max="10757" width="11.140625" style="158" bestFit="1" customWidth="1"/>
    <col min="10758" max="10758" width="14" style="158" customWidth="1"/>
    <col min="10759" max="10759" width="12" style="158" customWidth="1"/>
    <col min="10760" max="10760" width="11.85546875" style="158" bestFit="1" customWidth="1"/>
    <col min="10761" max="10761" width="7" style="158"/>
    <col min="10762" max="10762" width="28.5703125" style="158" customWidth="1"/>
    <col min="10763" max="10763" width="4.42578125" style="158" customWidth="1"/>
    <col min="10764" max="10764" width="10" style="158" customWidth="1"/>
    <col min="10765" max="11005" width="7" style="158"/>
    <col min="11006" max="11006" width="3.5703125" style="158" customWidth="1"/>
    <col min="11007" max="11007" width="24.140625" style="158" customWidth="1"/>
    <col min="11008" max="11008" width="54.7109375" style="158" customWidth="1"/>
    <col min="11009" max="11009" width="18.28515625" style="158" customWidth="1"/>
    <col min="11010" max="11010" width="7" style="158" customWidth="1"/>
    <col min="11011" max="11011" width="9.85546875" style="158" bestFit="1" customWidth="1"/>
    <col min="11012" max="11012" width="15.5703125" style="158" customWidth="1"/>
    <col min="11013" max="11013" width="11.140625" style="158" bestFit="1" customWidth="1"/>
    <col min="11014" max="11014" width="14" style="158" customWidth="1"/>
    <col min="11015" max="11015" width="12" style="158" customWidth="1"/>
    <col min="11016" max="11016" width="11.85546875" style="158" bestFit="1" customWidth="1"/>
    <col min="11017" max="11017" width="7" style="158"/>
    <col min="11018" max="11018" width="28.5703125" style="158" customWidth="1"/>
    <col min="11019" max="11019" width="4.42578125" style="158" customWidth="1"/>
    <col min="11020" max="11020" width="10" style="158" customWidth="1"/>
    <col min="11021" max="11261" width="7" style="158"/>
    <col min="11262" max="11262" width="3.5703125" style="158" customWidth="1"/>
    <col min="11263" max="11263" width="24.140625" style="158" customWidth="1"/>
    <col min="11264" max="11264" width="54.7109375" style="158" customWidth="1"/>
    <col min="11265" max="11265" width="18.28515625" style="158" customWidth="1"/>
    <col min="11266" max="11266" width="7" style="158" customWidth="1"/>
    <col min="11267" max="11267" width="9.85546875" style="158" bestFit="1" customWidth="1"/>
    <col min="11268" max="11268" width="15.5703125" style="158" customWidth="1"/>
    <col min="11269" max="11269" width="11.140625" style="158" bestFit="1" customWidth="1"/>
    <col min="11270" max="11270" width="14" style="158" customWidth="1"/>
    <col min="11271" max="11271" width="12" style="158" customWidth="1"/>
    <col min="11272" max="11272" width="11.85546875" style="158" bestFit="1" customWidth="1"/>
    <col min="11273" max="11273" width="7" style="158"/>
    <col min="11274" max="11274" width="28.5703125" style="158" customWidth="1"/>
    <col min="11275" max="11275" width="4.42578125" style="158" customWidth="1"/>
    <col min="11276" max="11276" width="10" style="158" customWidth="1"/>
    <col min="11277" max="11517" width="7" style="158"/>
    <col min="11518" max="11518" width="3.5703125" style="158" customWidth="1"/>
    <col min="11519" max="11519" width="24.140625" style="158" customWidth="1"/>
    <col min="11520" max="11520" width="54.7109375" style="158" customWidth="1"/>
    <col min="11521" max="11521" width="18.28515625" style="158" customWidth="1"/>
    <col min="11522" max="11522" width="7" style="158" customWidth="1"/>
    <col min="11523" max="11523" width="9.85546875" style="158" bestFit="1" customWidth="1"/>
    <col min="11524" max="11524" width="15.5703125" style="158" customWidth="1"/>
    <col min="11525" max="11525" width="11.140625" style="158" bestFit="1" customWidth="1"/>
    <col min="11526" max="11526" width="14" style="158" customWidth="1"/>
    <col min="11527" max="11527" width="12" style="158" customWidth="1"/>
    <col min="11528" max="11528" width="11.85546875" style="158" bestFit="1" customWidth="1"/>
    <col min="11529" max="11529" width="7" style="158"/>
    <col min="11530" max="11530" width="28.5703125" style="158" customWidth="1"/>
    <col min="11531" max="11531" width="4.42578125" style="158" customWidth="1"/>
    <col min="11532" max="11532" width="10" style="158" customWidth="1"/>
    <col min="11533" max="11773" width="7" style="158"/>
    <col min="11774" max="11774" width="3.5703125" style="158" customWidth="1"/>
    <col min="11775" max="11775" width="24.140625" style="158" customWidth="1"/>
    <col min="11776" max="11776" width="54.7109375" style="158" customWidth="1"/>
    <col min="11777" max="11777" width="18.28515625" style="158" customWidth="1"/>
    <col min="11778" max="11778" width="7" style="158" customWidth="1"/>
    <col min="11779" max="11779" width="9.85546875" style="158" bestFit="1" customWidth="1"/>
    <col min="11780" max="11780" width="15.5703125" style="158" customWidth="1"/>
    <col min="11781" max="11781" width="11.140625" style="158" bestFit="1" customWidth="1"/>
    <col min="11782" max="11782" width="14" style="158" customWidth="1"/>
    <col min="11783" max="11783" width="12" style="158" customWidth="1"/>
    <col min="11784" max="11784" width="11.85546875" style="158" bestFit="1" customWidth="1"/>
    <col min="11785" max="11785" width="7" style="158"/>
    <col min="11786" max="11786" width="28.5703125" style="158" customWidth="1"/>
    <col min="11787" max="11787" width="4.42578125" style="158" customWidth="1"/>
    <col min="11788" max="11788" width="10" style="158" customWidth="1"/>
    <col min="11789" max="12029" width="7" style="158"/>
    <col min="12030" max="12030" width="3.5703125" style="158" customWidth="1"/>
    <col min="12031" max="12031" width="24.140625" style="158" customWidth="1"/>
    <col min="12032" max="12032" width="54.7109375" style="158" customWidth="1"/>
    <col min="12033" max="12033" width="18.28515625" style="158" customWidth="1"/>
    <col min="12034" max="12034" width="7" style="158" customWidth="1"/>
    <col min="12035" max="12035" width="9.85546875" style="158" bestFit="1" customWidth="1"/>
    <col min="12036" max="12036" width="15.5703125" style="158" customWidth="1"/>
    <col min="12037" max="12037" width="11.140625" style="158" bestFit="1" customWidth="1"/>
    <col min="12038" max="12038" width="14" style="158" customWidth="1"/>
    <col min="12039" max="12039" width="12" style="158" customWidth="1"/>
    <col min="12040" max="12040" width="11.85546875" style="158" bestFit="1" customWidth="1"/>
    <col min="12041" max="12041" width="7" style="158"/>
    <col min="12042" max="12042" width="28.5703125" style="158" customWidth="1"/>
    <col min="12043" max="12043" width="4.42578125" style="158" customWidth="1"/>
    <col min="12044" max="12044" width="10" style="158" customWidth="1"/>
    <col min="12045" max="12285" width="7" style="158"/>
    <col min="12286" max="12286" width="3.5703125" style="158" customWidth="1"/>
    <col min="12287" max="12287" width="24.140625" style="158" customWidth="1"/>
    <col min="12288" max="12288" width="54.7109375" style="158" customWidth="1"/>
    <col min="12289" max="12289" width="18.28515625" style="158" customWidth="1"/>
    <col min="12290" max="12290" width="7" style="158" customWidth="1"/>
    <col min="12291" max="12291" width="9.85546875" style="158" bestFit="1" customWidth="1"/>
    <col min="12292" max="12292" width="15.5703125" style="158" customWidth="1"/>
    <col min="12293" max="12293" width="11.140625" style="158" bestFit="1" customWidth="1"/>
    <col min="12294" max="12294" width="14" style="158" customWidth="1"/>
    <col min="12295" max="12295" width="12" style="158" customWidth="1"/>
    <col min="12296" max="12296" width="11.85546875" style="158" bestFit="1" customWidth="1"/>
    <col min="12297" max="12297" width="7" style="158"/>
    <col min="12298" max="12298" width="28.5703125" style="158" customWidth="1"/>
    <col min="12299" max="12299" width="4.42578125" style="158" customWidth="1"/>
    <col min="12300" max="12300" width="10" style="158" customWidth="1"/>
    <col min="12301" max="12541" width="7" style="158"/>
    <col min="12542" max="12542" width="3.5703125" style="158" customWidth="1"/>
    <col min="12543" max="12543" width="24.140625" style="158" customWidth="1"/>
    <col min="12544" max="12544" width="54.7109375" style="158" customWidth="1"/>
    <col min="12545" max="12545" width="18.28515625" style="158" customWidth="1"/>
    <col min="12546" max="12546" width="7" style="158" customWidth="1"/>
    <col min="12547" max="12547" width="9.85546875" style="158" bestFit="1" customWidth="1"/>
    <col min="12548" max="12548" width="15.5703125" style="158" customWidth="1"/>
    <col min="12549" max="12549" width="11.140625" style="158" bestFit="1" customWidth="1"/>
    <col min="12550" max="12550" width="14" style="158" customWidth="1"/>
    <col min="12551" max="12551" width="12" style="158" customWidth="1"/>
    <col min="12552" max="12552" width="11.85546875" style="158" bestFit="1" customWidth="1"/>
    <col min="12553" max="12553" width="7" style="158"/>
    <col min="12554" max="12554" width="28.5703125" style="158" customWidth="1"/>
    <col min="12555" max="12555" width="4.42578125" style="158" customWidth="1"/>
    <col min="12556" max="12556" width="10" style="158" customWidth="1"/>
    <col min="12557" max="12797" width="7" style="158"/>
    <col min="12798" max="12798" width="3.5703125" style="158" customWidth="1"/>
    <col min="12799" max="12799" width="24.140625" style="158" customWidth="1"/>
    <col min="12800" max="12800" width="54.7109375" style="158" customWidth="1"/>
    <col min="12801" max="12801" width="18.28515625" style="158" customWidth="1"/>
    <col min="12802" max="12802" width="7" style="158" customWidth="1"/>
    <col min="12803" max="12803" width="9.85546875" style="158" bestFit="1" customWidth="1"/>
    <col min="12804" max="12804" width="15.5703125" style="158" customWidth="1"/>
    <col min="12805" max="12805" width="11.140625" style="158" bestFit="1" customWidth="1"/>
    <col min="12806" max="12806" width="14" style="158" customWidth="1"/>
    <col min="12807" max="12807" width="12" style="158" customWidth="1"/>
    <col min="12808" max="12808" width="11.85546875" style="158" bestFit="1" customWidth="1"/>
    <col min="12809" max="12809" width="7" style="158"/>
    <col min="12810" max="12810" width="28.5703125" style="158" customWidth="1"/>
    <col min="12811" max="12811" width="4.42578125" style="158" customWidth="1"/>
    <col min="12812" max="12812" width="10" style="158" customWidth="1"/>
    <col min="12813" max="13053" width="7" style="158"/>
    <col min="13054" max="13054" width="3.5703125" style="158" customWidth="1"/>
    <col min="13055" max="13055" width="24.140625" style="158" customWidth="1"/>
    <col min="13056" max="13056" width="54.7109375" style="158" customWidth="1"/>
    <col min="13057" max="13057" width="18.28515625" style="158" customWidth="1"/>
    <col min="13058" max="13058" width="7" style="158" customWidth="1"/>
    <col min="13059" max="13059" width="9.85546875" style="158" bestFit="1" customWidth="1"/>
    <col min="13060" max="13060" width="15.5703125" style="158" customWidth="1"/>
    <col min="13061" max="13061" width="11.140625" style="158" bestFit="1" customWidth="1"/>
    <col min="13062" max="13062" width="14" style="158" customWidth="1"/>
    <col min="13063" max="13063" width="12" style="158" customWidth="1"/>
    <col min="13064" max="13064" width="11.85546875" style="158" bestFit="1" customWidth="1"/>
    <col min="13065" max="13065" width="7" style="158"/>
    <col min="13066" max="13066" width="28.5703125" style="158" customWidth="1"/>
    <col min="13067" max="13067" width="4.42578125" style="158" customWidth="1"/>
    <col min="13068" max="13068" width="10" style="158" customWidth="1"/>
    <col min="13069" max="13309" width="7" style="158"/>
    <col min="13310" max="13310" width="3.5703125" style="158" customWidth="1"/>
    <col min="13311" max="13311" width="24.140625" style="158" customWidth="1"/>
    <col min="13312" max="13312" width="54.7109375" style="158" customWidth="1"/>
    <col min="13313" max="13313" width="18.28515625" style="158" customWidth="1"/>
    <col min="13314" max="13314" width="7" style="158" customWidth="1"/>
    <col min="13315" max="13315" width="9.85546875" style="158" bestFit="1" customWidth="1"/>
    <col min="13316" max="13316" width="15.5703125" style="158" customWidth="1"/>
    <col min="13317" max="13317" width="11.140625" style="158" bestFit="1" customWidth="1"/>
    <col min="13318" max="13318" width="14" style="158" customWidth="1"/>
    <col min="13319" max="13319" width="12" style="158" customWidth="1"/>
    <col min="13320" max="13320" width="11.85546875" style="158" bestFit="1" customWidth="1"/>
    <col min="13321" max="13321" width="7" style="158"/>
    <col min="13322" max="13322" width="28.5703125" style="158" customWidth="1"/>
    <col min="13323" max="13323" width="4.42578125" style="158" customWidth="1"/>
    <col min="13324" max="13324" width="10" style="158" customWidth="1"/>
    <col min="13325" max="13565" width="7" style="158"/>
    <col min="13566" max="13566" width="3.5703125" style="158" customWidth="1"/>
    <col min="13567" max="13567" width="24.140625" style="158" customWidth="1"/>
    <col min="13568" max="13568" width="54.7109375" style="158" customWidth="1"/>
    <col min="13569" max="13569" width="18.28515625" style="158" customWidth="1"/>
    <col min="13570" max="13570" width="7" style="158" customWidth="1"/>
    <col min="13571" max="13571" width="9.85546875" style="158" bestFit="1" customWidth="1"/>
    <col min="13572" max="13572" width="15.5703125" style="158" customWidth="1"/>
    <col min="13573" max="13573" width="11.140625" style="158" bestFit="1" customWidth="1"/>
    <col min="13574" max="13574" width="14" style="158" customWidth="1"/>
    <col min="13575" max="13575" width="12" style="158" customWidth="1"/>
    <col min="13576" max="13576" width="11.85546875" style="158" bestFit="1" customWidth="1"/>
    <col min="13577" max="13577" width="7" style="158"/>
    <col min="13578" max="13578" width="28.5703125" style="158" customWidth="1"/>
    <col min="13579" max="13579" width="4.42578125" style="158" customWidth="1"/>
    <col min="13580" max="13580" width="10" style="158" customWidth="1"/>
    <col min="13581" max="13821" width="7" style="158"/>
    <col min="13822" max="13822" width="3.5703125" style="158" customWidth="1"/>
    <col min="13823" max="13823" width="24.140625" style="158" customWidth="1"/>
    <col min="13824" max="13824" width="54.7109375" style="158" customWidth="1"/>
    <col min="13825" max="13825" width="18.28515625" style="158" customWidth="1"/>
    <col min="13826" max="13826" width="7" style="158" customWidth="1"/>
    <col min="13827" max="13827" width="9.85546875" style="158" bestFit="1" customWidth="1"/>
    <col min="13828" max="13828" width="15.5703125" style="158" customWidth="1"/>
    <col min="13829" max="13829" width="11.140625" style="158" bestFit="1" customWidth="1"/>
    <col min="13830" max="13830" width="14" style="158" customWidth="1"/>
    <col min="13831" max="13831" width="12" style="158" customWidth="1"/>
    <col min="13832" max="13832" width="11.85546875" style="158" bestFit="1" customWidth="1"/>
    <col min="13833" max="13833" width="7" style="158"/>
    <col min="13834" max="13834" width="28.5703125" style="158" customWidth="1"/>
    <col min="13835" max="13835" width="4.42578125" style="158" customWidth="1"/>
    <col min="13836" max="13836" width="10" style="158" customWidth="1"/>
    <col min="13837" max="14077" width="7" style="158"/>
    <col min="14078" max="14078" width="3.5703125" style="158" customWidth="1"/>
    <col min="14079" max="14079" width="24.140625" style="158" customWidth="1"/>
    <col min="14080" max="14080" width="54.7109375" style="158" customWidth="1"/>
    <col min="14081" max="14081" width="18.28515625" style="158" customWidth="1"/>
    <col min="14082" max="14082" width="7" style="158" customWidth="1"/>
    <col min="14083" max="14083" width="9.85546875" style="158" bestFit="1" customWidth="1"/>
    <col min="14084" max="14084" width="15.5703125" style="158" customWidth="1"/>
    <col min="14085" max="14085" width="11.140625" style="158" bestFit="1" customWidth="1"/>
    <col min="14086" max="14086" width="14" style="158" customWidth="1"/>
    <col min="14087" max="14087" width="12" style="158" customWidth="1"/>
    <col min="14088" max="14088" width="11.85546875" style="158" bestFit="1" customWidth="1"/>
    <col min="14089" max="14089" width="7" style="158"/>
    <col min="14090" max="14090" width="28.5703125" style="158" customWidth="1"/>
    <col min="14091" max="14091" width="4.42578125" style="158" customWidth="1"/>
    <col min="14092" max="14092" width="10" style="158" customWidth="1"/>
    <col min="14093" max="14333" width="7" style="158"/>
    <col min="14334" max="14334" width="3.5703125" style="158" customWidth="1"/>
    <col min="14335" max="14335" width="24.140625" style="158" customWidth="1"/>
    <col min="14336" max="14336" width="54.7109375" style="158" customWidth="1"/>
    <col min="14337" max="14337" width="18.28515625" style="158" customWidth="1"/>
    <col min="14338" max="14338" width="7" style="158" customWidth="1"/>
    <col min="14339" max="14339" width="9.85546875" style="158" bestFit="1" customWidth="1"/>
    <col min="14340" max="14340" width="15.5703125" style="158" customWidth="1"/>
    <col min="14341" max="14341" width="11.140625" style="158" bestFit="1" customWidth="1"/>
    <col min="14342" max="14342" width="14" style="158" customWidth="1"/>
    <col min="14343" max="14343" width="12" style="158" customWidth="1"/>
    <col min="14344" max="14344" width="11.85546875" style="158" bestFit="1" customWidth="1"/>
    <col min="14345" max="14345" width="7" style="158"/>
    <col min="14346" max="14346" width="28.5703125" style="158" customWidth="1"/>
    <col min="14347" max="14347" width="4.42578125" style="158" customWidth="1"/>
    <col min="14348" max="14348" width="10" style="158" customWidth="1"/>
    <col min="14349" max="14589" width="7" style="158"/>
    <col min="14590" max="14590" width="3.5703125" style="158" customWidth="1"/>
    <col min="14591" max="14591" width="24.140625" style="158" customWidth="1"/>
    <col min="14592" max="14592" width="54.7109375" style="158" customWidth="1"/>
    <col min="14593" max="14593" width="18.28515625" style="158" customWidth="1"/>
    <col min="14594" max="14594" width="7" style="158" customWidth="1"/>
    <col min="14595" max="14595" width="9.85546875" style="158" bestFit="1" customWidth="1"/>
    <col min="14596" max="14596" width="15.5703125" style="158" customWidth="1"/>
    <col min="14597" max="14597" width="11.140625" style="158" bestFit="1" customWidth="1"/>
    <col min="14598" max="14598" width="14" style="158" customWidth="1"/>
    <col min="14599" max="14599" width="12" style="158" customWidth="1"/>
    <col min="14600" max="14600" width="11.85546875" style="158" bestFit="1" customWidth="1"/>
    <col min="14601" max="14601" width="7" style="158"/>
    <col min="14602" max="14602" width="28.5703125" style="158" customWidth="1"/>
    <col min="14603" max="14603" width="4.42578125" style="158" customWidth="1"/>
    <col min="14604" max="14604" width="10" style="158" customWidth="1"/>
    <col min="14605" max="14845" width="7" style="158"/>
    <col min="14846" max="14846" width="3.5703125" style="158" customWidth="1"/>
    <col min="14847" max="14847" width="24.140625" style="158" customWidth="1"/>
    <col min="14848" max="14848" width="54.7109375" style="158" customWidth="1"/>
    <col min="14849" max="14849" width="18.28515625" style="158" customWidth="1"/>
    <col min="14850" max="14850" width="7" style="158" customWidth="1"/>
    <col min="14851" max="14851" width="9.85546875" style="158" bestFit="1" customWidth="1"/>
    <col min="14852" max="14852" width="15.5703125" style="158" customWidth="1"/>
    <col min="14853" max="14853" width="11.140625" style="158" bestFit="1" customWidth="1"/>
    <col min="14854" max="14854" width="14" style="158" customWidth="1"/>
    <col min="14855" max="14855" width="12" style="158" customWidth="1"/>
    <col min="14856" max="14856" width="11.85546875" style="158" bestFit="1" customWidth="1"/>
    <col min="14857" max="14857" width="7" style="158"/>
    <col min="14858" max="14858" width="28.5703125" style="158" customWidth="1"/>
    <col min="14859" max="14859" width="4.42578125" style="158" customWidth="1"/>
    <col min="14860" max="14860" width="10" style="158" customWidth="1"/>
    <col min="14861" max="15101" width="7" style="158"/>
    <col min="15102" max="15102" width="3.5703125" style="158" customWidth="1"/>
    <col min="15103" max="15103" width="24.140625" style="158" customWidth="1"/>
    <col min="15104" max="15104" width="54.7109375" style="158" customWidth="1"/>
    <col min="15105" max="15105" width="18.28515625" style="158" customWidth="1"/>
    <col min="15106" max="15106" width="7" style="158" customWidth="1"/>
    <col min="15107" max="15107" width="9.85546875" style="158" bestFit="1" customWidth="1"/>
    <col min="15108" max="15108" width="15.5703125" style="158" customWidth="1"/>
    <col min="15109" max="15109" width="11.140625" style="158" bestFit="1" customWidth="1"/>
    <col min="15110" max="15110" width="14" style="158" customWidth="1"/>
    <col min="15111" max="15111" width="12" style="158" customWidth="1"/>
    <col min="15112" max="15112" width="11.85546875" style="158" bestFit="1" customWidth="1"/>
    <col min="15113" max="15113" width="7" style="158"/>
    <col min="15114" max="15114" width="28.5703125" style="158" customWidth="1"/>
    <col min="15115" max="15115" width="4.42578125" style="158" customWidth="1"/>
    <col min="15116" max="15116" width="10" style="158" customWidth="1"/>
    <col min="15117" max="15357" width="7" style="158"/>
    <col min="15358" max="15358" width="3.5703125" style="158" customWidth="1"/>
    <col min="15359" max="15359" width="24.140625" style="158" customWidth="1"/>
    <col min="15360" max="15360" width="54.7109375" style="158" customWidth="1"/>
    <col min="15361" max="15361" width="18.28515625" style="158" customWidth="1"/>
    <col min="15362" max="15362" width="7" style="158" customWidth="1"/>
    <col min="15363" max="15363" width="9.85546875" style="158" bestFit="1" customWidth="1"/>
    <col min="15364" max="15364" width="15.5703125" style="158" customWidth="1"/>
    <col min="15365" max="15365" width="11.140625" style="158" bestFit="1" customWidth="1"/>
    <col min="15366" max="15366" width="14" style="158" customWidth="1"/>
    <col min="15367" max="15367" width="12" style="158" customWidth="1"/>
    <col min="15368" max="15368" width="11.85546875" style="158" bestFit="1" customWidth="1"/>
    <col min="15369" max="15369" width="7" style="158"/>
    <col min="15370" max="15370" width="28.5703125" style="158" customWidth="1"/>
    <col min="15371" max="15371" width="4.42578125" style="158" customWidth="1"/>
    <col min="15372" max="15372" width="10" style="158" customWidth="1"/>
    <col min="15373" max="15613" width="7" style="158"/>
    <col min="15614" max="15614" width="3.5703125" style="158" customWidth="1"/>
    <col min="15615" max="15615" width="24.140625" style="158" customWidth="1"/>
    <col min="15616" max="15616" width="54.7109375" style="158" customWidth="1"/>
    <col min="15617" max="15617" width="18.28515625" style="158" customWidth="1"/>
    <col min="15618" max="15618" width="7" style="158" customWidth="1"/>
    <col min="15619" max="15619" width="9.85546875" style="158" bestFit="1" customWidth="1"/>
    <col min="15620" max="15620" width="15.5703125" style="158" customWidth="1"/>
    <col min="15621" max="15621" width="11.140625" style="158" bestFit="1" customWidth="1"/>
    <col min="15622" max="15622" width="14" style="158" customWidth="1"/>
    <col min="15623" max="15623" width="12" style="158" customWidth="1"/>
    <col min="15624" max="15624" width="11.85546875" style="158" bestFit="1" customWidth="1"/>
    <col min="15625" max="15625" width="7" style="158"/>
    <col min="15626" max="15626" width="28.5703125" style="158" customWidth="1"/>
    <col min="15627" max="15627" width="4.42578125" style="158" customWidth="1"/>
    <col min="15628" max="15628" width="10" style="158" customWidth="1"/>
    <col min="15629" max="15869" width="7" style="158"/>
    <col min="15870" max="15870" width="3.5703125" style="158" customWidth="1"/>
    <col min="15871" max="15871" width="24.140625" style="158" customWidth="1"/>
    <col min="15872" max="15872" width="54.7109375" style="158" customWidth="1"/>
    <col min="15873" max="15873" width="18.28515625" style="158" customWidth="1"/>
    <col min="15874" max="15874" width="7" style="158" customWidth="1"/>
    <col min="15875" max="15875" width="9.85546875" style="158" bestFit="1" customWidth="1"/>
    <col min="15876" max="15876" width="15.5703125" style="158" customWidth="1"/>
    <col min="15877" max="15877" width="11.140625" style="158" bestFit="1" customWidth="1"/>
    <col min="15878" max="15878" width="14" style="158" customWidth="1"/>
    <col min="15879" max="15879" width="12" style="158" customWidth="1"/>
    <col min="15880" max="15880" width="11.85546875" style="158" bestFit="1" customWidth="1"/>
    <col min="15881" max="15881" width="7" style="158"/>
    <col min="15882" max="15882" width="28.5703125" style="158" customWidth="1"/>
    <col min="15883" max="15883" width="4.42578125" style="158" customWidth="1"/>
    <col min="15884" max="15884" width="10" style="158" customWidth="1"/>
    <col min="15885" max="16125" width="7" style="158"/>
    <col min="16126" max="16126" width="3.5703125" style="158" customWidth="1"/>
    <col min="16127" max="16127" width="24.140625" style="158" customWidth="1"/>
    <col min="16128" max="16128" width="54.7109375" style="158" customWidth="1"/>
    <col min="16129" max="16129" width="18.28515625" style="158" customWidth="1"/>
    <col min="16130" max="16130" width="7" style="158" customWidth="1"/>
    <col min="16131" max="16131" width="9.85546875" style="158" bestFit="1" customWidth="1"/>
    <col min="16132" max="16132" width="15.5703125" style="158" customWidth="1"/>
    <col min="16133" max="16133" width="11.140625" style="158" bestFit="1" customWidth="1"/>
    <col min="16134" max="16134" width="14" style="158" customWidth="1"/>
    <col min="16135" max="16135" width="12" style="158" customWidth="1"/>
    <col min="16136" max="16136" width="11.85546875" style="158" bestFit="1" customWidth="1"/>
    <col min="16137" max="16137" width="7" style="158"/>
    <col min="16138" max="16138" width="28.5703125" style="158" customWidth="1"/>
    <col min="16139" max="16139" width="4.42578125" style="158" customWidth="1"/>
    <col min="16140" max="16140" width="10" style="158" customWidth="1"/>
    <col min="16141" max="16384" width="7" style="158"/>
  </cols>
  <sheetData>
    <row r="1" spans="1:5" ht="11.45">
      <c r="A1" s="360" t="s">
        <v>0</v>
      </c>
    </row>
    <row r="2" spans="1:5" ht="11.45">
      <c r="A2" s="160"/>
    </row>
    <row r="3" spans="1:5" ht="21" customHeight="1">
      <c r="A3" s="115" t="str">
        <f>'1-Inschrijfstaat'!A3</f>
        <v>Naam opdrachtgever</v>
      </c>
      <c r="B3" s="161" t="str">
        <f>'1-Inschrijfstaat'!B3</f>
        <v>GVB Infra B.V.</v>
      </c>
    </row>
    <row r="4" spans="1:5" ht="21" customHeight="1">
      <c r="A4" s="115" t="str">
        <f>'1-Inschrijfstaat'!A4</f>
        <v>Calculatie onderdeel</v>
      </c>
      <c r="B4" s="161" t="e">
        <f ca="1">MID(CELL("bestandsnaam",$B$10),SEARCH("]",CELL("bestandsnaam",$B$10),1)+1,256)</f>
        <v>#VALUE!</v>
      </c>
    </row>
    <row r="5" spans="1:5" ht="15.6">
      <c r="A5" s="115" t="str">
        <f>'11b- Afroepprijs Algemeen'!A5</f>
        <v>Gebouw/plaats</v>
      </c>
      <c r="B5" s="161" t="str">
        <f>'1-Inschrijfstaat'!B5</f>
        <v>Diverse</v>
      </c>
    </row>
    <row r="6" spans="1:5" ht="15.6">
      <c r="A6" s="115" t="str">
        <f>'11b- Afroepprijs Algemeen'!A6</f>
        <v>Besteknummer</v>
      </c>
      <c r="B6" s="161" t="str">
        <f>'1-Inschrijfstaat'!B6</f>
        <v>2024-20</v>
      </c>
    </row>
    <row r="7" spans="1:5" ht="15.6">
      <c r="A7" s="115" t="str">
        <f>'11b- Afroepprijs Algemeen'!A7</f>
        <v>Naam leverancier</v>
      </c>
      <c r="B7" s="161">
        <f>'1-Inschrijfstaat'!B7:D7</f>
        <v>0</v>
      </c>
    </row>
    <row r="8" spans="1:5" ht="15.6">
      <c r="A8" s="115" t="str">
        <f>'11b- Afroepprijs Algemeen'!A8</f>
        <v>Prijspeil</v>
      </c>
      <c r="B8" s="136" t="str">
        <f>'1-Inschrijfstaat'!B8</f>
        <v>1 januari 2025</v>
      </c>
    </row>
    <row r="9" spans="1:5" ht="15.6">
      <c r="A9" s="115" t="str">
        <f>'11b- Afroepprijs Algemeen'!A9</f>
        <v>Perceel</v>
      </c>
      <c r="B9" s="393" t="str">
        <f>'1-Inschrijfstaat'!B9</f>
        <v>2 Specialistiche schoonmaak</v>
      </c>
    </row>
    <row r="10" spans="1:5">
      <c r="A10" s="158"/>
    </row>
    <row r="11" spans="1:5" ht="26.45">
      <c r="A11" s="291" t="s">
        <v>896</v>
      </c>
      <c r="B11" s="250" t="s">
        <v>897</v>
      </c>
      <c r="C11" s="251" t="s">
        <v>898</v>
      </c>
    </row>
    <row r="12" spans="1:5" ht="15" customHeight="1">
      <c r="A12" s="398" t="s">
        <v>899</v>
      </c>
      <c r="B12" s="399" t="s">
        <v>900</v>
      </c>
      <c r="C12" s="400"/>
    </row>
    <row r="13" spans="1:5" ht="15" customHeight="1">
      <c r="A13" s="398" t="s">
        <v>899</v>
      </c>
      <c r="B13" s="399" t="s">
        <v>901</v>
      </c>
      <c r="C13" s="400"/>
    </row>
    <row r="14" spans="1:5" ht="15" customHeight="1">
      <c r="A14" s="398" t="s">
        <v>1221</v>
      </c>
      <c r="B14" s="399" t="s">
        <v>900</v>
      </c>
      <c r="C14" s="400"/>
    </row>
    <row r="15" spans="1:5" ht="15" customHeight="1">
      <c r="A15" s="398" t="s">
        <v>1221</v>
      </c>
      <c r="B15" s="399" t="s">
        <v>901</v>
      </c>
      <c r="C15" s="400"/>
      <c r="D15" s="162"/>
      <c r="E15" s="162"/>
    </row>
    <row r="16" spans="1:5" ht="13.15">
      <c r="B16" s="162"/>
    </row>
    <row r="17" spans="1:8" ht="39.6">
      <c r="A17" s="295" t="s">
        <v>1285</v>
      </c>
      <c r="B17" s="296" t="s">
        <v>1286</v>
      </c>
      <c r="C17" s="296" t="s">
        <v>1287</v>
      </c>
      <c r="D17" s="296" t="s">
        <v>1288</v>
      </c>
      <c r="E17" s="296" t="s">
        <v>921</v>
      </c>
      <c r="F17" s="296" t="s">
        <v>1289</v>
      </c>
      <c r="G17" s="296" t="s">
        <v>898</v>
      </c>
      <c r="H17" s="363" t="s">
        <v>1290</v>
      </c>
    </row>
    <row r="18" spans="1:8" ht="15" customHeight="1">
      <c r="A18" s="379" t="s">
        <v>1303</v>
      </c>
      <c r="B18" s="382" t="s">
        <v>1304</v>
      </c>
      <c r="C18" s="381" t="s">
        <v>1293</v>
      </c>
      <c r="D18" s="297"/>
      <c r="E18" s="425">
        <v>560</v>
      </c>
      <c r="F18" s="298">
        <f>E18*D18</f>
        <v>0</v>
      </c>
      <c r="G18" s="298">
        <f>C12</f>
        <v>0</v>
      </c>
      <c r="H18" s="302">
        <f>F18*G18</f>
        <v>0</v>
      </c>
    </row>
    <row r="19" spans="1:8" ht="15" customHeight="1">
      <c r="A19" s="379" t="s">
        <v>1303</v>
      </c>
      <c r="B19" s="382" t="s">
        <v>1305</v>
      </c>
      <c r="C19" s="381" t="s">
        <v>1293</v>
      </c>
      <c r="D19" s="297"/>
      <c r="E19" s="425">
        <v>560</v>
      </c>
      <c r="F19" s="298">
        <f>E19*D19</f>
        <v>0</v>
      </c>
      <c r="G19" s="298">
        <f>C12</f>
        <v>0</v>
      </c>
      <c r="H19" s="302">
        <f>F19*G19</f>
        <v>0</v>
      </c>
    </row>
    <row r="20" spans="1:8" ht="15" customHeight="1">
      <c r="A20" s="379" t="s">
        <v>1303</v>
      </c>
      <c r="B20" s="382" t="s">
        <v>1306</v>
      </c>
      <c r="C20" s="381" t="s">
        <v>1293</v>
      </c>
      <c r="D20" s="297"/>
      <c r="E20" s="425">
        <v>665</v>
      </c>
      <c r="F20" s="298">
        <f>E20*D20</f>
        <v>0</v>
      </c>
      <c r="G20" s="298">
        <f>C12</f>
        <v>0</v>
      </c>
      <c r="H20" s="302">
        <f>F20*G20</f>
        <v>0</v>
      </c>
    </row>
    <row r="21" spans="1:8" ht="15" customHeight="1">
      <c r="A21" s="379"/>
      <c r="B21" s="382"/>
      <c r="C21" s="381"/>
      <c r="D21" s="430"/>
      <c r="E21" s="425"/>
      <c r="F21" s="429"/>
      <c r="G21" s="428"/>
      <c r="H21" s="427"/>
    </row>
    <row r="22" spans="1:8" ht="15" customHeight="1">
      <c r="A22" s="379" t="s">
        <v>1291</v>
      </c>
      <c r="B22" s="382" t="s">
        <v>1307</v>
      </c>
      <c r="C22" s="381" t="s">
        <v>1293</v>
      </c>
      <c r="D22" s="297"/>
      <c r="E22" s="425">
        <v>320</v>
      </c>
      <c r="F22" s="298">
        <f>E22*D22</f>
        <v>0</v>
      </c>
      <c r="G22" s="298">
        <f>C13</f>
        <v>0</v>
      </c>
      <c r="H22" s="302">
        <f>F22*G22</f>
        <v>0</v>
      </c>
    </row>
    <row r="23" spans="1:8" ht="15" customHeight="1">
      <c r="A23" s="379" t="s">
        <v>1291</v>
      </c>
      <c r="B23" s="382" t="s">
        <v>1308</v>
      </c>
      <c r="C23" s="381" t="s">
        <v>1293</v>
      </c>
      <c r="D23" s="297"/>
      <c r="E23" s="425">
        <v>320</v>
      </c>
      <c r="F23" s="298">
        <f>E23*D23</f>
        <v>0</v>
      </c>
      <c r="G23" s="298">
        <f>C13</f>
        <v>0</v>
      </c>
      <c r="H23" s="302">
        <f>F23*G23</f>
        <v>0</v>
      </c>
    </row>
    <row r="24" spans="1:8" ht="15" customHeight="1">
      <c r="A24" s="379" t="s">
        <v>1291</v>
      </c>
      <c r="B24" s="382" t="s">
        <v>1309</v>
      </c>
      <c r="C24" s="381" t="s">
        <v>1293</v>
      </c>
      <c r="D24" s="426"/>
      <c r="E24" s="425">
        <v>22</v>
      </c>
      <c r="F24" s="298">
        <f>E24*D24</f>
        <v>0</v>
      </c>
      <c r="G24" s="298">
        <f>C13</f>
        <v>0</v>
      </c>
      <c r="H24" s="302">
        <f>F24*G24</f>
        <v>0</v>
      </c>
    </row>
    <row r="25" spans="1:8" ht="15" customHeight="1">
      <c r="A25" s="379" t="s">
        <v>1291</v>
      </c>
      <c r="B25" s="382" t="s">
        <v>1310</v>
      </c>
      <c r="C25" s="381" t="s">
        <v>1293</v>
      </c>
      <c r="D25" s="297"/>
      <c r="E25" s="425">
        <v>22</v>
      </c>
      <c r="F25" s="298">
        <f>E25*D25</f>
        <v>0</v>
      </c>
      <c r="G25" s="298">
        <f>C13</f>
        <v>0</v>
      </c>
      <c r="H25" s="302">
        <f>F25*G25</f>
        <v>0</v>
      </c>
    </row>
    <row r="26" spans="1:8">
      <c r="A26" s="163"/>
      <c r="B26" s="163"/>
      <c r="C26" s="163"/>
      <c r="D26" s="163"/>
      <c r="E26" s="163"/>
      <c r="F26" s="163"/>
      <c r="G26" s="163"/>
      <c r="H26" s="163"/>
    </row>
    <row r="27" spans="1:8" ht="26.45">
      <c r="A27" s="568" t="s">
        <v>1311</v>
      </c>
      <c r="B27" s="569"/>
      <c r="C27" s="296" t="s">
        <v>1287</v>
      </c>
      <c r="D27" s="296" t="s">
        <v>921</v>
      </c>
      <c r="E27" s="296" t="s">
        <v>1299</v>
      </c>
      <c r="F27" s="296"/>
      <c r="G27" s="296"/>
      <c r="H27" s="363" t="s">
        <v>1290</v>
      </c>
    </row>
    <row r="28" spans="1:8" ht="12.6" customHeight="1">
      <c r="A28" s="567"/>
      <c r="B28" s="567"/>
      <c r="C28" s="424" t="s">
        <v>1312</v>
      </c>
      <c r="D28" s="300"/>
      <c r="E28" s="400"/>
      <c r="F28" s="298"/>
      <c r="G28" s="298"/>
      <c r="H28" s="302">
        <f>E28*D28</f>
        <v>0</v>
      </c>
    </row>
    <row r="29" spans="1:8" ht="12.6" customHeight="1">
      <c r="A29" s="567"/>
      <c r="B29" s="567"/>
      <c r="C29" s="424" t="s">
        <v>1312</v>
      </c>
      <c r="D29" s="300"/>
      <c r="E29" s="400"/>
      <c r="F29" s="298"/>
      <c r="G29" s="298"/>
      <c r="H29" s="302">
        <f>E29*D29</f>
        <v>0</v>
      </c>
    </row>
    <row r="30" spans="1:8" ht="12.6" customHeight="1">
      <c r="A30" s="567"/>
      <c r="B30" s="567"/>
      <c r="C30" s="424" t="s">
        <v>1312</v>
      </c>
      <c r="D30" s="300"/>
      <c r="E30" s="400"/>
      <c r="F30" s="298"/>
      <c r="G30" s="298"/>
      <c r="H30" s="302">
        <f>E30*D30</f>
        <v>0</v>
      </c>
    </row>
    <row r="32" spans="1:8" ht="26.45">
      <c r="A32" s="568" t="s">
        <v>1298</v>
      </c>
      <c r="B32" s="569"/>
      <c r="C32" s="296" t="s">
        <v>1287</v>
      </c>
      <c r="D32" s="296" t="s">
        <v>921</v>
      </c>
      <c r="E32" s="296" t="s">
        <v>1299</v>
      </c>
      <c r="F32" s="296"/>
      <c r="G32" s="296"/>
      <c r="H32" s="363" t="s">
        <v>1290</v>
      </c>
    </row>
    <row r="33" spans="1:8" ht="13.15" customHeight="1">
      <c r="A33" s="567" t="s">
        <v>1313</v>
      </c>
      <c r="B33" s="567"/>
      <c r="C33" s="303"/>
      <c r="D33" s="300"/>
      <c r="E33" s="400"/>
      <c r="F33" s="298"/>
      <c r="G33" s="298"/>
      <c r="H33" s="302">
        <f>E33*D33</f>
        <v>0</v>
      </c>
    </row>
    <row r="34" spans="1:8" ht="13.15" customHeight="1">
      <c r="A34" s="567"/>
      <c r="B34" s="567" t="s">
        <v>1314</v>
      </c>
      <c r="C34" s="303"/>
      <c r="D34" s="300"/>
      <c r="E34" s="400"/>
      <c r="F34" s="298"/>
      <c r="G34" s="298"/>
      <c r="H34" s="302">
        <f>E34*D34</f>
        <v>0</v>
      </c>
    </row>
    <row r="35" spans="1:8" ht="13.15" customHeight="1">
      <c r="A35" s="567"/>
      <c r="B35" s="567" t="s">
        <v>1315</v>
      </c>
      <c r="C35" s="303"/>
      <c r="D35" s="300"/>
      <c r="E35" s="423"/>
      <c r="F35" s="298"/>
      <c r="G35" s="298"/>
      <c r="H35" s="302">
        <f>E35*D35</f>
        <v>0</v>
      </c>
    </row>
    <row r="36" spans="1:8" ht="13.15" customHeight="1">
      <c r="A36" s="567"/>
      <c r="B36" s="567"/>
      <c r="C36" s="303"/>
      <c r="D36" s="300"/>
      <c r="E36" s="423"/>
      <c r="F36" s="298"/>
      <c r="G36" s="298"/>
      <c r="H36" s="302">
        <f>E36*D36</f>
        <v>0</v>
      </c>
    </row>
    <row r="37" spans="1:8" ht="13.15" customHeight="1">
      <c r="A37" s="567"/>
      <c r="B37" s="567"/>
      <c r="C37" s="303"/>
      <c r="D37" s="300"/>
      <c r="E37" s="423"/>
      <c r="F37" s="298"/>
      <c r="G37" s="298"/>
      <c r="H37" s="302">
        <f>E37*D37</f>
        <v>0</v>
      </c>
    </row>
    <row r="38" spans="1:8">
      <c r="A38" s="163"/>
      <c r="B38" s="163"/>
      <c r="C38" s="163"/>
      <c r="D38" s="163"/>
      <c r="E38" s="163"/>
      <c r="F38" s="163"/>
      <c r="G38" s="163"/>
      <c r="H38" s="163"/>
    </row>
    <row r="39" spans="1:8">
      <c r="A39" s="422"/>
      <c r="B39" s="421"/>
      <c r="C39" s="421"/>
      <c r="D39" s="420"/>
      <c r="E39" s="419"/>
      <c r="F39" s="418"/>
      <c r="G39" s="418"/>
      <c r="H39" s="417"/>
    </row>
    <row r="40" spans="1:8" ht="26.45">
      <c r="A40" s="295" t="s">
        <v>1300</v>
      </c>
      <c r="B40" s="296" t="s">
        <v>18</v>
      </c>
      <c r="C40" s="250"/>
      <c r="D40" s="296"/>
      <c r="E40" s="250" t="s">
        <v>897</v>
      </c>
      <c r="F40" s="296" t="s">
        <v>1289</v>
      </c>
      <c r="G40" s="296" t="s">
        <v>898</v>
      </c>
      <c r="H40" s="363" t="s">
        <v>1290</v>
      </c>
    </row>
    <row r="41" spans="1:8" ht="18" customHeight="1">
      <c r="A41" s="379" t="s">
        <v>1301</v>
      </c>
      <c r="B41" s="382" t="s">
        <v>1302</v>
      </c>
      <c r="C41" s="416"/>
      <c r="D41" s="383"/>
      <c r="E41" s="416" t="s">
        <v>900</v>
      </c>
      <c r="F41" s="305"/>
      <c r="G41" s="298">
        <f>C14</f>
        <v>0</v>
      </c>
      <c r="H41" s="302">
        <f>F41*G41</f>
        <v>0</v>
      </c>
    </row>
    <row r="42" spans="1:8" ht="18" customHeight="1">
      <c r="A42" s="379" t="s">
        <v>1301</v>
      </c>
      <c r="B42" s="382" t="s">
        <v>1302</v>
      </c>
      <c r="C42" s="416"/>
      <c r="D42" s="383"/>
      <c r="E42" s="416" t="s">
        <v>901</v>
      </c>
      <c r="F42" s="305"/>
      <c r="G42" s="298">
        <f>C15</f>
        <v>0</v>
      </c>
      <c r="H42" s="302">
        <f>F42*G42</f>
        <v>0</v>
      </c>
    </row>
    <row r="43" spans="1:8">
      <c r="F43" s="415" t="s">
        <v>917</v>
      </c>
      <c r="G43" s="415"/>
      <c r="H43" s="307">
        <f>SUM(H18:H42)</f>
        <v>0</v>
      </c>
    </row>
    <row r="44" spans="1:8" ht="13.15">
      <c r="A44" s="363" t="s">
        <v>1316</v>
      </c>
    </row>
    <row r="45" spans="1:8">
      <c r="A45" s="414" t="s">
        <v>1317</v>
      </c>
    </row>
    <row r="46" spans="1:8">
      <c r="A46" s="414" t="s">
        <v>1318</v>
      </c>
    </row>
    <row r="47" spans="1:8">
      <c r="A47" s="414" t="s">
        <v>1319</v>
      </c>
    </row>
    <row r="48" spans="1:8">
      <c r="A48" s="414" t="s">
        <v>1320</v>
      </c>
    </row>
    <row r="49" spans="1:1">
      <c r="A49" s="414" t="s">
        <v>1321</v>
      </c>
    </row>
    <row r="51" spans="1:1" ht="13.15">
      <c r="A51" s="403" t="s">
        <v>1235</v>
      </c>
    </row>
    <row r="52" spans="1:1" ht="13.15">
      <c r="A52" s="403"/>
    </row>
  </sheetData>
  <mergeCells count="10">
    <mergeCell ref="A37:B37"/>
    <mergeCell ref="A28:B28"/>
    <mergeCell ref="A29:B29"/>
    <mergeCell ref="A30:B30"/>
    <mergeCell ref="A27:B27"/>
    <mergeCell ref="A32:B32"/>
    <mergeCell ref="A33:B33"/>
    <mergeCell ref="A34:B34"/>
    <mergeCell ref="A35:B35"/>
    <mergeCell ref="A36:B36"/>
  </mergeCells>
  <pageMargins left="0.7" right="0.7" top="0.75" bottom="0.75" header="0.3" footer="0.3"/>
  <pageSetup paperSize="9"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83E1-4971-4C28-BA9D-7A8CC6FE626C}">
  <sheetPr>
    <tabColor theme="0" tint="-4.9989318521683403E-2"/>
  </sheetPr>
  <dimension ref="A1:M219"/>
  <sheetViews>
    <sheetView showGridLines="0" zoomScale="86" zoomScaleNormal="86" workbookViewId="0">
      <pane ySplit="9" topLeftCell="A10" activePane="bottomLeft" state="frozen"/>
      <selection pane="bottomLeft" activeCell="G15" sqref="G15:H36"/>
      <selection activeCell="E28" sqref="E28"/>
    </sheetView>
  </sheetViews>
  <sheetFormatPr defaultColWidth="8.85546875" defaultRowHeight="13.15"/>
  <cols>
    <col min="1" max="1" width="12.28515625" style="43" customWidth="1"/>
    <col min="2" max="2" width="27" style="43" customWidth="1"/>
    <col min="3" max="3" width="27.7109375" style="43" bestFit="1" customWidth="1"/>
    <col min="4" max="4" width="12.7109375" style="43" customWidth="1"/>
    <col min="5" max="5" width="30.5703125" style="43" bestFit="1" customWidth="1"/>
    <col min="6" max="6" width="16.42578125" style="43" customWidth="1"/>
    <col min="7" max="7" width="25" style="43" bestFit="1" customWidth="1"/>
    <col min="8" max="8" width="16" style="43" customWidth="1"/>
    <col min="9" max="9" width="17" style="43" bestFit="1" customWidth="1"/>
    <col min="10" max="10" width="12.28515625" style="43" customWidth="1"/>
    <col min="11" max="11" width="14.42578125" style="43" customWidth="1"/>
    <col min="12" max="12" width="15.7109375" style="43" customWidth="1"/>
    <col min="13" max="13" width="41.28515625" style="43" bestFit="1" customWidth="1"/>
    <col min="14" max="14" width="7.28515625" style="43" bestFit="1" customWidth="1"/>
    <col min="15" max="16384" width="8.85546875" style="43"/>
  </cols>
  <sheetData>
    <row r="1" spans="1:13">
      <c r="A1" s="289" t="s">
        <v>0</v>
      </c>
      <c r="B1" s="474"/>
      <c r="C1" s="124"/>
      <c r="D1" s="125"/>
    </row>
    <row r="2" spans="1:13">
      <c r="A2" s="128"/>
      <c r="B2" s="124"/>
      <c r="C2" s="129"/>
      <c r="D2" s="130"/>
      <c r="E2" s="128"/>
      <c r="F2" s="128"/>
    </row>
    <row r="3" spans="1:13" ht="15.6">
      <c r="A3" s="115" t="s">
        <v>1</v>
      </c>
      <c r="B3" s="124"/>
      <c r="C3" s="93" t="str">
        <f>'1-Inschrijfstaat'!B3</f>
        <v>GVB Infra B.V.</v>
      </c>
      <c r="D3" s="130"/>
    </row>
    <row r="4" spans="1:13" ht="15.6">
      <c r="A4" s="115" t="s">
        <v>3</v>
      </c>
      <c r="B4" s="124"/>
      <c r="C4" s="93" t="e">
        <f ca="1">MID(CELL("bestandsnaam",$B$9),SEARCH("]",CELL("bestandsnaam",$B$9),1)+1,256)</f>
        <v>#VALUE!</v>
      </c>
      <c r="D4" s="130"/>
    </row>
    <row r="5" spans="1:13" ht="15.6">
      <c r="A5" s="115" t="s">
        <v>4</v>
      </c>
      <c r="B5" s="124"/>
      <c r="C5" s="93" t="str">
        <f>'1-Inschrijfstaat'!B5</f>
        <v>Diverse</v>
      </c>
      <c r="D5" s="130"/>
    </row>
    <row r="6" spans="1:13" ht="15.6">
      <c r="A6" s="115" t="s">
        <v>47</v>
      </c>
      <c r="B6" s="124"/>
      <c r="C6" s="93" t="str">
        <f>'1-Inschrijfstaat'!B6</f>
        <v>2024-20</v>
      </c>
      <c r="D6" s="130"/>
    </row>
    <row r="7" spans="1:13" ht="15.6">
      <c r="A7" s="115" t="s">
        <v>8</v>
      </c>
      <c r="B7" s="124"/>
      <c r="C7" s="93">
        <f>'1-Inschrijfstaat'!B7</f>
        <v>0</v>
      </c>
      <c r="D7" s="130"/>
    </row>
    <row r="8" spans="1:13" ht="15.6">
      <c r="A8" s="115" t="s">
        <v>9</v>
      </c>
      <c r="B8" s="124"/>
      <c r="C8" s="136" t="str">
        <f>'1-Inschrijfstaat'!B8</f>
        <v>1 januari 2025</v>
      </c>
      <c r="D8" s="130"/>
    </row>
    <row r="9" spans="1:13" ht="15.6">
      <c r="A9" s="137" t="s">
        <v>11</v>
      </c>
      <c r="B9" s="124"/>
      <c r="C9" s="402" t="str">
        <f>'1-Inschrijfstaat'!B9</f>
        <v>2 Specialistiche schoonmaak</v>
      </c>
      <c r="D9" s="139"/>
    </row>
    <row r="10" spans="1:13" s="145" customFormat="1">
      <c r="M10" s="43"/>
    </row>
    <row r="11" spans="1:13" s="145" customFormat="1" ht="26.45">
      <c r="A11" s="364" t="s">
        <v>896</v>
      </c>
      <c r="B11" s="364"/>
      <c r="C11" s="251" t="s">
        <v>897</v>
      </c>
      <c r="D11" s="251" t="s">
        <v>898</v>
      </c>
      <c r="M11" s="43"/>
    </row>
    <row r="12" spans="1:13" s="145" customFormat="1">
      <c r="A12" s="146" t="s">
        <v>899</v>
      </c>
      <c r="B12" s="433"/>
      <c r="C12" s="219" t="s">
        <v>900</v>
      </c>
      <c r="D12" s="308">
        <v>36.55702984724941</v>
      </c>
      <c r="M12" s="43"/>
    </row>
    <row r="13" spans="1:13">
      <c r="E13" s="145"/>
      <c r="F13" s="145"/>
      <c r="G13" s="145"/>
    </row>
    <row r="14" spans="1:13" ht="73.900000000000006" customHeight="1">
      <c r="A14" s="256" t="s">
        <v>49</v>
      </c>
      <c r="B14" s="365" t="s">
        <v>1322</v>
      </c>
      <c r="C14" s="475"/>
      <c r="D14" s="256" t="s">
        <v>11</v>
      </c>
      <c r="E14" s="256" t="s">
        <v>1323</v>
      </c>
      <c r="F14" s="256" t="s">
        <v>1324</v>
      </c>
      <c r="G14" s="256" t="s">
        <v>1325</v>
      </c>
      <c r="H14" s="256" t="s">
        <v>1326</v>
      </c>
      <c r="I14" s="256" t="s">
        <v>1327</v>
      </c>
      <c r="J14" s="256" t="s">
        <v>898</v>
      </c>
      <c r="K14" s="256" t="s">
        <v>1328</v>
      </c>
    </row>
    <row r="15" spans="1:13">
      <c r="A15" s="394">
        <v>401</v>
      </c>
      <c r="B15" s="290" t="s">
        <v>118</v>
      </c>
      <c r="C15" s="476"/>
      <c r="D15" s="309">
        <f>VLOOKUP(A15,'2-Kosten per locatie'!$A$13:$C$88,3,FALSE)</f>
        <v>2</v>
      </c>
      <c r="E15" s="384">
        <f t="shared" ref="E15:E36" si="0">SUMIFS($J$43:$J$219,$A$43:$A$219,$A15,$I$43:$I$219,12)</f>
        <v>39</v>
      </c>
      <c r="F15" s="384">
        <f t="shared" ref="F15:F36" si="1">SUMIFS($J$43:$J$219,$A$43:$A$219,$A15,$I$43:$I$219,2)</f>
        <v>162</v>
      </c>
      <c r="G15" s="288"/>
      <c r="H15" s="288"/>
      <c r="I15" s="278">
        <f t="shared" ref="I15:I16" si="2">(G15*12)+(H15*2)</f>
        <v>0</v>
      </c>
      <c r="J15" s="279">
        <f t="shared" ref="J15:J36" si="3">$D$12</f>
        <v>36.55702984724941</v>
      </c>
      <c r="K15" s="279">
        <f t="shared" ref="K15:K16" si="4">J15*I15</f>
        <v>0</v>
      </c>
    </row>
    <row r="16" spans="1:13">
      <c r="A16" s="394">
        <v>402</v>
      </c>
      <c r="B16" s="290" t="s">
        <v>64</v>
      </c>
      <c r="C16" s="476"/>
      <c r="D16" s="309">
        <f>VLOOKUP(A16,'2-Kosten per locatie'!$A$13:$C$88,3,FALSE)</f>
        <v>2</v>
      </c>
      <c r="E16" s="384">
        <f t="shared" si="0"/>
        <v>41</v>
      </c>
      <c r="F16" s="384">
        <f t="shared" si="1"/>
        <v>188</v>
      </c>
      <c r="G16" s="288"/>
      <c r="H16" s="288"/>
      <c r="I16" s="278">
        <f t="shared" si="2"/>
        <v>0</v>
      </c>
      <c r="J16" s="279">
        <f t="shared" si="3"/>
        <v>36.55702984724941</v>
      </c>
      <c r="K16" s="279">
        <f t="shared" si="4"/>
        <v>0</v>
      </c>
    </row>
    <row r="17" spans="1:11">
      <c r="A17" s="394">
        <v>403</v>
      </c>
      <c r="B17" s="290" t="s">
        <v>67</v>
      </c>
      <c r="C17" s="476"/>
      <c r="D17" s="309">
        <f>VLOOKUP(A17,'2-Kosten per locatie'!$A$13:$C$88,3,FALSE)</f>
        <v>2</v>
      </c>
      <c r="E17" s="384">
        <f t="shared" si="0"/>
        <v>0</v>
      </c>
      <c r="F17" s="384">
        <f t="shared" si="1"/>
        <v>351</v>
      </c>
      <c r="G17" s="278"/>
      <c r="H17" s="288"/>
      <c r="I17" s="278">
        <f t="shared" ref="I17:I27" si="5">(G17*12)+(H17*2)</f>
        <v>0</v>
      </c>
      <c r="J17" s="279">
        <f t="shared" si="3"/>
        <v>36.55702984724941</v>
      </c>
      <c r="K17" s="279">
        <f t="shared" ref="K17:K27" si="6">J17*I17</f>
        <v>0</v>
      </c>
    </row>
    <row r="18" spans="1:11">
      <c r="A18" s="394">
        <v>404</v>
      </c>
      <c r="B18" s="290" t="s">
        <v>69</v>
      </c>
      <c r="C18" s="476"/>
      <c r="D18" s="309">
        <f>VLOOKUP(A18,'2-Kosten per locatie'!$A$13:$C$88,3,FALSE)</f>
        <v>2</v>
      </c>
      <c r="E18" s="384">
        <f t="shared" si="0"/>
        <v>0</v>
      </c>
      <c r="F18" s="384">
        <f t="shared" si="1"/>
        <v>105</v>
      </c>
      <c r="G18" s="278"/>
      <c r="H18" s="288"/>
      <c r="I18" s="278">
        <f t="shared" si="5"/>
        <v>0</v>
      </c>
      <c r="J18" s="279">
        <f t="shared" si="3"/>
        <v>36.55702984724941</v>
      </c>
      <c r="K18" s="279">
        <f t="shared" si="6"/>
        <v>0</v>
      </c>
    </row>
    <row r="19" spans="1:11">
      <c r="A19" s="394">
        <v>405</v>
      </c>
      <c r="B19" s="290" t="s">
        <v>120</v>
      </c>
      <c r="C19" s="476"/>
      <c r="D19" s="309">
        <f>VLOOKUP(A19,'2-Kosten per locatie'!$A$13:$C$88,3,FALSE)</f>
        <v>2</v>
      </c>
      <c r="E19" s="384">
        <f t="shared" si="0"/>
        <v>41</v>
      </c>
      <c r="F19" s="384">
        <f t="shared" si="1"/>
        <v>160</v>
      </c>
      <c r="G19" s="288"/>
      <c r="H19" s="288"/>
      <c r="I19" s="278">
        <f t="shared" si="5"/>
        <v>0</v>
      </c>
      <c r="J19" s="279">
        <f t="shared" si="3"/>
        <v>36.55702984724941</v>
      </c>
      <c r="K19" s="279">
        <f t="shared" si="6"/>
        <v>0</v>
      </c>
    </row>
    <row r="20" spans="1:11">
      <c r="A20" s="394">
        <v>406</v>
      </c>
      <c r="B20" s="290" t="s">
        <v>77</v>
      </c>
      <c r="C20" s="476"/>
      <c r="D20" s="309">
        <f>VLOOKUP(A20,'2-Kosten per locatie'!$A$13:$C$88,3,FALSE)</f>
        <v>2</v>
      </c>
      <c r="E20" s="384">
        <f t="shared" si="0"/>
        <v>41</v>
      </c>
      <c r="F20" s="384">
        <f t="shared" si="1"/>
        <v>172</v>
      </c>
      <c r="G20" s="288"/>
      <c r="H20" s="288"/>
      <c r="I20" s="278">
        <f t="shared" ref="I20:I22" si="7">(G20*12)+(H20*2)</f>
        <v>0</v>
      </c>
      <c r="J20" s="279">
        <f t="shared" si="3"/>
        <v>36.55702984724941</v>
      </c>
      <c r="K20" s="279">
        <f t="shared" ref="K20:K22" si="8">J20*I20</f>
        <v>0</v>
      </c>
    </row>
    <row r="21" spans="1:11">
      <c r="A21" s="394">
        <v>407</v>
      </c>
      <c r="B21" s="290" t="s">
        <v>75</v>
      </c>
      <c r="C21" s="476"/>
      <c r="D21" s="309">
        <f>VLOOKUP(A21,'2-Kosten per locatie'!$A$13:$C$88,3,FALSE)</f>
        <v>2</v>
      </c>
      <c r="E21" s="384">
        <f t="shared" si="0"/>
        <v>41</v>
      </c>
      <c r="F21" s="384">
        <f t="shared" si="1"/>
        <v>188</v>
      </c>
      <c r="G21" s="288"/>
      <c r="H21" s="288"/>
      <c r="I21" s="278">
        <f t="shared" si="7"/>
        <v>0</v>
      </c>
      <c r="J21" s="279">
        <f t="shared" si="3"/>
        <v>36.55702984724941</v>
      </c>
      <c r="K21" s="279">
        <f t="shared" si="8"/>
        <v>0</v>
      </c>
    </row>
    <row r="22" spans="1:11">
      <c r="A22" s="394">
        <v>408</v>
      </c>
      <c r="B22" s="477" t="s">
        <v>73</v>
      </c>
      <c r="C22" s="476"/>
      <c r="D22" s="309">
        <f>VLOOKUP(A22,'2-Kosten per locatie'!$A$13:$C$88,3,FALSE)</f>
        <v>2</v>
      </c>
      <c r="E22" s="384">
        <f t="shared" si="0"/>
        <v>42</v>
      </c>
      <c r="F22" s="384">
        <f t="shared" si="1"/>
        <v>168</v>
      </c>
      <c r="G22" s="388"/>
      <c r="H22" s="388"/>
      <c r="I22" s="278">
        <f t="shared" si="7"/>
        <v>0</v>
      </c>
      <c r="J22" s="279">
        <f t="shared" si="3"/>
        <v>36.55702984724941</v>
      </c>
      <c r="K22" s="279">
        <f t="shared" si="8"/>
        <v>0</v>
      </c>
    </row>
    <row r="23" spans="1:11">
      <c r="A23" s="394">
        <v>409</v>
      </c>
      <c r="B23" s="290" t="s">
        <v>124</v>
      </c>
      <c r="C23" s="476"/>
      <c r="D23" s="309">
        <f>VLOOKUP(A23,'2-Kosten per locatie'!$A$13:$C$88,3,FALSE)</f>
        <v>2</v>
      </c>
      <c r="E23" s="384">
        <f t="shared" si="0"/>
        <v>0</v>
      </c>
      <c r="F23" s="384">
        <f t="shared" si="1"/>
        <v>37</v>
      </c>
      <c r="G23" s="278"/>
      <c r="H23" s="288"/>
      <c r="I23" s="278">
        <f t="shared" si="5"/>
        <v>0</v>
      </c>
      <c r="J23" s="279">
        <f t="shared" si="3"/>
        <v>36.55702984724941</v>
      </c>
      <c r="K23" s="279">
        <f t="shared" si="6"/>
        <v>0</v>
      </c>
    </row>
    <row r="24" spans="1:11">
      <c r="A24" s="394">
        <v>410</v>
      </c>
      <c r="B24" s="290" t="s">
        <v>125</v>
      </c>
      <c r="C24" s="476"/>
      <c r="D24" s="309">
        <f>VLOOKUP(A24,'2-Kosten per locatie'!$A$13:$C$88,3,FALSE)</f>
        <v>2</v>
      </c>
      <c r="E24" s="384">
        <f t="shared" si="0"/>
        <v>0</v>
      </c>
      <c r="F24" s="384">
        <f t="shared" si="1"/>
        <v>33</v>
      </c>
      <c r="G24" s="278"/>
      <c r="H24" s="288"/>
      <c r="I24" s="278">
        <f t="shared" si="5"/>
        <v>0</v>
      </c>
      <c r="J24" s="279">
        <f t="shared" si="3"/>
        <v>36.55702984724941</v>
      </c>
      <c r="K24" s="279">
        <f t="shared" si="6"/>
        <v>0</v>
      </c>
    </row>
    <row r="25" spans="1:11">
      <c r="A25" s="394">
        <v>411</v>
      </c>
      <c r="B25" s="290" t="s">
        <v>126</v>
      </c>
      <c r="C25" s="476"/>
      <c r="D25" s="309">
        <f>VLOOKUP(A25,'2-Kosten per locatie'!$A$13:$C$88,3,FALSE)</f>
        <v>2</v>
      </c>
      <c r="E25" s="384">
        <f t="shared" si="0"/>
        <v>0</v>
      </c>
      <c r="F25" s="384">
        <f t="shared" si="1"/>
        <v>129</v>
      </c>
      <c r="G25" s="278"/>
      <c r="H25" s="288"/>
      <c r="I25" s="278">
        <f t="shared" si="5"/>
        <v>0</v>
      </c>
      <c r="J25" s="279">
        <f t="shared" si="3"/>
        <v>36.55702984724941</v>
      </c>
      <c r="K25" s="279">
        <f t="shared" si="6"/>
        <v>0</v>
      </c>
    </row>
    <row r="26" spans="1:11">
      <c r="A26" s="394" t="s">
        <v>127</v>
      </c>
      <c r="B26" s="290" t="s">
        <v>107</v>
      </c>
      <c r="C26" s="476"/>
      <c r="D26" s="309">
        <f>VLOOKUP(A26,'2-Kosten per locatie'!$A$13:$C$88,3,FALSE)</f>
        <v>2</v>
      </c>
      <c r="E26" s="384">
        <f t="shared" si="0"/>
        <v>0</v>
      </c>
      <c r="F26" s="384">
        <f t="shared" si="1"/>
        <v>42</v>
      </c>
      <c r="G26" s="278"/>
      <c r="H26" s="288"/>
      <c r="I26" s="278">
        <f t="shared" si="5"/>
        <v>0</v>
      </c>
      <c r="J26" s="279">
        <f t="shared" si="3"/>
        <v>36.55702984724941</v>
      </c>
      <c r="K26" s="279">
        <f t="shared" si="6"/>
        <v>0</v>
      </c>
    </row>
    <row r="27" spans="1:11">
      <c r="A27" s="281" t="s">
        <v>128</v>
      </c>
      <c r="B27" s="290" t="s">
        <v>109</v>
      </c>
      <c r="C27" s="476"/>
      <c r="D27" s="309">
        <f>VLOOKUP(A27,'2-Kosten per locatie'!$A$13:$C$88,3,FALSE)</f>
        <v>2</v>
      </c>
      <c r="E27" s="384">
        <f t="shared" si="0"/>
        <v>0</v>
      </c>
      <c r="F27" s="384">
        <f t="shared" si="1"/>
        <v>41</v>
      </c>
      <c r="G27" s="278"/>
      <c r="H27" s="288"/>
      <c r="I27" s="278">
        <f t="shared" si="5"/>
        <v>0</v>
      </c>
      <c r="J27" s="279">
        <f t="shared" si="3"/>
        <v>36.55702984724941</v>
      </c>
      <c r="K27" s="279">
        <f t="shared" si="6"/>
        <v>0</v>
      </c>
    </row>
    <row r="28" spans="1:11">
      <c r="A28" s="252" t="s">
        <v>129</v>
      </c>
      <c r="B28" s="477" t="s">
        <v>115</v>
      </c>
      <c r="C28" s="478"/>
      <c r="D28" s="309">
        <f>VLOOKUP(A28,'2-Kosten per locatie'!$A$13:$C$88,3,FALSE)</f>
        <v>2</v>
      </c>
      <c r="E28" s="384">
        <f t="shared" si="0"/>
        <v>0</v>
      </c>
      <c r="F28" s="384">
        <f t="shared" si="1"/>
        <v>42</v>
      </c>
      <c r="G28" s="386"/>
      <c r="H28" s="288"/>
      <c r="I28" s="386">
        <f t="shared" ref="I28" si="9">(G28*12)+(H28*2)</f>
        <v>0</v>
      </c>
      <c r="J28" s="387">
        <f t="shared" si="3"/>
        <v>36.55702984724941</v>
      </c>
      <c r="K28" s="387">
        <f t="shared" ref="K28" si="10">J28*I28</f>
        <v>0</v>
      </c>
    </row>
    <row r="29" spans="1:11">
      <c r="A29" s="252">
        <v>414</v>
      </c>
      <c r="B29" s="290" t="s">
        <v>72</v>
      </c>
      <c r="C29" s="476"/>
      <c r="D29" s="389">
        <v>2</v>
      </c>
      <c r="E29" s="384">
        <f t="shared" si="0"/>
        <v>0</v>
      </c>
      <c r="F29" s="384">
        <f t="shared" si="1"/>
        <v>0</v>
      </c>
      <c r="G29" s="386"/>
      <c r="H29" s="288"/>
      <c r="I29" s="386">
        <f t="shared" ref="I29:I36" si="11">(G29*12)+(H29*2)</f>
        <v>0</v>
      </c>
      <c r="J29" s="387">
        <f t="shared" si="3"/>
        <v>36.55702984724941</v>
      </c>
      <c r="K29" s="387">
        <f t="shared" ref="K29:K36" si="12">J29*I29</f>
        <v>0</v>
      </c>
    </row>
    <row r="30" spans="1:11">
      <c r="A30" s="252">
        <v>415</v>
      </c>
      <c r="B30" s="477" t="s">
        <v>93</v>
      </c>
      <c r="C30" s="478"/>
      <c r="D30" s="389">
        <v>2</v>
      </c>
      <c r="E30" s="384">
        <f t="shared" si="0"/>
        <v>0</v>
      </c>
      <c r="F30" s="384">
        <f t="shared" si="1"/>
        <v>0</v>
      </c>
      <c r="G30" s="386"/>
      <c r="H30" s="288"/>
      <c r="I30" s="386">
        <f t="shared" si="11"/>
        <v>0</v>
      </c>
      <c r="J30" s="387">
        <f t="shared" si="3"/>
        <v>36.55702984724941</v>
      </c>
      <c r="K30" s="387">
        <f t="shared" si="12"/>
        <v>0</v>
      </c>
    </row>
    <row r="31" spans="1:11">
      <c r="A31" s="252">
        <v>418</v>
      </c>
      <c r="B31" s="290" t="s">
        <v>130</v>
      </c>
      <c r="C31" s="476"/>
      <c r="D31" s="389">
        <v>2</v>
      </c>
      <c r="E31" s="384">
        <f t="shared" si="0"/>
        <v>0</v>
      </c>
      <c r="F31" s="384">
        <f t="shared" si="1"/>
        <v>6</v>
      </c>
      <c r="G31" s="386"/>
      <c r="H31" s="288"/>
      <c r="I31" s="386">
        <f t="shared" si="11"/>
        <v>0</v>
      </c>
      <c r="J31" s="387">
        <f t="shared" si="3"/>
        <v>36.55702984724941</v>
      </c>
      <c r="K31" s="387">
        <f t="shared" si="12"/>
        <v>0</v>
      </c>
    </row>
    <row r="32" spans="1:11">
      <c r="A32" s="252">
        <v>419</v>
      </c>
      <c r="B32" s="477" t="s">
        <v>131</v>
      </c>
      <c r="C32" s="478"/>
      <c r="D32" s="389">
        <v>2</v>
      </c>
      <c r="E32" s="384">
        <f t="shared" si="0"/>
        <v>0</v>
      </c>
      <c r="F32" s="384">
        <f t="shared" si="1"/>
        <v>0</v>
      </c>
      <c r="G32" s="386"/>
      <c r="H32" s="288"/>
      <c r="I32" s="386">
        <f t="shared" si="11"/>
        <v>0</v>
      </c>
      <c r="J32" s="387">
        <f t="shared" si="3"/>
        <v>36.55702984724941</v>
      </c>
      <c r="K32" s="387">
        <f t="shared" si="12"/>
        <v>0</v>
      </c>
    </row>
    <row r="33" spans="1:12">
      <c r="A33" s="252">
        <v>413</v>
      </c>
      <c r="B33" s="477" t="s">
        <v>132</v>
      </c>
      <c r="C33" s="478"/>
      <c r="D33" s="389">
        <f>VLOOKUP(A33,'2-Kosten per locatie'!$A$13:$C$88,3,FALSE)</f>
        <v>2</v>
      </c>
      <c r="E33" s="384">
        <f t="shared" si="0"/>
        <v>0</v>
      </c>
      <c r="F33" s="384">
        <f t="shared" si="1"/>
        <v>91</v>
      </c>
      <c r="G33" s="386"/>
      <c r="H33" s="388"/>
      <c r="I33" s="386">
        <f t="shared" si="11"/>
        <v>0</v>
      </c>
      <c r="J33" s="387">
        <f t="shared" si="3"/>
        <v>36.55702984724941</v>
      </c>
      <c r="K33" s="387">
        <f t="shared" si="12"/>
        <v>0</v>
      </c>
    </row>
    <row r="34" spans="1:12">
      <c r="A34" s="252">
        <v>416</v>
      </c>
      <c r="B34" s="477" t="s">
        <v>133</v>
      </c>
      <c r="C34" s="478"/>
      <c r="D34" s="389">
        <f>VLOOKUP(A34,'2-Kosten per locatie'!$A$13:$C$88,3,FALSE)</f>
        <v>2</v>
      </c>
      <c r="E34" s="384">
        <f t="shared" si="0"/>
        <v>0</v>
      </c>
      <c r="F34" s="384">
        <f t="shared" si="1"/>
        <v>64</v>
      </c>
      <c r="G34" s="386"/>
      <c r="H34" s="388"/>
      <c r="I34" s="386">
        <f t="shared" si="11"/>
        <v>0</v>
      </c>
      <c r="J34" s="387">
        <f t="shared" si="3"/>
        <v>36.55702984724941</v>
      </c>
      <c r="K34" s="387">
        <f t="shared" si="12"/>
        <v>0</v>
      </c>
    </row>
    <row r="35" spans="1:12">
      <c r="A35" s="252">
        <v>417</v>
      </c>
      <c r="B35" s="477" t="s">
        <v>134</v>
      </c>
      <c r="C35" s="478"/>
      <c r="D35" s="389">
        <f>VLOOKUP(A35,'2-Kosten per locatie'!$A$13:$C$88,3,FALSE)</f>
        <v>2</v>
      </c>
      <c r="E35" s="384">
        <f t="shared" si="0"/>
        <v>0</v>
      </c>
      <c r="F35" s="384">
        <f t="shared" si="1"/>
        <v>69</v>
      </c>
      <c r="G35" s="386"/>
      <c r="H35" s="388"/>
      <c r="I35" s="386">
        <f t="shared" si="11"/>
        <v>0</v>
      </c>
      <c r="J35" s="387">
        <f t="shared" si="3"/>
        <v>36.55702984724941</v>
      </c>
      <c r="K35" s="387">
        <f t="shared" si="12"/>
        <v>0</v>
      </c>
    </row>
    <row r="36" spans="1:12">
      <c r="A36" s="252" t="s">
        <v>135</v>
      </c>
      <c r="B36" s="149" t="s">
        <v>136</v>
      </c>
      <c r="C36" s="478"/>
      <c r="D36" s="389">
        <f>VLOOKUP(A36,'2-Kosten per locatie'!$A$13:$C$88,3,FALSE)</f>
        <v>2</v>
      </c>
      <c r="E36" s="384">
        <f t="shared" si="0"/>
        <v>0</v>
      </c>
      <c r="F36" s="384">
        <f t="shared" si="1"/>
        <v>24</v>
      </c>
      <c r="G36" s="386"/>
      <c r="H36" s="388"/>
      <c r="I36" s="386">
        <f t="shared" si="11"/>
        <v>0</v>
      </c>
      <c r="J36" s="387">
        <f t="shared" si="3"/>
        <v>36.55702984724941</v>
      </c>
      <c r="K36" s="387">
        <f t="shared" si="12"/>
        <v>0</v>
      </c>
    </row>
    <row r="37" spans="1:12">
      <c r="A37" s="294" t="s">
        <v>917</v>
      </c>
      <c r="B37" s="476"/>
      <c r="C37" s="476"/>
      <c r="D37" s="479"/>
      <c r="E37" s="480"/>
      <c r="F37" s="480"/>
      <c r="G37" s="481"/>
      <c r="H37" s="481"/>
      <c r="I37" s="481"/>
      <c r="J37" s="482"/>
      <c r="K37" s="435">
        <f>SUM(K15:K36)</f>
        <v>0</v>
      </c>
    </row>
    <row r="38" spans="1:12">
      <c r="F38" s="148"/>
      <c r="G38" s="148"/>
      <c r="H38" s="155"/>
      <c r="I38" s="155"/>
      <c r="J38" s="155"/>
      <c r="K38" s="156"/>
      <c r="L38" s="157"/>
    </row>
    <row r="39" spans="1:12">
      <c r="A39" s="150" t="s">
        <v>1235</v>
      </c>
      <c r="C39" s="148"/>
      <c r="D39" s="148"/>
      <c r="E39" s="155"/>
      <c r="F39" s="155"/>
      <c r="G39" s="155"/>
    </row>
    <row r="40" spans="1:12">
      <c r="A40" s="150"/>
      <c r="C40" s="148"/>
      <c r="D40" s="148"/>
      <c r="E40" s="155"/>
      <c r="F40" s="155"/>
      <c r="G40" s="155"/>
    </row>
    <row r="41" spans="1:12" ht="15.6">
      <c r="A41" s="115" t="s">
        <v>1329</v>
      </c>
    </row>
    <row r="42" spans="1:12" ht="26.45">
      <c r="A42" s="249" t="s">
        <v>49</v>
      </c>
      <c r="B42" s="249" t="s">
        <v>50</v>
      </c>
      <c r="C42" s="249" t="s">
        <v>51</v>
      </c>
      <c r="D42" s="256" t="s">
        <v>11</v>
      </c>
      <c r="E42" s="249" t="s">
        <v>142</v>
      </c>
      <c r="F42" s="249" t="s">
        <v>143</v>
      </c>
      <c r="G42" s="249" t="s">
        <v>1330</v>
      </c>
      <c r="H42" s="249" t="s">
        <v>144</v>
      </c>
      <c r="I42" s="249" t="s">
        <v>939</v>
      </c>
      <c r="J42" s="249" t="s">
        <v>1331</v>
      </c>
    </row>
    <row r="43" spans="1:12">
      <c r="A43" s="281">
        <v>401</v>
      </c>
      <c r="B43" s="361" t="s">
        <v>118</v>
      </c>
      <c r="C43" s="151" t="s">
        <v>737</v>
      </c>
      <c r="D43" s="310">
        <f>VLOOKUP(A43,'2-Kosten per locatie'!$A$13:$C$88,3,FALSE)</f>
        <v>2</v>
      </c>
      <c r="E43" s="153" t="s">
        <v>823</v>
      </c>
      <c r="F43" s="431" t="s">
        <v>515</v>
      </c>
      <c r="G43" s="311" t="s">
        <v>1332</v>
      </c>
      <c r="H43" s="312" t="s">
        <v>162</v>
      </c>
      <c r="I43" s="313">
        <v>12</v>
      </c>
      <c r="J43" s="282">
        <v>12</v>
      </c>
    </row>
    <row r="44" spans="1:12">
      <c r="A44" s="281">
        <v>401</v>
      </c>
      <c r="B44" s="361" t="s">
        <v>118</v>
      </c>
      <c r="C44" s="151" t="s">
        <v>737</v>
      </c>
      <c r="D44" s="310">
        <f>VLOOKUP(A44,'2-Kosten per locatie'!$A$13:$C$88,3,FALSE)</f>
        <v>2</v>
      </c>
      <c r="E44" s="153" t="s">
        <v>747</v>
      </c>
      <c r="F44" s="431" t="s">
        <v>284</v>
      </c>
      <c r="G44" s="311" t="s">
        <v>1333</v>
      </c>
      <c r="H44" s="312" t="s">
        <v>162</v>
      </c>
      <c r="I44" s="313">
        <v>12</v>
      </c>
      <c r="J44" s="282">
        <v>3</v>
      </c>
    </row>
    <row r="45" spans="1:12">
      <c r="A45" s="281">
        <v>401</v>
      </c>
      <c r="B45" s="361" t="s">
        <v>118</v>
      </c>
      <c r="C45" s="151" t="s">
        <v>737</v>
      </c>
      <c r="D45" s="310">
        <f>VLOOKUP(A45,'2-Kosten per locatie'!$A$13:$C$88,3,FALSE)</f>
        <v>2</v>
      </c>
      <c r="E45" s="153" t="s">
        <v>157</v>
      </c>
      <c r="F45" s="431" t="s">
        <v>158</v>
      </c>
      <c r="G45" s="311" t="s">
        <v>1334</v>
      </c>
      <c r="H45" s="312" t="s">
        <v>162</v>
      </c>
      <c r="I45" s="313">
        <v>12</v>
      </c>
      <c r="J45" s="282">
        <v>16</v>
      </c>
    </row>
    <row r="46" spans="1:12">
      <c r="A46" s="281">
        <v>401</v>
      </c>
      <c r="B46" s="361" t="s">
        <v>118</v>
      </c>
      <c r="C46" s="151" t="s">
        <v>737</v>
      </c>
      <c r="D46" s="310">
        <f>VLOOKUP(A46,'2-Kosten per locatie'!$A$13:$C$88,3,FALSE)</f>
        <v>2</v>
      </c>
      <c r="E46" s="153" t="s">
        <v>824</v>
      </c>
      <c r="F46" s="154" t="s">
        <v>825</v>
      </c>
      <c r="G46" s="311" t="s">
        <v>1335</v>
      </c>
      <c r="H46" s="312" t="s">
        <v>162</v>
      </c>
      <c r="I46" s="313">
        <v>2</v>
      </c>
      <c r="J46" s="282">
        <v>12</v>
      </c>
    </row>
    <row r="47" spans="1:12">
      <c r="A47" s="281">
        <v>401</v>
      </c>
      <c r="B47" s="361" t="s">
        <v>118</v>
      </c>
      <c r="C47" s="151" t="s">
        <v>737</v>
      </c>
      <c r="D47" s="310">
        <f>VLOOKUP(A47,'2-Kosten per locatie'!$A$13:$C$88,3,FALSE)</f>
        <v>2</v>
      </c>
      <c r="E47" s="153" t="s">
        <v>826</v>
      </c>
      <c r="F47" s="154" t="s">
        <v>827</v>
      </c>
      <c r="G47" s="311" t="s">
        <v>1335</v>
      </c>
      <c r="H47" s="312" t="s">
        <v>162</v>
      </c>
      <c r="I47" s="313">
        <v>2</v>
      </c>
      <c r="J47" s="282">
        <v>5</v>
      </c>
    </row>
    <row r="48" spans="1:12">
      <c r="A48" s="281">
        <v>401</v>
      </c>
      <c r="B48" s="361" t="s">
        <v>118</v>
      </c>
      <c r="C48" s="151" t="s">
        <v>737</v>
      </c>
      <c r="D48" s="310">
        <f>VLOOKUP(A48,'2-Kosten per locatie'!$A$13:$C$88,3,FALSE)</f>
        <v>2</v>
      </c>
      <c r="E48" s="153" t="s">
        <v>699</v>
      </c>
      <c r="F48" s="154" t="s">
        <v>603</v>
      </c>
      <c r="G48" s="311" t="s">
        <v>1335</v>
      </c>
      <c r="H48" s="312" t="s">
        <v>162</v>
      </c>
      <c r="I48" s="313">
        <v>2</v>
      </c>
      <c r="J48" s="282">
        <v>6</v>
      </c>
    </row>
    <row r="49" spans="1:10">
      <c r="A49" s="281">
        <v>401</v>
      </c>
      <c r="B49" s="361" t="s">
        <v>118</v>
      </c>
      <c r="C49" s="151" t="s">
        <v>737</v>
      </c>
      <c r="D49" s="310">
        <f>VLOOKUP(A49,'2-Kosten per locatie'!$A$13:$C$88,3,FALSE)</f>
        <v>2</v>
      </c>
      <c r="E49" s="153" t="s">
        <v>828</v>
      </c>
      <c r="F49" s="154" t="s">
        <v>829</v>
      </c>
      <c r="G49" s="311" t="s">
        <v>1335</v>
      </c>
      <c r="H49" s="312" t="s">
        <v>162</v>
      </c>
      <c r="I49" s="313">
        <v>2</v>
      </c>
      <c r="J49" s="282">
        <v>7</v>
      </c>
    </row>
    <row r="50" spans="1:10">
      <c r="A50" s="281">
        <v>401</v>
      </c>
      <c r="B50" s="361" t="s">
        <v>118</v>
      </c>
      <c r="C50" s="151" t="s">
        <v>737</v>
      </c>
      <c r="D50" s="310">
        <f>VLOOKUP(A50,'2-Kosten per locatie'!$A$13:$C$88,3,FALSE)</f>
        <v>2</v>
      </c>
      <c r="E50" s="153" t="s">
        <v>828</v>
      </c>
      <c r="F50" s="154" t="s">
        <v>830</v>
      </c>
      <c r="G50" s="311" t="s">
        <v>1335</v>
      </c>
      <c r="H50" s="312" t="s">
        <v>162</v>
      </c>
      <c r="I50" s="313">
        <v>2</v>
      </c>
      <c r="J50" s="282">
        <v>16</v>
      </c>
    </row>
    <row r="51" spans="1:10">
      <c r="A51" s="281">
        <v>401</v>
      </c>
      <c r="B51" s="361" t="s">
        <v>118</v>
      </c>
      <c r="C51" s="151" t="s">
        <v>737</v>
      </c>
      <c r="D51" s="310">
        <f>VLOOKUP(A51,'2-Kosten per locatie'!$A$13:$C$88,3,FALSE)</f>
        <v>2</v>
      </c>
      <c r="E51" s="153"/>
      <c r="F51" s="154" t="s">
        <v>831</v>
      </c>
      <c r="G51" s="311" t="s">
        <v>1335</v>
      </c>
      <c r="H51" s="312" t="s">
        <v>162</v>
      </c>
      <c r="I51" s="313">
        <v>2</v>
      </c>
      <c r="J51" s="282">
        <v>85</v>
      </c>
    </row>
    <row r="52" spans="1:10">
      <c r="A52" s="281">
        <v>401</v>
      </c>
      <c r="B52" s="361" t="s">
        <v>118</v>
      </c>
      <c r="C52" s="151" t="s">
        <v>737</v>
      </c>
      <c r="D52" s="310">
        <f>VLOOKUP(A52,'2-Kosten per locatie'!$A$13:$C$88,3,FALSE)</f>
        <v>2</v>
      </c>
      <c r="E52" s="153" t="s">
        <v>157</v>
      </c>
      <c r="F52" s="431" t="s">
        <v>509</v>
      </c>
      <c r="G52" s="311" t="s">
        <v>1334</v>
      </c>
      <c r="H52" s="312" t="s">
        <v>162</v>
      </c>
      <c r="I52" s="313">
        <v>12</v>
      </c>
      <c r="J52" s="282">
        <v>6</v>
      </c>
    </row>
    <row r="53" spans="1:10">
      <c r="A53" s="281">
        <v>401</v>
      </c>
      <c r="B53" s="361" t="s">
        <v>118</v>
      </c>
      <c r="C53" s="151" t="s">
        <v>737</v>
      </c>
      <c r="D53" s="310">
        <f>VLOOKUP(A53,'2-Kosten per locatie'!$A$13:$C$88,3,FALSE)</f>
        <v>2</v>
      </c>
      <c r="E53" s="153" t="s">
        <v>832</v>
      </c>
      <c r="F53" s="431" t="s">
        <v>833</v>
      </c>
      <c r="G53" s="311" t="s">
        <v>1336</v>
      </c>
      <c r="H53" s="312" t="s">
        <v>162</v>
      </c>
      <c r="I53" s="313">
        <v>12</v>
      </c>
      <c r="J53" s="282">
        <v>2</v>
      </c>
    </row>
    <row r="54" spans="1:10">
      <c r="A54" s="281">
        <v>401</v>
      </c>
      <c r="B54" s="361" t="s">
        <v>118</v>
      </c>
      <c r="C54" s="151" t="s">
        <v>737</v>
      </c>
      <c r="D54" s="310">
        <f>VLOOKUP(A54,'2-Kosten per locatie'!$A$13:$C$88,3,FALSE)</f>
        <v>2</v>
      </c>
      <c r="E54" s="153" t="s">
        <v>834</v>
      </c>
      <c r="F54" s="154" t="s">
        <v>559</v>
      </c>
      <c r="G54" s="311" t="s">
        <v>1335</v>
      </c>
      <c r="H54" s="312" t="s">
        <v>214</v>
      </c>
      <c r="I54" s="313">
        <v>2</v>
      </c>
      <c r="J54" s="282">
        <v>4</v>
      </c>
    </row>
    <row r="55" spans="1:10">
      <c r="A55" s="281">
        <v>401</v>
      </c>
      <c r="B55" s="361" t="s">
        <v>118</v>
      </c>
      <c r="C55" s="151" t="s">
        <v>737</v>
      </c>
      <c r="D55" s="310">
        <f>VLOOKUP(A55,'2-Kosten per locatie'!$A$13:$C$88,3,FALSE)</f>
        <v>2</v>
      </c>
      <c r="E55" s="153" t="s">
        <v>828</v>
      </c>
      <c r="F55" s="154" t="s">
        <v>835</v>
      </c>
      <c r="G55" s="311" t="s">
        <v>1335</v>
      </c>
      <c r="H55" s="312" t="s">
        <v>214</v>
      </c>
      <c r="I55" s="313">
        <v>2</v>
      </c>
      <c r="J55" s="282">
        <v>27</v>
      </c>
    </row>
    <row r="56" spans="1:10">
      <c r="A56" s="281">
        <v>401</v>
      </c>
      <c r="B56" s="361" t="s">
        <v>118</v>
      </c>
      <c r="C56" s="151" t="s">
        <v>737</v>
      </c>
      <c r="D56" s="310">
        <f>VLOOKUP(A56,'2-Kosten per locatie'!$A$13:$C$88,3,FALSE)</f>
        <v>2</v>
      </c>
      <c r="E56" s="153" t="s">
        <v>828</v>
      </c>
      <c r="F56" s="154" t="s">
        <v>836</v>
      </c>
      <c r="G56" s="311" t="s">
        <v>1337</v>
      </c>
      <c r="H56" s="312" t="s">
        <v>214</v>
      </c>
      <c r="I56" s="313">
        <v>0</v>
      </c>
      <c r="J56" s="282">
        <v>12</v>
      </c>
    </row>
    <row r="57" spans="1:10">
      <c r="A57" s="281">
        <v>401</v>
      </c>
      <c r="B57" s="361" t="s">
        <v>118</v>
      </c>
      <c r="C57" s="151" t="s">
        <v>737</v>
      </c>
      <c r="D57" s="310">
        <f>VLOOKUP(A57,'2-Kosten per locatie'!$A$13:$C$88,3,FALSE)</f>
        <v>2</v>
      </c>
      <c r="E57" s="153" t="s">
        <v>828</v>
      </c>
      <c r="F57" s="154" t="s">
        <v>837</v>
      </c>
      <c r="G57" s="311" t="s">
        <v>1337</v>
      </c>
      <c r="H57" s="312" t="s">
        <v>214</v>
      </c>
      <c r="I57" s="313">
        <v>0</v>
      </c>
      <c r="J57" s="282">
        <v>12</v>
      </c>
    </row>
    <row r="58" spans="1:10">
      <c r="A58" s="281">
        <v>401</v>
      </c>
      <c r="B58" s="361" t="s">
        <v>118</v>
      </c>
      <c r="C58" s="151" t="s">
        <v>737</v>
      </c>
      <c r="D58" s="310">
        <f>VLOOKUP(A58,'2-Kosten per locatie'!$A$13:$C$88,3,FALSE)</f>
        <v>2</v>
      </c>
      <c r="E58" s="153" t="s">
        <v>787</v>
      </c>
      <c r="F58" s="154" t="s">
        <v>838</v>
      </c>
      <c r="G58" s="311" t="s">
        <v>1337</v>
      </c>
      <c r="H58" s="312" t="s">
        <v>214</v>
      </c>
      <c r="I58" s="313">
        <v>0</v>
      </c>
      <c r="J58" s="282">
        <v>12</v>
      </c>
    </row>
    <row r="59" spans="1:10">
      <c r="A59" s="281">
        <v>402</v>
      </c>
      <c r="B59" s="149" t="s">
        <v>64</v>
      </c>
      <c r="C59" s="151" t="s">
        <v>737</v>
      </c>
      <c r="D59" s="310">
        <f>VLOOKUP(A59,'2-Kosten per locatie'!$A$13:$C$88,3,FALSE)</f>
        <v>2</v>
      </c>
      <c r="E59" s="153" t="s">
        <v>190</v>
      </c>
      <c r="F59" s="431" t="s">
        <v>792</v>
      </c>
      <c r="G59" s="311" t="s">
        <v>1334</v>
      </c>
      <c r="H59" s="312" t="s">
        <v>171</v>
      </c>
      <c r="I59" s="313">
        <v>12</v>
      </c>
      <c r="J59" s="282">
        <v>19</v>
      </c>
    </row>
    <row r="60" spans="1:10">
      <c r="A60" s="281">
        <v>402</v>
      </c>
      <c r="B60" s="149" t="s">
        <v>64</v>
      </c>
      <c r="C60" s="151" t="s">
        <v>737</v>
      </c>
      <c r="D60" s="310">
        <f>VLOOKUP(A60,'2-Kosten per locatie'!$A$13:$C$88,3,FALSE)</f>
        <v>2</v>
      </c>
      <c r="E60" s="153" t="s">
        <v>793</v>
      </c>
      <c r="F60" s="431" t="s">
        <v>794</v>
      </c>
      <c r="G60" s="311" t="s">
        <v>1332</v>
      </c>
      <c r="H60" s="312" t="s">
        <v>171</v>
      </c>
      <c r="I60" s="313">
        <v>12</v>
      </c>
      <c r="J60" s="282">
        <v>12</v>
      </c>
    </row>
    <row r="61" spans="1:10">
      <c r="A61" s="281">
        <v>402</v>
      </c>
      <c r="B61" s="149" t="s">
        <v>64</v>
      </c>
      <c r="C61" s="151" t="s">
        <v>737</v>
      </c>
      <c r="D61" s="310">
        <f>VLOOKUP(A61,'2-Kosten per locatie'!$A$13:$C$88,3,FALSE)</f>
        <v>2</v>
      </c>
      <c r="E61" s="153" t="s">
        <v>605</v>
      </c>
      <c r="F61" s="431" t="s">
        <v>795</v>
      </c>
      <c r="G61" s="311" t="s">
        <v>1333</v>
      </c>
      <c r="H61" s="312" t="s">
        <v>171</v>
      </c>
      <c r="I61" s="313">
        <v>12</v>
      </c>
      <c r="J61" s="282">
        <v>1</v>
      </c>
    </row>
    <row r="62" spans="1:10">
      <c r="A62" s="281">
        <v>402</v>
      </c>
      <c r="B62" s="149" t="s">
        <v>64</v>
      </c>
      <c r="C62" s="151" t="s">
        <v>737</v>
      </c>
      <c r="D62" s="310">
        <f>VLOOKUP(A62,'2-Kosten per locatie'!$A$13:$C$88,3,FALSE)</f>
        <v>2</v>
      </c>
      <c r="E62" s="153" t="s">
        <v>605</v>
      </c>
      <c r="F62" s="431" t="s">
        <v>796</v>
      </c>
      <c r="G62" s="311" t="s">
        <v>1333</v>
      </c>
      <c r="H62" s="312" t="s">
        <v>171</v>
      </c>
      <c r="I62" s="313">
        <v>12</v>
      </c>
      <c r="J62" s="282">
        <v>1</v>
      </c>
    </row>
    <row r="63" spans="1:10">
      <c r="A63" s="281">
        <v>402</v>
      </c>
      <c r="B63" s="149" t="s">
        <v>64</v>
      </c>
      <c r="C63" s="151" t="s">
        <v>737</v>
      </c>
      <c r="D63" s="310">
        <f>VLOOKUP(A63,'2-Kosten per locatie'!$A$13:$C$88,3,FALSE)</f>
        <v>2</v>
      </c>
      <c r="E63" s="153" t="s">
        <v>797</v>
      </c>
      <c r="F63" s="154" t="s">
        <v>798</v>
      </c>
      <c r="G63" s="311" t="s">
        <v>1335</v>
      </c>
      <c r="H63" s="312" t="s">
        <v>171</v>
      </c>
      <c r="I63" s="313">
        <v>2</v>
      </c>
      <c r="J63" s="282">
        <v>12</v>
      </c>
    </row>
    <row r="64" spans="1:10">
      <c r="A64" s="281">
        <v>402</v>
      </c>
      <c r="B64" s="149" t="s">
        <v>64</v>
      </c>
      <c r="C64" s="151" t="s">
        <v>737</v>
      </c>
      <c r="D64" s="310">
        <f>VLOOKUP(A64,'2-Kosten per locatie'!$A$13:$C$88,3,FALSE)</f>
        <v>2</v>
      </c>
      <c r="E64" s="153" t="s">
        <v>799</v>
      </c>
      <c r="F64" s="154" t="s">
        <v>800</v>
      </c>
      <c r="G64" s="311" t="s">
        <v>1335</v>
      </c>
      <c r="H64" s="312" t="s">
        <v>171</v>
      </c>
      <c r="I64" s="313">
        <v>2</v>
      </c>
      <c r="J64" s="282">
        <v>6</v>
      </c>
    </row>
    <row r="65" spans="1:10">
      <c r="A65" s="281">
        <v>402</v>
      </c>
      <c r="B65" s="149" t="s">
        <v>64</v>
      </c>
      <c r="C65" s="151" t="s">
        <v>737</v>
      </c>
      <c r="D65" s="310">
        <f>VLOOKUP(A65,'2-Kosten per locatie'!$A$13:$C$88,3,FALSE)</f>
        <v>2</v>
      </c>
      <c r="E65" s="153" t="s">
        <v>801</v>
      </c>
      <c r="F65" s="154" t="s">
        <v>802</v>
      </c>
      <c r="G65" s="311" t="s">
        <v>1335</v>
      </c>
      <c r="H65" s="312" t="s">
        <v>171</v>
      </c>
      <c r="I65" s="313">
        <v>2</v>
      </c>
      <c r="J65" s="282">
        <v>7</v>
      </c>
    </row>
    <row r="66" spans="1:10">
      <c r="A66" s="281">
        <v>402</v>
      </c>
      <c r="B66" s="149" t="s">
        <v>64</v>
      </c>
      <c r="C66" s="151" t="s">
        <v>737</v>
      </c>
      <c r="D66" s="310">
        <f>VLOOKUP(A66,'2-Kosten per locatie'!$A$13:$C$88,3,FALSE)</f>
        <v>2</v>
      </c>
      <c r="E66" s="153" t="s">
        <v>803</v>
      </c>
      <c r="F66" s="154" t="s">
        <v>804</v>
      </c>
      <c r="G66" s="311" t="s">
        <v>1335</v>
      </c>
      <c r="H66" s="312" t="s">
        <v>171</v>
      </c>
      <c r="I66" s="313">
        <v>2</v>
      </c>
      <c r="J66" s="282">
        <v>22</v>
      </c>
    </row>
    <row r="67" spans="1:10">
      <c r="A67" s="281">
        <v>402</v>
      </c>
      <c r="B67" s="149" t="s">
        <v>64</v>
      </c>
      <c r="C67" s="151" t="s">
        <v>737</v>
      </c>
      <c r="D67" s="310">
        <f>VLOOKUP(A67,'2-Kosten per locatie'!$A$13:$C$88,3,FALSE)</f>
        <v>2</v>
      </c>
      <c r="E67" s="153" t="s">
        <v>805</v>
      </c>
      <c r="F67" s="154" t="s">
        <v>806</v>
      </c>
      <c r="G67" s="311" t="s">
        <v>1335</v>
      </c>
      <c r="H67" s="312" t="s">
        <v>171</v>
      </c>
      <c r="I67" s="313">
        <v>2</v>
      </c>
      <c r="J67" s="282">
        <v>101</v>
      </c>
    </row>
    <row r="68" spans="1:10">
      <c r="A68" s="281">
        <v>402</v>
      </c>
      <c r="B68" s="149" t="s">
        <v>64</v>
      </c>
      <c r="C68" s="151" t="s">
        <v>737</v>
      </c>
      <c r="D68" s="310">
        <f>VLOOKUP(A68,'2-Kosten per locatie'!$A$13:$C$88,3,FALSE)</f>
        <v>2</v>
      </c>
      <c r="E68" s="153" t="s">
        <v>807</v>
      </c>
      <c r="F68" s="154" t="s">
        <v>808</v>
      </c>
      <c r="G68" s="311" t="s">
        <v>1337</v>
      </c>
      <c r="H68" s="312" t="s">
        <v>205</v>
      </c>
      <c r="I68" s="313">
        <v>0</v>
      </c>
      <c r="J68" s="282">
        <v>12</v>
      </c>
    </row>
    <row r="69" spans="1:10">
      <c r="A69" s="281">
        <v>402</v>
      </c>
      <c r="B69" s="149" t="s">
        <v>64</v>
      </c>
      <c r="C69" s="151" t="s">
        <v>737</v>
      </c>
      <c r="D69" s="310">
        <f>VLOOKUP(A69,'2-Kosten per locatie'!$A$13:$C$88,3,FALSE)</f>
        <v>2</v>
      </c>
      <c r="E69" s="153" t="s">
        <v>809</v>
      </c>
      <c r="F69" s="154" t="s">
        <v>810</v>
      </c>
      <c r="G69" s="311" t="s">
        <v>1335</v>
      </c>
      <c r="H69" s="312" t="s">
        <v>162</v>
      </c>
      <c r="I69" s="313">
        <v>2</v>
      </c>
      <c r="J69" s="282">
        <v>12</v>
      </c>
    </row>
    <row r="70" spans="1:10">
      <c r="A70" s="281">
        <v>402</v>
      </c>
      <c r="B70" s="149" t="s">
        <v>64</v>
      </c>
      <c r="C70" s="151" t="s">
        <v>737</v>
      </c>
      <c r="D70" s="310">
        <f>VLOOKUP(A70,'2-Kosten per locatie'!$A$13:$C$88,3,FALSE)</f>
        <v>2</v>
      </c>
      <c r="E70" s="153" t="s">
        <v>807</v>
      </c>
      <c r="F70" s="154" t="s">
        <v>811</v>
      </c>
      <c r="G70" s="311" t="s">
        <v>1337</v>
      </c>
      <c r="H70" s="312" t="s">
        <v>205</v>
      </c>
      <c r="I70" s="313">
        <v>0</v>
      </c>
      <c r="J70" s="282">
        <v>12</v>
      </c>
    </row>
    <row r="71" spans="1:10">
      <c r="A71" s="281">
        <v>402</v>
      </c>
      <c r="B71" s="149" t="s">
        <v>64</v>
      </c>
      <c r="C71" s="151" t="s">
        <v>737</v>
      </c>
      <c r="D71" s="310">
        <f>VLOOKUP(A71,'2-Kosten per locatie'!$A$13:$C$88,3,FALSE)</f>
        <v>2</v>
      </c>
      <c r="E71" s="153" t="s">
        <v>807</v>
      </c>
      <c r="F71" s="154" t="s">
        <v>812</v>
      </c>
      <c r="G71" s="311" t="s">
        <v>1337</v>
      </c>
      <c r="H71" s="312" t="s">
        <v>205</v>
      </c>
      <c r="I71" s="313">
        <v>0</v>
      </c>
      <c r="J71" s="282">
        <v>12</v>
      </c>
    </row>
    <row r="72" spans="1:10">
      <c r="A72" s="281">
        <v>402</v>
      </c>
      <c r="B72" s="149" t="s">
        <v>64</v>
      </c>
      <c r="C72" s="151" t="s">
        <v>737</v>
      </c>
      <c r="D72" s="310">
        <f>VLOOKUP(A72,'2-Kosten per locatie'!$A$13:$C$88,3,FALSE)</f>
        <v>2</v>
      </c>
      <c r="E72" s="153" t="s">
        <v>813</v>
      </c>
      <c r="F72" s="154" t="s">
        <v>814</v>
      </c>
      <c r="G72" s="311" t="s">
        <v>1335</v>
      </c>
      <c r="H72" s="312" t="s">
        <v>171</v>
      </c>
      <c r="I72" s="313">
        <v>2</v>
      </c>
      <c r="J72" s="282">
        <v>24</v>
      </c>
    </row>
    <row r="73" spans="1:10">
      <c r="A73" s="281">
        <v>402</v>
      </c>
      <c r="B73" s="149" t="s">
        <v>64</v>
      </c>
      <c r="C73" s="151" t="s">
        <v>737</v>
      </c>
      <c r="D73" s="310">
        <f>VLOOKUP(A73,'2-Kosten per locatie'!$A$13:$C$88,3,FALSE)</f>
        <v>2</v>
      </c>
      <c r="E73" s="153" t="s">
        <v>523</v>
      </c>
      <c r="F73" s="154" t="s">
        <v>815</v>
      </c>
      <c r="G73" s="311" t="s">
        <v>1335</v>
      </c>
      <c r="H73" s="312" t="s">
        <v>171</v>
      </c>
      <c r="I73" s="313">
        <v>2</v>
      </c>
      <c r="J73" s="282">
        <v>4</v>
      </c>
    </row>
    <row r="74" spans="1:10">
      <c r="A74" s="281">
        <v>402</v>
      </c>
      <c r="B74" s="149" t="s">
        <v>64</v>
      </c>
      <c r="C74" s="151" t="s">
        <v>737</v>
      </c>
      <c r="D74" s="310">
        <f>VLOOKUP(A74,'2-Kosten per locatie'!$A$13:$C$88,3,FALSE)</f>
        <v>2</v>
      </c>
      <c r="E74" s="153" t="s">
        <v>597</v>
      </c>
      <c r="F74" s="431" t="s">
        <v>816</v>
      </c>
      <c r="G74" s="311" t="s">
        <v>1337</v>
      </c>
      <c r="H74" s="312" t="s">
        <v>171</v>
      </c>
      <c r="I74" s="313">
        <v>12</v>
      </c>
      <c r="J74" s="282">
        <v>2</v>
      </c>
    </row>
    <row r="75" spans="1:10">
      <c r="A75" s="281">
        <v>402</v>
      </c>
      <c r="B75" s="149" t="s">
        <v>64</v>
      </c>
      <c r="C75" s="151" t="s">
        <v>737</v>
      </c>
      <c r="D75" s="310">
        <f>VLOOKUP(A75,'2-Kosten per locatie'!$A$13:$C$88,3,FALSE)</f>
        <v>2</v>
      </c>
      <c r="E75" s="153" t="s">
        <v>817</v>
      </c>
      <c r="F75" s="431" t="s">
        <v>818</v>
      </c>
      <c r="G75" s="311" t="s">
        <v>1333</v>
      </c>
      <c r="H75" s="312" t="s">
        <v>171</v>
      </c>
      <c r="I75" s="313">
        <v>12</v>
      </c>
      <c r="J75" s="282">
        <v>6</v>
      </c>
    </row>
    <row r="76" spans="1:10">
      <c r="A76" s="281">
        <v>403</v>
      </c>
      <c r="B76" s="149" t="s">
        <v>67</v>
      </c>
      <c r="C76" s="151" t="s">
        <v>737</v>
      </c>
      <c r="D76" s="310">
        <f>VLOOKUP(A76,'2-Kosten per locatie'!$A$13:$C$88,3,FALSE)</f>
        <v>2</v>
      </c>
      <c r="E76" s="153" t="s">
        <v>839</v>
      </c>
      <c r="F76" s="154" t="s">
        <v>792</v>
      </c>
      <c r="G76" s="311" t="s">
        <v>1335</v>
      </c>
      <c r="H76" s="312" t="s">
        <v>171</v>
      </c>
      <c r="I76" s="313">
        <v>2</v>
      </c>
      <c r="J76" s="282">
        <v>71</v>
      </c>
    </row>
    <row r="77" spans="1:10">
      <c r="A77" s="281">
        <v>403</v>
      </c>
      <c r="B77" s="149" t="s">
        <v>67</v>
      </c>
      <c r="C77" s="151" t="s">
        <v>737</v>
      </c>
      <c r="D77" s="310">
        <f>VLOOKUP(A77,'2-Kosten per locatie'!$A$13:$C$88,3,FALSE)</f>
        <v>2</v>
      </c>
      <c r="E77" s="153" t="s">
        <v>840</v>
      </c>
      <c r="F77" s="154" t="s">
        <v>794</v>
      </c>
      <c r="G77" s="311" t="s">
        <v>1335</v>
      </c>
      <c r="H77" s="312" t="s">
        <v>171</v>
      </c>
      <c r="I77" s="313">
        <v>2</v>
      </c>
      <c r="J77" s="282">
        <v>60</v>
      </c>
    </row>
    <row r="78" spans="1:10">
      <c r="A78" s="281">
        <v>403</v>
      </c>
      <c r="B78" s="149" t="s">
        <v>67</v>
      </c>
      <c r="C78" s="151" t="s">
        <v>737</v>
      </c>
      <c r="D78" s="310">
        <f>VLOOKUP(A78,'2-Kosten per locatie'!$A$13:$C$88,3,FALSE)</f>
        <v>2</v>
      </c>
      <c r="E78" s="153" t="s">
        <v>754</v>
      </c>
      <c r="F78" s="154" t="s">
        <v>795</v>
      </c>
      <c r="G78" s="311" t="s">
        <v>1335</v>
      </c>
      <c r="H78" s="312" t="s">
        <v>171</v>
      </c>
      <c r="I78" s="313">
        <v>2</v>
      </c>
      <c r="J78" s="282">
        <v>220</v>
      </c>
    </row>
    <row r="79" spans="1:10">
      <c r="A79" s="281">
        <v>403</v>
      </c>
      <c r="B79" s="149" t="s">
        <v>67</v>
      </c>
      <c r="C79" s="151" t="s">
        <v>737</v>
      </c>
      <c r="D79" s="310">
        <f>VLOOKUP(A79,'2-Kosten per locatie'!$A$13:$C$88,3,FALSE)</f>
        <v>2</v>
      </c>
      <c r="E79" s="153" t="s">
        <v>199</v>
      </c>
      <c r="F79" s="154" t="s">
        <v>796</v>
      </c>
      <c r="G79" s="311" t="s">
        <v>1337</v>
      </c>
      <c r="H79" s="312" t="s">
        <v>171</v>
      </c>
      <c r="I79" s="313">
        <v>0</v>
      </c>
      <c r="J79" s="282">
        <v>45</v>
      </c>
    </row>
    <row r="80" spans="1:10">
      <c r="A80" s="281">
        <v>403</v>
      </c>
      <c r="B80" s="149" t="s">
        <v>67</v>
      </c>
      <c r="C80" s="151" t="s">
        <v>737</v>
      </c>
      <c r="D80" s="310">
        <f>VLOOKUP(A80,'2-Kosten per locatie'!$A$13:$C$88,3,FALSE)</f>
        <v>2</v>
      </c>
      <c r="E80" s="153" t="s">
        <v>199</v>
      </c>
      <c r="F80" s="154" t="s">
        <v>798</v>
      </c>
      <c r="G80" s="311" t="s">
        <v>1337</v>
      </c>
      <c r="H80" s="312" t="s">
        <v>171</v>
      </c>
      <c r="I80" s="313">
        <v>0</v>
      </c>
      <c r="J80" s="282">
        <v>45</v>
      </c>
    </row>
    <row r="81" spans="1:10">
      <c r="A81" s="281">
        <v>403</v>
      </c>
      <c r="B81" s="149" t="s">
        <v>67</v>
      </c>
      <c r="C81" s="151" t="s">
        <v>737</v>
      </c>
      <c r="D81" s="310">
        <f>VLOOKUP(A81,'2-Kosten per locatie'!$A$13:$C$88,3,FALSE)</f>
        <v>2</v>
      </c>
      <c r="E81" s="153" t="s">
        <v>841</v>
      </c>
      <c r="F81" s="154" t="s">
        <v>800</v>
      </c>
      <c r="G81" s="311" t="s">
        <v>1337</v>
      </c>
      <c r="H81" s="312" t="s">
        <v>171</v>
      </c>
      <c r="I81" s="313">
        <v>0</v>
      </c>
      <c r="J81" s="282">
        <v>45</v>
      </c>
    </row>
    <row r="82" spans="1:10">
      <c r="A82" s="281">
        <v>404</v>
      </c>
      <c r="B82" s="149" t="s">
        <v>69</v>
      </c>
      <c r="C82" s="151" t="s">
        <v>737</v>
      </c>
      <c r="D82" s="310">
        <f>VLOOKUP(A82,'2-Kosten per locatie'!$A$13:$C$88,3,FALSE)</f>
        <v>2</v>
      </c>
      <c r="E82" s="153" t="s">
        <v>842</v>
      </c>
      <c r="F82" s="154" t="s">
        <v>792</v>
      </c>
      <c r="G82" s="311" t="s">
        <v>1334</v>
      </c>
      <c r="H82" s="312" t="s">
        <v>171</v>
      </c>
      <c r="I82" s="313">
        <v>2</v>
      </c>
      <c r="J82" s="282">
        <v>9</v>
      </c>
    </row>
    <row r="83" spans="1:10">
      <c r="A83" s="281">
        <v>404</v>
      </c>
      <c r="B83" s="149" t="s">
        <v>69</v>
      </c>
      <c r="C83" s="151" t="s">
        <v>737</v>
      </c>
      <c r="D83" s="310">
        <f>VLOOKUP(A83,'2-Kosten per locatie'!$A$13:$C$88,3,FALSE)</f>
        <v>2</v>
      </c>
      <c r="E83" s="153" t="s">
        <v>843</v>
      </c>
      <c r="F83" s="154" t="s">
        <v>794</v>
      </c>
      <c r="G83" s="311" t="s">
        <v>1337</v>
      </c>
      <c r="H83" s="312" t="s">
        <v>171</v>
      </c>
      <c r="I83" s="313">
        <v>0</v>
      </c>
      <c r="J83" s="282">
        <v>12</v>
      </c>
    </row>
    <row r="84" spans="1:10">
      <c r="A84" s="281">
        <v>404</v>
      </c>
      <c r="B84" s="149" t="s">
        <v>69</v>
      </c>
      <c r="C84" s="151" t="s">
        <v>737</v>
      </c>
      <c r="D84" s="310">
        <f>VLOOKUP(A84,'2-Kosten per locatie'!$A$13:$C$88,3,FALSE)</f>
        <v>2</v>
      </c>
      <c r="E84" s="153" t="s">
        <v>843</v>
      </c>
      <c r="F84" s="154" t="s">
        <v>795</v>
      </c>
      <c r="G84" s="311" t="s">
        <v>1337</v>
      </c>
      <c r="H84" s="312" t="s">
        <v>171</v>
      </c>
      <c r="I84" s="313">
        <v>0</v>
      </c>
      <c r="J84" s="282">
        <v>12</v>
      </c>
    </row>
    <row r="85" spans="1:10">
      <c r="A85" s="281">
        <v>404</v>
      </c>
      <c r="B85" s="149" t="s">
        <v>69</v>
      </c>
      <c r="C85" s="151" t="s">
        <v>737</v>
      </c>
      <c r="D85" s="310">
        <f>VLOOKUP(A85,'2-Kosten per locatie'!$A$13:$C$88,3,FALSE)</f>
        <v>2</v>
      </c>
      <c r="E85" s="153" t="s">
        <v>843</v>
      </c>
      <c r="F85" s="154" t="s">
        <v>796</v>
      </c>
      <c r="G85" s="311" t="s">
        <v>1337</v>
      </c>
      <c r="H85" s="312" t="s">
        <v>171</v>
      </c>
      <c r="I85" s="313">
        <v>0</v>
      </c>
      <c r="J85" s="282">
        <v>12</v>
      </c>
    </row>
    <row r="86" spans="1:10">
      <c r="A86" s="281">
        <v>404</v>
      </c>
      <c r="B86" s="149" t="s">
        <v>69</v>
      </c>
      <c r="C86" s="151" t="s">
        <v>737</v>
      </c>
      <c r="D86" s="310">
        <f>VLOOKUP(A86,'2-Kosten per locatie'!$A$13:$C$88,3,FALSE)</f>
        <v>2</v>
      </c>
      <c r="E86" s="153" t="s">
        <v>844</v>
      </c>
      <c r="F86" s="154" t="s">
        <v>798</v>
      </c>
      <c r="G86" s="311" t="s">
        <v>1334</v>
      </c>
      <c r="H86" s="312" t="s">
        <v>171</v>
      </c>
      <c r="I86" s="313">
        <v>2</v>
      </c>
      <c r="J86" s="282">
        <v>2</v>
      </c>
    </row>
    <row r="87" spans="1:10">
      <c r="A87" s="281">
        <v>404</v>
      </c>
      <c r="B87" s="149" t="s">
        <v>69</v>
      </c>
      <c r="C87" s="151" t="s">
        <v>737</v>
      </c>
      <c r="D87" s="310">
        <f>VLOOKUP(A87,'2-Kosten per locatie'!$A$13:$C$88,3,FALSE)</f>
        <v>2</v>
      </c>
      <c r="E87" s="153" t="s">
        <v>363</v>
      </c>
      <c r="F87" s="154" t="s">
        <v>800</v>
      </c>
      <c r="G87" s="311" t="s">
        <v>1335</v>
      </c>
      <c r="H87" s="312" t="s">
        <v>171</v>
      </c>
      <c r="I87" s="313">
        <v>2</v>
      </c>
      <c r="J87" s="282">
        <v>83</v>
      </c>
    </row>
    <row r="88" spans="1:10">
      <c r="A88" s="281">
        <v>404</v>
      </c>
      <c r="B88" s="149" t="s">
        <v>69</v>
      </c>
      <c r="C88" s="151" t="s">
        <v>737</v>
      </c>
      <c r="D88" s="310">
        <f>VLOOKUP(A88,'2-Kosten per locatie'!$A$13:$C$88,3,FALSE)</f>
        <v>2</v>
      </c>
      <c r="E88" s="153" t="s">
        <v>845</v>
      </c>
      <c r="F88" s="154" t="s">
        <v>802</v>
      </c>
      <c r="G88" s="311" t="s">
        <v>1335</v>
      </c>
      <c r="H88" s="312" t="s">
        <v>171</v>
      </c>
      <c r="I88" s="313">
        <v>2</v>
      </c>
      <c r="J88" s="282">
        <v>11</v>
      </c>
    </row>
    <row r="89" spans="1:10">
      <c r="A89" s="281">
        <v>405</v>
      </c>
      <c r="B89" s="149" t="s">
        <v>120</v>
      </c>
      <c r="C89" s="151" t="s">
        <v>737</v>
      </c>
      <c r="D89" s="310">
        <f>VLOOKUP(A89,'2-Kosten per locatie'!$A$13:$C$88,3,FALSE)</f>
        <v>2</v>
      </c>
      <c r="E89" s="153" t="s">
        <v>190</v>
      </c>
      <c r="F89" s="154" t="s">
        <v>792</v>
      </c>
      <c r="G89" s="311" t="s">
        <v>1334</v>
      </c>
      <c r="H89" s="312" t="s">
        <v>162</v>
      </c>
      <c r="I89" s="313">
        <v>12</v>
      </c>
      <c r="J89" s="282">
        <v>19</v>
      </c>
    </row>
    <row r="90" spans="1:10">
      <c r="A90" s="281">
        <v>405</v>
      </c>
      <c r="B90" s="149" t="s">
        <v>120</v>
      </c>
      <c r="C90" s="151" t="s">
        <v>737</v>
      </c>
      <c r="D90" s="310">
        <f>VLOOKUP(A90,'2-Kosten per locatie'!$A$13:$C$88,3,FALSE)</f>
        <v>2</v>
      </c>
      <c r="E90" s="153" t="s">
        <v>793</v>
      </c>
      <c r="F90" s="154" t="s">
        <v>794</v>
      </c>
      <c r="G90" s="311" t="s">
        <v>1332</v>
      </c>
      <c r="H90" s="312" t="s">
        <v>162</v>
      </c>
      <c r="I90" s="313">
        <v>12</v>
      </c>
      <c r="J90" s="282">
        <v>12</v>
      </c>
    </row>
    <row r="91" spans="1:10">
      <c r="A91" s="281">
        <v>405</v>
      </c>
      <c r="B91" s="149" t="s">
        <v>120</v>
      </c>
      <c r="C91" s="151" t="s">
        <v>737</v>
      </c>
      <c r="D91" s="310">
        <f>VLOOKUP(A91,'2-Kosten per locatie'!$A$13:$C$88,3,FALSE)</f>
        <v>2</v>
      </c>
      <c r="E91" s="153" t="s">
        <v>605</v>
      </c>
      <c r="F91" s="154" t="s">
        <v>795</v>
      </c>
      <c r="G91" s="311" t="s">
        <v>1333</v>
      </c>
      <c r="H91" s="312" t="s">
        <v>159</v>
      </c>
      <c r="I91" s="313">
        <v>12</v>
      </c>
      <c r="J91" s="282">
        <v>1</v>
      </c>
    </row>
    <row r="92" spans="1:10">
      <c r="A92" s="281">
        <v>405</v>
      </c>
      <c r="B92" s="149" t="s">
        <v>120</v>
      </c>
      <c r="C92" s="151" t="s">
        <v>737</v>
      </c>
      <c r="D92" s="310">
        <f>VLOOKUP(A92,'2-Kosten per locatie'!$A$13:$C$88,3,FALSE)</f>
        <v>2</v>
      </c>
      <c r="E92" s="153" t="s">
        <v>605</v>
      </c>
      <c r="F92" s="154" t="s">
        <v>796</v>
      </c>
      <c r="G92" s="311" t="s">
        <v>1333</v>
      </c>
      <c r="H92" s="312" t="s">
        <v>159</v>
      </c>
      <c r="I92" s="313">
        <v>12</v>
      </c>
      <c r="J92" s="282">
        <v>1</v>
      </c>
    </row>
    <row r="93" spans="1:10">
      <c r="A93" s="281">
        <v>405</v>
      </c>
      <c r="B93" s="149" t="s">
        <v>120</v>
      </c>
      <c r="C93" s="151" t="s">
        <v>737</v>
      </c>
      <c r="D93" s="310">
        <f>VLOOKUP(A93,'2-Kosten per locatie'!$A$13:$C$88,3,FALSE)</f>
        <v>2</v>
      </c>
      <c r="E93" s="153" t="s">
        <v>797</v>
      </c>
      <c r="F93" s="154" t="s">
        <v>798</v>
      </c>
      <c r="G93" s="311" t="s">
        <v>1335</v>
      </c>
      <c r="H93" s="312" t="s">
        <v>162</v>
      </c>
      <c r="I93" s="313">
        <v>2</v>
      </c>
      <c r="J93" s="282">
        <v>12</v>
      </c>
    </row>
    <row r="94" spans="1:10">
      <c r="A94" s="281">
        <v>405</v>
      </c>
      <c r="B94" s="149" t="s">
        <v>120</v>
      </c>
      <c r="C94" s="151" t="s">
        <v>737</v>
      </c>
      <c r="D94" s="310">
        <f>VLOOKUP(A94,'2-Kosten per locatie'!$A$13:$C$88,3,FALSE)</f>
        <v>2</v>
      </c>
      <c r="E94" s="153" t="s">
        <v>819</v>
      </c>
      <c r="F94" s="154" t="s">
        <v>800</v>
      </c>
      <c r="G94" s="311" t="s">
        <v>1336</v>
      </c>
      <c r="H94" s="312" t="s">
        <v>162</v>
      </c>
      <c r="I94" s="313">
        <v>2</v>
      </c>
      <c r="J94" s="282">
        <v>6</v>
      </c>
    </row>
    <row r="95" spans="1:10">
      <c r="A95" s="281">
        <v>405</v>
      </c>
      <c r="B95" s="149" t="s">
        <v>120</v>
      </c>
      <c r="C95" s="151" t="s">
        <v>737</v>
      </c>
      <c r="D95" s="310">
        <f>VLOOKUP(A95,'2-Kosten per locatie'!$A$13:$C$88,3,FALSE)</f>
        <v>2</v>
      </c>
      <c r="E95" s="153" t="s">
        <v>799</v>
      </c>
      <c r="F95" s="154" t="s">
        <v>802</v>
      </c>
      <c r="G95" s="311" t="s">
        <v>1335</v>
      </c>
      <c r="H95" s="312" t="s">
        <v>171</v>
      </c>
      <c r="I95" s="313">
        <v>2</v>
      </c>
      <c r="J95" s="282">
        <v>6</v>
      </c>
    </row>
    <row r="96" spans="1:10">
      <c r="A96" s="281">
        <v>405</v>
      </c>
      <c r="B96" s="149" t="s">
        <v>120</v>
      </c>
      <c r="C96" s="151" t="s">
        <v>737</v>
      </c>
      <c r="D96" s="310">
        <f>VLOOKUP(A96,'2-Kosten per locatie'!$A$13:$C$88,3,FALSE)</f>
        <v>2</v>
      </c>
      <c r="E96" s="153" t="s">
        <v>820</v>
      </c>
      <c r="F96" s="154" t="s">
        <v>804</v>
      </c>
      <c r="G96" s="311" t="s">
        <v>1335</v>
      </c>
      <c r="H96" s="312" t="s">
        <v>162</v>
      </c>
      <c r="I96" s="313">
        <v>2</v>
      </c>
      <c r="J96" s="282">
        <v>7</v>
      </c>
    </row>
    <row r="97" spans="1:10">
      <c r="A97" s="281">
        <v>405</v>
      </c>
      <c r="B97" s="149" t="s">
        <v>120</v>
      </c>
      <c r="C97" s="151" t="s">
        <v>737</v>
      </c>
      <c r="D97" s="310">
        <f>VLOOKUP(A97,'2-Kosten per locatie'!$A$13:$C$88,3,FALSE)</f>
        <v>2</v>
      </c>
      <c r="E97" s="153" t="s">
        <v>782</v>
      </c>
      <c r="F97" s="154" t="s">
        <v>806</v>
      </c>
      <c r="G97" s="311" t="s">
        <v>1335</v>
      </c>
      <c r="H97" s="312" t="s">
        <v>162</v>
      </c>
      <c r="I97" s="313">
        <v>2</v>
      </c>
      <c r="J97" s="282">
        <v>16</v>
      </c>
    </row>
    <row r="98" spans="1:10">
      <c r="A98" s="281">
        <v>405</v>
      </c>
      <c r="B98" s="149" t="s">
        <v>120</v>
      </c>
      <c r="C98" s="151" t="s">
        <v>737</v>
      </c>
      <c r="D98" s="310">
        <f>VLOOKUP(A98,'2-Kosten per locatie'!$A$13:$C$88,3,FALSE)</f>
        <v>2</v>
      </c>
      <c r="E98" s="153" t="s">
        <v>821</v>
      </c>
      <c r="F98" s="154" t="s">
        <v>808</v>
      </c>
      <c r="G98" s="311" t="s">
        <v>1335</v>
      </c>
      <c r="H98" s="312" t="s">
        <v>162</v>
      </c>
      <c r="I98" s="313">
        <v>2</v>
      </c>
      <c r="J98" s="282">
        <v>85</v>
      </c>
    </row>
    <row r="99" spans="1:10">
      <c r="A99" s="281">
        <v>405</v>
      </c>
      <c r="B99" s="149" t="s">
        <v>120</v>
      </c>
      <c r="C99" s="151" t="s">
        <v>737</v>
      </c>
      <c r="D99" s="310">
        <f>VLOOKUP(A99,'2-Kosten per locatie'!$A$13:$C$88,3,FALSE)</f>
        <v>2</v>
      </c>
      <c r="E99" s="153" t="s">
        <v>807</v>
      </c>
      <c r="F99" s="154" t="s">
        <v>810</v>
      </c>
      <c r="G99" s="311" t="s">
        <v>1337</v>
      </c>
      <c r="H99" s="312" t="s">
        <v>205</v>
      </c>
      <c r="I99" s="313">
        <v>0</v>
      </c>
      <c r="J99" s="282">
        <v>12</v>
      </c>
    </row>
    <row r="100" spans="1:10">
      <c r="A100" s="281">
        <v>405</v>
      </c>
      <c r="B100" s="149" t="s">
        <v>120</v>
      </c>
      <c r="C100" s="151" t="s">
        <v>737</v>
      </c>
      <c r="D100" s="310">
        <f>VLOOKUP(A100,'2-Kosten per locatie'!$A$13:$C$88,3,FALSE)</f>
        <v>2</v>
      </c>
      <c r="E100" s="153" t="s">
        <v>807</v>
      </c>
      <c r="F100" s="154" t="s">
        <v>811</v>
      </c>
      <c r="G100" s="311" t="s">
        <v>1337</v>
      </c>
      <c r="H100" s="312" t="s">
        <v>205</v>
      </c>
      <c r="I100" s="313">
        <v>0</v>
      </c>
      <c r="J100" s="282">
        <v>12</v>
      </c>
    </row>
    <row r="101" spans="1:10">
      <c r="A101" s="281">
        <v>405</v>
      </c>
      <c r="B101" s="149" t="s">
        <v>120</v>
      </c>
      <c r="C101" s="151" t="s">
        <v>737</v>
      </c>
      <c r="D101" s="310">
        <f>VLOOKUP(A101,'2-Kosten per locatie'!$A$13:$C$88,3,FALSE)</f>
        <v>2</v>
      </c>
      <c r="E101" s="153" t="s">
        <v>807</v>
      </c>
      <c r="F101" s="154" t="s">
        <v>812</v>
      </c>
      <c r="G101" s="311" t="s">
        <v>1337</v>
      </c>
      <c r="H101" s="312" t="s">
        <v>205</v>
      </c>
      <c r="I101" s="313">
        <v>0</v>
      </c>
      <c r="J101" s="282">
        <v>12</v>
      </c>
    </row>
    <row r="102" spans="1:10">
      <c r="A102" s="281">
        <v>405</v>
      </c>
      <c r="B102" s="149" t="s">
        <v>120</v>
      </c>
      <c r="C102" s="151" t="s">
        <v>737</v>
      </c>
      <c r="D102" s="310">
        <f>VLOOKUP(A102,'2-Kosten per locatie'!$A$13:$C$88,3,FALSE)</f>
        <v>2</v>
      </c>
      <c r="E102" s="153" t="s">
        <v>813</v>
      </c>
      <c r="F102" s="154" t="s">
        <v>814</v>
      </c>
      <c r="G102" s="311" t="s">
        <v>1335</v>
      </c>
      <c r="H102" s="312" t="s">
        <v>162</v>
      </c>
      <c r="I102" s="313">
        <v>2</v>
      </c>
      <c r="J102" s="282">
        <v>24</v>
      </c>
    </row>
    <row r="103" spans="1:10">
      <c r="A103" s="281">
        <v>405</v>
      </c>
      <c r="B103" s="149" t="s">
        <v>120</v>
      </c>
      <c r="C103" s="151" t="s">
        <v>737</v>
      </c>
      <c r="D103" s="310">
        <f>VLOOKUP(A103,'2-Kosten per locatie'!$A$13:$C$88,3,FALSE)</f>
        <v>2</v>
      </c>
      <c r="E103" s="153" t="s">
        <v>523</v>
      </c>
      <c r="F103" s="154" t="s">
        <v>815</v>
      </c>
      <c r="G103" s="311" t="s">
        <v>658</v>
      </c>
      <c r="H103" s="312" t="s">
        <v>162</v>
      </c>
      <c r="I103" s="313">
        <v>2</v>
      </c>
      <c r="J103" s="282">
        <v>4</v>
      </c>
    </row>
    <row r="104" spans="1:10">
      <c r="A104" s="281">
        <v>405</v>
      </c>
      <c r="B104" s="149" t="s">
        <v>120</v>
      </c>
      <c r="C104" s="151" t="s">
        <v>737</v>
      </c>
      <c r="D104" s="310">
        <f>VLOOKUP(A104,'2-Kosten per locatie'!$A$13:$C$88,3,FALSE)</f>
        <v>2</v>
      </c>
      <c r="E104" s="153" t="s">
        <v>597</v>
      </c>
      <c r="F104" s="154" t="s">
        <v>816</v>
      </c>
      <c r="G104" s="311" t="s">
        <v>1337</v>
      </c>
      <c r="H104" s="312" t="s">
        <v>162</v>
      </c>
      <c r="I104" s="313">
        <v>12</v>
      </c>
      <c r="J104" s="282">
        <v>2</v>
      </c>
    </row>
    <row r="105" spans="1:10">
      <c r="A105" s="281">
        <v>405</v>
      </c>
      <c r="B105" s="149" t="s">
        <v>120</v>
      </c>
      <c r="C105" s="151" t="s">
        <v>737</v>
      </c>
      <c r="D105" s="310">
        <f>VLOOKUP(A105,'2-Kosten per locatie'!$A$13:$C$88,3,FALSE)</f>
        <v>2</v>
      </c>
      <c r="E105" s="153" t="s">
        <v>817</v>
      </c>
      <c r="F105" s="154" t="s">
        <v>818</v>
      </c>
      <c r="G105" s="311" t="s">
        <v>1333</v>
      </c>
      <c r="H105" s="312" t="s">
        <v>162</v>
      </c>
      <c r="I105" s="313">
        <v>12</v>
      </c>
      <c r="J105" s="282">
        <v>6</v>
      </c>
    </row>
    <row r="106" spans="1:10">
      <c r="A106" s="281">
        <v>406</v>
      </c>
      <c r="B106" s="149" t="s">
        <v>77</v>
      </c>
      <c r="C106" s="151" t="s">
        <v>737</v>
      </c>
      <c r="D106" s="310">
        <f>VLOOKUP(A106,'2-Kosten per locatie'!$A$13:$C$88,3,FALSE)</f>
        <v>2</v>
      </c>
      <c r="E106" s="153" t="s">
        <v>190</v>
      </c>
      <c r="F106" s="431" t="s">
        <v>792</v>
      </c>
      <c r="G106" s="311" t="s">
        <v>1334</v>
      </c>
      <c r="H106" s="312" t="s">
        <v>171</v>
      </c>
      <c r="I106" s="313">
        <v>12</v>
      </c>
      <c r="J106" s="282">
        <v>19</v>
      </c>
    </row>
    <row r="107" spans="1:10">
      <c r="A107" s="281">
        <v>406</v>
      </c>
      <c r="B107" s="149" t="s">
        <v>77</v>
      </c>
      <c r="C107" s="151" t="s">
        <v>737</v>
      </c>
      <c r="D107" s="310">
        <f>VLOOKUP(A107,'2-Kosten per locatie'!$A$13:$C$88,3,FALSE)</f>
        <v>2</v>
      </c>
      <c r="E107" s="153" t="s">
        <v>793</v>
      </c>
      <c r="F107" s="431" t="s">
        <v>794</v>
      </c>
      <c r="G107" s="311" t="s">
        <v>1332</v>
      </c>
      <c r="H107" s="312" t="s">
        <v>171</v>
      </c>
      <c r="I107" s="313">
        <v>12</v>
      </c>
      <c r="J107" s="282">
        <v>12</v>
      </c>
    </row>
    <row r="108" spans="1:10">
      <c r="A108" s="281">
        <v>406</v>
      </c>
      <c r="B108" s="149" t="s">
        <v>77</v>
      </c>
      <c r="C108" s="151" t="s">
        <v>737</v>
      </c>
      <c r="D108" s="310">
        <f>VLOOKUP(A108,'2-Kosten per locatie'!$A$13:$C$88,3,FALSE)</f>
        <v>2</v>
      </c>
      <c r="E108" s="153" t="s">
        <v>605</v>
      </c>
      <c r="F108" s="431" t="s">
        <v>795</v>
      </c>
      <c r="G108" s="311" t="s">
        <v>1333</v>
      </c>
      <c r="H108" s="312" t="s">
        <v>171</v>
      </c>
      <c r="I108" s="313">
        <v>12</v>
      </c>
      <c r="J108" s="282">
        <v>1</v>
      </c>
    </row>
    <row r="109" spans="1:10">
      <c r="A109" s="281">
        <v>406</v>
      </c>
      <c r="B109" s="149" t="s">
        <v>77</v>
      </c>
      <c r="C109" s="151" t="s">
        <v>737</v>
      </c>
      <c r="D109" s="310">
        <f>VLOOKUP(A109,'2-Kosten per locatie'!$A$13:$C$88,3,FALSE)</f>
        <v>2</v>
      </c>
      <c r="E109" s="153" t="s">
        <v>605</v>
      </c>
      <c r="F109" s="431" t="s">
        <v>796</v>
      </c>
      <c r="G109" s="311" t="s">
        <v>1333</v>
      </c>
      <c r="H109" s="312" t="s">
        <v>171</v>
      </c>
      <c r="I109" s="313">
        <v>12</v>
      </c>
      <c r="J109" s="282">
        <v>1</v>
      </c>
    </row>
    <row r="110" spans="1:10">
      <c r="A110" s="281">
        <v>406</v>
      </c>
      <c r="B110" s="149" t="s">
        <v>77</v>
      </c>
      <c r="C110" s="151" t="s">
        <v>737</v>
      </c>
      <c r="D110" s="310">
        <f>VLOOKUP(A110,'2-Kosten per locatie'!$A$13:$C$88,3,FALSE)</f>
        <v>2</v>
      </c>
      <c r="E110" s="153" t="s">
        <v>797</v>
      </c>
      <c r="F110" s="154" t="s">
        <v>798</v>
      </c>
      <c r="G110" s="311" t="s">
        <v>1335</v>
      </c>
      <c r="H110" s="312" t="s">
        <v>171</v>
      </c>
      <c r="I110" s="313">
        <v>2</v>
      </c>
      <c r="J110" s="282">
        <v>12</v>
      </c>
    </row>
    <row r="111" spans="1:10">
      <c r="A111" s="281">
        <v>406</v>
      </c>
      <c r="B111" s="149" t="s">
        <v>77</v>
      </c>
      <c r="C111" s="151" t="s">
        <v>737</v>
      </c>
      <c r="D111" s="310">
        <f>VLOOKUP(A111,'2-Kosten per locatie'!$A$13:$C$88,3,FALSE)</f>
        <v>2</v>
      </c>
      <c r="E111" s="153" t="s">
        <v>819</v>
      </c>
      <c r="F111" s="154" t="s">
        <v>800</v>
      </c>
      <c r="G111" s="311" t="s">
        <v>1336</v>
      </c>
      <c r="H111" s="312" t="s">
        <v>171</v>
      </c>
      <c r="I111" s="313">
        <v>2</v>
      </c>
      <c r="J111" s="282">
        <v>6</v>
      </c>
    </row>
    <row r="112" spans="1:10">
      <c r="A112" s="281">
        <v>406</v>
      </c>
      <c r="B112" s="149" t="s">
        <v>77</v>
      </c>
      <c r="C112" s="151" t="s">
        <v>737</v>
      </c>
      <c r="D112" s="310">
        <f>VLOOKUP(A112,'2-Kosten per locatie'!$A$13:$C$88,3,FALSE)</f>
        <v>2</v>
      </c>
      <c r="E112" s="153" t="s">
        <v>799</v>
      </c>
      <c r="F112" s="154" t="s">
        <v>802</v>
      </c>
      <c r="G112" s="311" t="s">
        <v>1335</v>
      </c>
      <c r="H112" s="312" t="s">
        <v>171</v>
      </c>
      <c r="I112" s="313">
        <v>2</v>
      </c>
      <c r="J112" s="282">
        <v>6</v>
      </c>
    </row>
    <row r="113" spans="1:10">
      <c r="A113" s="281">
        <v>406</v>
      </c>
      <c r="B113" s="149" t="s">
        <v>77</v>
      </c>
      <c r="C113" s="151" t="s">
        <v>737</v>
      </c>
      <c r="D113" s="310">
        <f>VLOOKUP(A113,'2-Kosten per locatie'!$A$13:$C$88,3,FALSE)</f>
        <v>2</v>
      </c>
      <c r="E113" s="153" t="s">
        <v>820</v>
      </c>
      <c r="F113" s="154" t="s">
        <v>804</v>
      </c>
      <c r="G113" s="311" t="s">
        <v>1335</v>
      </c>
      <c r="H113" s="312" t="s">
        <v>171</v>
      </c>
      <c r="I113" s="313">
        <v>2</v>
      </c>
      <c r="J113" s="282">
        <v>7</v>
      </c>
    </row>
    <row r="114" spans="1:10">
      <c r="A114" s="281">
        <v>406</v>
      </c>
      <c r="B114" s="149" t="s">
        <v>77</v>
      </c>
      <c r="C114" s="151" t="s">
        <v>737</v>
      </c>
      <c r="D114" s="310">
        <f>VLOOKUP(A114,'2-Kosten per locatie'!$A$13:$C$88,3,FALSE)</f>
        <v>2</v>
      </c>
      <c r="E114" s="153" t="s">
        <v>782</v>
      </c>
      <c r="F114" s="154" t="s">
        <v>806</v>
      </c>
      <c r="G114" s="311" t="s">
        <v>1335</v>
      </c>
      <c r="H114" s="312" t="s">
        <v>171</v>
      </c>
      <c r="I114" s="313">
        <v>2</v>
      </c>
      <c r="J114" s="282">
        <v>16</v>
      </c>
    </row>
    <row r="115" spans="1:10">
      <c r="A115" s="281">
        <v>406</v>
      </c>
      <c r="B115" s="149" t="s">
        <v>77</v>
      </c>
      <c r="C115" s="151" t="s">
        <v>737</v>
      </c>
      <c r="D115" s="310">
        <f>VLOOKUP(A115,'2-Kosten per locatie'!$A$13:$C$88,3,FALSE)</f>
        <v>2</v>
      </c>
      <c r="E115" s="153" t="s">
        <v>821</v>
      </c>
      <c r="F115" s="154" t="s">
        <v>808</v>
      </c>
      <c r="G115" s="311" t="s">
        <v>1335</v>
      </c>
      <c r="H115" s="312" t="s">
        <v>171</v>
      </c>
      <c r="I115" s="313">
        <v>2</v>
      </c>
      <c r="J115" s="282">
        <v>85</v>
      </c>
    </row>
    <row r="116" spans="1:10">
      <c r="A116" s="281">
        <v>406</v>
      </c>
      <c r="B116" s="149" t="s">
        <v>77</v>
      </c>
      <c r="C116" s="151" t="s">
        <v>737</v>
      </c>
      <c r="D116" s="310">
        <f>VLOOKUP(A116,'2-Kosten per locatie'!$A$13:$C$88,3,FALSE)</f>
        <v>2</v>
      </c>
      <c r="E116" s="153" t="s">
        <v>208</v>
      </c>
      <c r="F116" s="154" t="s">
        <v>810</v>
      </c>
      <c r="G116" s="311" t="s">
        <v>1336</v>
      </c>
      <c r="H116" s="312" t="s">
        <v>257</v>
      </c>
      <c r="I116" s="313">
        <v>2</v>
      </c>
      <c r="J116" s="282">
        <v>12</v>
      </c>
    </row>
    <row r="117" spans="1:10">
      <c r="A117" s="281">
        <v>406</v>
      </c>
      <c r="B117" s="149" t="s">
        <v>77</v>
      </c>
      <c r="C117" s="151" t="s">
        <v>737</v>
      </c>
      <c r="D117" s="310">
        <f>VLOOKUP(A117,'2-Kosten per locatie'!$A$13:$C$88,3,FALSE)</f>
        <v>2</v>
      </c>
      <c r="E117" s="153" t="s">
        <v>807</v>
      </c>
      <c r="F117" s="154" t="s">
        <v>811</v>
      </c>
      <c r="G117" s="311" t="s">
        <v>1337</v>
      </c>
      <c r="H117" s="312" t="s">
        <v>205</v>
      </c>
      <c r="I117" s="313">
        <v>0</v>
      </c>
      <c r="J117" s="282">
        <v>12</v>
      </c>
    </row>
    <row r="118" spans="1:10">
      <c r="A118" s="281">
        <v>406</v>
      </c>
      <c r="B118" s="149" t="s">
        <v>77</v>
      </c>
      <c r="C118" s="151" t="s">
        <v>737</v>
      </c>
      <c r="D118" s="310">
        <f>VLOOKUP(A118,'2-Kosten per locatie'!$A$13:$C$88,3,FALSE)</f>
        <v>2</v>
      </c>
      <c r="E118" s="153" t="s">
        <v>807</v>
      </c>
      <c r="F118" s="154" t="s">
        <v>812</v>
      </c>
      <c r="G118" s="311" t="s">
        <v>1337</v>
      </c>
      <c r="H118" s="312" t="s">
        <v>205</v>
      </c>
      <c r="I118" s="313">
        <v>0</v>
      </c>
      <c r="J118" s="282">
        <v>12</v>
      </c>
    </row>
    <row r="119" spans="1:10">
      <c r="A119" s="281">
        <v>406</v>
      </c>
      <c r="B119" s="149" t="s">
        <v>77</v>
      </c>
      <c r="C119" s="151" t="s">
        <v>737</v>
      </c>
      <c r="D119" s="310">
        <f>VLOOKUP(A119,'2-Kosten per locatie'!$A$13:$C$88,3,FALSE)</f>
        <v>2</v>
      </c>
      <c r="E119" s="153" t="s">
        <v>813</v>
      </c>
      <c r="F119" s="154" t="s">
        <v>814</v>
      </c>
      <c r="G119" s="311" t="s">
        <v>1335</v>
      </c>
      <c r="H119" s="312" t="s">
        <v>171</v>
      </c>
      <c r="I119" s="313">
        <v>2</v>
      </c>
      <c r="J119" s="282">
        <v>24</v>
      </c>
    </row>
    <row r="120" spans="1:10">
      <c r="A120" s="281">
        <v>406</v>
      </c>
      <c r="B120" s="149" t="s">
        <v>77</v>
      </c>
      <c r="C120" s="151" t="s">
        <v>737</v>
      </c>
      <c r="D120" s="310">
        <f>VLOOKUP(A120,'2-Kosten per locatie'!$A$13:$C$88,3,FALSE)</f>
        <v>2</v>
      </c>
      <c r="E120" s="153" t="s">
        <v>523</v>
      </c>
      <c r="F120" s="154" t="s">
        <v>815</v>
      </c>
      <c r="G120" s="311" t="s">
        <v>658</v>
      </c>
      <c r="H120" s="312" t="s">
        <v>171</v>
      </c>
      <c r="I120" s="313">
        <v>2</v>
      </c>
      <c r="J120" s="282">
        <v>4</v>
      </c>
    </row>
    <row r="121" spans="1:10">
      <c r="A121" s="281">
        <v>406</v>
      </c>
      <c r="B121" s="149" t="s">
        <v>77</v>
      </c>
      <c r="C121" s="151" t="s">
        <v>737</v>
      </c>
      <c r="D121" s="310">
        <f>VLOOKUP(A121,'2-Kosten per locatie'!$A$13:$C$88,3,FALSE)</f>
        <v>2</v>
      </c>
      <c r="E121" s="153" t="s">
        <v>597</v>
      </c>
      <c r="F121" s="431" t="s">
        <v>816</v>
      </c>
      <c r="G121" s="311" t="s">
        <v>1337</v>
      </c>
      <c r="H121" s="312" t="s">
        <v>171</v>
      </c>
      <c r="I121" s="313">
        <v>12</v>
      </c>
      <c r="J121" s="282">
        <v>2</v>
      </c>
    </row>
    <row r="122" spans="1:10">
      <c r="A122" s="281">
        <v>406</v>
      </c>
      <c r="B122" s="149" t="s">
        <v>77</v>
      </c>
      <c r="C122" s="151" t="s">
        <v>737</v>
      </c>
      <c r="D122" s="310">
        <f>VLOOKUP(A122,'2-Kosten per locatie'!$A$13:$C$88,3,FALSE)</f>
        <v>2</v>
      </c>
      <c r="E122" s="153" t="s">
        <v>817</v>
      </c>
      <c r="F122" s="431" t="s">
        <v>818</v>
      </c>
      <c r="G122" s="311" t="s">
        <v>1333</v>
      </c>
      <c r="H122" s="312" t="s">
        <v>171</v>
      </c>
      <c r="I122" s="313">
        <v>12</v>
      </c>
      <c r="J122" s="282">
        <v>6</v>
      </c>
    </row>
    <row r="123" spans="1:10">
      <c r="A123" s="281">
        <v>407</v>
      </c>
      <c r="B123" s="149" t="s">
        <v>75</v>
      </c>
      <c r="C123" s="151" t="s">
        <v>737</v>
      </c>
      <c r="D123" s="310">
        <f>VLOOKUP(A123,'2-Kosten per locatie'!$A$13:$C$88,3,FALSE)</f>
        <v>2</v>
      </c>
      <c r="E123" s="153" t="s">
        <v>190</v>
      </c>
      <c r="F123" s="431" t="s">
        <v>792</v>
      </c>
      <c r="G123" s="311" t="s">
        <v>1334</v>
      </c>
      <c r="H123" s="312" t="s">
        <v>162</v>
      </c>
      <c r="I123" s="313">
        <v>12</v>
      </c>
      <c r="J123" s="282">
        <v>19</v>
      </c>
    </row>
    <row r="124" spans="1:10">
      <c r="A124" s="281">
        <v>407</v>
      </c>
      <c r="B124" s="149" t="s">
        <v>75</v>
      </c>
      <c r="C124" s="151" t="s">
        <v>737</v>
      </c>
      <c r="D124" s="310">
        <f>VLOOKUP(A124,'2-Kosten per locatie'!$A$13:$C$88,3,FALSE)</f>
        <v>2</v>
      </c>
      <c r="E124" s="153" t="s">
        <v>793</v>
      </c>
      <c r="F124" s="431" t="s">
        <v>794</v>
      </c>
      <c r="G124" s="311" t="s">
        <v>1332</v>
      </c>
      <c r="H124" s="312" t="s">
        <v>162</v>
      </c>
      <c r="I124" s="313">
        <v>12</v>
      </c>
      <c r="J124" s="282">
        <v>12</v>
      </c>
    </row>
    <row r="125" spans="1:10">
      <c r="A125" s="281">
        <v>407</v>
      </c>
      <c r="B125" s="149" t="s">
        <v>75</v>
      </c>
      <c r="C125" s="151" t="s">
        <v>737</v>
      </c>
      <c r="D125" s="310">
        <f>VLOOKUP(A125,'2-Kosten per locatie'!$A$13:$C$88,3,FALSE)</f>
        <v>2</v>
      </c>
      <c r="E125" s="153" t="s">
        <v>605</v>
      </c>
      <c r="F125" s="431" t="s">
        <v>795</v>
      </c>
      <c r="G125" s="311" t="s">
        <v>1333</v>
      </c>
      <c r="H125" s="312" t="s">
        <v>162</v>
      </c>
      <c r="I125" s="313">
        <v>12</v>
      </c>
      <c r="J125" s="282">
        <v>1</v>
      </c>
    </row>
    <row r="126" spans="1:10">
      <c r="A126" s="281">
        <v>407</v>
      </c>
      <c r="B126" s="149" t="s">
        <v>75</v>
      </c>
      <c r="C126" s="151" t="s">
        <v>737</v>
      </c>
      <c r="D126" s="310">
        <f>VLOOKUP(A126,'2-Kosten per locatie'!$A$13:$C$88,3,FALSE)</f>
        <v>2</v>
      </c>
      <c r="E126" s="153" t="s">
        <v>605</v>
      </c>
      <c r="F126" s="431" t="s">
        <v>796</v>
      </c>
      <c r="G126" s="311" t="s">
        <v>1333</v>
      </c>
      <c r="H126" s="312" t="s">
        <v>162</v>
      </c>
      <c r="I126" s="313">
        <v>12</v>
      </c>
      <c r="J126" s="282">
        <v>1</v>
      </c>
    </row>
    <row r="127" spans="1:10">
      <c r="A127" s="281">
        <v>407</v>
      </c>
      <c r="B127" s="149" t="s">
        <v>75</v>
      </c>
      <c r="C127" s="151" t="s">
        <v>737</v>
      </c>
      <c r="D127" s="310">
        <f>VLOOKUP(A127,'2-Kosten per locatie'!$A$13:$C$88,3,FALSE)</f>
        <v>2</v>
      </c>
      <c r="E127" s="153" t="s">
        <v>797</v>
      </c>
      <c r="F127" s="154" t="s">
        <v>798</v>
      </c>
      <c r="G127" s="311" t="s">
        <v>1335</v>
      </c>
      <c r="H127" s="312" t="s">
        <v>162</v>
      </c>
      <c r="I127" s="313">
        <v>2</v>
      </c>
      <c r="J127" s="282">
        <v>12</v>
      </c>
    </row>
    <row r="128" spans="1:10">
      <c r="A128" s="281">
        <v>407</v>
      </c>
      <c r="B128" s="149" t="s">
        <v>75</v>
      </c>
      <c r="C128" s="151" t="s">
        <v>737</v>
      </c>
      <c r="D128" s="310">
        <f>VLOOKUP(A128,'2-Kosten per locatie'!$A$13:$C$88,3,FALSE)</f>
        <v>2</v>
      </c>
      <c r="E128" s="153" t="s">
        <v>819</v>
      </c>
      <c r="F128" s="154" t="s">
        <v>800</v>
      </c>
      <c r="G128" s="311" t="s">
        <v>1336</v>
      </c>
      <c r="H128" s="312" t="s">
        <v>162</v>
      </c>
      <c r="I128" s="313">
        <v>2</v>
      </c>
      <c r="J128" s="282">
        <v>6</v>
      </c>
    </row>
    <row r="129" spans="1:10">
      <c r="A129" s="281">
        <v>407</v>
      </c>
      <c r="B129" s="149" t="s">
        <v>75</v>
      </c>
      <c r="C129" s="151" t="s">
        <v>737</v>
      </c>
      <c r="D129" s="310">
        <f>VLOOKUP(A129,'2-Kosten per locatie'!$A$13:$C$88,3,FALSE)</f>
        <v>2</v>
      </c>
      <c r="E129" s="153" t="s">
        <v>799</v>
      </c>
      <c r="F129" s="154" t="s">
        <v>802</v>
      </c>
      <c r="G129" s="311" t="s">
        <v>1335</v>
      </c>
      <c r="H129" s="312" t="s">
        <v>171</v>
      </c>
      <c r="I129" s="313">
        <v>2</v>
      </c>
      <c r="J129" s="282">
        <v>6</v>
      </c>
    </row>
    <row r="130" spans="1:10">
      <c r="A130" s="281">
        <v>407</v>
      </c>
      <c r="B130" s="149" t="s">
        <v>75</v>
      </c>
      <c r="C130" s="151" t="s">
        <v>737</v>
      </c>
      <c r="D130" s="310">
        <f>VLOOKUP(A130,'2-Kosten per locatie'!$A$13:$C$88,3,FALSE)</f>
        <v>2</v>
      </c>
      <c r="E130" s="153" t="s">
        <v>820</v>
      </c>
      <c r="F130" s="154" t="s">
        <v>804</v>
      </c>
      <c r="G130" s="311" t="s">
        <v>1335</v>
      </c>
      <c r="H130" s="312" t="s">
        <v>162</v>
      </c>
      <c r="I130" s="313">
        <v>2</v>
      </c>
      <c r="J130" s="282">
        <v>7</v>
      </c>
    </row>
    <row r="131" spans="1:10">
      <c r="A131" s="281">
        <v>407</v>
      </c>
      <c r="B131" s="149" t="s">
        <v>75</v>
      </c>
      <c r="C131" s="151" t="s">
        <v>737</v>
      </c>
      <c r="D131" s="310">
        <f>VLOOKUP(A131,'2-Kosten per locatie'!$A$13:$C$88,3,FALSE)</f>
        <v>2</v>
      </c>
      <c r="E131" s="153" t="s">
        <v>782</v>
      </c>
      <c r="F131" s="154" t="s">
        <v>806</v>
      </c>
      <c r="G131" s="311" t="s">
        <v>1335</v>
      </c>
      <c r="H131" s="312" t="s">
        <v>162</v>
      </c>
      <c r="I131" s="313">
        <v>2</v>
      </c>
      <c r="J131" s="282">
        <v>16</v>
      </c>
    </row>
    <row r="132" spans="1:10">
      <c r="A132" s="281">
        <v>407</v>
      </c>
      <c r="B132" s="149" t="s">
        <v>75</v>
      </c>
      <c r="C132" s="151" t="s">
        <v>737</v>
      </c>
      <c r="D132" s="310">
        <f>VLOOKUP(A132,'2-Kosten per locatie'!$A$13:$C$88,3,FALSE)</f>
        <v>2</v>
      </c>
      <c r="E132" s="153" t="s">
        <v>821</v>
      </c>
      <c r="F132" s="154" t="s">
        <v>808</v>
      </c>
      <c r="G132" s="311" t="s">
        <v>1335</v>
      </c>
      <c r="H132" s="312" t="s">
        <v>162</v>
      </c>
      <c r="I132" s="313">
        <v>2</v>
      </c>
      <c r="J132" s="282">
        <v>101</v>
      </c>
    </row>
    <row r="133" spans="1:10">
      <c r="A133" s="281">
        <v>407</v>
      </c>
      <c r="B133" s="149" t="s">
        <v>75</v>
      </c>
      <c r="C133" s="151" t="s">
        <v>737</v>
      </c>
      <c r="D133" s="310">
        <f>VLOOKUP(A133,'2-Kosten per locatie'!$A$13:$C$88,3,FALSE)</f>
        <v>2</v>
      </c>
      <c r="E133" s="153" t="s">
        <v>807</v>
      </c>
      <c r="F133" s="154" t="s">
        <v>810</v>
      </c>
      <c r="G133" s="311" t="s">
        <v>1337</v>
      </c>
      <c r="H133" s="312" t="s">
        <v>205</v>
      </c>
      <c r="I133" s="313">
        <v>0</v>
      </c>
      <c r="J133" s="282">
        <v>12</v>
      </c>
    </row>
    <row r="134" spans="1:10">
      <c r="A134" s="281">
        <v>407</v>
      </c>
      <c r="B134" s="149" t="s">
        <v>75</v>
      </c>
      <c r="C134" s="151" t="s">
        <v>737</v>
      </c>
      <c r="D134" s="310">
        <f>VLOOKUP(A134,'2-Kosten per locatie'!$A$13:$C$88,3,FALSE)</f>
        <v>2</v>
      </c>
      <c r="E134" s="153" t="s">
        <v>807</v>
      </c>
      <c r="F134" s="154" t="s">
        <v>811</v>
      </c>
      <c r="G134" s="311" t="s">
        <v>1337</v>
      </c>
      <c r="H134" s="312" t="s">
        <v>205</v>
      </c>
      <c r="I134" s="313">
        <v>0</v>
      </c>
      <c r="J134" s="282">
        <v>12</v>
      </c>
    </row>
    <row r="135" spans="1:10">
      <c r="A135" s="281">
        <v>407</v>
      </c>
      <c r="B135" s="149" t="s">
        <v>75</v>
      </c>
      <c r="C135" s="151" t="s">
        <v>737</v>
      </c>
      <c r="D135" s="310">
        <f>VLOOKUP(A135,'2-Kosten per locatie'!$A$13:$C$88,3,FALSE)</f>
        <v>2</v>
      </c>
      <c r="E135" s="153" t="s">
        <v>807</v>
      </c>
      <c r="F135" s="154" t="s">
        <v>812</v>
      </c>
      <c r="G135" s="311" t="s">
        <v>1337</v>
      </c>
      <c r="H135" s="312" t="s">
        <v>205</v>
      </c>
      <c r="I135" s="313">
        <v>0</v>
      </c>
      <c r="J135" s="282">
        <v>12</v>
      </c>
    </row>
    <row r="136" spans="1:10">
      <c r="A136" s="281">
        <v>407</v>
      </c>
      <c r="B136" s="149" t="s">
        <v>75</v>
      </c>
      <c r="C136" s="151" t="s">
        <v>737</v>
      </c>
      <c r="D136" s="310">
        <f>VLOOKUP(A136,'2-Kosten per locatie'!$A$13:$C$88,3,FALSE)</f>
        <v>2</v>
      </c>
      <c r="E136" s="153" t="s">
        <v>208</v>
      </c>
      <c r="F136" s="154" t="s">
        <v>814</v>
      </c>
      <c r="G136" s="311" t="s">
        <v>1336</v>
      </c>
      <c r="H136" s="312" t="s">
        <v>257</v>
      </c>
      <c r="I136" s="313">
        <v>2</v>
      </c>
      <c r="J136" s="282">
        <v>12</v>
      </c>
    </row>
    <row r="137" spans="1:10">
      <c r="A137" s="281">
        <v>407</v>
      </c>
      <c r="B137" s="149" t="s">
        <v>75</v>
      </c>
      <c r="C137" s="151" t="s">
        <v>737</v>
      </c>
      <c r="D137" s="310">
        <f>VLOOKUP(A137,'2-Kosten per locatie'!$A$13:$C$88,3,FALSE)</f>
        <v>2</v>
      </c>
      <c r="E137" s="153" t="s">
        <v>813</v>
      </c>
      <c r="F137" s="154" t="s">
        <v>815</v>
      </c>
      <c r="G137" s="311" t="s">
        <v>1335</v>
      </c>
      <c r="H137" s="312" t="s">
        <v>162</v>
      </c>
      <c r="I137" s="313">
        <v>2</v>
      </c>
      <c r="J137" s="282">
        <v>24</v>
      </c>
    </row>
    <row r="138" spans="1:10">
      <c r="A138" s="281">
        <v>407</v>
      </c>
      <c r="B138" s="149" t="s">
        <v>75</v>
      </c>
      <c r="C138" s="151" t="s">
        <v>737</v>
      </c>
      <c r="D138" s="310">
        <f>VLOOKUP(A138,'2-Kosten per locatie'!$A$13:$C$88,3,FALSE)</f>
        <v>2</v>
      </c>
      <c r="E138" s="153" t="s">
        <v>523</v>
      </c>
      <c r="F138" s="154" t="s">
        <v>816</v>
      </c>
      <c r="G138" s="311" t="s">
        <v>658</v>
      </c>
      <c r="H138" s="312" t="s">
        <v>162</v>
      </c>
      <c r="I138" s="313">
        <v>2</v>
      </c>
      <c r="J138" s="282">
        <v>4</v>
      </c>
    </row>
    <row r="139" spans="1:10">
      <c r="A139" s="281">
        <v>407</v>
      </c>
      <c r="B139" s="149" t="s">
        <v>75</v>
      </c>
      <c r="C139" s="151" t="s">
        <v>737</v>
      </c>
      <c r="D139" s="310">
        <f>VLOOKUP(A139,'2-Kosten per locatie'!$A$13:$C$88,3,FALSE)</f>
        <v>2</v>
      </c>
      <c r="E139" s="153" t="s">
        <v>597</v>
      </c>
      <c r="F139" s="431" t="s">
        <v>818</v>
      </c>
      <c r="G139" s="311" t="s">
        <v>1337</v>
      </c>
      <c r="H139" s="312" t="s">
        <v>162</v>
      </c>
      <c r="I139" s="313">
        <v>12</v>
      </c>
      <c r="J139" s="282">
        <v>2</v>
      </c>
    </row>
    <row r="140" spans="1:10">
      <c r="A140" s="281">
        <v>407</v>
      </c>
      <c r="B140" s="149" t="s">
        <v>75</v>
      </c>
      <c r="C140" s="151" t="s">
        <v>737</v>
      </c>
      <c r="D140" s="310">
        <f>VLOOKUP(A140,'2-Kosten per locatie'!$A$13:$C$88,3,FALSE)</f>
        <v>2</v>
      </c>
      <c r="E140" s="153" t="s">
        <v>817</v>
      </c>
      <c r="F140" s="431" t="s">
        <v>822</v>
      </c>
      <c r="G140" s="311" t="s">
        <v>1333</v>
      </c>
      <c r="H140" s="312" t="s">
        <v>162</v>
      </c>
      <c r="I140" s="313">
        <v>12</v>
      </c>
      <c r="J140" s="282">
        <v>6</v>
      </c>
    </row>
    <row r="141" spans="1:10">
      <c r="A141" s="281">
        <v>408</v>
      </c>
      <c r="B141" s="149" t="s">
        <v>73</v>
      </c>
      <c r="C141" s="151" t="s">
        <v>737</v>
      </c>
      <c r="D141" s="310">
        <f>VLOOKUP(A141,'2-Kosten per locatie'!$A$13:$C$88,3,FALSE)</f>
        <v>2</v>
      </c>
      <c r="E141" s="153" t="s">
        <v>190</v>
      </c>
      <c r="F141" s="431" t="s">
        <v>792</v>
      </c>
      <c r="G141" s="311" t="s">
        <v>1334</v>
      </c>
      <c r="H141" s="312" t="s">
        <v>171</v>
      </c>
      <c r="I141" s="313">
        <v>12</v>
      </c>
      <c r="J141" s="282">
        <v>20</v>
      </c>
    </row>
    <row r="142" spans="1:10">
      <c r="A142" s="281">
        <v>408</v>
      </c>
      <c r="B142" s="149" t="s">
        <v>73</v>
      </c>
      <c r="C142" s="151" t="s">
        <v>737</v>
      </c>
      <c r="D142" s="310">
        <f>VLOOKUP(A142,'2-Kosten per locatie'!$A$13:$C$88,3,FALSE)</f>
        <v>2</v>
      </c>
      <c r="E142" s="153" t="s">
        <v>793</v>
      </c>
      <c r="F142" s="431" t="s">
        <v>794</v>
      </c>
      <c r="G142" s="311" t="s">
        <v>1332</v>
      </c>
      <c r="H142" s="312" t="s">
        <v>171</v>
      </c>
      <c r="I142" s="313">
        <v>12</v>
      </c>
      <c r="J142" s="282">
        <v>12</v>
      </c>
    </row>
    <row r="143" spans="1:10">
      <c r="A143" s="281">
        <v>408</v>
      </c>
      <c r="B143" s="149" t="s">
        <v>73</v>
      </c>
      <c r="C143" s="151" t="s">
        <v>737</v>
      </c>
      <c r="D143" s="310">
        <f>VLOOKUP(A143,'2-Kosten per locatie'!$A$13:$C$88,3,FALSE)</f>
        <v>2</v>
      </c>
      <c r="E143" s="153" t="s">
        <v>605</v>
      </c>
      <c r="F143" s="431" t="s">
        <v>795</v>
      </c>
      <c r="G143" s="311" t="s">
        <v>1333</v>
      </c>
      <c r="H143" s="312" t="s">
        <v>171</v>
      </c>
      <c r="I143" s="313">
        <v>12</v>
      </c>
      <c r="J143" s="282">
        <v>1</v>
      </c>
    </row>
    <row r="144" spans="1:10">
      <c r="A144" s="281">
        <v>408</v>
      </c>
      <c r="B144" s="149" t="s">
        <v>73</v>
      </c>
      <c r="C144" s="151" t="s">
        <v>737</v>
      </c>
      <c r="D144" s="310">
        <f>VLOOKUP(A144,'2-Kosten per locatie'!$A$13:$C$88,3,FALSE)</f>
        <v>2</v>
      </c>
      <c r="E144" s="153" t="s">
        <v>605</v>
      </c>
      <c r="F144" s="431" t="s">
        <v>796</v>
      </c>
      <c r="G144" s="311" t="s">
        <v>1333</v>
      </c>
      <c r="H144" s="312" t="s">
        <v>171</v>
      </c>
      <c r="I144" s="313">
        <v>12</v>
      </c>
      <c r="J144" s="282">
        <v>1</v>
      </c>
    </row>
    <row r="145" spans="1:10">
      <c r="A145" s="281">
        <v>408</v>
      </c>
      <c r="B145" s="149" t="s">
        <v>73</v>
      </c>
      <c r="C145" s="151" t="s">
        <v>737</v>
      </c>
      <c r="D145" s="310">
        <f>VLOOKUP(A145,'2-Kosten per locatie'!$A$13:$C$88,3,FALSE)</f>
        <v>2</v>
      </c>
      <c r="E145" s="153" t="s">
        <v>797</v>
      </c>
      <c r="F145" s="154" t="s">
        <v>798</v>
      </c>
      <c r="G145" s="311" t="s">
        <v>1335</v>
      </c>
      <c r="H145" s="312" t="s">
        <v>171</v>
      </c>
      <c r="I145" s="313">
        <v>2</v>
      </c>
      <c r="J145" s="282">
        <v>12</v>
      </c>
    </row>
    <row r="146" spans="1:10">
      <c r="A146" s="281">
        <v>408</v>
      </c>
      <c r="B146" s="149" t="s">
        <v>73</v>
      </c>
      <c r="C146" s="151" t="s">
        <v>737</v>
      </c>
      <c r="D146" s="310">
        <f>VLOOKUP(A146,'2-Kosten per locatie'!$A$13:$C$88,3,FALSE)</f>
        <v>2</v>
      </c>
      <c r="E146" s="153" t="s">
        <v>819</v>
      </c>
      <c r="F146" s="154" t="s">
        <v>800</v>
      </c>
      <c r="G146" s="311" t="s">
        <v>1336</v>
      </c>
      <c r="H146" s="312" t="s">
        <v>171</v>
      </c>
      <c r="I146" s="313">
        <v>2</v>
      </c>
      <c r="J146" s="282">
        <v>5</v>
      </c>
    </row>
    <row r="147" spans="1:10">
      <c r="A147" s="281">
        <v>408</v>
      </c>
      <c r="B147" s="149" t="s">
        <v>73</v>
      </c>
      <c r="C147" s="151" t="s">
        <v>737</v>
      </c>
      <c r="D147" s="310">
        <f>VLOOKUP(A147,'2-Kosten per locatie'!$A$13:$C$88,3,FALSE)</f>
        <v>2</v>
      </c>
      <c r="E147" s="153" t="s">
        <v>799</v>
      </c>
      <c r="F147" s="154" t="s">
        <v>802</v>
      </c>
      <c r="G147" s="311" t="s">
        <v>1335</v>
      </c>
      <c r="H147" s="312" t="s">
        <v>171</v>
      </c>
      <c r="I147" s="313">
        <v>2</v>
      </c>
      <c r="J147" s="282">
        <v>6</v>
      </c>
    </row>
    <row r="148" spans="1:10">
      <c r="A148" s="281">
        <v>408</v>
      </c>
      <c r="B148" s="149" t="s">
        <v>73</v>
      </c>
      <c r="C148" s="151" t="s">
        <v>737</v>
      </c>
      <c r="D148" s="310">
        <f>VLOOKUP(A148,'2-Kosten per locatie'!$A$13:$C$88,3,FALSE)</f>
        <v>2</v>
      </c>
      <c r="E148" s="153" t="s">
        <v>820</v>
      </c>
      <c r="F148" s="154" t="s">
        <v>804</v>
      </c>
      <c r="G148" s="311" t="s">
        <v>1335</v>
      </c>
      <c r="H148" s="312" t="s">
        <v>171</v>
      </c>
      <c r="I148" s="313">
        <v>2</v>
      </c>
      <c r="J148" s="282">
        <v>6</v>
      </c>
    </row>
    <row r="149" spans="1:10">
      <c r="A149" s="281">
        <v>408</v>
      </c>
      <c r="B149" s="149" t="s">
        <v>73</v>
      </c>
      <c r="C149" s="151" t="s">
        <v>737</v>
      </c>
      <c r="D149" s="310">
        <f>VLOOKUP(A149,'2-Kosten per locatie'!$A$13:$C$88,3,FALSE)</f>
        <v>2</v>
      </c>
      <c r="E149" s="153" t="s">
        <v>782</v>
      </c>
      <c r="F149" s="154" t="s">
        <v>806</v>
      </c>
      <c r="G149" s="311" t="s">
        <v>1335</v>
      </c>
      <c r="H149" s="312" t="s">
        <v>171</v>
      </c>
      <c r="I149" s="313">
        <v>2</v>
      </c>
      <c r="J149" s="282">
        <v>15</v>
      </c>
    </row>
    <row r="150" spans="1:10">
      <c r="A150" s="281">
        <v>408</v>
      </c>
      <c r="B150" s="149" t="s">
        <v>73</v>
      </c>
      <c r="C150" s="151" t="s">
        <v>737</v>
      </c>
      <c r="D150" s="310">
        <f>VLOOKUP(A150,'2-Kosten per locatie'!$A$13:$C$88,3,FALSE)</f>
        <v>2</v>
      </c>
      <c r="E150" s="153" t="s">
        <v>821</v>
      </c>
      <c r="F150" s="154" t="s">
        <v>808</v>
      </c>
      <c r="G150" s="311" t="s">
        <v>1335</v>
      </c>
      <c r="H150" s="312" t="s">
        <v>171</v>
      </c>
      <c r="I150" s="313">
        <v>2</v>
      </c>
      <c r="J150" s="282">
        <v>84</v>
      </c>
    </row>
    <row r="151" spans="1:10">
      <c r="A151" s="281">
        <v>408</v>
      </c>
      <c r="B151" s="149" t="s">
        <v>73</v>
      </c>
      <c r="C151" s="151" t="s">
        <v>737</v>
      </c>
      <c r="D151" s="310">
        <f>VLOOKUP(A151,'2-Kosten per locatie'!$A$13:$C$88,3,FALSE)</f>
        <v>2</v>
      </c>
      <c r="E151" s="153" t="s">
        <v>208</v>
      </c>
      <c r="F151" s="154" t="s">
        <v>810</v>
      </c>
      <c r="G151" s="311" t="s">
        <v>1336</v>
      </c>
      <c r="H151" s="312" t="s">
        <v>257</v>
      </c>
      <c r="I151" s="313">
        <v>2</v>
      </c>
      <c r="J151" s="282">
        <v>12</v>
      </c>
    </row>
    <row r="152" spans="1:10">
      <c r="A152" s="281">
        <v>408</v>
      </c>
      <c r="B152" s="149" t="s">
        <v>73</v>
      </c>
      <c r="C152" s="151" t="s">
        <v>737</v>
      </c>
      <c r="D152" s="310">
        <f>VLOOKUP(A152,'2-Kosten per locatie'!$A$13:$C$88,3,FALSE)</f>
        <v>2</v>
      </c>
      <c r="E152" s="153" t="s">
        <v>807</v>
      </c>
      <c r="F152" s="154" t="s">
        <v>811</v>
      </c>
      <c r="G152" s="311" t="s">
        <v>1337</v>
      </c>
      <c r="H152" s="312" t="s">
        <v>205</v>
      </c>
      <c r="I152" s="313">
        <v>0</v>
      </c>
      <c r="J152" s="282">
        <v>12</v>
      </c>
    </row>
    <row r="153" spans="1:10">
      <c r="A153" s="281">
        <v>408</v>
      </c>
      <c r="B153" s="149" t="s">
        <v>73</v>
      </c>
      <c r="C153" s="151" t="s">
        <v>737</v>
      </c>
      <c r="D153" s="310">
        <f>VLOOKUP(A153,'2-Kosten per locatie'!$A$13:$C$88,3,FALSE)</f>
        <v>2</v>
      </c>
      <c r="E153" s="153" t="s">
        <v>807</v>
      </c>
      <c r="F153" s="154" t="s">
        <v>812</v>
      </c>
      <c r="G153" s="311" t="s">
        <v>1337</v>
      </c>
      <c r="H153" s="312" t="s">
        <v>205</v>
      </c>
      <c r="I153" s="313">
        <v>0</v>
      </c>
      <c r="J153" s="282">
        <v>12</v>
      </c>
    </row>
    <row r="154" spans="1:10">
      <c r="A154" s="281">
        <v>408</v>
      </c>
      <c r="B154" s="149" t="s">
        <v>73</v>
      </c>
      <c r="C154" s="151" t="s">
        <v>737</v>
      </c>
      <c r="D154" s="310">
        <f>VLOOKUP(A154,'2-Kosten per locatie'!$A$13:$C$88,3,FALSE)</f>
        <v>2</v>
      </c>
      <c r="E154" s="153" t="s">
        <v>813</v>
      </c>
      <c r="F154" s="154" t="s">
        <v>814</v>
      </c>
      <c r="G154" s="311" t="s">
        <v>1335</v>
      </c>
      <c r="H154" s="312" t="s">
        <v>171</v>
      </c>
      <c r="I154" s="313">
        <v>2</v>
      </c>
      <c r="J154" s="282">
        <v>24</v>
      </c>
    </row>
    <row r="155" spans="1:10">
      <c r="A155" s="281">
        <v>408</v>
      </c>
      <c r="B155" s="149" t="s">
        <v>73</v>
      </c>
      <c r="C155" s="151" t="s">
        <v>737</v>
      </c>
      <c r="D155" s="310">
        <f>VLOOKUP(A155,'2-Kosten per locatie'!$A$13:$C$88,3,FALSE)</f>
        <v>2</v>
      </c>
      <c r="E155" s="153" t="s">
        <v>523</v>
      </c>
      <c r="F155" s="154" t="s">
        <v>815</v>
      </c>
      <c r="G155" s="311" t="s">
        <v>658</v>
      </c>
      <c r="H155" s="312" t="s">
        <v>171</v>
      </c>
      <c r="I155" s="313">
        <v>2</v>
      </c>
      <c r="J155" s="282">
        <v>4</v>
      </c>
    </row>
    <row r="156" spans="1:10">
      <c r="A156" s="281">
        <v>408</v>
      </c>
      <c r="B156" s="149" t="s">
        <v>73</v>
      </c>
      <c r="C156" s="151" t="s">
        <v>737</v>
      </c>
      <c r="D156" s="310">
        <f>VLOOKUP(A156,'2-Kosten per locatie'!$A$13:$C$88,3,FALSE)</f>
        <v>2</v>
      </c>
      <c r="E156" s="153" t="s">
        <v>597</v>
      </c>
      <c r="F156" s="431" t="s">
        <v>816</v>
      </c>
      <c r="G156" s="311" t="s">
        <v>1337</v>
      </c>
      <c r="H156" s="312" t="s">
        <v>171</v>
      </c>
      <c r="I156" s="313">
        <v>12</v>
      </c>
      <c r="J156" s="282">
        <v>2</v>
      </c>
    </row>
    <row r="157" spans="1:10">
      <c r="A157" s="281">
        <v>408</v>
      </c>
      <c r="B157" s="149" t="s">
        <v>73</v>
      </c>
      <c r="C157" s="151" t="s">
        <v>737</v>
      </c>
      <c r="D157" s="310">
        <f>VLOOKUP(A157,'2-Kosten per locatie'!$A$13:$C$88,3,FALSE)</f>
        <v>2</v>
      </c>
      <c r="E157" s="153" t="s">
        <v>817</v>
      </c>
      <c r="F157" s="431" t="s">
        <v>818</v>
      </c>
      <c r="G157" s="311" t="s">
        <v>1333</v>
      </c>
      <c r="H157" s="312" t="s">
        <v>171</v>
      </c>
      <c r="I157" s="313">
        <v>12</v>
      </c>
      <c r="J157" s="282">
        <v>6</v>
      </c>
    </row>
    <row r="158" spans="1:10">
      <c r="A158" s="281">
        <v>409</v>
      </c>
      <c r="B158" s="149" t="s">
        <v>124</v>
      </c>
      <c r="C158" s="151" t="s">
        <v>737</v>
      </c>
      <c r="D158" s="310">
        <f>VLOOKUP(A158,'2-Kosten per locatie'!$A$13:$C$88,3,FALSE)</f>
        <v>2</v>
      </c>
      <c r="E158" s="153" t="s">
        <v>455</v>
      </c>
      <c r="F158" s="154" t="s">
        <v>510</v>
      </c>
      <c r="G158" s="311" t="s">
        <v>1335</v>
      </c>
      <c r="H158" s="312" t="s">
        <v>162</v>
      </c>
      <c r="I158" s="313">
        <v>2</v>
      </c>
      <c r="J158" s="282">
        <v>27</v>
      </c>
    </row>
    <row r="159" spans="1:10">
      <c r="A159" s="281">
        <v>409</v>
      </c>
      <c r="B159" s="149" t="s">
        <v>124</v>
      </c>
      <c r="C159" s="151" t="s">
        <v>737</v>
      </c>
      <c r="D159" s="310">
        <f>VLOOKUP(A159,'2-Kosten per locatie'!$A$13:$C$88,3,FALSE)</f>
        <v>2</v>
      </c>
      <c r="E159" s="153" t="s">
        <v>846</v>
      </c>
      <c r="F159" s="154" t="s">
        <v>603</v>
      </c>
      <c r="G159" s="311" t="s">
        <v>1335</v>
      </c>
      <c r="H159" s="312" t="s">
        <v>214</v>
      </c>
      <c r="I159" s="313">
        <v>2</v>
      </c>
      <c r="J159" s="282">
        <v>10</v>
      </c>
    </row>
    <row r="160" spans="1:10">
      <c r="A160" s="281">
        <v>409</v>
      </c>
      <c r="B160" s="149" t="s">
        <v>124</v>
      </c>
      <c r="C160" s="151" t="s">
        <v>737</v>
      </c>
      <c r="D160" s="310">
        <f>VLOOKUP(A160,'2-Kosten per locatie'!$A$13:$C$88,3,FALSE)</f>
        <v>2</v>
      </c>
      <c r="E160" s="153" t="s">
        <v>847</v>
      </c>
      <c r="F160" s="154"/>
      <c r="G160" s="311" t="s">
        <v>1338</v>
      </c>
      <c r="H160" s="312" t="s">
        <v>251</v>
      </c>
      <c r="I160" s="313">
        <v>0</v>
      </c>
      <c r="J160" s="282">
        <v>68</v>
      </c>
    </row>
    <row r="161" spans="1:10">
      <c r="A161" s="281">
        <v>410</v>
      </c>
      <c r="B161" s="149" t="s">
        <v>125</v>
      </c>
      <c r="C161" s="151" t="s">
        <v>737</v>
      </c>
      <c r="D161" s="310">
        <f>VLOOKUP(A161,'2-Kosten per locatie'!$A$13:$C$88,3,FALSE)</f>
        <v>2</v>
      </c>
      <c r="E161" s="153" t="s">
        <v>455</v>
      </c>
      <c r="F161" s="154" t="s">
        <v>510</v>
      </c>
      <c r="G161" s="311" t="s">
        <v>1335</v>
      </c>
      <c r="H161" s="312" t="s">
        <v>162</v>
      </c>
      <c r="I161" s="313">
        <v>2</v>
      </c>
      <c r="J161" s="282">
        <v>26</v>
      </c>
    </row>
    <row r="162" spans="1:10">
      <c r="A162" s="281">
        <v>410</v>
      </c>
      <c r="B162" s="149" t="s">
        <v>125</v>
      </c>
      <c r="C162" s="151" t="s">
        <v>737</v>
      </c>
      <c r="D162" s="310">
        <f>VLOOKUP(A162,'2-Kosten per locatie'!$A$13:$C$88,3,FALSE)</f>
        <v>2</v>
      </c>
      <c r="E162" s="153" t="s">
        <v>846</v>
      </c>
      <c r="F162" s="154" t="s">
        <v>603</v>
      </c>
      <c r="G162" s="311" t="s">
        <v>1335</v>
      </c>
      <c r="H162" s="312" t="s">
        <v>214</v>
      </c>
      <c r="I162" s="313">
        <v>2</v>
      </c>
      <c r="J162" s="282">
        <v>7</v>
      </c>
    </row>
    <row r="163" spans="1:10">
      <c r="A163" s="281">
        <v>410</v>
      </c>
      <c r="B163" s="149" t="s">
        <v>125</v>
      </c>
      <c r="C163" s="151" t="s">
        <v>737</v>
      </c>
      <c r="D163" s="310">
        <f>VLOOKUP(A163,'2-Kosten per locatie'!$A$13:$C$88,3,FALSE)</f>
        <v>2</v>
      </c>
      <c r="E163" s="153" t="s">
        <v>848</v>
      </c>
      <c r="F163" s="154"/>
      <c r="G163" s="311" t="s">
        <v>1337</v>
      </c>
      <c r="H163" s="312"/>
      <c r="I163" s="313">
        <v>0</v>
      </c>
      <c r="J163" s="282"/>
    </row>
    <row r="164" spans="1:10">
      <c r="A164" s="281">
        <v>410</v>
      </c>
      <c r="B164" s="149" t="s">
        <v>125</v>
      </c>
      <c r="C164" s="151" t="s">
        <v>737</v>
      </c>
      <c r="D164" s="310">
        <f>VLOOKUP(A164,'2-Kosten per locatie'!$A$13:$C$88,3,FALSE)</f>
        <v>2</v>
      </c>
      <c r="E164" s="153" t="s">
        <v>847</v>
      </c>
      <c r="F164" s="154"/>
      <c r="G164" s="311" t="s">
        <v>1338</v>
      </c>
      <c r="H164" s="312" t="s">
        <v>251</v>
      </c>
      <c r="I164" s="313">
        <v>0</v>
      </c>
      <c r="J164" s="282">
        <v>122</v>
      </c>
    </row>
    <row r="165" spans="1:10">
      <c r="A165" s="281">
        <v>411</v>
      </c>
      <c r="B165" s="149" t="s">
        <v>126</v>
      </c>
      <c r="C165" s="151" t="s">
        <v>737</v>
      </c>
      <c r="D165" s="310">
        <f>VLOOKUP(A165,'2-Kosten per locatie'!$A$13:$C$88,3,FALSE)</f>
        <v>2</v>
      </c>
      <c r="E165" s="153" t="s">
        <v>350</v>
      </c>
      <c r="F165" s="154" t="s">
        <v>158</v>
      </c>
      <c r="G165" s="311" t="s">
        <v>1335</v>
      </c>
      <c r="H165" s="312" t="s">
        <v>162</v>
      </c>
      <c r="I165" s="313">
        <v>2</v>
      </c>
      <c r="J165" s="282">
        <v>19</v>
      </c>
    </row>
    <row r="166" spans="1:10">
      <c r="A166" s="281">
        <v>411</v>
      </c>
      <c r="B166" s="149" t="s">
        <v>126</v>
      </c>
      <c r="C166" s="151" t="s">
        <v>737</v>
      </c>
      <c r="D166" s="310">
        <f>VLOOKUP(A166,'2-Kosten per locatie'!$A$13:$C$88,3,FALSE)</f>
        <v>2</v>
      </c>
      <c r="E166" s="153" t="s">
        <v>350</v>
      </c>
      <c r="F166" s="154" t="s">
        <v>509</v>
      </c>
      <c r="G166" s="311" t="s">
        <v>1335</v>
      </c>
      <c r="H166" s="312" t="s">
        <v>162</v>
      </c>
      <c r="I166" s="313">
        <v>2</v>
      </c>
      <c r="J166" s="282">
        <v>8</v>
      </c>
    </row>
    <row r="167" spans="1:10">
      <c r="A167" s="281">
        <v>411</v>
      </c>
      <c r="B167" s="149" t="s">
        <v>126</v>
      </c>
      <c r="C167" s="151" t="s">
        <v>737</v>
      </c>
      <c r="D167" s="310">
        <f>VLOOKUP(A167,'2-Kosten per locatie'!$A$13:$C$88,3,FALSE)</f>
        <v>2</v>
      </c>
      <c r="E167" s="153" t="s">
        <v>849</v>
      </c>
      <c r="F167" s="154" t="s">
        <v>282</v>
      </c>
      <c r="G167" s="311" t="s">
        <v>1335</v>
      </c>
      <c r="H167" s="312" t="s">
        <v>162</v>
      </c>
      <c r="I167" s="313">
        <v>2</v>
      </c>
      <c r="J167" s="282">
        <v>3</v>
      </c>
    </row>
    <row r="168" spans="1:10">
      <c r="A168" s="281">
        <v>411</v>
      </c>
      <c r="B168" s="149" t="s">
        <v>126</v>
      </c>
      <c r="C168" s="151" t="s">
        <v>737</v>
      </c>
      <c r="D168" s="310">
        <f>VLOOKUP(A168,'2-Kosten per locatie'!$A$13:$C$88,3,FALSE)</f>
        <v>2</v>
      </c>
      <c r="E168" s="153" t="s">
        <v>851</v>
      </c>
      <c r="F168" s="154" t="s">
        <v>510</v>
      </c>
      <c r="G168" s="311" t="s">
        <v>1335</v>
      </c>
      <c r="H168" s="312" t="s">
        <v>214</v>
      </c>
      <c r="I168" s="313">
        <v>2</v>
      </c>
      <c r="J168" s="282">
        <v>16</v>
      </c>
    </row>
    <row r="169" spans="1:10">
      <c r="A169" s="281">
        <v>411</v>
      </c>
      <c r="B169" s="149" t="s">
        <v>126</v>
      </c>
      <c r="C169" s="151" t="s">
        <v>737</v>
      </c>
      <c r="D169" s="310">
        <f>VLOOKUP(A169,'2-Kosten per locatie'!$A$13:$C$88,3,FALSE)</f>
        <v>2</v>
      </c>
      <c r="E169" s="153" t="s">
        <v>455</v>
      </c>
      <c r="F169" s="154" t="s">
        <v>603</v>
      </c>
      <c r="G169" s="311" t="s">
        <v>1335</v>
      </c>
      <c r="H169" s="312" t="s">
        <v>162</v>
      </c>
      <c r="I169" s="313">
        <v>2</v>
      </c>
      <c r="J169" s="282">
        <v>30</v>
      </c>
    </row>
    <row r="170" spans="1:10">
      <c r="A170" s="281">
        <v>411</v>
      </c>
      <c r="B170" s="149" t="s">
        <v>126</v>
      </c>
      <c r="C170" s="151" t="s">
        <v>737</v>
      </c>
      <c r="D170" s="310">
        <f>VLOOKUP(A170,'2-Kosten per locatie'!$A$13:$C$88,3,FALSE)</f>
        <v>2</v>
      </c>
      <c r="E170" s="153" t="s">
        <v>852</v>
      </c>
      <c r="F170" s="154" t="s">
        <v>853</v>
      </c>
      <c r="G170" s="311" t="s">
        <v>1335</v>
      </c>
      <c r="H170" s="312" t="s">
        <v>214</v>
      </c>
      <c r="I170" s="313">
        <v>2</v>
      </c>
      <c r="J170" s="282">
        <v>33</v>
      </c>
    </row>
    <row r="171" spans="1:10">
      <c r="A171" s="281">
        <v>411</v>
      </c>
      <c r="B171" s="149" t="s">
        <v>126</v>
      </c>
      <c r="C171" s="151" t="s">
        <v>737</v>
      </c>
      <c r="D171" s="310">
        <f>VLOOKUP(A171,'2-Kosten per locatie'!$A$13:$C$88,3,FALSE)</f>
        <v>2</v>
      </c>
      <c r="E171" s="153" t="s">
        <v>854</v>
      </c>
      <c r="F171" s="154" t="s">
        <v>855</v>
      </c>
      <c r="G171" s="311" t="s">
        <v>1335</v>
      </c>
      <c r="H171" s="312" t="s">
        <v>856</v>
      </c>
      <c r="I171" s="313">
        <v>2</v>
      </c>
      <c r="J171" s="282">
        <v>15</v>
      </c>
    </row>
    <row r="172" spans="1:10">
      <c r="A172" s="281">
        <v>411</v>
      </c>
      <c r="B172" s="149" t="s">
        <v>126</v>
      </c>
      <c r="C172" s="151" t="s">
        <v>737</v>
      </c>
      <c r="D172" s="310">
        <f>VLOOKUP(A172,'2-Kosten per locatie'!$A$13:$C$88,3,FALSE)</f>
        <v>2</v>
      </c>
      <c r="E172" s="153" t="s">
        <v>398</v>
      </c>
      <c r="F172" s="154" t="s">
        <v>857</v>
      </c>
      <c r="G172" s="311" t="s">
        <v>1335</v>
      </c>
      <c r="H172" s="312" t="s">
        <v>858</v>
      </c>
      <c r="I172" s="313">
        <v>2</v>
      </c>
      <c r="J172" s="282">
        <v>5</v>
      </c>
    </row>
    <row r="173" spans="1:10">
      <c r="A173" s="281" t="s">
        <v>127</v>
      </c>
      <c r="B173" s="149" t="s">
        <v>107</v>
      </c>
      <c r="C173" s="151" t="s">
        <v>737</v>
      </c>
      <c r="D173" s="310">
        <f>VLOOKUP(A173,'2-Kosten per locatie'!$A$13:$C$88,3,FALSE)</f>
        <v>2</v>
      </c>
      <c r="E173" s="153" t="s">
        <v>738</v>
      </c>
      <c r="F173" s="154" t="s">
        <v>739</v>
      </c>
      <c r="G173" s="311" t="s">
        <v>1335</v>
      </c>
      <c r="H173" s="312" t="s">
        <v>214</v>
      </c>
      <c r="I173" s="313">
        <v>2</v>
      </c>
      <c r="J173" s="282">
        <v>11</v>
      </c>
    </row>
    <row r="174" spans="1:10">
      <c r="A174" s="281" t="s">
        <v>127</v>
      </c>
      <c r="B174" s="149" t="s">
        <v>107</v>
      </c>
      <c r="C174" s="151" t="s">
        <v>737</v>
      </c>
      <c r="D174" s="310">
        <f>VLOOKUP(A174,'2-Kosten per locatie'!$A$13:$C$88,3,FALSE)</f>
        <v>2</v>
      </c>
      <c r="E174" s="153" t="s">
        <v>740</v>
      </c>
      <c r="F174" s="154" t="s">
        <v>741</v>
      </c>
      <c r="G174" s="311" t="s">
        <v>1335</v>
      </c>
      <c r="H174" s="312" t="s">
        <v>214</v>
      </c>
      <c r="I174" s="313">
        <v>2</v>
      </c>
      <c r="J174" s="282">
        <v>31</v>
      </c>
    </row>
    <row r="175" spans="1:10">
      <c r="A175" s="281" t="s">
        <v>128</v>
      </c>
      <c r="B175" s="149" t="s">
        <v>109</v>
      </c>
      <c r="C175" s="151" t="s">
        <v>737</v>
      </c>
      <c r="D175" s="310">
        <f>VLOOKUP(A175,'2-Kosten per locatie'!$A$13:$C$88,3,FALSE)</f>
        <v>2</v>
      </c>
      <c r="E175" s="153" t="s">
        <v>753</v>
      </c>
      <c r="F175" s="154" t="s">
        <v>510</v>
      </c>
      <c r="G175" s="311" t="s">
        <v>1335</v>
      </c>
      <c r="H175" s="312" t="s">
        <v>214</v>
      </c>
      <c r="I175" s="313">
        <v>2</v>
      </c>
      <c r="J175" s="282">
        <v>11</v>
      </c>
    </row>
    <row r="176" spans="1:10">
      <c r="A176" s="281" t="s">
        <v>128</v>
      </c>
      <c r="B176" s="149" t="s">
        <v>109</v>
      </c>
      <c r="C176" s="151" t="s">
        <v>737</v>
      </c>
      <c r="D176" s="310">
        <f>VLOOKUP(A176,'2-Kosten per locatie'!$A$13:$C$88,3,FALSE)</f>
        <v>2</v>
      </c>
      <c r="E176" s="153" t="s">
        <v>754</v>
      </c>
      <c r="F176" s="154" t="s">
        <v>741</v>
      </c>
      <c r="G176" s="311" t="s">
        <v>1335</v>
      </c>
      <c r="H176" s="312" t="s">
        <v>214</v>
      </c>
      <c r="I176" s="313">
        <v>2</v>
      </c>
      <c r="J176" s="282">
        <v>30</v>
      </c>
    </row>
    <row r="177" spans="1:10">
      <c r="A177" s="281" t="s">
        <v>129</v>
      </c>
      <c r="B177" s="149" t="s">
        <v>115</v>
      </c>
      <c r="C177" s="151" t="s">
        <v>737</v>
      </c>
      <c r="D177" s="310">
        <f>VLOOKUP(A177,'2-Kosten per locatie'!$A$13:$C$88,3,FALSE)</f>
        <v>2</v>
      </c>
      <c r="E177" s="153" t="s">
        <v>738</v>
      </c>
      <c r="F177" s="154" t="s">
        <v>510</v>
      </c>
      <c r="G177" s="311" t="s">
        <v>1335</v>
      </c>
      <c r="H177" s="312" t="s">
        <v>214</v>
      </c>
      <c r="I177" s="313">
        <v>2</v>
      </c>
      <c r="J177" s="282">
        <v>10</v>
      </c>
    </row>
    <row r="178" spans="1:10">
      <c r="A178" s="281" t="s">
        <v>129</v>
      </c>
      <c r="B178" s="149" t="s">
        <v>115</v>
      </c>
      <c r="C178" s="151" t="s">
        <v>737</v>
      </c>
      <c r="D178" s="310">
        <f>VLOOKUP(A178,'2-Kosten per locatie'!$A$13:$C$88,3,FALSE)</f>
        <v>2</v>
      </c>
      <c r="E178" s="153" t="s">
        <v>859</v>
      </c>
      <c r="F178" s="154" t="s">
        <v>741</v>
      </c>
      <c r="G178" s="311" t="s">
        <v>1335</v>
      </c>
      <c r="H178" s="312" t="s">
        <v>214</v>
      </c>
      <c r="I178" s="313">
        <v>2</v>
      </c>
      <c r="J178" s="282">
        <v>32</v>
      </c>
    </row>
    <row r="179" spans="1:10">
      <c r="A179" s="281">
        <v>413</v>
      </c>
      <c r="B179" s="149" t="s">
        <v>132</v>
      </c>
      <c r="C179" s="151" t="s">
        <v>737</v>
      </c>
      <c r="D179" s="310">
        <f>VLOOKUP(A179,'2-Kosten per locatie'!$A$13:$C$88,3,FALSE)</f>
        <v>2</v>
      </c>
      <c r="E179" s="366" t="s">
        <v>731</v>
      </c>
      <c r="F179" s="153" t="s">
        <v>860</v>
      </c>
      <c r="G179" s="311" t="s">
        <v>1335</v>
      </c>
      <c r="H179" s="312" t="s">
        <v>214</v>
      </c>
      <c r="I179" s="313">
        <v>2</v>
      </c>
      <c r="J179" s="314">
        <v>17</v>
      </c>
    </row>
    <row r="180" spans="1:10">
      <c r="A180" s="281">
        <v>413</v>
      </c>
      <c r="B180" s="149" t="s">
        <v>132</v>
      </c>
      <c r="C180" s="151" t="s">
        <v>737</v>
      </c>
      <c r="D180" s="310">
        <f>VLOOKUP(A180,'2-Kosten per locatie'!$A$13:$C$88,3,FALSE)</f>
        <v>2</v>
      </c>
      <c r="E180" s="366" t="s">
        <v>859</v>
      </c>
      <c r="F180" s="153" t="s">
        <v>861</v>
      </c>
      <c r="G180" s="311" t="s">
        <v>1335</v>
      </c>
      <c r="H180" s="312" t="s">
        <v>214</v>
      </c>
      <c r="I180" s="313">
        <v>2</v>
      </c>
      <c r="J180" s="314">
        <v>41</v>
      </c>
    </row>
    <row r="181" spans="1:10">
      <c r="A181" s="281">
        <v>413</v>
      </c>
      <c r="B181" s="149" t="s">
        <v>132</v>
      </c>
      <c r="C181" s="151" t="s">
        <v>737</v>
      </c>
      <c r="D181" s="310">
        <f>VLOOKUP(A181,'2-Kosten per locatie'!$A$13:$C$88,3,FALSE)</f>
        <v>2</v>
      </c>
      <c r="E181" s="366" t="s">
        <v>862</v>
      </c>
      <c r="F181" s="153" t="s">
        <v>863</v>
      </c>
      <c r="G181" s="311" t="s">
        <v>1335</v>
      </c>
      <c r="H181" s="312" t="s">
        <v>214</v>
      </c>
      <c r="I181" s="313">
        <v>2</v>
      </c>
      <c r="J181" s="314">
        <v>10</v>
      </c>
    </row>
    <row r="182" spans="1:10">
      <c r="A182" s="281">
        <v>413</v>
      </c>
      <c r="B182" s="149" t="s">
        <v>132</v>
      </c>
      <c r="C182" s="151" t="s">
        <v>737</v>
      </c>
      <c r="D182" s="310">
        <f>VLOOKUP(A182,'2-Kosten per locatie'!$A$13:$C$88,3,FALSE)</f>
        <v>2</v>
      </c>
      <c r="E182" s="366" t="s">
        <v>864</v>
      </c>
      <c r="F182" s="153" t="s">
        <v>865</v>
      </c>
      <c r="G182" s="311" t="s">
        <v>1335</v>
      </c>
      <c r="H182" s="312" t="s">
        <v>214</v>
      </c>
      <c r="I182" s="313">
        <v>2</v>
      </c>
      <c r="J182" s="314">
        <v>5</v>
      </c>
    </row>
    <row r="183" spans="1:10">
      <c r="A183" s="281">
        <v>413</v>
      </c>
      <c r="B183" s="149" t="s">
        <v>132</v>
      </c>
      <c r="C183" s="151" t="s">
        <v>737</v>
      </c>
      <c r="D183" s="310">
        <f>VLOOKUP(A183,'2-Kosten per locatie'!$A$13:$C$88,3,FALSE)</f>
        <v>2</v>
      </c>
      <c r="E183" s="366" t="s">
        <v>866</v>
      </c>
      <c r="F183" s="153" t="s">
        <v>867</v>
      </c>
      <c r="G183" s="311" t="s">
        <v>1335</v>
      </c>
      <c r="H183" s="312" t="s">
        <v>214</v>
      </c>
      <c r="I183" s="313">
        <v>2</v>
      </c>
      <c r="J183" s="314">
        <v>6</v>
      </c>
    </row>
    <row r="184" spans="1:10">
      <c r="A184" s="281">
        <v>413</v>
      </c>
      <c r="B184" s="149" t="s">
        <v>132</v>
      </c>
      <c r="C184" s="151" t="s">
        <v>737</v>
      </c>
      <c r="D184" s="310">
        <f>VLOOKUP(A184,'2-Kosten per locatie'!$A$13:$C$88,3,FALSE)</f>
        <v>2</v>
      </c>
      <c r="E184" s="366" t="s">
        <v>868</v>
      </c>
      <c r="F184" s="153" t="s">
        <v>869</v>
      </c>
      <c r="G184" s="311" t="s">
        <v>1335</v>
      </c>
      <c r="H184" s="312" t="s">
        <v>214</v>
      </c>
      <c r="I184" s="313">
        <v>2</v>
      </c>
      <c r="J184" s="314">
        <v>12</v>
      </c>
    </row>
    <row r="185" spans="1:10">
      <c r="A185" s="281">
        <v>413</v>
      </c>
      <c r="B185" s="149" t="s">
        <v>132</v>
      </c>
      <c r="C185" s="151" t="s">
        <v>737</v>
      </c>
      <c r="D185" s="310">
        <f>VLOOKUP(A185,'2-Kosten per locatie'!$A$13:$C$88,3,FALSE)</f>
        <v>2</v>
      </c>
      <c r="E185" s="366" t="s">
        <v>870</v>
      </c>
      <c r="F185" s="153" t="s">
        <v>871</v>
      </c>
      <c r="G185" s="311" t="s">
        <v>1337</v>
      </c>
      <c r="H185" s="312" t="s">
        <v>214</v>
      </c>
      <c r="I185" s="313">
        <v>0</v>
      </c>
      <c r="J185" s="314">
        <v>17</v>
      </c>
    </row>
    <row r="186" spans="1:10">
      <c r="A186" s="281">
        <v>413</v>
      </c>
      <c r="B186" s="149" t="s">
        <v>132</v>
      </c>
      <c r="C186" s="151" t="s">
        <v>737</v>
      </c>
      <c r="D186" s="310">
        <f>VLOOKUP(A186,'2-Kosten per locatie'!$A$13:$C$88,3,FALSE)</f>
        <v>2</v>
      </c>
      <c r="E186" s="366" t="s">
        <v>872</v>
      </c>
      <c r="F186" s="153" t="s">
        <v>873</v>
      </c>
      <c r="G186" s="311" t="s">
        <v>1337</v>
      </c>
      <c r="H186" s="312" t="s">
        <v>214</v>
      </c>
      <c r="I186" s="313">
        <v>0</v>
      </c>
      <c r="J186" s="314">
        <v>41</v>
      </c>
    </row>
    <row r="187" spans="1:10">
      <c r="A187" s="281">
        <v>413</v>
      </c>
      <c r="B187" s="149" t="s">
        <v>132</v>
      </c>
      <c r="C187" s="151" t="s">
        <v>737</v>
      </c>
      <c r="D187" s="310">
        <f>VLOOKUP(A187,'2-Kosten per locatie'!$A$13:$C$88,3,FALSE)</f>
        <v>2</v>
      </c>
      <c r="E187" s="366" t="s">
        <v>874</v>
      </c>
      <c r="F187" s="153" t="s">
        <v>875</v>
      </c>
      <c r="G187" s="311" t="s">
        <v>1337</v>
      </c>
      <c r="H187" s="312" t="s">
        <v>214</v>
      </c>
      <c r="I187" s="313">
        <v>0</v>
      </c>
      <c r="J187" s="314">
        <v>15</v>
      </c>
    </row>
    <row r="188" spans="1:10">
      <c r="A188" s="281">
        <v>413</v>
      </c>
      <c r="B188" s="149" t="s">
        <v>132</v>
      </c>
      <c r="C188" s="151" t="s">
        <v>737</v>
      </c>
      <c r="D188" s="310">
        <f>VLOOKUP(A188,'2-Kosten per locatie'!$A$13:$C$88,3,FALSE)</f>
        <v>2</v>
      </c>
      <c r="E188" s="366" t="s">
        <v>876</v>
      </c>
      <c r="F188" s="153" t="s">
        <v>877</v>
      </c>
      <c r="G188" s="311" t="s">
        <v>1337</v>
      </c>
      <c r="H188" s="312" t="s">
        <v>214</v>
      </c>
      <c r="I188" s="313">
        <v>0</v>
      </c>
      <c r="J188" s="315">
        <v>18</v>
      </c>
    </row>
    <row r="189" spans="1:10">
      <c r="A189" s="281">
        <v>416</v>
      </c>
      <c r="B189" s="149" t="s">
        <v>133</v>
      </c>
      <c r="C189" s="357" t="s">
        <v>737</v>
      </c>
      <c r="D189" s="358">
        <f>VLOOKUP(A189,'2-Kosten per locatie'!$A$13:$C$87,3,FALSE)</f>
        <v>2</v>
      </c>
      <c r="E189" s="290" t="s">
        <v>731</v>
      </c>
      <c r="F189" s="526" t="s">
        <v>860</v>
      </c>
      <c r="G189" s="526"/>
      <c r="H189" s="147" t="s">
        <v>171</v>
      </c>
      <c r="I189" s="359">
        <v>2</v>
      </c>
      <c r="J189" s="359">
        <v>35</v>
      </c>
    </row>
    <row r="190" spans="1:10">
      <c r="A190" s="281">
        <v>416</v>
      </c>
      <c r="B190" s="149" t="s">
        <v>133</v>
      </c>
      <c r="C190" s="357" t="s">
        <v>737</v>
      </c>
      <c r="D190" s="358">
        <f>VLOOKUP(A190,'2-Kosten per locatie'!$A$13:$C$87,3,FALSE)</f>
        <v>2</v>
      </c>
      <c r="E190" s="290" t="s">
        <v>862</v>
      </c>
      <c r="F190" s="526" t="s">
        <v>861</v>
      </c>
      <c r="G190" s="311" t="s">
        <v>1337</v>
      </c>
      <c r="H190" s="147" t="s">
        <v>171</v>
      </c>
      <c r="I190" s="359">
        <v>0</v>
      </c>
      <c r="J190" s="359">
        <v>17</v>
      </c>
    </row>
    <row r="191" spans="1:10">
      <c r="A191" s="281">
        <v>416</v>
      </c>
      <c r="B191" s="149" t="s">
        <v>133</v>
      </c>
      <c r="C191" s="357" t="s">
        <v>737</v>
      </c>
      <c r="D191" s="358">
        <f>VLOOKUP(A191,'2-Kosten per locatie'!$A$13:$C$87,3,FALSE)</f>
        <v>2</v>
      </c>
      <c r="E191" s="290" t="s">
        <v>878</v>
      </c>
      <c r="F191" s="526" t="s">
        <v>863</v>
      </c>
      <c r="G191" s="526"/>
      <c r="H191" s="147" t="s">
        <v>171</v>
      </c>
      <c r="I191" s="359">
        <v>2</v>
      </c>
      <c r="J191" s="359">
        <v>6</v>
      </c>
    </row>
    <row r="192" spans="1:10">
      <c r="A192" s="281">
        <v>416</v>
      </c>
      <c r="B192" s="149" t="s">
        <v>133</v>
      </c>
      <c r="C192" s="357" t="s">
        <v>737</v>
      </c>
      <c r="D192" s="358">
        <f>VLOOKUP(A192,'2-Kosten per locatie'!$A$13:$C$87,3,FALSE)</f>
        <v>2</v>
      </c>
      <c r="E192" s="147" t="s">
        <v>738</v>
      </c>
      <c r="F192" s="526" t="s">
        <v>865</v>
      </c>
      <c r="G192" s="311" t="s">
        <v>1337</v>
      </c>
      <c r="H192" s="147" t="s">
        <v>171</v>
      </c>
      <c r="I192" s="359">
        <v>0</v>
      </c>
      <c r="J192" s="359">
        <v>6</v>
      </c>
    </row>
    <row r="193" spans="1:10">
      <c r="A193" s="281">
        <v>416</v>
      </c>
      <c r="B193" s="149" t="s">
        <v>133</v>
      </c>
      <c r="C193" s="357" t="s">
        <v>737</v>
      </c>
      <c r="D193" s="358">
        <f>VLOOKUP(A193,'2-Kosten per locatie'!$A$13:$C$87,3,FALSE)</f>
        <v>2</v>
      </c>
      <c r="E193" s="290" t="s">
        <v>870</v>
      </c>
      <c r="F193" s="526" t="s">
        <v>867</v>
      </c>
      <c r="G193" s="311" t="s">
        <v>1337</v>
      </c>
      <c r="H193" s="147" t="s">
        <v>214</v>
      </c>
      <c r="I193" s="359">
        <v>0</v>
      </c>
      <c r="J193" s="359">
        <v>35</v>
      </c>
    </row>
    <row r="194" spans="1:10">
      <c r="A194" s="281">
        <v>416</v>
      </c>
      <c r="B194" s="149" t="s">
        <v>133</v>
      </c>
      <c r="C194" s="357" t="s">
        <v>737</v>
      </c>
      <c r="D194" s="358">
        <f>VLOOKUP(A194,'2-Kosten per locatie'!$A$13:$C$87,3,FALSE)</f>
        <v>2</v>
      </c>
      <c r="E194" s="290" t="s">
        <v>879</v>
      </c>
      <c r="F194" s="526" t="s">
        <v>869</v>
      </c>
      <c r="G194" s="311" t="s">
        <v>1337</v>
      </c>
      <c r="H194" s="147" t="s">
        <v>214</v>
      </c>
      <c r="I194" s="359">
        <v>0</v>
      </c>
      <c r="J194" s="359">
        <v>17</v>
      </c>
    </row>
    <row r="195" spans="1:10">
      <c r="A195" s="281">
        <v>416</v>
      </c>
      <c r="B195" s="149" t="s">
        <v>133</v>
      </c>
      <c r="C195" s="357" t="s">
        <v>737</v>
      </c>
      <c r="D195" s="358">
        <f>VLOOKUP(A195,'2-Kosten per locatie'!$A$13:$C$87,3,FALSE)</f>
        <v>2</v>
      </c>
      <c r="E195" s="290" t="s">
        <v>880</v>
      </c>
      <c r="F195" s="526" t="s">
        <v>871</v>
      </c>
      <c r="G195" s="311" t="s">
        <v>1337</v>
      </c>
      <c r="H195" s="147" t="s">
        <v>214</v>
      </c>
      <c r="I195" s="359">
        <v>0</v>
      </c>
      <c r="J195" s="359">
        <v>6</v>
      </c>
    </row>
    <row r="196" spans="1:10">
      <c r="A196" s="281">
        <v>416</v>
      </c>
      <c r="B196" s="149" t="s">
        <v>133</v>
      </c>
      <c r="C196" s="357" t="s">
        <v>737</v>
      </c>
      <c r="D196" s="358">
        <f>VLOOKUP(A196,'2-Kosten per locatie'!$A$13:$C$87,3,FALSE)</f>
        <v>2</v>
      </c>
      <c r="E196" s="290" t="s">
        <v>874</v>
      </c>
      <c r="F196" s="526" t="s">
        <v>873</v>
      </c>
      <c r="G196" s="311" t="s">
        <v>1337</v>
      </c>
      <c r="H196" s="147" t="s">
        <v>214</v>
      </c>
      <c r="I196" s="359">
        <v>0</v>
      </c>
      <c r="J196" s="359">
        <v>6</v>
      </c>
    </row>
    <row r="197" spans="1:10">
      <c r="A197" s="281">
        <v>417</v>
      </c>
      <c r="B197" s="149" t="s">
        <v>134</v>
      </c>
      <c r="C197" s="357" t="s">
        <v>737</v>
      </c>
      <c r="D197" s="358">
        <f>VLOOKUP(A197,'2-Kosten per locatie'!$A$13:$C$87,3,FALSE)</f>
        <v>2</v>
      </c>
      <c r="E197" s="290" t="s">
        <v>731</v>
      </c>
      <c r="F197" s="526" t="s">
        <v>860</v>
      </c>
      <c r="G197" s="526"/>
      <c r="H197" s="147" t="s">
        <v>367</v>
      </c>
      <c r="I197" s="359">
        <v>2</v>
      </c>
      <c r="J197" s="359">
        <v>43</v>
      </c>
    </row>
    <row r="198" spans="1:10">
      <c r="A198" s="281">
        <v>417</v>
      </c>
      <c r="B198" s="149" t="s">
        <v>134</v>
      </c>
      <c r="C198" s="357" t="s">
        <v>737</v>
      </c>
      <c r="D198" s="358">
        <f>VLOOKUP(A198,'2-Kosten per locatie'!$A$13:$C$87,3,FALSE)</f>
        <v>2</v>
      </c>
      <c r="E198" s="290" t="s">
        <v>862</v>
      </c>
      <c r="F198" s="526" t="s">
        <v>861</v>
      </c>
      <c r="G198" s="311" t="s">
        <v>1337</v>
      </c>
      <c r="H198" s="147" t="s">
        <v>367</v>
      </c>
      <c r="I198" s="359">
        <v>0</v>
      </c>
      <c r="J198" s="359">
        <v>13</v>
      </c>
    </row>
    <row r="199" spans="1:10">
      <c r="A199" s="281" t="s">
        <v>135</v>
      </c>
      <c r="B199" s="149" t="s">
        <v>136</v>
      </c>
      <c r="C199" s="357" t="s">
        <v>737</v>
      </c>
      <c r="D199" s="358">
        <f>VLOOKUP(A199,'2-Kosten per locatie'!$A$13:$C$87,3,FALSE)</f>
        <v>2</v>
      </c>
      <c r="E199" s="290" t="s">
        <v>731</v>
      </c>
      <c r="F199" s="526" t="s">
        <v>860</v>
      </c>
      <c r="G199" s="526"/>
      <c r="H199" s="147" t="s">
        <v>171</v>
      </c>
      <c r="I199" s="359">
        <v>2</v>
      </c>
      <c r="J199" s="359">
        <v>24</v>
      </c>
    </row>
    <row r="200" spans="1:10">
      <c r="A200" s="281" t="s">
        <v>135</v>
      </c>
      <c r="B200" s="149" t="s">
        <v>136</v>
      </c>
      <c r="C200" s="357" t="s">
        <v>737</v>
      </c>
      <c r="D200" s="358">
        <f>VLOOKUP(A200,'2-Kosten per locatie'!$A$13:$C$87,3,FALSE)</f>
        <v>2</v>
      </c>
      <c r="E200" s="290" t="s">
        <v>870</v>
      </c>
      <c r="F200" s="526" t="s">
        <v>861</v>
      </c>
      <c r="G200" s="311" t="s">
        <v>1337</v>
      </c>
      <c r="H200" s="147" t="s">
        <v>214</v>
      </c>
      <c r="I200" s="359">
        <v>0</v>
      </c>
      <c r="J200" s="359">
        <v>24</v>
      </c>
    </row>
    <row r="201" spans="1:10">
      <c r="A201" s="394">
        <v>416</v>
      </c>
      <c r="B201" s="149" t="s">
        <v>72</v>
      </c>
      <c r="C201" s="357" t="s">
        <v>737</v>
      </c>
      <c r="D201" s="358">
        <v>2</v>
      </c>
      <c r="E201" s="290" t="s">
        <v>881</v>
      </c>
      <c r="F201" s="526" t="s">
        <v>882</v>
      </c>
      <c r="G201" s="526"/>
      <c r="H201" s="147" t="s">
        <v>883</v>
      </c>
      <c r="I201" s="359">
        <v>2</v>
      </c>
      <c r="J201" s="359">
        <v>15</v>
      </c>
    </row>
    <row r="202" spans="1:10">
      <c r="A202" s="394">
        <v>416</v>
      </c>
      <c r="B202" s="149" t="s">
        <v>72</v>
      </c>
      <c r="C202" s="357" t="s">
        <v>737</v>
      </c>
      <c r="D202" s="358">
        <v>2</v>
      </c>
      <c r="E202" s="290" t="s">
        <v>884</v>
      </c>
      <c r="F202" s="526" t="s">
        <v>885</v>
      </c>
      <c r="G202" s="311" t="s">
        <v>1337</v>
      </c>
      <c r="H202" s="147" t="s">
        <v>883</v>
      </c>
      <c r="I202" s="359">
        <v>0</v>
      </c>
      <c r="J202" s="359">
        <v>6</v>
      </c>
    </row>
    <row r="203" spans="1:10">
      <c r="A203" s="394">
        <v>416</v>
      </c>
      <c r="B203" s="149" t="s">
        <v>72</v>
      </c>
      <c r="C203" s="357" t="s">
        <v>737</v>
      </c>
      <c r="D203" s="358">
        <v>2</v>
      </c>
      <c r="E203" s="290" t="s">
        <v>886</v>
      </c>
      <c r="F203" s="526" t="s">
        <v>887</v>
      </c>
      <c r="G203" s="526"/>
      <c r="H203" s="147" t="s">
        <v>883</v>
      </c>
      <c r="I203" s="359">
        <v>2</v>
      </c>
      <c r="J203" s="359">
        <v>8</v>
      </c>
    </row>
    <row r="204" spans="1:10">
      <c r="A204" s="394">
        <v>417</v>
      </c>
      <c r="B204" s="149" t="s">
        <v>93</v>
      </c>
      <c r="C204" s="357" t="s">
        <v>737</v>
      </c>
      <c r="D204" s="358">
        <v>2</v>
      </c>
      <c r="E204" s="290" t="s">
        <v>888</v>
      </c>
      <c r="F204" s="147" t="s">
        <v>860</v>
      </c>
      <c r="G204" s="311"/>
      <c r="H204" s="147" t="s">
        <v>171</v>
      </c>
      <c r="I204" s="359">
        <v>2</v>
      </c>
      <c r="J204" s="359">
        <v>26</v>
      </c>
    </row>
    <row r="205" spans="1:10">
      <c r="A205" s="394">
        <v>417</v>
      </c>
      <c r="B205" s="149" t="s">
        <v>93</v>
      </c>
      <c r="C205" s="357" t="s">
        <v>737</v>
      </c>
      <c r="D205" s="358">
        <v>2</v>
      </c>
      <c r="E205" s="290" t="s">
        <v>889</v>
      </c>
      <c r="F205" s="147" t="s">
        <v>861</v>
      </c>
      <c r="G205" s="311" t="s">
        <v>1337</v>
      </c>
      <c r="H205" s="147" t="s">
        <v>171</v>
      </c>
      <c r="I205" s="359">
        <v>0</v>
      </c>
      <c r="J205" s="359">
        <v>15</v>
      </c>
    </row>
    <row r="206" spans="1:10">
      <c r="A206" s="394">
        <v>418</v>
      </c>
      <c r="B206" s="149" t="s">
        <v>130</v>
      </c>
      <c r="C206" s="357" t="s">
        <v>737</v>
      </c>
      <c r="D206" s="358">
        <v>2</v>
      </c>
      <c r="E206" s="290" t="s">
        <v>888</v>
      </c>
      <c r="F206" s="147" t="s">
        <v>860</v>
      </c>
      <c r="G206" s="311"/>
      <c r="H206" s="147" t="s">
        <v>171</v>
      </c>
      <c r="I206" s="359">
        <v>2</v>
      </c>
      <c r="J206" s="359">
        <v>6</v>
      </c>
    </row>
    <row r="207" spans="1:10">
      <c r="A207" s="394">
        <v>418</v>
      </c>
      <c r="B207" s="149" t="s">
        <v>130</v>
      </c>
      <c r="C207" s="357" t="s">
        <v>737</v>
      </c>
      <c r="D207" s="358">
        <v>2</v>
      </c>
      <c r="E207" s="290" t="s">
        <v>889</v>
      </c>
      <c r="F207" s="147" t="s">
        <v>861</v>
      </c>
      <c r="G207" s="311" t="s">
        <v>1337</v>
      </c>
      <c r="H207" s="147" t="s">
        <v>171</v>
      </c>
      <c r="I207" s="359">
        <v>0</v>
      </c>
      <c r="J207" s="359">
        <v>8</v>
      </c>
    </row>
    <row r="208" spans="1:10">
      <c r="A208" s="394">
        <v>418</v>
      </c>
      <c r="B208" s="149" t="s">
        <v>130</v>
      </c>
      <c r="C208" s="357" t="s">
        <v>737</v>
      </c>
      <c r="D208" s="358">
        <v>2</v>
      </c>
      <c r="E208" s="290" t="s">
        <v>878</v>
      </c>
      <c r="F208" s="147" t="s">
        <v>863</v>
      </c>
      <c r="G208" s="311"/>
      <c r="H208" s="147" t="s">
        <v>171</v>
      </c>
      <c r="I208" s="359">
        <v>2</v>
      </c>
    </row>
    <row r="209" spans="1:9">
      <c r="A209" s="394">
        <v>418</v>
      </c>
      <c r="B209" s="149" t="s">
        <v>130</v>
      </c>
      <c r="C209" s="357" t="s">
        <v>737</v>
      </c>
      <c r="D209" s="358">
        <v>2</v>
      </c>
      <c r="E209" s="290" t="s">
        <v>870</v>
      </c>
      <c r="F209" s="147" t="s">
        <v>865</v>
      </c>
      <c r="G209" s="311" t="s">
        <v>1337</v>
      </c>
      <c r="H209" s="147" t="s">
        <v>214</v>
      </c>
      <c r="I209" s="359">
        <v>0</v>
      </c>
    </row>
    <row r="210" spans="1:9">
      <c r="A210" s="394">
        <v>418</v>
      </c>
      <c r="B210" s="149" t="s">
        <v>130</v>
      </c>
      <c r="C210" s="357" t="s">
        <v>737</v>
      </c>
      <c r="D210" s="358">
        <v>2</v>
      </c>
      <c r="E210" s="290" t="s">
        <v>879</v>
      </c>
      <c r="F210" s="147" t="s">
        <v>867</v>
      </c>
      <c r="G210" s="311" t="s">
        <v>1337</v>
      </c>
      <c r="H210" s="147" t="s">
        <v>214</v>
      </c>
      <c r="I210" s="359">
        <v>0</v>
      </c>
    </row>
    <row r="211" spans="1:9">
      <c r="A211" s="394">
        <v>418</v>
      </c>
      <c r="B211" s="149" t="s">
        <v>130</v>
      </c>
      <c r="C211" s="357" t="s">
        <v>737</v>
      </c>
      <c r="D211" s="358">
        <v>2</v>
      </c>
      <c r="E211" s="290" t="s">
        <v>880</v>
      </c>
      <c r="F211" s="147" t="s">
        <v>869</v>
      </c>
      <c r="G211" s="311" t="s">
        <v>1337</v>
      </c>
      <c r="H211" s="147" t="s">
        <v>214</v>
      </c>
      <c r="I211" s="359">
        <v>0</v>
      </c>
    </row>
    <row r="212" spans="1:9">
      <c r="A212" s="394">
        <v>419</v>
      </c>
      <c r="B212" s="149" t="s">
        <v>131</v>
      </c>
      <c r="C212" s="357" t="s">
        <v>737</v>
      </c>
      <c r="D212" s="358">
        <v>2</v>
      </c>
      <c r="E212" s="290" t="s">
        <v>888</v>
      </c>
      <c r="F212" s="147" t="s">
        <v>860</v>
      </c>
      <c r="G212" s="147"/>
      <c r="H212" s="147" t="s">
        <v>171</v>
      </c>
      <c r="I212" s="359">
        <v>2</v>
      </c>
    </row>
    <row r="213" spans="1:9">
      <c r="A213" s="394">
        <v>419</v>
      </c>
      <c r="B213" s="149" t="s">
        <v>131</v>
      </c>
      <c r="C213" s="357" t="s">
        <v>737</v>
      </c>
      <c r="D213" s="358">
        <v>2</v>
      </c>
      <c r="E213" s="290" t="s">
        <v>889</v>
      </c>
      <c r="F213" s="147" t="s">
        <v>861</v>
      </c>
      <c r="G213" s="311" t="s">
        <v>1337</v>
      </c>
      <c r="H213" s="147" t="s">
        <v>171</v>
      </c>
      <c r="I213" s="359">
        <v>0</v>
      </c>
    </row>
    <row r="214" spans="1:9">
      <c r="A214" s="394">
        <v>419</v>
      </c>
      <c r="B214" s="149" t="s">
        <v>131</v>
      </c>
      <c r="C214" s="357" t="s">
        <v>737</v>
      </c>
      <c r="D214" s="358">
        <v>2</v>
      </c>
      <c r="E214" s="290" t="s">
        <v>878</v>
      </c>
      <c r="F214" s="147" t="s">
        <v>863</v>
      </c>
      <c r="G214" s="147"/>
      <c r="H214" s="147" t="s">
        <v>171</v>
      </c>
      <c r="I214" s="359">
        <v>2</v>
      </c>
    </row>
    <row r="215" spans="1:9">
      <c r="A215" s="394">
        <v>419</v>
      </c>
      <c r="B215" s="149" t="s">
        <v>131</v>
      </c>
      <c r="C215" s="357" t="s">
        <v>737</v>
      </c>
      <c r="D215" s="358">
        <v>2</v>
      </c>
      <c r="E215" s="290" t="s">
        <v>890</v>
      </c>
      <c r="F215" s="147" t="s">
        <v>865</v>
      </c>
      <c r="G215" s="147"/>
      <c r="H215" s="147" t="s">
        <v>171</v>
      </c>
      <c r="I215" s="359">
        <v>2</v>
      </c>
    </row>
    <row r="216" spans="1:9">
      <c r="A216" s="394">
        <v>419</v>
      </c>
      <c r="B216" s="149" t="s">
        <v>131</v>
      </c>
      <c r="C216" s="357" t="s">
        <v>737</v>
      </c>
      <c r="D216" s="358">
        <v>2</v>
      </c>
      <c r="E216" s="290" t="s">
        <v>870</v>
      </c>
      <c r="F216" s="147" t="s">
        <v>867</v>
      </c>
      <c r="G216" s="311" t="s">
        <v>1337</v>
      </c>
      <c r="H216" s="147" t="s">
        <v>214</v>
      </c>
      <c r="I216" s="359">
        <v>0</v>
      </c>
    </row>
    <row r="217" spans="1:9">
      <c r="A217" s="394">
        <v>419</v>
      </c>
      <c r="B217" s="149" t="s">
        <v>131</v>
      </c>
      <c r="C217" s="357" t="s">
        <v>737</v>
      </c>
      <c r="D217" s="358">
        <v>2</v>
      </c>
      <c r="E217" s="290" t="s">
        <v>879</v>
      </c>
      <c r="F217" s="147" t="s">
        <v>869</v>
      </c>
      <c r="G217" s="311" t="s">
        <v>1337</v>
      </c>
      <c r="H217" s="147" t="s">
        <v>214</v>
      </c>
      <c r="I217" s="359">
        <v>0</v>
      </c>
    </row>
    <row r="218" spans="1:9">
      <c r="A218" s="394">
        <v>419</v>
      </c>
      <c r="B218" s="149" t="s">
        <v>131</v>
      </c>
      <c r="C218" s="357" t="s">
        <v>737</v>
      </c>
      <c r="D218" s="358">
        <v>2</v>
      </c>
      <c r="E218" s="290" t="s">
        <v>880</v>
      </c>
      <c r="F218" s="147" t="s">
        <v>871</v>
      </c>
      <c r="G218" s="311" t="s">
        <v>1337</v>
      </c>
      <c r="H218" s="147" t="s">
        <v>214</v>
      </c>
      <c r="I218" s="359">
        <v>0</v>
      </c>
    </row>
    <row r="219" spans="1:9">
      <c r="A219" s="394">
        <v>419</v>
      </c>
      <c r="B219" s="149" t="s">
        <v>131</v>
      </c>
      <c r="C219" s="357" t="s">
        <v>737</v>
      </c>
      <c r="D219" s="358">
        <v>2</v>
      </c>
      <c r="E219" s="290" t="s">
        <v>891</v>
      </c>
      <c r="F219" s="147" t="s">
        <v>873</v>
      </c>
      <c r="G219" s="311" t="s">
        <v>1337</v>
      </c>
      <c r="H219" s="147" t="s">
        <v>214</v>
      </c>
      <c r="I219" s="359">
        <v>0</v>
      </c>
    </row>
  </sheetData>
  <autoFilter ref="A42:M207" xr:uid="{3F5C83E1-4971-4C28-BA9D-7A8CC6FE626C}"/>
  <phoneticPr fontId="48" type="noConversion"/>
  <pageMargins left="0.7" right="0.7" top="0.75" bottom="0.75" header="0.3" footer="0.3"/>
  <pageSetup paperSize="9"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AE5A-763B-4384-B4FB-7C14D16B2D0E}">
  <sheetPr>
    <tabColor theme="0" tint="-4.9989318521683403E-2"/>
  </sheetPr>
  <dimension ref="A1:J402"/>
  <sheetViews>
    <sheetView showGridLines="0" zoomScale="82" zoomScaleNormal="82" workbookViewId="0">
      <pane ySplit="9" topLeftCell="A10" activePane="bottomLeft" state="frozen"/>
      <selection pane="bottomLeft" activeCell="D15" sqref="D15"/>
      <selection activeCell="H26" sqref="H26"/>
    </sheetView>
  </sheetViews>
  <sheetFormatPr defaultColWidth="8.85546875" defaultRowHeight="13.15"/>
  <cols>
    <col min="1" max="1" width="13.28515625" style="43" customWidth="1"/>
    <col min="2" max="2" width="22.5703125" style="43" customWidth="1"/>
    <col min="3" max="3" width="23.42578125" style="43" customWidth="1"/>
    <col min="4" max="4" width="24" style="43" customWidth="1"/>
    <col min="5" max="5" width="13.5703125" style="43" bestFit="1" customWidth="1"/>
    <col min="6" max="6" width="29.85546875" style="43" customWidth="1"/>
    <col min="7" max="7" width="10.85546875" style="43" bestFit="1" customWidth="1"/>
    <col min="8" max="8" width="19.7109375" style="43" bestFit="1" customWidth="1"/>
    <col min="9" max="9" width="14.85546875" style="43" bestFit="1" customWidth="1"/>
    <col min="10" max="16" width="8.85546875" style="43"/>
    <col min="17" max="17" width="9.5703125" style="43" customWidth="1"/>
    <col min="18" max="16384" width="8.85546875" style="43"/>
  </cols>
  <sheetData>
    <row r="1" spans="1:10">
      <c r="A1" s="289" t="s">
        <v>0</v>
      </c>
      <c r="B1" s="474"/>
      <c r="C1" s="124"/>
      <c r="D1" s="124"/>
      <c r="E1" s="125"/>
      <c r="H1" s="126"/>
      <c r="J1" s="127"/>
    </row>
    <row r="2" spans="1:10">
      <c r="A2" s="128"/>
      <c r="B2" s="124"/>
      <c r="C2" s="124"/>
      <c r="D2" s="129"/>
      <c r="E2" s="130"/>
      <c r="F2" s="128"/>
      <c r="G2" s="128"/>
      <c r="H2" s="131"/>
      <c r="I2" s="132"/>
      <c r="J2" s="133"/>
    </row>
    <row r="3" spans="1:10" ht="15.6">
      <c r="A3" s="115" t="s">
        <v>1</v>
      </c>
      <c r="B3" s="124"/>
      <c r="C3" s="93" t="str">
        <f>'1-Inschrijfstaat'!B3</f>
        <v>GVB Infra B.V.</v>
      </c>
      <c r="D3" s="130"/>
      <c r="H3" s="126"/>
      <c r="I3" s="132"/>
      <c r="J3" s="134"/>
    </row>
    <row r="4" spans="1:10" ht="15.6">
      <c r="A4" s="115" t="s">
        <v>3</v>
      </c>
      <c r="B4" s="124"/>
      <c r="C4" s="93" t="e">
        <f ca="1">MID(CELL("bestandsnaam",$B$9),SEARCH("]",CELL("bestandsnaam",$B$9),1)+1,256)</f>
        <v>#VALUE!</v>
      </c>
      <c r="D4" s="130"/>
      <c r="H4" s="126"/>
      <c r="I4" s="132"/>
      <c r="J4" s="135"/>
    </row>
    <row r="5" spans="1:10" ht="15.6">
      <c r="A5" s="115" t="s">
        <v>4</v>
      </c>
      <c r="B5" s="124"/>
      <c r="C5" s="93" t="str">
        <f>'1-Inschrijfstaat'!B5</f>
        <v>Diverse</v>
      </c>
      <c r="D5" s="130"/>
      <c r="H5" s="126"/>
      <c r="I5" s="132"/>
      <c r="J5" s="135"/>
    </row>
    <row r="6" spans="1:10" ht="15.6">
      <c r="A6" s="115" t="s">
        <v>47</v>
      </c>
      <c r="B6" s="124"/>
      <c r="C6" s="93" t="str">
        <f>'1-Inschrijfstaat'!B6</f>
        <v>2024-20</v>
      </c>
      <c r="D6" s="130"/>
      <c r="H6" s="126"/>
      <c r="I6" s="132"/>
      <c r="J6" s="135"/>
    </row>
    <row r="7" spans="1:10" ht="15.6">
      <c r="A7" s="115" t="s">
        <v>8</v>
      </c>
      <c r="B7" s="124"/>
      <c r="C7" s="93">
        <f>'1-Inschrijfstaat'!B7</f>
        <v>0</v>
      </c>
      <c r="D7" s="130"/>
      <c r="H7" s="126"/>
      <c r="I7" s="132"/>
      <c r="J7" s="135"/>
    </row>
    <row r="8" spans="1:10" ht="15.6">
      <c r="A8" s="115" t="s">
        <v>9</v>
      </c>
      <c r="B8" s="124"/>
      <c r="C8" s="136" t="str">
        <f>'1-Inschrijfstaat'!B8</f>
        <v>1 januari 2025</v>
      </c>
      <c r="D8" s="130"/>
      <c r="H8" s="126"/>
      <c r="I8" s="132"/>
      <c r="J8" s="135"/>
    </row>
    <row r="9" spans="1:10" ht="15.6">
      <c r="A9" s="137" t="s">
        <v>11</v>
      </c>
      <c r="B9" s="124"/>
      <c r="C9" s="392" t="str">
        <f>'1-Inschrijfstaat'!B9</f>
        <v>2 Specialistiche schoonmaak</v>
      </c>
      <c r="D9" s="139"/>
      <c r="F9" s="124"/>
      <c r="H9" s="126"/>
      <c r="I9" s="132"/>
      <c r="J9" s="135"/>
    </row>
    <row r="10" spans="1:10">
      <c r="A10" s="140"/>
      <c r="B10" s="141"/>
      <c r="D10" s="142"/>
      <c r="G10" s="141"/>
      <c r="H10" s="143"/>
      <c r="I10" s="144"/>
      <c r="J10" s="143"/>
    </row>
    <row r="12" spans="1:10" ht="27" customHeight="1">
      <c r="A12" s="570" t="s">
        <v>1339</v>
      </c>
      <c r="B12" s="571"/>
      <c r="C12" s="483" t="s">
        <v>895</v>
      </c>
      <c r="D12" s="484"/>
    </row>
    <row r="13" spans="1:10" s="145" customFormat="1"/>
    <row r="14" spans="1:10" s="145" customFormat="1">
      <c r="A14" s="364" t="s">
        <v>896</v>
      </c>
      <c r="B14" s="364"/>
      <c r="C14" s="251" t="s">
        <v>897</v>
      </c>
      <c r="D14" s="251" t="s">
        <v>898</v>
      </c>
    </row>
    <row r="15" spans="1:10" s="145" customFormat="1">
      <c r="A15" s="146" t="s">
        <v>899</v>
      </c>
      <c r="B15" s="433"/>
      <c r="C15" s="219" t="s">
        <v>900</v>
      </c>
      <c r="D15" s="308"/>
    </row>
    <row r="17" spans="1:10" ht="26.45">
      <c r="A17" s="256" t="s">
        <v>49</v>
      </c>
      <c r="B17" s="256" t="s">
        <v>50</v>
      </c>
      <c r="C17" s="256" t="s">
        <v>11</v>
      </c>
      <c r="D17" s="248" t="s">
        <v>51</v>
      </c>
      <c r="E17" s="256" t="s">
        <v>1340</v>
      </c>
      <c r="F17" s="256" t="s">
        <v>1341</v>
      </c>
      <c r="G17" s="256" t="s">
        <v>1342</v>
      </c>
      <c r="H17" s="256" t="s">
        <v>898</v>
      </c>
      <c r="I17" s="256" t="s">
        <v>1328</v>
      </c>
    </row>
    <row r="18" spans="1:10">
      <c r="A18" s="394">
        <v>106</v>
      </c>
      <c r="B18" s="147" t="s">
        <v>63</v>
      </c>
      <c r="C18" s="309">
        <f>VLOOKUP(A18,'2-Kosten per locatie'!$A$13:$C$88,3,FALSE)</f>
        <v>2</v>
      </c>
      <c r="D18" s="411" t="str">
        <f ca="1">VLOOKUP(A18,'3-Ruimtestaat'!B:D,3,FALSE)</f>
        <v>Oostlijn bovengronds</v>
      </c>
      <c r="E18" s="277">
        <f>SUMIF($A$56:$A$402,A18,$I$56:$I$402)</f>
        <v>57</v>
      </c>
      <c r="F18" s="278" t="e">
        <f t="shared" ref="F18:F20" si="0">E18/$D$12</f>
        <v>#DIV/0!</v>
      </c>
      <c r="G18" s="280" t="s">
        <v>1197</v>
      </c>
      <c r="H18" s="279">
        <f t="shared" ref="H18:H20" si="1">$D$15</f>
        <v>0</v>
      </c>
      <c r="I18" s="279" t="e">
        <f t="shared" ref="I18:I20" si="2">H18*G18*F18</f>
        <v>#DIV/0!</v>
      </c>
      <c r="J18" s="148"/>
    </row>
    <row r="19" spans="1:10">
      <c r="A19" s="394">
        <v>107</v>
      </c>
      <c r="B19" s="147" t="s">
        <v>64</v>
      </c>
      <c r="C19" s="309">
        <f>VLOOKUP(A19,'2-Kosten per locatie'!$A$13:$C$88,3,FALSE)</f>
        <v>2</v>
      </c>
      <c r="D19" s="411" t="str">
        <f ca="1">VLOOKUP(A19,'3-Ruimtestaat'!B:D,3,FALSE)</f>
        <v>Oostlijn bovengronds</v>
      </c>
      <c r="E19" s="277">
        <f t="shared" ref="E19:E49" si="3">SUMIF($A$56:$A$402,A19,$I$56:$I$402)</f>
        <v>127.92000000000002</v>
      </c>
      <c r="F19" s="278" t="e">
        <f t="shared" si="0"/>
        <v>#DIV/0!</v>
      </c>
      <c r="G19" s="280" t="s">
        <v>1197</v>
      </c>
      <c r="H19" s="279">
        <f t="shared" si="1"/>
        <v>0</v>
      </c>
      <c r="I19" s="279" t="e">
        <f t="shared" si="2"/>
        <v>#DIV/0!</v>
      </c>
      <c r="J19" s="148"/>
    </row>
    <row r="20" spans="1:10">
      <c r="A20" s="394">
        <v>108</v>
      </c>
      <c r="B20" s="147" t="s">
        <v>65</v>
      </c>
      <c r="C20" s="309">
        <f>VLOOKUP(A20,'2-Kosten per locatie'!$A$13:$C$88,3,FALSE)</f>
        <v>2</v>
      </c>
      <c r="D20" s="411" t="str">
        <f ca="1">VLOOKUP(A20,'3-Ruimtestaat'!B:D,3,FALSE)</f>
        <v>Oostlijn bovengronds</v>
      </c>
      <c r="E20" s="277">
        <f t="shared" si="3"/>
        <v>338.74</v>
      </c>
      <c r="F20" s="278" t="e">
        <f t="shared" si="0"/>
        <v>#DIV/0!</v>
      </c>
      <c r="G20" s="280" t="s">
        <v>1197</v>
      </c>
      <c r="H20" s="279">
        <f t="shared" si="1"/>
        <v>0</v>
      </c>
      <c r="I20" s="279" t="e">
        <f t="shared" si="2"/>
        <v>#DIV/0!</v>
      </c>
      <c r="J20" s="148"/>
    </row>
    <row r="21" spans="1:10">
      <c r="A21" s="394">
        <v>109</v>
      </c>
      <c r="B21" s="147" t="s">
        <v>66</v>
      </c>
      <c r="C21" s="309">
        <f>VLOOKUP(A21,'2-Kosten per locatie'!$A$13:$C$88,3,FALSE)</f>
        <v>2</v>
      </c>
      <c r="D21" s="411" t="str">
        <f ca="1">VLOOKUP(A21,'3-Ruimtestaat'!B:D,3,FALSE)</f>
        <v>Oostlijn bovengronds</v>
      </c>
      <c r="E21" s="277">
        <f t="shared" si="3"/>
        <v>49</v>
      </c>
      <c r="F21" s="278" t="e">
        <f t="shared" ref="F21:F49" si="4">E21/$D$12</f>
        <v>#DIV/0!</v>
      </c>
      <c r="G21" s="280" t="s">
        <v>1197</v>
      </c>
      <c r="H21" s="279">
        <f t="shared" ref="H21:H49" si="5">$D$15</f>
        <v>0</v>
      </c>
      <c r="I21" s="279" t="e">
        <f t="shared" ref="I21:I49" si="6">H21*G21*F21</f>
        <v>#DIV/0!</v>
      </c>
      <c r="J21" s="148"/>
    </row>
    <row r="22" spans="1:10">
      <c r="A22" s="394">
        <v>110</v>
      </c>
      <c r="B22" s="147" t="s">
        <v>67</v>
      </c>
      <c r="C22" s="309">
        <f>VLOOKUP(A22,'2-Kosten per locatie'!$A$13:$C$88,3,FALSE)</f>
        <v>2</v>
      </c>
      <c r="D22" s="411" t="str">
        <f ca="1">VLOOKUP(A22,'3-Ruimtestaat'!B:D,3,FALSE)</f>
        <v>Oostlijn bovengronds</v>
      </c>
      <c r="E22" s="277">
        <f t="shared" si="3"/>
        <v>396.65999999999997</v>
      </c>
      <c r="F22" s="278" t="e">
        <f t="shared" si="4"/>
        <v>#DIV/0!</v>
      </c>
      <c r="G22" s="280" t="s">
        <v>1197</v>
      </c>
      <c r="H22" s="279">
        <f t="shared" si="5"/>
        <v>0</v>
      </c>
      <c r="I22" s="279" t="e">
        <f t="shared" si="6"/>
        <v>#DIV/0!</v>
      </c>
      <c r="J22" s="148"/>
    </row>
    <row r="23" spans="1:10">
      <c r="A23" s="394">
        <v>111</v>
      </c>
      <c r="B23" s="147" t="s">
        <v>68</v>
      </c>
      <c r="C23" s="309">
        <f>VLOOKUP(A23,'2-Kosten per locatie'!$A$13:$C$88,3,FALSE)</f>
        <v>2</v>
      </c>
      <c r="D23" s="411" t="str">
        <f ca="1">VLOOKUP(A23,'3-Ruimtestaat'!B:D,3,FALSE)</f>
        <v>Oostlijn bovengronds</v>
      </c>
      <c r="E23" s="277">
        <f t="shared" si="3"/>
        <v>153.70999999999998</v>
      </c>
      <c r="F23" s="278" t="e">
        <f t="shared" si="4"/>
        <v>#DIV/0!</v>
      </c>
      <c r="G23" s="280" t="s">
        <v>1234</v>
      </c>
      <c r="H23" s="279">
        <f t="shared" si="5"/>
        <v>0</v>
      </c>
      <c r="I23" s="279" t="e">
        <f t="shared" si="6"/>
        <v>#DIV/0!</v>
      </c>
      <c r="J23" s="148"/>
    </row>
    <row r="24" spans="1:10">
      <c r="A24" s="394">
        <v>112</v>
      </c>
      <c r="B24" s="147" t="s">
        <v>69</v>
      </c>
      <c r="C24" s="309">
        <f>VLOOKUP(A24,'2-Kosten per locatie'!$A$13:$C$88,3,FALSE)</f>
        <v>2</v>
      </c>
      <c r="D24" s="411" t="str">
        <f ca="1">VLOOKUP(A24,'3-Ruimtestaat'!B:D,3,FALSE)</f>
        <v>Oostlijn bovengronds</v>
      </c>
      <c r="E24" s="277">
        <f t="shared" si="3"/>
        <v>355.14000000000004</v>
      </c>
      <c r="F24" s="278" t="e">
        <f t="shared" si="4"/>
        <v>#DIV/0!</v>
      </c>
      <c r="G24" s="280" t="s">
        <v>1197</v>
      </c>
      <c r="H24" s="279">
        <f t="shared" si="5"/>
        <v>0</v>
      </c>
      <c r="I24" s="279" t="e">
        <f t="shared" si="6"/>
        <v>#DIV/0!</v>
      </c>
      <c r="J24" s="148"/>
    </row>
    <row r="25" spans="1:10">
      <c r="A25" s="394">
        <v>113</v>
      </c>
      <c r="B25" s="147" t="s">
        <v>70</v>
      </c>
      <c r="C25" s="309">
        <f>VLOOKUP(A25,'2-Kosten per locatie'!$A$13:$C$88,3,FALSE)</f>
        <v>2</v>
      </c>
      <c r="D25" s="411" t="str">
        <f ca="1">VLOOKUP(A25,'3-Ruimtestaat'!B:D,3,FALSE)</f>
        <v>Oostlijn bovengronds</v>
      </c>
      <c r="E25" s="277">
        <f t="shared" si="3"/>
        <v>383.76</v>
      </c>
      <c r="F25" s="278" t="e">
        <f t="shared" si="4"/>
        <v>#DIV/0!</v>
      </c>
      <c r="G25" s="280" t="s">
        <v>1197</v>
      </c>
      <c r="H25" s="279">
        <f t="shared" si="5"/>
        <v>0</v>
      </c>
      <c r="I25" s="279" t="e">
        <f t="shared" si="6"/>
        <v>#DIV/0!</v>
      </c>
      <c r="J25" s="148"/>
    </row>
    <row r="26" spans="1:10">
      <c r="A26" s="394">
        <v>114</v>
      </c>
      <c r="B26" s="147" t="s">
        <v>71</v>
      </c>
      <c r="C26" s="309">
        <f>VLOOKUP(A26,'2-Kosten per locatie'!$A$13:$C$88,3,FALSE)</f>
        <v>2</v>
      </c>
      <c r="D26" s="411" t="str">
        <f ca="1">VLOOKUP(A26,'3-Ruimtestaat'!B:D,3,FALSE)</f>
        <v>Oostlijn bovengronds</v>
      </c>
      <c r="E26" s="277">
        <f t="shared" si="3"/>
        <v>401.06000000000006</v>
      </c>
      <c r="F26" s="278" t="e">
        <f t="shared" si="4"/>
        <v>#DIV/0!</v>
      </c>
      <c r="G26" s="280" t="s">
        <v>1197</v>
      </c>
      <c r="H26" s="279">
        <f t="shared" si="5"/>
        <v>0</v>
      </c>
      <c r="I26" s="279" t="e">
        <f t="shared" si="6"/>
        <v>#DIV/0!</v>
      </c>
      <c r="J26" s="148"/>
    </row>
    <row r="27" spans="1:10">
      <c r="A27" s="394">
        <v>115</v>
      </c>
      <c r="B27" s="147" t="s">
        <v>72</v>
      </c>
      <c r="C27" s="309">
        <f>VLOOKUP(A27,'2-Kosten per locatie'!$A$13:$C$88,3,FALSE)</f>
        <v>2</v>
      </c>
      <c r="D27" s="411" t="str">
        <f ca="1">VLOOKUP(A27,'3-Ruimtestaat'!B:D,3,FALSE)</f>
        <v>Oostlijn Bovengronds</v>
      </c>
      <c r="E27" s="277">
        <f t="shared" si="3"/>
        <v>361.83000000000004</v>
      </c>
      <c r="F27" s="278" t="e">
        <f t="shared" si="4"/>
        <v>#DIV/0!</v>
      </c>
      <c r="G27" s="280" t="s">
        <v>1197</v>
      </c>
      <c r="H27" s="279">
        <f t="shared" si="5"/>
        <v>0</v>
      </c>
      <c r="I27" s="279" t="e">
        <f t="shared" si="6"/>
        <v>#DIV/0!</v>
      </c>
      <c r="J27" s="148"/>
    </row>
    <row r="28" spans="1:10">
      <c r="A28" s="394">
        <v>116</v>
      </c>
      <c r="B28" s="147" t="s">
        <v>73</v>
      </c>
      <c r="C28" s="309">
        <f>VLOOKUP(A28,'2-Kosten per locatie'!$A$13:$C$88,3,FALSE)</f>
        <v>2</v>
      </c>
      <c r="D28" s="411" t="str">
        <f ca="1">VLOOKUP(A28,'3-Ruimtestaat'!B:D,3,FALSE)</f>
        <v>Oostlijn bovengronds</v>
      </c>
      <c r="E28" s="277">
        <f t="shared" si="3"/>
        <v>454</v>
      </c>
      <c r="F28" s="278" t="e">
        <f t="shared" ref="F28:F33" si="7">E28/$D$12</f>
        <v>#DIV/0!</v>
      </c>
      <c r="G28" s="280" t="s">
        <v>1343</v>
      </c>
      <c r="H28" s="279">
        <f t="shared" si="5"/>
        <v>0</v>
      </c>
      <c r="I28" s="279" t="e">
        <f t="shared" ref="I28:I33" si="8">H28*G28*F28</f>
        <v>#DIV/0!</v>
      </c>
      <c r="J28" s="148"/>
    </row>
    <row r="29" spans="1:10">
      <c r="A29" s="394">
        <v>117</v>
      </c>
      <c r="B29" s="147" t="s">
        <v>74</v>
      </c>
      <c r="C29" s="309">
        <f>VLOOKUP(A29,'2-Kosten per locatie'!$A$13:$C$88,3,FALSE)</f>
        <v>2</v>
      </c>
      <c r="D29" s="411" t="str">
        <f ca="1">VLOOKUP(A29,'3-Ruimtestaat'!B:D,3,FALSE)</f>
        <v>Oostlijn bovengronds</v>
      </c>
      <c r="E29" s="277">
        <f t="shared" si="3"/>
        <v>547</v>
      </c>
      <c r="F29" s="278" t="e">
        <f t="shared" si="7"/>
        <v>#DIV/0!</v>
      </c>
      <c r="G29" s="280" t="s">
        <v>1234</v>
      </c>
      <c r="H29" s="279">
        <f t="shared" si="5"/>
        <v>0</v>
      </c>
      <c r="I29" s="279" t="e">
        <f t="shared" si="8"/>
        <v>#DIV/0!</v>
      </c>
      <c r="J29" s="148"/>
    </row>
    <row r="30" spans="1:10">
      <c r="A30" s="394">
        <v>118</v>
      </c>
      <c r="B30" s="147" t="s">
        <v>75</v>
      </c>
      <c r="C30" s="309">
        <f>VLOOKUP(A30,'2-Kosten per locatie'!$A$13:$C$88,3,FALSE)</f>
        <v>2</v>
      </c>
      <c r="D30" s="411" t="str">
        <f ca="1">VLOOKUP(A30,'3-Ruimtestaat'!B:D,3,FALSE)</f>
        <v>Oostlijn bovengronds</v>
      </c>
      <c r="E30" s="277">
        <f t="shared" si="3"/>
        <v>212</v>
      </c>
      <c r="F30" s="278" t="e">
        <f t="shared" si="7"/>
        <v>#DIV/0!</v>
      </c>
      <c r="G30" s="280" t="s">
        <v>1344</v>
      </c>
      <c r="H30" s="279">
        <f t="shared" si="5"/>
        <v>0</v>
      </c>
      <c r="I30" s="279" t="e">
        <f t="shared" si="8"/>
        <v>#DIV/0!</v>
      </c>
      <c r="J30" s="148"/>
    </row>
    <row r="31" spans="1:10">
      <c r="A31" s="394">
        <v>119</v>
      </c>
      <c r="B31" s="147" t="s">
        <v>76</v>
      </c>
      <c r="C31" s="309">
        <f>VLOOKUP(A31,'2-Kosten per locatie'!$A$13:$C$88,3,FALSE)</f>
        <v>2</v>
      </c>
      <c r="D31" s="411" t="str">
        <f ca="1">VLOOKUP(A31,'3-Ruimtestaat'!B:D,3,FALSE)</f>
        <v>Oostlijn bovengronds</v>
      </c>
      <c r="E31" s="277">
        <f t="shared" si="3"/>
        <v>75</v>
      </c>
      <c r="F31" s="278" t="e">
        <f t="shared" si="7"/>
        <v>#DIV/0!</v>
      </c>
      <c r="G31" s="280" t="s">
        <v>1345</v>
      </c>
      <c r="H31" s="279">
        <f t="shared" si="5"/>
        <v>0</v>
      </c>
      <c r="I31" s="279" t="e">
        <f t="shared" si="8"/>
        <v>#DIV/0!</v>
      </c>
      <c r="J31" s="148"/>
    </row>
    <row r="32" spans="1:10">
      <c r="A32" s="394">
        <v>120</v>
      </c>
      <c r="B32" s="147" t="s">
        <v>77</v>
      </c>
      <c r="C32" s="309">
        <f>VLOOKUP(A32,'2-Kosten per locatie'!$A$13:$C$88,3,FALSE)</f>
        <v>2</v>
      </c>
      <c r="D32" s="411" t="str">
        <f ca="1">VLOOKUP(A32,'3-Ruimtestaat'!B:D,3,FALSE)</f>
        <v>Oostlijn bovengronds</v>
      </c>
      <c r="E32" s="277">
        <f t="shared" si="3"/>
        <v>165</v>
      </c>
      <c r="F32" s="278" t="e">
        <f t="shared" si="7"/>
        <v>#DIV/0!</v>
      </c>
      <c r="G32" s="280" t="s">
        <v>1346</v>
      </c>
      <c r="H32" s="279">
        <f t="shared" si="5"/>
        <v>0</v>
      </c>
      <c r="I32" s="279" t="e">
        <f t="shared" si="8"/>
        <v>#DIV/0!</v>
      </c>
      <c r="J32" s="148"/>
    </row>
    <row r="33" spans="1:10">
      <c r="A33" s="394">
        <v>121</v>
      </c>
      <c r="B33" s="147" t="s">
        <v>78</v>
      </c>
      <c r="C33" s="309">
        <f>VLOOKUP(A33,'2-Kosten per locatie'!$A$13:$C$88,3,FALSE)</f>
        <v>2</v>
      </c>
      <c r="D33" s="411" t="str">
        <f ca="1">VLOOKUP(A33,'3-Ruimtestaat'!B:D,3,FALSE)</f>
        <v>Oostlijn bovengronds</v>
      </c>
      <c r="E33" s="277">
        <f t="shared" si="3"/>
        <v>304.13</v>
      </c>
      <c r="F33" s="278" t="e">
        <f t="shared" si="7"/>
        <v>#DIV/0!</v>
      </c>
      <c r="G33" s="280" t="s">
        <v>1347</v>
      </c>
      <c r="H33" s="279">
        <f t="shared" si="5"/>
        <v>0</v>
      </c>
      <c r="I33" s="279" t="e">
        <f t="shared" si="8"/>
        <v>#DIV/0!</v>
      </c>
      <c r="J33" s="148"/>
    </row>
    <row r="34" spans="1:10">
      <c r="A34" s="394">
        <v>301</v>
      </c>
      <c r="B34" s="147" t="s">
        <v>100</v>
      </c>
      <c r="C34" s="309">
        <f>VLOOKUP(A34,'2-Kosten per locatie'!$A$13:$C$88,3,FALSE)</f>
        <v>2</v>
      </c>
      <c r="D34" s="411" t="str">
        <f ca="1">VLOOKUP(A34,'3-Ruimtestaat'!B:D,3,FALSE)</f>
        <v>Ringlijn</v>
      </c>
      <c r="E34" s="277">
        <f t="shared" si="3"/>
        <v>40.5</v>
      </c>
      <c r="F34" s="278" t="e">
        <f t="shared" si="4"/>
        <v>#DIV/0!</v>
      </c>
      <c r="G34" s="280" t="s">
        <v>1197</v>
      </c>
      <c r="H34" s="279">
        <f t="shared" si="5"/>
        <v>0</v>
      </c>
      <c r="I34" s="279" t="e">
        <f t="shared" si="6"/>
        <v>#DIV/0!</v>
      </c>
      <c r="J34" s="148"/>
    </row>
    <row r="35" spans="1:10">
      <c r="A35" s="394">
        <v>302</v>
      </c>
      <c r="B35" s="147" t="s">
        <v>101</v>
      </c>
      <c r="C35" s="309">
        <f>VLOOKUP(A35,'2-Kosten per locatie'!$A$13:$C$88,3,FALSE)</f>
        <v>2</v>
      </c>
      <c r="D35" s="411" t="str">
        <f ca="1">VLOOKUP(A35,'3-Ruimtestaat'!B:D,3,FALSE)</f>
        <v>Ringlijn</v>
      </c>
      <c r="E35" s="277">
        <f t="shared" si="3"/>
        <v>85</v>
      </c>
      <c r="F35" s="278" t="e">
        <f t="shared" si="4"/>
        <v>#DIV/0!</v>
      </c>
      <c r="G35" s="280" t="s">
        <v>1197</v>
      </c>
      <c r="H35" s="279">
        <f t="shared" si="5"/>
        <v>0</v>
      </c>
      <c r="I35" s="279" t="e">
        <f t="shared" si="6"/>
        <v>#DIV/0!</v>
      </c>
      <c r="J35" s="148"/>
    </row>
    <row r="36" spans="1:10">
      <c r="A36" s="394">
        <v>303</v>
      </c>
      <c r="B36" s="147" t="s">
        <v>102</v>
      </c>
      <c r="C36" s="309">
        <f>VLOOKUP(A36,'2-Kosten per locatie'!$A$13:$C$88,3,FALSE)</f>
        <v>2</v>
      </c>
      <c r="D36" s="411" t="str">
        <f ca="1">VLOOKUP(A36,'3-Ruimtestaat'!B:D,3,FALSE)</f>
        <v>Ringlijn</v>
      </c>
      <c r="E36" s="277">
        <f t="shared" si="3"/>
        <v>163</v>
      </c>
      <c r="F36" s="278" t="e">
        <f t="shared" si="4"/>
        <v>#DIV/0!</v>
      </c>
      <c r="G36" s="280" t="s">
        <v>1234</v>
      </c>
      <c r="H36" s="279">
        <f t="shared" si="5"/>
        <v>0</v>
      </c>
      <c r="I36" s="279" t="e">
        <f t="shared" si="6"/>
        <v>#DIV/0!</v>
      </c>
      <c r="J36" s="148"/>
    </row>
    <row r="37" spans="1:10">
      <c r="A37" s="394" t="s">
        <v>103</v>
      </c>
      <c r="B37" s="149" t="s">
        <v>104</v>
      </c>
      <c r="C37" s="309">
        <f>VLOOKUP(A37,'2-Kosten per locatie'!$A$13:$C$88,3,FALSE)</f>
        <v>2</v>
      </c>
      <c r="D37" s="411" t="str">
        <f ca="1">VLOOKUP(A37,'3-Ruimtestaat'!B:D,3,FALSE)</f>
        <v>Ringlijn</v>
      </c>
      <c r="E37" s="277">
        <f t="shared" si="3"/>
        <v>0</v>
      </c>
      <c r="F37" s="278" t="e">
        <f t="shared" si="4"/>
        <v>#DIV/0!</v>
      </c>
      <c r="G37" s="280" t="s">
        <v>1197</v>
      </c>
      <c r="H37" s="279">
        <f t="shared" si="5"/>
        <v>0</v>
      </c>
      <c r="I37" s="279" t="e">
        <f t="shared" si="6"/>
        <v>#DIV/0!</v>
      </c>
      <c r="J37" s="148"/>
    </row>
    <row r="38" spans="1:10">
      <c r="A38" s="394">
        <v>304</v>
      </c>
      <c r="B38" s="316" t="s">
        <v>105</v>
      </c>
      <c r="C38" s="309">
        <f>VLOOKUP(A38,'2-Kosten per locatie'!$A$13:$C$88,3,FALSE)</f>
        <v>2</v>
      </c>
      <c r="D38" s="411" t="str">
        <f ca="1">VLOOKUP(A38,'3-Ruimtestaat'!B:D,3,FALSE)</f>
        <v>Ringlijn</v>
      </c>
      <c r="E38" s="277">
        <f t="shared" si="3"/>
        <v>85</v>
      </c>
      <c r="F38" s="278" t="e">
        <f t="shared" si="4"/>
        <v>#DIV/0!</v>
      </c>
      <c r="G38" s="280" t="s">
        <v>1197</v>
      </c>
      <c r="H38" s="279">
        <f t="shared" si="5"/>
        <v>0</v>
      </c>
      <c r="I38" s="279" t="e">
        <f t="shared" si="6"/>
        <v>#DIV/0!</v>
      </c>
      <c r="J38" s="148"/>
    </row>
    <row r="39" spans="1:10">
      <c r="A39" s="394">
        <v>305</v>
      </c>
      <c r="B39" s="147" t="s">
        <v>106</v>
      </c>
      <c r="C39" s="309">
        <f>VLOOKUP(A39,'2-Kosten per locatie'!$A$13:$C$88,3,FALSE)</f>
        <v>2</v>
      </c>
      <c r="D39" s="411" t="str">
        <f ca="1">VLOOKUP(A39,'3-Ruimtestaat'!B:D,3,FALSE)</f>
        <v>Ringlijn</v>
      </c>
      <c r="E39" s="277">
        <f t="shared" si="3"/>
        <v>28</v>
      </c>
      <c r="F39" s="278" t="e">
        <f t="shared" si="4"/>
        <v>#DIV/0!</v>
      </c>
      <c r="G39" s="280" t="s">
        <v>1197</v>
      </c>
      <c r="H39" s="279">
        <f t="shared" si="5"/>
        <v>0</v>
      </c>
      <c r="I39" s="279" t="e">
        <f t="shared" si="6"/>
        <v>#DIV/0!</v>
      </c>
      <c r="J39" s="148"/>
    </row>
    <row r="40" spans="1:10">
      <c r="A40" s="394">
        <v>306</v>
      </c>
      <c r="B40" s="147" t="s">
        <v>107</v>
      </c>
      <c r="C40" s="309">
        <f>VLOOKUP(A40,'2-Kosten per locatie'!$A$13:$C$88,3,FALSE)</f>
        <v>2</v>
      </c>
      <c r="D40" s="411" t="str">
        <f ca="1">VLOOKUP(A40,'3-Ruimtestaat'!B:D,3,FALSE)</f>
        <v>Ringlijn</v>
      </c>
      <c r="E40" s="277">
        <f t="shared" si="3"/>
        <v>48</v>
      </c>
      <c r="F40" s="278" t="e">
        <f t="shared" si="4"/>
        <v>#DIV/0!</v>
      </c>
      <c r="G40" s="280" t="s">
        <v>1197</v>
      </c>
      <c r="H40" s="279">
        <f t="shared" si="5"/>
        <v>0</v>
      </c>
      <c r="I40" s="279" t="e">
        <f t="shared" si="6"/>
        <v>#DIV/0!</v>
      </c>
      <c r="J40" s="148"/>
    </row>
    <row r="41" spans="1:10">
      <c r="A41" s="394">
        <v>307</v>
      </c>
      <c r="B41" s="147" t="s">
        <v>108</v>
      </c>
      <c r="C41" s="309">
        <f>VLOOKUP(A41,'2-Kosten per locatie'!$A$13:$C$88,3,FALSE)</f>
        <v>2</v>
      </c>
      <c r="D41" s="411" t="str">
        <f ca="1">VLOOKUP(A41,'3-Ruimtestaat'!B:D,3,FALSE)</f>
        <v>Ringlijn</v>
      </c>
      <c r="E41" s="277">
        <f t="shared" si="3"/>
        <v>158.80000000000001</v>
      </c>
      <c r="F41" s="278" t="e">
        <f t="shared" si="4"/>
        <v>#DIV/0!</v>
      </c>
      <c r="G41" s="280" t="s">
        <v>1197</v>
      </c>
      <c r="H41" s="279">
        <f t="shared" si="5"/>
        <v>0</v>
      </c>
      <c r="I41" s="279" t="e">
        <f t="shared" si="6"/>
        <v>#DIV/0!</v>
      </c>
      <c r="J41" s="148"/>
    </row>
    <row r="42" spans="1:10">
      <c r="A42" s="394">
        <v>308</v>
      </c>
      <c r="B42" s="147" t="s">
        <v>109</v>
      </c>
      <c r="C42" s="309">
        <f>VLOOKUP(A42,'2-Kosten per locatie'!$A$13:$C$88,3,FALSE)</f>
        <v>2</v>
      </c>
      <c r="D42" s="411" t="str">
        <f ca="1">VLOOKUP(A42,'3-Ruimtestaat'!B:D,3,FALSE)</f>
        <v>Ringlijn</v>
      </c>
      <c r="E42" s="277">
        <f t="shared" si="3"/>
        <v>30</v>
      </c>
      <c r="F42" s="278" t="e">
        <f t="shared" si="4"/>
        <v>#DIV/0!</v>
      </c>
      <c r="G42" s="280" t="s">
        <v>1197</v>
      </c>
      <c r="H42" s="279">
        <f t="shared" si="5"/>
        <v>0</v>
      </c>
      <c r="I42" s="279" t="e">
        <f t="shared" si="6"/>
        <v>#DIV/0!</v>
      </c>
      <c r="J42" s="148"/>
    </row>
    <row r="43" spans="1:10">
      <c r="A43" s="394">
        <v>309</v>
      </c>
      <c r="B43" s="147" t="s">
        <v>110</v>
      </c>
      <c r="C43" s="309">
        <f>VLOOKUP(A43,'2-Kosten per locatie'!$A$13:$C$88,3,FALSE)</f>
        <v>2</v>
      </c>
      <c r="D43" s="411" t="str">
        <f ca="1">VLOOKUP(A43,'3-Ruimtestaat'!B:D,3,FALSE)</f>
        <v>Ringlijn</v>
      </c>
      <c r="E43" s="277">
        <f t="shared" si="3"/>
        <v>30</v>
      </c>
      <c r="F43" s="278" t="e">
        <f t="shared" si="4"/>
        <v>#DIV/0!</v>
      </c>
      <c r="G43" s="280" t="s">
        <v>1197</v>
      </c>
      <c r="H43" s="279">
        <f t="shared" si="5"/>
        <v>0</v>
      </c>
      <c r="I43" s="279" t="e">
        <f t="shared" si="6"/>
        <v>#DIV/0!</v>
      </c>
      <c r="J43" s="148"/>
    </row>
    <row r="44" spans="1:10">
      <c r="A44" s="394">
        <v>310</v>
      </c>
      <c r="B44" s="147" t="s">
        <v>111</v>
      </c>
      <c r="C44" s="309">
        <f>VLOOKUP(A44,'2-Kosten per locatie'!$A$13:$C$88,3,FALSE)</f>
        <v>2</v>
      </c>
      <c r="D44" s="411" t="str">
        <f ca="1">VLOOKUP(A44,'3-Ruimtestaat'!B:D,3,FALSE)</f>
        <v>Ringlijn</v>
      </c>
      <c r="E44" s="277">
        <f t="shared" si="3"/>
        <v>43</v>
      </c>
      <c r="F44" s="278" t="e">
        <f t="shared" si="4"/>
        <v>#DIV/0!</v>
      </c>
      <c r="G44" s="280" t="s">
        <v>1197</v>
      </c>
      <c r="H44" s="279">
        <f t="shared" si="5"/>
        <v>0</v>
      </c>
      <c r="I44" s="279" t="e">
        <f t="shared" si="6"/>
        <v>#DIV/0!</v>
      </c>
      <c r="J44" s="148"/>
    </row>
    <row r="45" spans="1:10">
      <c r="A45" s="394">
        <v>311</v>
      </c>
      <c r="B45" s="147" t="s">
        <v>112</v>
      </c>
      <c r="C45" s="309">
        <f>VLOOKUP(A45,'2-Kosten per locatie'!$A$13:$C$88,3,FALSE)</f>
        <v>2</v>
      </c>
      <c r="D45" s="411" t="str">
        <f ca="1">VLOOKUP(A45,'3-Ruimtestaat'!B:D,3,FALSE)</f>
        <v>Ringlijn</v>
      </c>
      <c r="E45" s="277">
        <f t="shared" si="3"/>
        <v>42</v>
      </c>
      <c r="F45" s="278" t="e">
        <f t="shared" si="4"/>
        <v>#DIV/0!</v>
      </c>
      <c r="G45" s="280" t="s">
        <v>1197</v>
      </c>
      <c r="H45" s="279">
        <f t="shared" si="5"/>
        <v>0</v>
      </c>
      <c r="I45" s="279" t="e">
        <f t="shared" si="6"/>
        <v>#DIV/0!</v>
      </c>
      <c r="J45" s="148"/>
    </row>
    <row r="46" spans="1:10">
      <c r="A46" s="394" t="s">
        <v>113</v>
      </c>
      <c r="B46" s="149" t="s">
        <v>114</v>
      </c>
      <c r="C46" s="309">
        <f>VLOOKUP(A46,'2-Kosten per locatie'!$A$13:$C$88,3,FALSE)</f>
        <v>2</v>
      </c>
      <c r="D46" s="411" t="str">
        <f ca="1">VLOOKUP(A46,'3-Ruimtestaat'!B:D,3,FALSE)</f>
        <v>Ringlijn</v>
      </c>
      <c r="E46" s="277">
        <f t="shared" si="3"/>
        <v>0</v>
      </c>
      <c r="F46" s="278" t="e">
        <f t="shared" si="4"/>
        <v>#DIV/0!</v>
      </c>
      <c r="G46" s="280" t="s">
        <v>1197</v>
      </c>
      <c r="H46" s="279">
        <f t="shared" si="5"/>
        <v>0</v>
      </c>
      <c r="I46" s="279" t="e">
        <f t="shared" si="6"/>
        <v>#DIV/0!</v>
      </c>
      <c r="J46" s="148"/>
    </row>
    <row r="47" spans="1:10">
      <c r="A47" s="404">
        <v>312</v>
      </c>
      <c r="B47" s="385" t="s">
        <v>115</v>
      </c>
      <c r="C47" s="309">
        <f>VLOOKUP(A47,'2-Kosten per locatie'!$A$13:$C$88,3,FALSE)</f>
        <v>2</v>
      </c>
      <c r="D47" s="411" t="str">
        <f ca="1">VLOOKUP(A47,'3-Ruimtestaat'!B:D,3,FALSE)</f>
        <v>Ringlijn</v>
      </c>
      <c r="E47" s="277">
        <f t="shared" si="3"/>
        <v>48</v>
      </c>
      <c r="F47" s="386" t="e">
        <f t="shared" ref="F47:F48" si="9">E47/$D$12</f>
        <v>#DIV/0!</v>
      </c>
      <c r="G47" s="280" t="s">
        <v>1197</v>
      </c>
      <c r="H47" s="387">
        <f t="shared" si="5"/>
        <v>0</v>
      </c>
      <c r="I47" s="387" t="e">
        <f t="shared" ref="I47:I48" si="10">H47*G47*F47</f>
        <v>#DIV/0!</v>
      </c>
      <c r="J47" s="148"/>
    </row>
    <row r="48" spans="1:10">
      <c r="A48" s="394">
        <v>1001</v>
      </c>
      <c r="B48" s="147" t="s">
        <v>116</v>
      </c>
      <c r="C48" s="309">
        <f>VLOOKUP(A48,'2-Kosten per locatie'!$A$13:$C$88,3,FALSE)</f>
        <v>2</v>
      </c>
      <c r="D48" s="411" t="str">
        <f ca="1">VLOOKUP(A48,'3-Ruimtestaat'!B:D,3,FALSE)</f>
        <v>Ijtram</v>
      </c>
      <c r="E48" s="277">
        <f t="shared" si="3"/>
        <v>6</v>
      </c>
      <c r="F48" s="386" t="e">
        <f t="shared" si="9"/>
        <v>#DIV/0!</v>
      </c>
      <c r="G48" s="280" t="s">
        <v>1197</v>
      </c>
      <c r="H48" s="387">
        <f t="shared" si="5"/>
        <v>0</v>
      </c>
      <c r="I48" s="387" t="e">
        <f t="shared" si="10"/>
        <v>#DIV/0!</v>
      </c>
      <c r="J48" s="148"/>
    </row>
    <row r="49" spans="1:10">
      <c r="A49" s="404">
        <v>1002</v>
      </c>
      <c r="B49" s="385" t="s">
        <v>117</v>
      </c>
      <c r="C49" s="309">
        <f>VLOOKUP(A49,'2-Kosten per locatie'!$A$13:$C$88,3,FALSE)</f>
        <v>2</v>
      </c>
      <c r="D49" s="411" t="str">
        <f ca="1">VLOOKUP(A49,'3-Ruimtestaat'!B:D,3,FALSE)</f>
        <v>Ijtram</v>
      </c>
      <c r="E49" s="277">
        <f t="shared" si="3"/>
        <v>330.98</v>
      </c>
      <c r="F49" s="386" t="e">
        <f t="shared" si="4"/>
        <v>#DIV/0!</v>
      </c>
      <c r="G49" s="280" t="s">
        <v>1197</v>
      </c>
      <c r="H49" s="387">
        <f t="shared" si="5"/>
        <v>0</v>
      </c>
      <c r="I49" s="387" t="e">
        <f t="shared" si="6"/>
        <v>#DIV/0!</v>
      </c>
      <c r="J49" s="148"/>
    </row>
    <row r="50" spans="1:10">
      <c r="A50" s="294" t="s">
        <v>917</v>
      </c>
      <c r="B50" s="476"/>
      <c r="C50" s="476"/>
      <c r="D50" s="476"/>
      <c r="E50" s="480"/>
      <c r="F50" s="480"/>
      <c r="G50" s="481"/>
      <c r="H50" s="485"/>
      <c r="I50" s="317" t="e">
        <f>SUM(I18:I49)</f>
        <v>#DIV/0!</v>
      </c>
      <c r="J50" s="148"/>
    </row>
    <row r="51" spans="1:10">
      <c r="D51" s="148"/>
      <c r="I51" s="148"/>
    </row>
    <row r="52" spans="1:10">
      <c r="A52" s="403" t="s">
        <v>1235</v>
      </c>
      <c r="D52" s="148"/>
      <c r="I52" s="148"/>
    </row>
    <row r="53" spans="1:10">
      <c r="A53" s="150"/>
      <c r="I53" s="148"/>
    </row>
    <row r="54" spans="1:10">
      <c r="A54" s="150"/>
      <c r="I54" s="148"/>
    </row>
    <row r="55" spans="1:10" ht="26.45">
      <c r="A55" s="249" t="s">
        <v>49</v>
      </c>
      <c r="B55" s="249" t="s">
        <v>50</v>
      </c>
      <c r="C55" s="249" t="s">
        <v>11</v>
      </c>
      <c r="D55" s="249" t="s">
        <v>51</v>
      </c>
      <c r="E55" s="249" t="s">
        <v>141</v>
      </c>
      <c r="F55" s="249" t="s">
        <v>142</v>
      </c>
      <c r="G55" s="249" t="s">
        <v>143</v>
      </c>
      <c r="H55" s="249" t="s">
        <v>144</v>
      </c>
      <c r="I55" s="249" t="s">
        <v>1331</v>
      </c>
    </row>
    <row r="56" spans="1:10">
      <c r="A56" s="281">
        <v>106</v>
      </c>
      <c r="B56" s="149" t="s">
        <v>63</v>
      </c>
      <c r="C56" s="309">
        <f>VLOOKUP(A56,'2-Kosten per locatie'!$A$13:$C$88,3,FALSE)</f>
        <v>2</v>
      </c>
      <c r="D56" s="411" t="str">
        <f ca="1">VLOOKUP(A56,'3-Ruimtestaat'!B:D,3,FALSE)</f>
        <v>Oostlijn bovengronds</v>
      </c>
      <c r="E56" s="152"/>
      <c r="F56" s="153" t="s">
        <v>160</v>
      </c>
      <c r="G56" s="154" t="s">
        <v>161</v>
      </c>
      <c r="H56" s="153" t="s">
        <v>162</v>
      </c>
      <c r="I56" s="282">
        <v>15</v>
      </c>
    </row>
    <row r="57" spans="1:10">
      <c r="A57" s="281">
        <v>106</v>
      </c>
      <c r="B57" s="149" t="s">
        <v>63</v>
      </c>
      <c r="C57" s="309">
        <f>VLOOKUP(A57,'2-Kosten per locatie'!$A$13:$C$88,3,FALSE)</f>
        <v>2</v>
      </c>
      <c r="D57" s="411" t="str">
        <f ca="1">VLOOKUP(A57,'3-Ruimtestaat'!B:D,3,FALSE)</f>
        <v>Oostlijn bovengronds</v>
      </c>
      <c r="E57" s="152"/>
      <c r="F57" s="153" t="s">
        <v>163</v>
      </c>
      <c r="G57" s="154" t="s">
        <v>164</v>
      </c>
      <c r="H57" s="153" t="s">
        <v>163</v>
      </c>
      <c r="I57" s="282">
        <v>22</v>
      </c>
    </row>
    <row r="58" spans="1:10">
      <c r="A58" s="281">
        <v>106</v>
      </c>
      <c r="B58" s="149" t="s">
        <v>63</v>
      </c>
      <c r="C58" s="309">
        <f>VLOOKUP(A58,'2-Kosten per locatie'!$A$13:$C$88,3,FALSE)</f>
        <v>2</v>
      </c>
      <c r="D58" s="411" t="str">
        <f ca="1">VLOOKUP(A58,'3-Ruimtestaat'!B:D,3,FALSE)</f>
        <v>Oostlijn bovengronds</v>
      </c>
      <c r="E58" s="152"/>
      <c r="F58" s="153" t="s">
        <v>165</v>
      </c>
      <c r="G58" s="154" t="s">
        <v>166</v>
      </c>
      <c r="H58" s="153" t="s">
        <v>165</v>
      </c>
      <c r="I58" s="282">
        <v>4</v>
      </c>
    </row>
    <row r="59" spans="1:10">
      <c r="A59" s="281">
        <v>106</v>
      </c>
      <c r="B59" s="149" t="s">
        <v>63</v>
      </c>
      <c r="C59" s="309">
        <f>VLOOKUP(A59,'2-Kosten per locatie'!$A$13:$C$88,3,FALSE)</f>
        <v>2</v>
      </c>
      <c r="D59" s="411" t="str">
        <f ca="1">VLOOKUP(A59,'3-Ruimtestaat'!B:D,3,FALSE)</f>
        <v>Oostlijn bovengronds</v>
      </c>
      <c r="E59" s="152"/>
      <c r="F59" s="153" t="s">
        <v>167</v>
      </c>
      <c r="G59" s="154" t="s">
        <v>168</v>
      </c>
      <c r="H59" s="153" t="s">
        <v>167</v>
      </c>
      <c r="I59" s="282">
        <v>16</v>
      </c>
    </row>
    <row r="60" spans="1:10">
      <c r="A60" s="281">
        <v>107</v>
      </c>
      <c r="B60" s="149" t="s">
        <v>64</v>
      </c>
      <c r="C60" s="309">
        <f>VLOOKUP(A60,'2-Kosten per locatie'!$A$13:$C$88,3,FALSE)</f>
        <v>2</v>
      </c>
      <c r="D60" s="411" t="str">
        <f ca="1">VLOOKUP(A60,'3-Ruimtestaat'!B:D,3,FALSE)</f>
        <v>Oostlijn bovengronds</v>
      </c>
      <c r="E60" s="152"/>
      <c r="F60" s="153" t="s">
        <v>183</v>
      </c>
      <c r="G60" s="154" t="s">
        <v>184</v>
      </c>
      <c r="H60" s="153" t="s">
        <v>180</v>
      </c>
      <c r="I60" s="282">
        <v>5.51</v>
      </c>
    </row>
    <row r="61" spans="1:10">
      <c r="A61" s="281">
        <v>107</v>
      </c>
      <c r="B61" s="149" t="s">
        <v>64</v>
      </c>
      <c r="C61" s="309">
        <f>VLOOKUP(A61,'2-Kosten per locatie'!$A$13:$C$88,3,FALSE)</f>
        <v>2</v>
      </c>
      <c r="D61" s="411" t="str">
        <f ca="1">VLOOKUP(A61,'3-Ruimtestaat'!B:D,3,FALSE)</f>
        <v>Oostlijn bovengronds</v>
      </c>
      <c r="E61" s="152"/>
      <c r="F61" s="153" t="s">
        <v>183</v>
      </c>
      <c r="G61" s="154" t="s">
        <v>186</v>
      </c>
      <c r="H61" s="153" t="s">
        <v>180</v>
      </c>
      <c r="I61" s="282">
        <v>5.51</v>
      </c>
    </row>
    <row r="62" spans="1:10">
      <c r="A62" s="281">
        <v>107</v>
      </c>
      <c r="B62" s="149" t="s">
        <v>64</v>
      </c>
      <c r="C62" s="309">
        <f>VLOOKUP(A62,'2-Kosten per locatie'!$A$13:$C$88,3,FALSE)</f>
        <v>2</v>
      </c>
      <c r="D62" s="411" t="str">
        <f ca="1">VLOOKUP(A62,'3-Ruimtestaat'!B:D,3,FALSE)</f>
        <v>Oostlijn bovengronds</v>
      </c>
      <c r="E62" s="152"/>
      <c r="F62" s="153" t="s">
        <v>190</v>
      </c>
      <c r="G62" s="154" t="s">
        <v>191</v>
      </c>
      <c r="H62" s="153" t="s">
        <v>159</v>
      </c>
      <c r="I62" s="282">
        <v>13</v>
      </c>
    </row>
    <row r="63" spans="1:10">
      <c r="A63" s="281">
        <v>107</v>
      </c>
      <c r="B63" s="149" t="s">
        <v>64</v>
      </c>
      <c r="C63" s="309">
        <f>VLOOKUP(A63,'2-Kosten per locatie'!$A$13:$C$88,3,FALSE)</f>
        <v>2</v>
      </c>
      <c r="D63" s="411" t="str">
        <f ca="1">VLOOKUP(A63,'3-Ruimtestaat'!B:D,3,FALSE)</f>
        <v>Oostlijn bovengronds</v>
      </c>
      <c r="E63" s="152"/>
      <c r="F63" s="153" t="s">
        <v>190</v>
      </c>
      <c r="G63" s="154" t="s">
        <v>192</v>
      </c>
      <c r="H63" s="153" t="s">
        <v>171</v>
      </c>
      <c r="I63" s="282">
        <v>13.1</v>
      </c>
    </row>
    <row r="64" spans="1:10">
      <c r="A64" s="281">
        <v>107</v>
      </c>
      <c r="B64" s="149" t="s">
        <v>64</v>
      </c>
      <c r="C64" s="309">
        <f>VLOOKUP(A64,'2-Kosten per locatie'!$A$13:$C$88,3,FALSE)</f>
        <v>2</v>
      </c>
      <c r="D64" s="411" t="str">
        <f ca="1">VLOOKUP(A64,'3-Ruimtestaat'!B:D,3,FALSE)</f>
        <v>Oostlijn bovengronds</v>
      </c>
      <c r="E64" s="152"/>
      <c r="F64" s="153" t="s">
        <v>193</v>
      </c>
      <c r="G64" s="154" t="s">
        <v>194</v>
      </c>
      <c r="H64" s="153" t="s">
        <v>159</v>
      </c>
      <c r="I64" s="282">
        <v>3.7</v>
      </c>
    </row>
    <row r="65" spans="1:9">
      <c r="A65" s="281">
        <v>107</v>
      </c>
      <c r="B65" s="149" t="s">
        <v>64</v>
      </c>
      <c r="C65" s="309">
        <f>VLOOKUP(A65,'2-Kosten per locatie'!$A$13:$C$88,3,FALSE)</f>
        <v>2</v>
      </c>
      <c r="D65" s="411" t="str">
        <f ca="1">VLOOKUP(A65,'3-Ruimtestaat'!B:D,3,FALSE)</f>
        <v>Oostlijn bovengronds</v>
      </c>
      <c r="E65" s="152"/>
      <c r="F65" s="153" t="s">
        <v>195</v>
      </c>
      <c r="G65" s="154" t="s">
        <v>196</v>
      </c>
      <c r="H65" s="153" t="s">
        <v>162</v>
      </c>
      <c r="I65" s="282">
        <v>11.8</v>
      </c>
    </row>
    <row r="66" spans="1:9">
      <c r="A66" s="281">
        <v>107</v>
      </c>
      <c r="B66" s="149" t="s">
        <v>64</v>
      </c>
      <c r="C66" s="309">
        <f>VLOOKUP(A66,'2-Kosten per locatie'!$A$13:$C$88,3,FALSE)</f>
        <v>2</v>
      </c>
      <c r="D66" s="411" t="str">
        <f ca="1">VLOOKUP(A66,'3-Ruimtestaat'!B:D,3,FALSE)</f>
        <v>Oostlijn bovengronds</v>
      </c>
      <c r="E66" s="152"/>
      <c r="F66" s="153" t="s">
        <v>197</v>
      </c>
      <c r="G66" s="154" t="s">
        <v>198</v>
      </c>
      <c r="H66" s="153" t="s">
        <v>171</v>
      </c>
      <c r="I66" s="282">
        <v>17.5</v>
      </c>
    </row>
    <row r="67" spans="1:9">
      <c r="A67" s="281">
        <v>107</v>
      </c>
      <c r="B67" s="149" t="s">
        <v>64</v>
      </c>
      <c r="C67" s="309">
        <f>VLOOKUP(A67,'2-Kosten per locatie'!$A$13:$C$88,3,FALSE)</f>
        <v>2</v>
      </c>
      <c r="D67" s="411" t="str">
        <f ca="1">VLOOKUP(A67,'3-Ruimtestaat'!B:D,3,FALSE)</f>
        <v>Oostlijn bovengronds</v>
      </c>
      <c r="E67" s="152"/>
      <c r="F67" s="153" t="s">
        <v>199</v>
      </c>
      <c r="G67" s="154" t="s">
        <v>200</v>
      </c>
      <c r="H67" s="153" t="s">
        <v>171</v>
      </c>
      <c r="I67" s="282">
        <v>14</v>
      </c>
    </row>
    <row r="68" spans="1:9">
      <c r="A68" s="281">
        <v>107</v>
      </c>
      <c r="B68" s="149" t="s">
        <v>64</v>
      </c>
      <c r="C68" s="309">
        <f>VLOOKUP(A68,'2-Kosten per locatie'!$A$13:$C$88,3,FALSE)</f>
        <v>2</v>
      </c>
      <c r="D68" s="411" t="str">
        <f ca="1">VLOOKUP(A68,'3-Ruimtestaat'!B:D,3,FALSE)</f>
        <v>Oostlijn bovengronds</v>
      </c>
      <c r="E68" s="152"/>
      <c r="F68" s="153" t="s">
        <v>208</v>
      </c>
      <c r="G68" s="154" t="s">
        <v>209</v>
      </c>
      <c r="H68" s="153" t="s">
        <v>162</v>
      </c>
      <c r="I68" s="282">
        <v>14.9</v>
      </c>
    </row>
    <row r="69" spans="1:9">
      <c r="A69" s="281">
        <v>107</v>
      </c>
      <c r="B69" s="149" t="s">
        <v>64</v>
      </c>
      <c r="C69" s="309">
        <f>VLOOKUP(A69,'2-Kosten per locatie'!$A$13:$C$88,3,FALSE)</f>
        <v>2</v>
      </c>
      <c r="D69" s="411" t="str">
        <f ca="1">VLOOKUP(A69,'3-Ruimtestaat'!B:D,3,FALSE)</f>
        <v>Oostlijn bovengronds</v>
      </c>
      <c r="E69" s="152"/>
      <c r="F69" s="153" t="s">
        <v>210</v>
      </c>
      <c r="G69" s="154" t="s">
        <v>211</v>
      </c>
      <c r="H69" s="153" t="s">
        <v>159</v>
      </c>
      <c r="I69" s="282">
        <v>3.7</v>
      </c>
    </row>
    <row r="70" spans="1:9">
      <c r="A70" s="281">
        <v>107</v>
      </c>
      <c r="B70" s="149" t="s">
        <v>64</v>
      </c>
      <c r="C70" s="309">
        <f>VLOOKUP(A70,'2-Kosten per locatie'!$A$13:$C$88,3,FALSE)</f>
        <v>2</v>
      </c>
      <c r="D70" s="411" t="str">
        <f ca="1">VLOOKUP(A70,'3-Ruimtestaat'!B:D,3,FALSE)</f>
        <v>Oostlijn bovengronds</v>
      </c>
      <c r="E70" s="152"/>
      <c r="F70" s="153" t="s">
        <v>212</v>
      </c>
      <c r="G70" s="154" t="s">
        <v>213</v>
      </c>
      <c r="H70" s="153" t="s">
        <v>214</v>
      </c>
      <c r="I70" s="282">
        <v>9.8000000000000007</v>
      </c>
    </row>
    <row r="71" spans="1:9">
      <c r="A71" s="281">
        <v>107</v>
      </c>
      <c r="B71" s="149" t="s">
        <v>64</v>
      </c>
      <c r="C71" s="309">
        <f>VLOOKUP(A71,'2-Kosten per locatie'!$A$13:$C$88,3,FALSE)</f>
        <v>2</v>
      </c>
      <c r="D71" s="411" t="str">
        <f ca="1">VLOOKUP(A71,'3-Ruimtestaat'!B:D,3,FALSE)</f>
        <v>Oostlijn bovengronds</v>
      </c>
      <c r="E71" s="152"/>
      <c r="F71" s="153" t="s">
        <v>215</v>
      </c>
      <c r="G71" s="154" t="s">
        <v>216</v>
      </c>
      <c r="H71" s="153" t="s">
        <v>171</v>
      </c>
      <c r="I71" s="282">
        <v>10.9</v>
      </c>
    </row>
    <row r="72" spans="1:9">
      <c r="A72" s="281">
        <v>107</v>
      </c>
      <c r="B72" s="149" t="s">
        <v>64</v>
      </c>
      <c r="C72" s="309">
        <f>VLOOKUP(A72,'2-Kosten per locatie'!$A$13:$C$88,3,FALSE)</f>
        <v>2</v>
      </c>
      <c r="D72" s="411" t="str">
        <f ca="1">VLOOKUP(A72,'3-Ruimtestaat'!B:D,3,FALSE)</f>
        <v>Oostlijn bovengronds</v>
      </c>
      <c r="E72" s="152"/>
      <c r="F72" s="153" t="s">
        <v>220</v>
      </c>
      <c r="G72" s="154" t="s">
        <v>221</v>
      </c>
      <c r="H72" s="153" t="s">
        <v>222</v>
      </c>
      <c r="I72" s="282">
        <v>2.2999999999999998</v>
      </c>
    </row>
    <row r="73" spans="1:9">
      <c r="A73" s="281">
        <v>107</v>
      </c>
      <c r="B73" s="149" t="s">
        <v>64</v>
      </c>
      <c r="C73" s="309">
        <f>VLOOKUP(A73,'2-Kosten per locatie'!$A$13:$C$88,3,FALSE)</f>
        <v>2</v>
      </c>
      <c r="D73" s="411" t="str">
        <f ca="1">VLOOKUP(A73,'3-Ruimtestaat'!B:D,3,FALSE)</f>
        <v>Oostlijn bovengronds</v>
      </c>
      <c r="E73" s="152"/>
      <c r="F73" s="153" t="s">
        <v>220</v>
      </c>
      <c r="G73" s="154" t="s">
        <v>223</v>
      </c>
      <c r="H73" s="153" t="s">
        <v>222</v>
      </c>
      <c r="I73" s="282">
        <v>2.2000000000000002</v>
      </c>
    </row>
    <row r="74" spans="1:9">
      <c r="A74" s="281">
        <v>108</v>
      </c>
      <c r="B74" s="149" t="s">
        <v>65</v>
      </c>
      <c r="C74" s="309">
        <f>VLOOKUP(A74,'2-Kosten per locatie'!$A$13:$C$88,3,FALSE)</f>
        <v>2</v>
      </c>
      <c r="D74" s="411" t="str">
        <f ca="1">VLOOKUP(A74,'3-Ruimtestaat'!B:D,3,FALSE)</f>
        <v>Oostlijn bovengronds</v>
      </c>
      <c r="E74" s="152"/>
      <c r="F74" s="153" t="s">
        <v>190</v>
      </c>
      <c r="G74" s="154" t="s">
        <v>236</v>
      </c>
      <c r="H74" s="153" t="s">
        <v>159</v>
      </c>
      <c r="I74" s="282">
        <v>13.88</v>
      </c>
    </row>
    <row r="75" spans="1:9">
      <c r="A75" s="281">
        <v>108</v>
      </c>
      <c r="B75" s="149" t="s">
        <v>65</v>
      </c>
      <c r="C75" s="309">
        <f>VLOOKUP(A75,'2-Kosten per locatie'!$A$13:$C$88,3,FALSE)</f>
        <v>2</v>
      </c>
      <c r="D75" s="411" t="str">
        <f ca="1">VLOOKUP(A75,'3-Ruimtestaat'!B:D,3,FALSE)</f>
        <v>Oostlijn bovengronds</v>
      </c>
      <c r="E75" s="152"/>
      <c r="F75" s="153" t="s">
        <v>237</v>
      </c>
      <c r="G75" s="154" t="s">
        <v>238</v>
      </c>
      <c r="H75" s="153" t="s">
        <v>171</v>
      </c>
      <c r="I75" s="282">
        <v>7.3</v>
      </c>
    </row>
    <row r="76" spans="1:9">
      <c r="A76" s="281">
        <v>108</v>
      </c>
      <c r="B76" s="149" t="s">
        <v>65</v>
      </c>
      <c r="C76" s="309">
        <f>VLOOKUP(A76,'2-Kosten per locatie'!$A$13:$C$88,3,FALSE)</f>
        <v>2</v>
      </c>
      <c r="D76" s="411" t="str">
        <f ca="1">VLOOKUP(A76,'3-Ruimtestaat'!B:D,3,FALSE)</f>
        <v>Oostlijn bovengronds</v>
      </c>
      <c r="E76" s="152"/>
      <c r="F76" s="153" t="s">
        <v>248</v>
      </c>
      <c r="G76" s="154" t="s">
        <v>249</v>
      </c>
      <c r="H76" s="153" t="s">
        <v>162</v>
      </c>
      <c r="I76" s="282">
        <v>6.22</v>
      </c>
    </row>
    <row r="77" spans="1:9">
      <c r="A77" s="281">
        <v>108</v>
      </c>
      <c r="B77" s="149" t="s">
        <v>65</v>
      </c>
      <c r="C77" s="309">
        <f>VLOOKUP(A77,'2-Kosten per locatie'!$A$13:$C$88,3,FALSE)</f>
        <v>2</v>
      </c>
      <c r="D77" s="411" t="str">
        <f ca="1">VLOOKUP(A77,'3-Ruimtestaat'!B:D,3,FALSE)</f>
        <v>Oostlijn bovengronds</v>
      </c>
      <c r="E77" s="152"/>
      <c r="F77" s="153" t="s">
        <v>190</v>
      </c>
      <c r="G77" s="154" t="s">
        <v>191</v>
      </c>
      <c r="H77" s="153" t="s">
        <v>251</v>
      </c>
      <c r="I77" s="282">
        <v>51.35</v>
      </c>
    </row>
    <row r="78" spans="1:9">
      <c r="A78" s="281">
        <v>108</v>
      </c>
      <c r="B78" s="149" t="s">
        <v>65</v>
      </c>
      <c r="C78" s="309">
        <f>VLOOKUP(A78,'2-Kosten per locatie'!$A$13:$C$88,3,FALSE)</f>
        <v>2</v>
      </c>
      <c r="D78" s="411" t="str">
        <f ca="1">VLOOKUP(A78,'3-Ruimtestaat'!B:D,3,FALSE)</f>
        <v>Oostlijn bovengronds</v>
      </c>
      <c r="E78" s="152"/>
      <c r="F78" s="153" t="s">
        <v>252</v>
      </c>
      <c r="G78" s="154" t="s">
        <v>253</v>
      </c>
      <c r="H78" s="153" t="s">
        <v>162</v>
      </c>
      <c r="I78" s="282">
        <v>22.2</v>
      </c>
    </row>
    <row r="79" spans="1:9">
      <c r="A79" s="281">
        <v>108</v>
      </c>
      <c r="B79" s="149" t="s">
        <v>65</v>
      </c>
      <c r="C79" s="309">
        <f>VLOOKUP(A79,'2-Kosten per locatie'!$A$13:$C$88,3,FALSE)</f>
        <v>2</v>
      </c>
      <c r="D79" s="411" t="str">
        <f ca="1">VLOOKUP(A79,'3-Ruimtestaat'!B:D,3,FALSE)</f>
        <v>Oostlijn bovengronds</v>
      </c>
      <c r="E79" s="152"/>
      <c r="F79" s="153" t="s">
        <v>254</v>
      </c>
      <c r="G79" s="154" t="s">
        <v>196</v>
      </c>
      <c r="H79" s="153" t="s">
        <v>162</v>
      </c>
      <c r="I79" s="282">
        <v>22.2</v>
      </c>
    </row>
    <row r="80" spans="1:9">
      <c r="A80" s="281">
        <v>108</v>
      </c>
      <c r="B80" s="149" t="s">
        <v>65</v>
      </c>
      <c r="C80" s="309">
        <f>VLOOKUP(A80,'2-Kosten per locatie'!$A$13:$C$88,3,FALSE)</f>
        <v>2</v>
      </c>
      <c r="D80" s="411" t="str">
        <f ca="1">VLOOKUP(A80,'3-Ruimtestaat'!B:D,3,FALSE)</f>
        <v>Oostlijn bovengronds</v>
      </c>
      <c r="E80" s="152"/>
      <c r="F80" s="153" t="s">
        <v>197</v>
      </c>
      <c r="G80" s="154" t="s">
        <v>198</v>
      </c>
      <c r="H80" s="153" t="s">
        <v>171</v>
      </c>
      <c r="I80" s="282">
        <v>32.700000000000003</v>
      </c>
    </row>
    <row r="81" spans="1:9">
      <c r="A81" s="281">
        <v>108</v>
      </c>
      <c r="B81" s="149" t="s">
        <v>65</v>
      </c>
      <c r="C81" s="309">
        <f>VLOOKUP(A81,'2-Kosten per locatie'!$A$13:$C$88,3,FALSE)</f>
        <v>2</v>
      </c>
      <c r="D81" s="411" t="str">
        <f ca="1">VLOOKUP(A81,'3-Ruimtestaat'!B:D,3,FALSE)</f>
        <v>Oostlijn bovengronds</v>
      </c>
      <c r="E81" s="152"/>
      <c r="F81" s="153" t="s">
        <v>199</v>
      </c>
      <c r="G81" s="154" t="s">
        <v>200</v>
      </c>
      <c r="H81" s="153" t="s">
        <v>171</v>
      </c>
      <c r="I81" s="282">
        <v>17.899999999999999</v>
      </c>
    </row>
    <row r="82" spans="1:9">
      <c r="A82" s="281">
        <v>108</v>
      </c>
      <c r="B82" s="149" t="s">
        <v>65</v>
      </c>
      <c r="C82" s="309">
        <f>VLOOKUP(A82,'2-Kosten per locatie'!$A$13:$C$88,3,FALSE)</f>
        <v>2</v>
      </c>
      <c r="D82" s="411" t="str">
        <f ca="1">VLOOKUP(A82,'3-Ruimtestaat'!B:D,3,FALSE)</f>
        <v>Oostlijn bovengronds</v>
      </c>
      <c r="E82" s="152"/>
      <c r="F82" s="153" t="s">
        <v>255</v>
      </c>
      <c r="G82" s="154" t="s">
        <v>256</v>
      </c>
      <c r="H82" s="153" t="s">
        <v>257</v>
      </c>
      <c r="I82" s="282">
        <v>7.2</v>
      </c>
    </row>
    <row r="83" spans="1:9">
      <c r="A83" s="281">
        <v>108</v>
      </c>
      <c r="B83" s="149" t="s">
        <v>65</v>
      </c>
      <c r="C83" s="309">
        <f>VLOOKUP(A83,'2-Kosten per locatie'!$A$13:$C$88,3,FALSE)</f>
        <v>2</v>
      </c>
      <c r="D83" s="411" t="str">
        <f ca="1">VLOOKUP(A83,'3-Ruimtestaat'!B:D,3,FALSE)</f>
        <v>Oostlijn bovengronds</v>
      </c>
      <c r="E83" s="152"/>
      <c r="F83" s="153" t="s">
        <v>258</v>
      </c>
      <c r="G83" s="154" t="s">
        <v>259</v>
      </c>
      <c r="H83" s="153" t="s">
        <v>171</v>
      </c>
      <c r="I83" s="282">
        <v>36.69</v>
      </c>
    </row>
    <row r="84" spans="1:9">
      <c r="A84" s="281">
        <v>108</v>
      </c>
      <c r="B84" s="149" t="s">
        <v>65</v>
      </c>
      <c r="C84" s="309">
        <f>VLOOKUP(A84,'2-Kosten per locatie'!$A$13:$C$88,3,FALSE)</f>
        <v>2</v>
      </c>
      <c r="D84" s="411" t="str">
        <f ca="1">VLOOKUP(A84,'3-Ruimtestaat'!B:D,3,FALSE)</f>
        <v>Oostlijn bovengronds</v>
      </c>
      <c r="E84" s="152"/>
      <c r="F84" s="153" t="s">
        <v>260</v>
      </c>
      <c r="G84" s="154" t="s">
        <v>261</v>
      </c>
      <c r="H84" s="153" t="s">
        <v>159</v>
      </c>
      <c r="I84" s="282">
        <v>6.65</v>
      </c>
    </row>
    <row r="85" spans="1:9">
      <c r="A85" s="281">
        <v>108</v>
      </c>
      <c r="B85" s="149" t="s">
        <v>65</v>
      </c>
      <c r="C85" s="309">
        <f>VLOOKUP(A85,'2-Kosten per locatie'!$A$13:$C$88,3,FALSE)</f>
        <v>2</v>
      </c>
      <c r="D85" s="411" t="str">
        <f ca="1">VLOOKUP(A85,'3-Ruimtestaat'!B:D,3,FALSE)</f>
        <v>Oostlijn bovengronds</v>
      </c>
      <c r="E85" s="152"/>
      <c r="F85" s="153" t="s">
        <v>262</v>
      </c>
      <c r="G85" s="154" t="s">
        <v>263</v>
      </c>
      <c r="H85" s="153" t="s">
        <v>171</v>
      </c>
      <c r="I85" s="282">
        <v>38.04</v>
      </c>
    </row>
    <row r="86" spans="1:9">
      <c r="A86" s="281">
        <v>108</v>
      </c>
      <c r="B86" s="149" t="s">
        <v>65</v>
      </c>
      <c r="C86" s="309">
        <f>VLOOKUP(A86,'2-Kosten per locatie'!$A$13:$C$88,3,FALSE)</f>
        <v>2</v>
      </c>
      <c r="D86" s="411" t="str">
        <f ca="1">VLOOKUP(A86,'3-Ruimtestaat'!B:D,3,FALSE)</f>
        <v>Oostlijn bovengronds</v>
      </c>
      <c r="E86" s="152"/>
      <c r="F86" s="153" t="s">
        <v>264</v>
      </c>
      <c r="G86" s="154" t="s">
        <v>265</v>
      </c>
      <c r="H86" s="153" t="s">
        <v>159</v>
      </c>
      <c r="I86" s="282">
        <v>6.88</v>
      </c>
    </row>
    <row r="87" spans="1:9">
      <c r="A87" s="281">
        <v>108</v>
      </c>
      <c r="B87" s="149" t="s">
        <v>65</v>
      </c>
      <c r="C87" s="309">
        <f>VLOOKUP(A87,'2-Kosten per locatie'!$A$13:$C$88,3,FALSE)</f>
        <v>2</v>
      </c>
      <c r="D87" s="411" t="str">
        <f ca="1">VLOOKUP(A87,'3-Ruimtestaat'!B:D,3,FALSE)</f>
        <v>Oostlijn bovengronds</v>
      </c>
      <c r="E87" s="152"/>
      <c r="F87" s="153" t="s">
        <v>272</v>
      </c>
      <c r="G87" s="154" t="s">
        <v>273</v>
      </c>
      <c r="H87" s="153" t="s">
        <v>159</v>
      </c>
      <c r="I87" s="282">
        <v>6.7</v>
      </c>
    </row>
    <row r="88" spans="1:9">
      <c r="A88" s="281">
        <v>108</v>
      </c>
      <c r="B88" s="149" t="s">
        <v>65</v>
      </c>
      <c r="C88" s="309">
        <f>VLOOKUP(A88,'2-Kosten per locatie'!$A$13:$C$88,3,FALSE)</f>
        <v>2</v>
      </c>
      <c r="D88" s="411" t="str">
        <f ca="1">VLOOKUP(A88,'3-Ruimtestaat'!B:D,3,FALSE)</f>
        <v>Oostlijn bovengronds</v>
      </c>
      <c r="E88" s="152"/>
      <c r="F88" s="153" t="s">
        <v>274</v>
      </c>
      <c r="G88" s="154" t="s">
        <v>211</v>
      </c>
      <c r="H88" s="153" t="s">
        <v>251</v>
      </c>
      <c r="I88" s="282">
        <v>62.31</v>
      </c>
    </row>
    <row r="89" spans="1:9">
      <c r="A89" s="281">
        <v>108</v>
      </c>
      <c r="B89" s="149" t="s">
        <v>65</v>
      </c>
      <c r="C89" s="309">
        <f>VLOOKUP(A89,'2-Kosten per locatie'!$A$13:$C$88,3,FALSE)</f>
        <v>2</v>
      </c>
      <c r="D89" s="411" t="str">
        <f ca="1">VLOOKUP(A89,'3-Ruimtestaat'!B:D,3,FALSE)</f>
        <v>Oostlijn bovengronds</v>
      </c>
      <c r="E89" s="152"/>
      <c r="F89" s="153" t="s">
        <v>276</v>
      </c>
      <c r="G89" s="154" t="s">
        <v>277</v>
      </c>
      <c r="H89" s="153" t="s">
        <v>278</v>
      </c>
      <c r="I89" s="282">
        <v>0.52</v>
      </c>
    </row>
    <row r="90" spans="1:9">
      <c r="A90" s="281">
        <v>109</v>
      </c>
      <c r="B90" s="149" t="s">
        <v>66</v>
      </c>
      <c r="C90" s="309">
        <f>VLOOKUP(A90,'2-Kosten per locatie'!$A$13:$C$88,3,FALSE)</f>
        <v>2</v>
      </c>
      <c r="D90" s="411" t="str">
        <f ca="1">VLOOKUP(A90,'3-Ruimtestaat'!B:D,3,FALSE)</f>
        <v>Oostlijn bovengronds</v>
      </c>
      <c r="E90" s="152"/>
      <c r="F90" s="153" t="s">
        <v>281</v>
      </c>
      <c r="G90" s="154" t="s">
        <v>282</v>
      </c>
      <c r="H90" s="153" t="s">
        <v>171</v>
      </c>
      <c r="I90" s="282">
        <v>15</v>
      </c>
    </row>
    <row r="91" spans="1:9">
      <c r="A91" s="281">
        <v>109</v>
      </c>
      <c r="B91" s="149" t="s">
        <v>66</v>
      </c>
      <c r="C91" s="309">
        <f>VLOOKUP(A91,'2-Kosten per locatie'!$A$13:$C$88,3,FALSE)</f>
        <v>2</v>
      </c>
      <c r="D91" s="411" t="str">
        <f ca="1">VLOOKUP(A91,'3-Ruimtestaat'!B:D,3,FALSE)</f>
        <v>Oostlijn bovengronds</v>
      </c>
      <c r="E91" s="152"/>
      <c r="F91" s="153" t="s">
        <v>283</v>
      </c>
      <c r="G91" s="154" t="s">
        <v>284</v>
      </c>
      <c r="H91" s="153" t="s">
        <v>171</v>
      </c>
      <c r="I91" s="282">
        <v>11</v>
      </c>
    </row>
    <row r="92" spans="1:9">
      <c r="A92" s="281">
        <v>109</v>
      </c>
      <c r="B92" s="149" t="s">
        <v>66</v>
      </c>
      <c r="C92" s="309">
        <f>VLOOKUP(A92,'2-Kosten per locatie'!$A$13:$C$88,3,FALSE)</f>
        <v>2</v>
      </c>
      <c r="D92" s="411" t="str">
        <f ca="1">VLOOKUP(A92,'3-Ruimtestaat'!B:D,3,FALSE)</f>
        <v>Oostlijn bovengronds</v>
      </c>
      <c r="E92" s="152"/>
      <c r="F92" s="153" t="s">
        <v>160</v>
      </c>
      <c r="G92" s="154" t="s">
        <v>285</v>
      </c>
      <c r="H92" s="153" t="s">
        <v>159</v>
      </c>
      <c r="I92" s="282">
        <v>11</v>
      </c>
    </row>
    <row r="93" spans="1:9">
      <c r="A93" s="281">
        <v>109</v>
      </c>
      <c r="B93" s="149" t="s">
        <v>66</v>
      </c>
      <c r="C93" s="309">
        <f>VLOOKUP(A93,'2-Kosten per locatie'!$A$13:$C$88,3,FALSE)</f>
        <v>2</v>
      </c>
      <c r="D93" s="411" t="str">
        <f ca="1">VLOOKUP(A93,'3-Ruimtestaat'!B:D,3,FALSE)</f>
        <v>Oostlijn bovengronds</v>
      </c>
      <c r="E93" s="152"/>
      <c r="F93" s="153" t="s">
        <v>286</v>
      </c>
      <c r="G93" s="154" t="s">
        <v>161</v>
      </c>
      <c r="H93" s="153" t="s">
        <v>162</v>
      </c>
      <c r="I93" s="282">
        <v>12</v>
      </c>
    </row>
    <row r="94" spans="1:9">
      <c r="A94" s="281">
        <v>110</v>
      </c>
      <c r="B94" s="149" t="s">
        <v>67</v>
      </c>
      <c r="C94" s="309">
        <f>VLOOKUP(A94,'2-Kosten per locatie'!$A$13:$C$88,3,FALSE)</f>
        <v>2</v>
      </c>
      <c r="D94" s="411" t="str">
        <f ca="1">VLOOKUP(A94,'3-Ruimtestaat'!B:D,3,FALSE)</f>
        <v>Oostlijn bovengronds</v>
      </c>
      <c r="E94" s="152"/>
      <c r="F94" s="153" t="s">
        <v>190</v>
      </c>
      <c r="G94" s="154" t="s">
        <v>191</v>
      </c>
      <c r="H94" s="153" t="s">
        <v>159</v>
      </c>
      <c r="I94" s="282">
        <v>12.9</v>
      </c>
    </row>
    <row r="95" spans="1:9">
      <c r="A95" s="281">
        <v>110</v>
      </c>
      <c r="B95" s="149" t="s">
        <v>67</v>
      </c>
      <c r="C95" s="309">
        <f>VLOOKUP(A95,'2-Kosten per locatie'!$A$13:$C$88,3,FALSE)</f>
        <v>2</v>
      </c>
      <c r="D95" s="411" t="str">
        <f ca="1">VLOOKUP(A95,'3-Ruimtestaat'!B:D,3,FALSE)</f>
        <v>Oostlijn bovengronds</v>
      </c>
      <c r="E95" s="152"/>
      <c r="F95" s="153" t="s">
        <v>301</v>
      </c>
      <c r="G95" s="154" t="s">
        <v>192</v>
      </c>
      <c r="H95" s="153" t="s">
        <v>171</v>
      </c>
      <c r="I95" s="282">
        <v>4.2</v>
      </c>
    </row>
    <row r="96" spans="1:9">
      <c r="A96" s="281">
        <v>110</v>
      </c>
      <c r="B96" s="149" t="s">
        <v>67</v>
      </c>
      <c r="C96" s="309">
        <f>VLOOKUP(A96,'2-Kosten per locatie'!$A$13:$C$88,3,FALSE)</f>
        <v>2</v>
      </c>
      <c r="D96" s="411" t="str">
        <f ca="1">VLOOKUP(A96,'3-Ruimtestaat'!B:D,3,FALSE)</f>
        <v>Oostlijn bovengronds</v>
      </c>
      <c r="E96" s="152"/>
      <c r="F96" s="153" t="s">
        <v>190</v>
      </c>
      <c r="G96" s="154" t="s">
        <v>194</v>
      </c>
      <c r="H96" s="153" t="s">
        <v>171</v>
      </c>
      <c r="I96" s="282">
        <v>29.76</v>
      </c>
    </row>
    <row r="97" spans="1:9">
      <c r="A97" s="281">
        <v>110</v>
      </c>
      <c r="B97" s="149" t="s">
        <v>67</v>
      </c>
      <c r="C97" s="309">
        <f>VLOOKUP(A97,'2-Kosten per locatie'!$A$13:$C$88,3,FALSE)</f>
        <v>2</v>
      </c>
      <c r="D97" s="411" t="str">
        <f ca="1">VLOOKUP(A97,'3-Ruimtestaat'!B:D,3,FALSE)</f>
        <v>Oostlijn bovengronds</v>
      </c>
      <c r="E97" s="152"/>
      <c r="F97" s="153" t="s">
        <v>302</v>
      </c>
      <c r="G97" s="154" t="s">
        <v>253</v>
      </c>
      <c r="H97" s="153" t="s">
        <v>171</v>
      </c>
      <c r="I97" s="282">
        <v>32.6</v>
      </c>
    </row>
    <row r="98" spans="1:9">
      <c r="A98" s="281">
        <v>110</v>
      </c>
      <c r="B98" s="149" t="s">
        <v>67</v>
      </c>
      <c r="C98" s="309">
        <f>VLOOKUP(A98,'2-Kosten per locatie'!$A$13:$C$88,3,FALSE)</f>
        <v>2</v>
      </c>
      <c r="D98" s="411" t="str">
        <f ca="1">VLOOKUP(A98,'3-Ruimtestaat'!B:D,3,FALSE)</f>
        <v>Oostlijn bovengronds</v>
      </c>
      <c r="E98" s="152"/>
      <c r="F98" s="153" t="s">
        <v>254</v>
      </c>
      <c r="G98" s="154" t="s">
        <v>196</v>
      </c>
      <c r="H98" s="153" t="s">
        <v>171</v>
      </c>
      <c r="I98" s="282">
        <v>10.6</v>
      </c>
    </row>
    <row r="99" spans="1:9">
      <c r="A99" s="281">
        <v>110</v>
      </c>
      <c r="B99" s="149" t="s">
        <v>67</v>
      </c>
      <c r="C99" s="309">
        <f>VLOOKUP(A99,'2-Kosten per locatie'!$A$13:$C$88,3,FALSE)</f>
        <v>2</v>
      </c>
      <c r="D99" s="411" t="str">
        <f ca="1">VLOOKUP(A99,'3-Ruimtestaat'!B:D,3,FALSE)</f>
        <v>Oostlijn bovengronds</v>
      </c>
      <c r="E99" s="152"/>
      <c r="F99" s="153" t="s">
        <v>303</v>
      </c>
      <c r="G99" s="154" t="s">
        <v>198</v>
      </c>
      <c r="H99" s="153" t="s">
        <v>171</v>
      </c>
      <c r="I99" s="282">
        <v>7</v>
      </c>
    </row>
    <row r="100" spans="1:9">
      <c r="A100" s="281">
        <v>110</v>
      </c>
      <c r="B100" s="149" t="s">
        <v>67</v>
      </c>
      <c r="C100" s="309">
        <f>VLOOKUP(A100,'2-Kosten per locatie'!$A$13:$C$88,3,FALSE)</f>
        <v>2</v>
      </c>
      <c r="D100" s="411" t="str">
        <f ca="1">VLOOKUP(A100,'3-Ruimtestaat'!B:D,3,FALSE)</f>
        <v>Oostlijn bovengronds</v>
      </c>
      <c r="E100" s="152"/>
      <c r="F100" s="153" t="s">
        <v>305</v>
      </c>
      <c r="G100" s="154" t="s">
        <v>306</v>
      </c>
      <c r="H100" s="153" t="s">
        <v>171</v>
      </c>
      <c r="I100" s="282">
        <v>13.1</v>
      </c>
    </row>
    <row r="101" spans="1:9">
      <c r="A101" s="281">
        <v>110</v>
      </c>
      <c r="B101" s="149" t="s">
        <v>67</v>
      </c>
      <c r="C101" s="309">
        <f>VLOOKUP(A101,'2-Kosten per locatie'!$A$13:$C$88,3,FALSE)</f>
        <v>2</v>
      </c>
      <c r="D101" s="411" t="str">
        <f ca="1">VLOOKUP(A101,'3-Ruimtestaat'!B:D,3,FALSE)</f>
        <v>Oostlijn bovengronds</v>
      </c>
      <c r="E101" s="152"/>
      <c r="F101" s="153" t="s">
        <v>307</v>
      </c>
      <c r="G101" s="154" t="s">
        <v>308</v>
      </c>
      <c r="H101" s="153" t="s">
        <v>171</v>
      </c>
      <c r="I101" s="282">
        <v>9.4</v>
      </c>
    </row>
    <row r="102" spans="1:9">
      <c r="A102" s="281">
        <v>110</v>
      </c>
      <c r="B102" s="149" t="s">
        <v>67</v>
      </c>
      <c r="C102" s="309">
        <f>VLOOKUP(A102,'2-Kosten per locatie'!$A$13:$C$88,3,FALSE)</f>
        <v>2</v>
      </c>
      <c r="D102" s="411" t="str">
        <f ca="1">VLOOKUP(A102,'3-Ruimtestaat'!B:D,3,FALSE)</f>
        <v>Oostlijn bovengronds</v>
      </c>
      <c r="E102" s="152"/>
      <c r="F102" s="153" t="s">
        <v>199</v>
      </c>
      <c r="G102" s="154" t="s">
        <v>200</v>
      </c>
      <c r="H102" s="153" t="s">
        <v>171</v>
      </c>
      <c r="I102" s="282">
        <v>15.2</v>
      </c>
    </row>
    <row r="103" spans="1:9">
      <c r="A103" s="281">
        <v>110</v>
      </c>
      <c r="B103" s="149" t="s">
        <v>67</v>
      </c>
      <c r="C103" s="309">
        <f>VLOOKUP(A103,'2-Kosten per locatie'!$A$13:$C$88,3,FALSE)</f>
        <v>2</v>
      </c>
      <c r="D103" s="411" t="str">
        <f ca="1">VLOOKUP(A103,'3-Ruimtestaat'!B:D,3,FALSE)</f>
        <v>Oostlijn bovengronds</v>
      </c>
      <c r="E103" s="152"/>
      <c r="F103" s="153" t="s">
        <v>237</v>
      </c>
      <c r="G103" s="154" t="s">
        <v>202</v>
      </c>
      <c r="H103" s="153" t="s">
        <v>171</v>
      </c>
      <c r="I103" s="282">
        <v>19.64</v>
      </c>
    </row>
    <row r="104" spans="1:9">
      <c r="A104" s="281">
        <v>110</v>
      </c>
      <c r="B104" s="149" t="s">
        <v>67</v>
      </c>
      <c r="C104" s="309">
        <f>VLOOKUP(A104,'2-Kosten per locatie'!$A$13:$C$88,3,FALSE)</f>
        <v>2</v>
      </c>
      <c r="D104" s="411" t="str">
        <f ca="1">VLOOKUP(A104,'3-Ruimtestaat'!B:D,3,FALSE)</f>
        <v>Oostlijn bovengronds</v>
      </c>
      <c r="E104" s="152"/>
      <c r="F104" s="153" t="s">
        <v>313</v>
      </c>
      <c r="G104" s="154" t="s">
        <v>259</v>
      </c>
      <c r="H104" s="153" t="s">
        <v>159</v>
      </c>
      <c r="I104" s="282">
        <v>2.2000000000000002</v>
      </c>
    </row>
    <row r="105" spans="1:9">
      <c r="A105" s="281">
        <v>110</v>
      </c>
      <c r="B105" s="149" t="s">
        <v>67</v>
      </c>
      <c r="C105" s="309">
        <f>VLOOKUP(A105,'2-Kosten per locatie'!$A$13:$C$88,3,FALSE)</f>
        <v>2</v>
      </c>
      <c r="D105" s="411" t="str">
        <f ca="1">VLOOKUP(A105,'3-Ruimtestaat'!B:D,3,FALSE)</f>
        <v>Oostlijn bovengronds</v>
      </c>
      <c r="E105" s="152"/>
      <c r="F105" s="153" t="s">
        <v>313</v>
      </c>
      <c r="G105" s="154" t="s">
        <v>261</v>
      </c>
      <c r="H105" s="153" t="s">
        <v>171</v>
      </c>
      <c r="I105" s="282">
        <v>2.2000000000000002</v>
      </c>
    </row>
    <row r="106" spans="1:9">
      <c r="A106" s="281">
        <v>110</v>
      </c>
      <c r="B106" s="149" t="s">
        <v>67</v>
      </c>
      <c r="C106" s="309">
        <f>VLOOKUP(A106,'2-Kosten per locatie'!$A$13:$C$88,3,FALSE)</f>
        <v>2</v>
      </c>
      <c r="D106" s="411" t="str">
        <f ca="1">VLOOKUP(A106,'3-Ruimtestaat'!B:D,3,FALSE)</f>
        <v>Oostlijn bovengronds</v>
      </c>
      <c r="E106" s="152"/>
      <c r="F106" s="153" t="s">
        <v>183</v>
      </c>
      <c r="G106" s="154" t="s">
        <v>263</v>
      </c>
      <c r="H106" s="153" t="s">
        <v>159</v>
      </c>
      <c r="I106" s="282">
        <v>7.8</v>
      </c>
    </row>
    <row r="107" spans="1:9">
      <c r="A107" s="281">
        <v>110</v>
      </c>
      <c r="B107" s="149" t="s">
        <v>67</v>
      </c>
      <c r="C107" s="309">
        <f>VLOOKUP(A107,'2-Kosten per locatie'!$A$13:$C$88,3,FALSE)</f>
        <v>2</v>
      </c>
      <c r="D107" s="411" t="str">
        <f ca="1">VLOOKUP(A107,'3-Ruimtestaat'!B:D,3,FALSE)</f>
        <v>Oostlijn bovengronds</v>
      </c>
      <c r="E107" s="152"/>
      <c r="F107" s="153" t="s">
        <v>183</v>
      </c>
      <c r="G107" s="154" t="s">
        <v>319</v>
      </c>
      <c r="H107" s="153" t="s">
        <v>214</v>
      </c>
      <c r="I107" s="282">
        <v>7.25</v>
      </c>
    </row>
    <row r="108" spans="1:9">
      <c r="A108" s="281">
        <v>110</v>
      </c>
      <c r="B108" s="149" t="s">
        <v>67</v>
      </c>
      <c r="C108" s="309">
        <f>VLOOKUP(A108,'2-Kosten per locatie'!$A$13:$C$88,3,FALSE)</f>
        <v>2</v>
      </c>
      <c r="D108" s="411" t="str">
        <f ca="1">VLOOKUP(A108,'3-Ruimtestaat'!B:D,3,FALSE)</f>
        <v>Oostlijn bovengronds</v>
      </c>
      <c r="E108" s="152"/>
      <c r="F108" s="153" t="s">
        <v>325</v>
      </c>
      <c r="G108" s="154" t="s">
        <v>326</v>
      </c>
      <c r="H108" s="153" t="s">
        <v>171</v>
      </c>
      <c r="I108" s="282">
        <v>10.4</v>
      </c>
    </row>
    <row r="109" spans="1:9">
      <c r="A109" s="281">
        <v>110</v>
      </c>
      <c r="B109" s="149" t="s">
        <v>67</v>
      </c>
      <c r="C109" s="309">
        <f>VLOOKUP(A109,'2-Kosten per locatie'!$A$13:$C$88,3,FALSE)</f>
        <v>2</v>
      </c>
      <c r="D109" s="411" t="str">
        <f ca="1">VLOOKUP(A109,'3-Ruimtestaat'!B:D,3,FALSE)</f>
        <v>Oostlijn bovengronds</v>
      </c>
      <c r="E109" s="152"/>
      <c r="F109" s="153" t="s">
        <v>248</v>
      </c>
      <c r="G109" s="154" t="s">
        <v>213</v>
      </c>
      <c r="H109" s="153" t="s">
        <v>171</v>
      </c>
      <c r="I109" s="282">
        <v>20.7</v>
      </c>
    </row>
    <row r="110" spans="1:9">
      <c r="A110" s="281">
        <v>110</v>
      </c>
      <c r="B110" s="149" t="s">
        <v>67</v>
      </c>
      <c r="C110" s="309">
        <f>VLOOKUP(A110,'2-Kosten per locatie'!$A$13:$C$88,3,FALSE)</f>
        <v>2</v>
      </c>
      <c r="D110" s="411" t="str">
        <f ca="1">VLOOKUP(A110,'3-Ruimtestaat'!B:D,3,FALSE)</f>
        <v>Oostlijn bovengronds</v>
      </c>
      <c r="E110" s="152"/>
      <c r="F110" s="153" t="s">
        <v>212</v>
      </c>
      <c r="G110" s="154" t="s">
        <v>328</v>
      </c>
      <c r="H110" s="153" t="s">
        <v>171</v>
      </c>
      <c r="I110" s="282">
        <v>9.4</v>
      </c>
    </row>
    <row r="111" spans="1:9">
      <c r="A111" s="281">
        <v>110</v>
      </c>
      <c r="B111" s="149" t="s">
        <v>67</v>
      </c>
      <c r="C111" s="309">
        <f>VLOOKUP(A111,'2-Kosten per locatie'!$A$13:$C$88,3,FALSE)</f>
        <v>2</v>
      </c>
      <c r="D111" s="411" t="str">
        <f ca="1">VLOOKUP(A111,'3-Ruimtestaat'!B:D,3,FALSE)</f>
        <v>Oostlijn bovengronds</v>
      </c>
      <c r="E111" s="152"/>
      <c r="F111" s="153" t="s">
        <v>330</v>
      </c>
      <c r="G111" s="154" t="s">
        <v>331</v>
      </c>
      <c r="H111" s="153" t="s">
        <v>171</v>
      </c>
      <c r="I111" s="282">
        <v>46.17</v>
      </c>
    </row>
    <row r="112" spans="1:9">
      <c r="A112" s="281">
        <v>110</v>
      </c>
      <c r="B112" s="149" t="s">
        <v>67</v>
      </c>
      <c r="C112" s="309">
        <f>VLOOKUP(A112,'2-Kosten per locatie'!$A$13:$C$88,3,FALSE)</f>
        <v>2</v>
      </c>
      <c r="D112" s="411" t="str">
        <f ca="1">VLOOKUP(A112,'3-Ruimtestaat'!B:D,3,FALSE)</f>
        <v>Oostlijn bovengronds</v>
      </c>
      <c r="E112" s="152"/>
      <c r="F112" s="153" t="s">
        <v>330</v>
      </c>
      <c r="G112" s="154" t="s">
        <v>332</v>
      </c>
      <c r="H112" s="153" t="s">
        <v>171</v>
      </c>
      <c r="I112" s="282">
        <v>47.88</v>
      </c>
    </row>
    <row r="113" spans="1:9">
      <c r="A113" s="281">
        <v>110</v>
      </c>
      <c r="B113" s="149" t="s">
        <v>67</v>
      </c>
      <c r="C113" s="309">
        <f>VLOOKUP(A113,'2-Kosten per locatie'!$A$13:$C$88,3,FALSE)</f>
        <v>2</v>
      </c>
      <c r="D113" s="411" t="str">
        <f ca="1">VLOOKUP(A113,'3-Ruimtestaat'!B:D,3,FALSE)</f>
        <v>Oostlijn bovengronds</v>
      </c>
      <c r="E113" s="152"/>
      <c r="F113" s="153" t="s">
        <v>333</v>
      </c>
      <c r="G113" s="154" t="s">
        <v>334</v>
      </c>
      <c r="H113" s="153" t="s">
        <v>159</v>
      </c>
      <c r="I113" s="282">
        <v>46.25</v>
      </c>
    </row>
    <row r="114" spans="1:9">
      <c r="A114" s="281">
        <v>110</v>
      </c>
      <c r="B114" s="149" t="s">
        <v>67</v>
      </c>
      <c r="C114" s="309">
        <f>VLOOKUP(A114,'2-Kosten per locatie'!$A$13:$C$88,3,FALSE)</f>
        <v>2</v>
      </c>
      <c r="D114" s="411" t="str">
        <f ca="1">VLOOKUP(A114,'3-Ruimtestaat'!B:D,3,FALSE)</f>
        <v>Oostlijn bovengronds</v>
      </c>
      <c r="E114" s="152"/>
      <c r="F114" s="153" t="s">
        <v>333</v>
      </c>
      <c r="G114" s="154" t="s">
        <v>336</v>
      </c>
      <c r="H114" s="153" t="s">
        <v>171</v>
      </c>
      <c r="I114" s="282">
        <v>42.01</v>
      </c>
    </row>
    <row r="115" spans="1:9">
      <c r="A115" s="281">
        <v>111</v>
      </c>
      <c r="B115" s="149" t="s">
        <v>68</v>
      </c>
      <c r="C115" s="309">
        <f>VLOOKUP(A115,'2-Kosten per locatie'!$A$13:$C$88,3,FALSE)</f>
        <v>2</v>
      </c>
      <c r="D115" s="411" t="str">
        <f ca="1">VLOOKUP(A115,'3-Ruimtestaat'!B:D,3,FALSE)</f>
        <v>Oostlijn bovengronds</v>
      </c>
      <c r="E115" s="152"/>
      <c r="F115" s="153" t="s">
        <v>338</v>
      </c>
      <c r="G115" s="154" t="s">
        <v>202</v>
      </c>
      <c r="H115" s="153" t="s">
        <v>171</v>
      </c>
      <c r="I115" s="282">
        <v>11.4</v>
      </c>
    </row>
    <row r="116" spans="1:9">
      <c r="A116" s="281">
        <v>111</v>
      </c>
      <c r="B116" s="149" t="s">
        <v>68</v>
      </c>
      <c r="C116" s="309">
        <f>VLOOKUP(A116,'2-Kosten per locatie'!$A$13:$C$88,3,FALSE)</f>
        <v>2</v>
      </c>
      <c r="D116" s="411" t="str">
        <f ca="1">VLOOKUP(A116,'3-Ruimtestaat'!B:D,3,FALSE)</f>
        <v>Oostlijn bovengronds</v>
      </c>
      <c r="E116" s="152"/>
      <c r="F116" s="153" t="s">
        <v>339</v>
      </c>
      <c r="G116" s="154" t="s">
        <v>192</v>
      </c>
      <c r="H116" s="153" t="s">
        <v>171</v>
      </c>
      <c r="I116" s="282">
        <v>1.9</v>
      </c>
    </row>
    <row r="117" spans="1:9">
      <c r="A117" s="281">
        <v>111</v>
      </c>
      <c r="B117" s="149" t="s">
        <v>68</v>
      </c>
      <c r="C117" s="309">
        <f>VLOOKUP(A117,'2-Kosten per locatie'!$A$13:$C$88,3,FALSE)</f>
        <v>2</v>
      </c>
      <c r="D117" s="411" t="str">
        <f ca="1">VLOOKUP(A117,'3-Ruimtestaat'!B:D,3,FALSE)</f>
        <v>Oostlijn bovengronds</v>
      </c>
      <c r="E117" s="152"/>
      <c r="F117" s="153" t="s">
        <v>339</v>
      </c>
      <c r="G117" s="154" t="s">
        <v>236</v>
      </c>
      <c r="H117" s="153" t="s">
        <v>171</v>
      </c>
      <c r="I117" s="282">
        <v>18.899999999999999</v>
      </c>
    </row>
    <row r="118" spans="1:9">
      <c r="A118" s="281">
        <v>111</v>
      </c>
      <c r="B118" s="149" t="s">
        <v>68</v>
      </c>
      <c r="C118" s="309">
        <f>VLOOKUP(A118,'2-Kosten per locatie'!$A$13:$C$88,3,FALSE)</f>
        <v>2</v>
      </c>
      <c r="D118" s="411" t="str">
        <f ca="1">VLOOKUP(A118,'3-Ruimtestaat'!B:D,3,FALSE)</f>
        <v>Oostlijn bovengronds</v>
      </c>
      <c r="E118" s="152"/>
      <c r="F118" s="153" t="s">
        <v>183</v>
      </c>
      <c r="G118" s="154" t="s">
        <v>334</v>
      </c>
      <c r="H118" s="153" t="s">
        <v>171</v>
      </c>
      <c r="I118" s="282">
        <v>13.82</v>
      </c>
    </row>
    <row r="119" spans="1:9">
      <c r="A119" s="281">
        <v>111</v>
      </c>
      <c r="B119" s="149" t="s">
        <v>68</v>
      </c>
      <c r="C119" s="309">
        <f>VLOOKUP(A119,'2-Kosten per locatie'!$A$13:$C$88,3,FALSE)</f>
        <v>2</v>
      </c>
      <c r="D119" s="411" t="str">
        <f ca="1">VLOOKUP(A119,'3-Ruimtestaat'!B:D,3,FALSE)</f>
        <v>Oostlijn bovengronds</v>
      </c>
      <c r="E119" s="152"/>
      <c r="F119" s="153" t="s">
        <v>340</v>
      </c>
      <c r="G119" s="154" t="s">
        <v>341</v>
      </c>
      <c r="H119" s="153" t="s">
        <v>171</v>
      </c>
      <c r="I119" s="282">
        <v>34.200000000000003</v>
      </c>
    </row>
    <row r="120" spans="1:9">
      <c r="A120" s="281">
        <v>111</v>
      </c>
      <c r="B120" s="149" t="s">
        <v>68</v>
      </c>
      <c r="C120" s="309">
        <f>VLOOKUP(A120,'2-Kosten per locatie'!$A$13:$C$88,3,FALSE)</f>
        <v>2</v>
      </c>
      <c r="D120" s="411" t="str">
        <f ca="1">VLOOKUP(A120,'3-Ruimtestaat'!B:D,3,FALSE)</f>
        <v>Oostlijn bovengronds</v>
      </c>
      <c r="E120" s="152"/>
      <c r="F120" s="153" t="s">
        <v>342</v>
      </c>
      <c r="G120" s="154" t="s">
        <v>343</v>
      </c>
      <c r="H120" s="153" t="s">
        <v>171</v>
      </c>
      <c r="I120" s="282">
        <v>13.8</v>
      </c>
    </row>
    <row r="121" spans="1:9">
      <c r="A121" s="281">
        <v>111</v>
      </c>
      <c r="B121" s="149" t="s">
        <v>68</v>
      </c>
      <c r="C121" s="309">
        <f>VLOOKUP(A121,'2-Kosten per locatie'!$A$13:$C$88,3,FALSE)</f>
        <v>2</v>
      </c>
      <c r="D121" s="411" t="str">
        <f ca="1">VLOOKUP(A121,'3-Ruimtestaat'!B:D,3,FALSE)</f>
        <v>Oostlijn bovengronds</v>
      </c>
      <c r="E121" s="152"/>
      <c r="F121" s="153" t="s">
        <v>344</v>
      </c>
      <c r="G121" s="154" t="s">
        <v>345</v>
      </c>
      <c r="H121" s="153" t="s">
        <v>171</v>
      </c>
      <c r="I121" s="282">
        <v>8.6</v>
      </c>
    </row>
    <row r="122" spans="1:9">
      <c r="A122" s="281">
        <v>111</v>
      </c>
      <c r="B122" s="149" t="s">
        <v>68</v>
      </c>
      <c r="C122" s="309">
        <f>VLOOKUP(A122,'2-Kosten per locatie'!$A$13:$C$88,3,FALSE)</f>
        <v>2</v>
      </c>
      <c r="D122" s="411" t="str">
        <f ca="1">VLOOKUP(A122,'3-Ruimtestaat'!B:D,3,FALSE)</f>
        <v>Oostlijn bovengronds</v>
      </c>
      <c r="E122" s="152"/>
      <c r="F122" s="153" t="s">
        <v>344</v>
      </c>
      <c r="G122" s="154" t="s">
        <v>346</v>
      </c>
      <c r="H122" s="153" t="s">
        <v>171</v>
      </c>
      <c r="I122" s="282">
        <v>8.6</v>
      </c>
    </row>
    <row r="123" spans="1:9">
      <c r="A123" s="281">
        <v>111</v>
      </c>
      <c r="B123" s="149" t="s">
        <v>68</v>
      </c>
      <c r="C123" s="309">
        <f>VLOOKUP(A123,'2-Kosten per locatie'!$A$13:$C$88,3,FALSE)</f>
        <v>2</v>
      </c>
      <c r="D123" s="411" t="str">
        <f ca="1">VLOOKUP(A123,'3-Ruimtestaat'!B:D,3,FALSE)</f>
        <v>Oostlijn bovengronds</v>
      </c>
      <c r="E123" s="152"/>
      <c r="F123" s="153" t="s">
        <v>195</v>
      </c>
      <c r="G123" s="154" t="s">
        <v>347</v>
      </c>
      <c r="H123" s="153" t="s">
        <v>171</v>
      </c>
      <c r="I123" s="282">
        <v>15.4</v>
      </c>
    </row>
    <row r="124" spans="1:9">
      <c r="A124" s="281">
        <v>111</v>
      </c>
      <c r="B124" s="149" t="s">
        <v>68</v>
      </c>
      <c r="C124" s="309">
        <f>VLOOKUP(A124,'2-Kosten per locatie'!$A$13:$C$88,3,FALSE)</f>
        <v>2</v>
      </c>
      <c r="D124" s="411" t="str">
        <f ca="1">VLOOKUP(A124,'3-Ruimtestaat'!B:D,3,FALSE)</f>
        <v>Oostlijn bovengronds</v>
      </c>
      <c r="E124" s="152"/>
      <c r="F124" s="153" t="s">
        <v>354</v>
      </c>
      <c r="G124" s="154" t="s">
        <v>355</v>
      </c>
      <c r="H124" s="153" t="s">
        <v>171</v>
      </c>
      <c r="I124" s="282">
        <v>13.4</v>
      </c>
    </row>
    <row r="125" spans="1:9">
      <c r="A125" s="281">
        <v>111</v>
      </c>
      <c r="B125" s="149" t="s">
        <v>68</v>
      </c>
      <c r="C125" s="309">
        <f>VLOOKUP(A125,'2-Kosten per locatie'!$A$13:$C$88,3,FALSE)</f>
        <v>2</v>
      </c>
      <c r="D125" s="411" t="str">
        <f ca="1">VLOOKUP(A125,'3-Ruimtestaat'!B:D,3,FALSE)</f>
        <v>Oostlijn bovengronds</v>
      </c>
      <c r="E125" s="152"/>
      <c r="F125" s="153" t="s">
        <v>359</v>
      </c>
      <c r="G125" s="154"/>
      <c r="H125" s="153" t="s">
        <v>171</v>
      </c>
      <c r="I125" s="282">
        <v>13.690000000000001</v>
      </c>
    </row>
    <row r="126" spans="1:9">
      <c r="A126" s="281">
        <v>112</v>
      </c>
      <c r="B126" s="149" t="s">
        <v>69</v>
      </c>
      <c r="C126" s="309">
        <f>VLOOKUP(A126,'2-Kosten per locatie'!$A$13:$C$88,3,FALSE)</f>
        <v>2</v>
      </c>
      <c r="D126" s="411" t="str">
        <f ca="1">VLOOKUP(A126,'3-Ruimtestaat'!B:D,3,FALSE)</f>
        <v>Oostlijn bovengronds</v>
      </c>
      <c r="E126" s="152"/>
      <c r="F126" s="153" t="s">
        <v>360</v>
      </c>
      <c r="G126" s="154" t="s">
        <v>334</v>
      </c>
      <c r="H126" s="153" t="s">
        <v>171</v>
      </c>
      <c r="I126" s="282">
        <v>32</v>
      </c>
    </row>
    <row r="127" spans="1:9">
      <c r="A127" s="281">
        <v>112</v>
      </c>
      <c r="B127" s="149" t="s">
        <v>69</v>
      </c>
      <c r="C127" s="309">
        <f>VLOOKUP(A127,'2-Kosten per locatie'!$A$13:$C$88,3,FALSE)</f>
        <v>2</v>
      </c>
      <c r="D127" s="411" t="str">
        <f ca="1">VLOOKUP(A127,'3-Ruimtestaat'!B:D,3,FALSE)</f>
        <v>Oostlijn bovengronds</v>
      </c>
      <c r="E127" s="152"/>
      <c r="F127" s="153" t="s">
        <v>360</v>
      </c>
      <c r="G127" s="154" t="s">
        <v>336</v>
      </c>
      <c r="H127" s="153" t="s">
        <v>171</v>
      </c>
      <c r="I127" s="282">
        <v>27.08</v>
      </c>
    </row>
    <row r="128" spans="1:9">
      <c r="A128" s="281">
        <v>112</v>
      </c>
      <c r="B128" s="149" t="s">
        <v>69</v>
      </c>
      <c r="C128" s="309">
        <f>VLOOKUP(A128,'2-Kosten per locatie'!$A$13:$C$88,3,FALSE)</f>
        <v>2</v>
      </c>
      <c r="D128" s="411" t="str">
        <f ca="1">VLOOKUP(A128,'3-Ruimtestaat'!B:D,3,FALSE)</f>
        <v>Oostlijn bovengronds</v>
      </c>
      <c r="E128" s="152"/>
      <c r="F128" s="153" t="s">
        <v>361</v>
      </c>
      <c r="G128" s="154" t="s">
        <v>191</v>
      </c>
      <c r="H128" s="153" t="s">
        <v>159</v>
      </c>
      <c r="I128" s="282">
        <v>7.4</v>
      </c>
    </row>
    <row r="129" spans="1:9">
      <c r="A129" s="281">
        <v>112</v>
      </c>
      <c r="B129" s="149" t="s">
        <v>69</v>
      </c>
      <c r="C129" s="309">
        <f>VLOOKUP(A129,'2-Kosten per locatie'!$A$13:$C$88,3,FALSE)</f>
        <v>2</v>
      </c>
      <c r="D129" s="411" t="str">
        <f ca="1">VLOOKUP(A129,'3-Ruimtestaat'!B:D,3,FALSE)</f>
        <v>Oostlijn bovengronds</v>
      </c>
      <c r="E129" s="152"/>
      <c r="F129" s="153" t="s">
        <v>301</v>
      </c>
      <c r="G129" s="154" t="s">
        <v>192</v>
      </c>
      <c r="H129" s="153" t="s">
        <v>159</v>
      </c>
      <c r="I129" s="282">
        <v>3.9</v>
      </c>
    </row>
    <row r="130" spans="1:9">
      <c r="A130" s="281">
        <v>112</v>
      </c>
      <c r="B130" s="149" t="s">
        <v>69</v>
      </c>
      <c r="C130" s="309">
        <f>VLOOKUP(A130,'2-Kosten per locatie'!$A$13:$C$88,3,FALSE)</f>
        <v>2</v>
      </c>
      <c r="D130" s="411" t="str">
        <f ca="1">VLOOKUP(A130,'3-Ruimtestaat'!B:D,3,FALSE)</f>
        <v>Oostlijn bovengronds</v>
      </c>
      <c r="E130" s="152"/>
      <c r="F130" s="153" t="s">
        <v>193</v>
      </c>
      <c r="G130" s="154" t="s">
        <v>194</v>
      </c>
      <c r="H130" s="153" t="s">
        <v>171</v>
      </c>
      <c r="I130" s="282">
        <v>5</v>
      </c>
    </row>
    <row r="131" spans="1:9">
      <c r="A131" s="281">
        <v>112</v>
      </c>
      <c r="B131" s="149" t="s">
        <v>69</v>
      </c>
      <c r="C131" s="309">
        <f>VLOOKUP(A131,'2-Kosten per locatie'!$A$13:$C$88,3,FALSE)</f>
        <v>2</v>
      </c>
      <c r="D131" s="411" t="str">
        <f ca="1">VLOOKUP(A131,'3-Ruimtestaat'!B:D,3,FALSE)</f>
        <v>Oostlijn bovengronds</v>
      </c>
      <c r="E131" s="152"/>
      <c r="F131" s="153" t="s">
        <v>362</v>
      </c>
      <c r="G131" s="154" t="s">
        <v>196</v>
      </c>
      <c r="H131" s="153" t="s">
        <v>171</v>
      </c>
      <c r="I131" s="282">
        <v>8.6999999999999993</v>
      </c>
    </row>
    <row r="132" spans="1:9">
      <c r="A132" s="281">
        <v>112</v>
      </c>
      <c r="B132" s="149" t="s">
        <v>69</v>
      </c>
      <c r="C132" s="309">
        <f>VLOOKUP(A132,'2-Kosten per locatie'!$A$13:$C$88,3,FALSE)</f>
        <v>2</v>
      </c>
      <c r="D132" s="411" t="str">
        <f ca="1">VLOOKUP(A132,'3-Ruimtestaat'!B:D,3,FALSE)</f>
        <v>Oostlijn bovengronds</v>
      </c>
      <c r="E132" s="152"/>
      <c r="F132" s="153" t="s">
        <v>363</v>
      </c>
      <c r="G132" s="154" t="s">
        <v>364</v>
      </c>
      <c r="H132" s="153" t="s">
        <v>365</v>
      </c>
      <c r="I132" s="282">
        <v>15.9</v>
      </c>
    </row>
    <row r="133" spans="1:9">
      <c r="A133" s="281">
        <v>112</v>
      </c>
      <c r="B133" s="149" t="s">
        <v>69</v>
      </c>
      <c r="C133" s="309">
        <f>VLOOKUP(A133,'2-Kosten per locatie'!$A$13:$C$88,3,FALSE)</f>
        <v>2</v>
      </c>
      <c r="D133" s="411" t="str">
        <f ca="1">VLOOKUP(A133,'3-Ruimtestaat'!B:D,3,FALSE)</f>
        <v>Oostlijn bovengronds</v>
      </c>
      <c r="E133" s="152"/>
      <c r="F133" s="153" t="s">
        <v>195</v>
      </c>
      <c r="G133" s="154" t="s">
        <v>366</v>
      </c>
      <c r="H133" s="153" t="s">
        <v>367</v>
      </c>
      <c r="I133" s="282">
        <v>22.6</v>
      </c>
    </row>
    <row r="134" spans="1:9">
      <c r="A134" s="281">
        <v>112</v>
      </c>
      <c r="B134" s="149" t="s">
        <v>69</v>
      </c>
      <c r="C134" s="309">
        <f>VLOOKUP(A134,'2-Kosten per locatie'!$A$13:$C$88,3,FALSE)</f>
        <v>2</v>
      </c>
      <c r="D134" s="411" t="str">
        <f ca="1">VLOOKUP(A134,'3-Ruimtestaat'!B:D,3,FALSE)</f>
        <v>Oostlijn bovengronds</v>
      </c>
      <c r="E134" s="152"/>
      <c r="F134" s="153" t="s">
        <v>303</v>
      </c>
      <c r="G134" s="154" t="s">
        <v>198</v>
      </c>
      <c r="H134" s="153" t="s">
        <v>171</v>
      </c>
      <c r="I134" s="282">
        <v>6.8</v>
      </c>
    </row>
    <row r="135" spans="1:9">
      <c r="A135" s="281">
        <v>112</v>
      </c>
      <c r="B135" s="149" t="s">
        <v>69</v>
      </c>
      <c r="C135" s="309">
        <f>VLOOKUP(A135,'2-Kosten per locatie'!$A$13:$C$88,3,FALSE)</f>
        <v>2</v>
      </c>
      <c r="D135" s="411" t="str">
        <f ca="1">VLOOKUP(A135,'3-Ruimtestaat'!B:D,3,FALSE)</f>
        <v>Oostlijn bovengronds</v>
      </c>
      <c r="E135" s="152"/>
      <c r="F135" s="153" t="s">
        <v>197</v>
      </c>
      <c r="G135" s="154" t="s">
        <v>306</v>
      </c>
      <c r="H135" s="153" t="s">
        <v>171</v>
      </c>
      <c r="I135" s="282">
        <v>13</v>
      </c>
    </row>
    <row r="136" spans="1:9">
      <c r="A136" s="281">
        <v>112</v>
      </c>
      <c r="B136" s="149" t="s">
        <v>69</v>
      </c>
      <c r="C136" s="309">
        <f>VLOOKUP(A136,'2-Kosten per locatie'!$A$13:$C$88,3,FALSE)</f>
        <v>2</v>
      </c>
      <c r="D136" s="411" t="str">
        <f ca="1">VLOOKUP(A136,'3-Ruimtestaat'!B:D,3,FALSE)</f>
        <v>Oostlijn bovengronds</v>
      </c>
      <c r="E136" s="152"/>
      <c r="F136" s="153" t="s">
        <v>197</v>
      </c>
      <c r="G136" s="154" t="s">
        <v>308</v>
      </c>
      <c r="H136" s="153" t="s">
        <v>171</v>
      </c>
      <c r="I136" s="282">
        <v>9.6</v>
      </c>
    </row>
    <row r="137" spans="1:9">
      <c r="A137" s="281">
        <v>112</v>
      </c>
      <c r="B137" s="149" t="s">
        <v>69</v>
      </c>
      <c r="C137" s="309">
        <f>VLOOKUP(A137,'2-Kosten per locatie'!$A$13:$C$88,3,FALSE)</f>
        <v>2</v>
      </c>
      <c r="D137" s="411" t="str">
        <f ca="1">VLOOKUP(A137,'3-Ruimtestaat'!B:D,3,FALSE)</f>
        <v>Oostlijn bovengronds</v>
      </c>
      <c r="E137" s="152"/>
      <c r="F137" s="153" t="s">
        <v>199</v>
      </c>
      <c r="G137" s="154" t="s">
        <v>200</v>
      </c>
      <c r="H137" s="153" t="s">
        <v>171</v>
      </c>
      <c r="I137" s="282">
        <v>10.6</v>
      </c>
    </row>
    <row r="138" spans="1:9">
      <c r="A138" s="281">
        <v>112</v>
      </c>
      <c r="B138" s="149" t="s">
        <v>69</v>
      </c>
      <c r="C138" s="309">
        <f>VLOOKUP(A138,'2-Kosten per locatie'!$A$13:$C$88,3,FALSE)</f>
        <v>2</v>
      </c>
      <c r="D138" s="411" t="str">
        <f ca="1">VLOOKUP(A138,'3-Ruimtestaat'!B:D,3,FALSE)</f>
        <v>Oostlijn bovengronds</v>
      </c>
      <c r="E138" s="152"/>
      <c r="F138" s="153" t="s">
        <v>237</v>
      </c>
      <c r="G138" s="154" t="s">
        <v>309</v>
      </c>
      <c r="H138" s="153" t="s">
        <v>171</v>
      </c>
      <c r="I138" s="282">
        <v>14.1</v>
      </c>
    </row>
    <row r="139" spans="1:9">
      <c r="A139" s="281">
        <v>112</v>
      </c>
      <c r="B139" s="149" t="s">
        <v>69</v>
      </c>
      <c r="C139" s="309">
        <f>VLOOKUP(A139,'2-Kosten per locatie'!$A$13:$C$88,3,FALSE)</f>
        <v>2</v>
      </c>
      <c r="D139" s="411" t="str">
        <f ca="1">VLOOKUP(A139,'3-Ruimtestaat'!B:D,3,FALSE)</f>
        <v>Oostlijn bovengronds</v>
      </c>
      <c r="E139" s="152"/>
      <c r="F139" s="153" t="s">
        <v>212</v>
      </c>
      <c r="G139" s="154" t="s">
        <v>368</v>
      </c>
      <c r="H139" s="153" t="s">
        <v>171</v>
      </c>
      <c r="I139" s="282">
        <v>6.24</v>
      </c>
    </row>
    <row r="140" spans="1:9">
      <c r="A140" s="281">
        <v>112</v>
      </c>
      <c r="B140" s="149" t="s">
        <v>69</v>
      </c>
      <c r="C140" s="309">
        <f>VLOOKUP(A140,'2-Kosten per locatie'!$A$13:$C$88,3,FALSE)</f>
        <v>2</v>
      </c>
      <c r="D140" s="411" t="str">
        <f ca="1">VLOOKUP(A140,'3-Ruimtestaat'!B:D,3,FALSE)</f>
        <v>Oostlijn bovengronds</v>
      </c>
      <c r="E140" s="152"/>
      <c r="F140" s="153" t="s">
        <v>369</v>
      </c>
      <c r="G140" s="154" t="s">
        <v>259</v>
      </c>
      <c r="H140" s="153" t="s">
        <v>171</v>
      </c>
      <c r="I140" s="282">
        <v>2</v>
      </c>
    </row>
    <row r="141" spans="1:9">
      <c r="A141" s="281">
        <v>112</v>
      </c>
      <c r="B141" s="149" t="s">
        <v>69</v>
      </c>
      <c r="C141" s="309">
        <f>VLOOKUP(A141,'2-Kosten per locatie'!$A$13:$C$88,3,FALSE)</f>
        <v>2</v>
      </c>
      <c r="D141" s="411" t="str">
        <f ca="1">VLOOKUP(A141,'3-Ruimtestaat'!B:D,3,FALSE)</f>
        <v>Oostlijn bovengronds</v>
      </c>
      <c r="E141" s="152"/>
      <c r="F141" s="153" t="s">
        <v>369</v>
      </c>
      <c r="G141" s="154" t="s">
        <v>261</v>
      </c>
      <c r="H141" s="153" t="s">
        <v>171</v>
      </c>
      <c r="I141" s="282">
        <v>2</v>
      </c>
    </row>
    <row r="142" spans="1:9">
      <c r="A142" s="281">
        <v>112</v>
      </c>
      <c r="B142" s="149" t="s">
        <v>69</v>
      </c>
      <c r="C142" s="309">
        <f>VLOOKUP(A142,'2-Kosten per locatie'!$A$13:$C$88,3,FALSE)</f>
        <v>2</v>
      </c>
      <c r="D142" s="411" t="str">
        <f ca="1">VLOOKUP(A142,'3-Ruimtestaat'!B:D,3,FALSE)</f>
        <v>Oostlijn bovengronds</v>
      </c>
      <c r="E142" s="152"/>
      <c r="F142" s="153" t="s">
        <v>370</v>
      </c>
      <c r="G142" s="154" t="s">
        <v>263</v>
      </c>
      <c r="H142" s="153" t="s">
        <v>159</v>
      </c>
      <c r="I142" s="282">
        <v>5.8</v>
      </c>
    </row>
    <row r="143" spans="1:9">
      <c r="A143" s="281">
        <v>112</v>
      </c>
      <c r="B143" s="149" t="s">
        <v>69</v>
      </c>
      <c r="C143" s="309">
        <f>VLOOKUP(A143,'2-Kosten per locatie'!$A$13:$C$88,3,FALSE)</f>
        <v>2</v>
      </c>
      <c r="D143" s="411" t="str">
        <f ca="1">VLOOKUP(A143,'3-Ruimtestaat'!B:D,3,FALSE)</f>
        <v>Oostlijn bovengronds</v>
      </c>
      <c r="E143" s="152"/>
      <c r="F143" s="153" t="s">
        <v>372</v>
      </c>
      <c r="G143" s="154" t="s">
        <v>319</v>
      </c>
      <c r="H143" s="153" t="s">
        <v>214</v>
      </c>
      <c r="I143" s="282">
        <v>5.8</v>
      </c>
    </row>
    <row r="144" spans="1:9">
      <c r="A144" s="281">
        <v>112</v>
      </c>
      <c r="B144" s="149" t="s">
        <v>69</v>
      </c>
      <c r="C144" s="309">
        <f>VLOOKUP(A144,'2-Kosten per locatie'!$A$13:$C$88,3,FALSE)</f>
        <v>2</v>
      </c>
      <c r="D144" s="411" t="str">
        <f ca="1">VLOOKUP(A144,'3-Ruimtestaat'!B:D,3,FALSE)</f>
        <v>Oostlijn bovengronds</v>
      </c>
      <c r="E144" s="152"/>
      <c r="F144" s="153" t="s">
        <v>375</v>
      </c>
      <c r="G144" s="154" t="s">
        <v>326</v>
      </c>
      <c r="H144" s="153" t="s">
        <v>171</v>
      </c>
      <c r="I144" s="282">
        <v>10.4</v>
      </c>
    </row>
    <row r="145" spans="1:9">
      <c r="A145" s="281">
        <v>112</v>
      </c>
      <c r="B145" s="149" t="s">
        <v>69</v>
      </c>
      <c r="C145" s="309">
        <f>VLOOKUP(A145,'2-Kosten per locatie'!$A$13:$C$88,3,FALSE)</f>
        <v>2</v>
      </c>
      <c r="D145" s="411" t="str">
        <f ca="1">VLOOKUP(A145,'3-Ruimtestaat'!B:D,3,FALSE)</f>
        <v>Oostlijn bovengronds</v>
      </c>
      <c r="E145" s="152"/>
      <c r="F145" s="153" t="s">
        <v>248</v>
      </c>
      <c r="G145" s="154" t="s">
        <v>213</v>
      </c>
      <c r="H145" s="153" t="s">
        <v>171</v>
      </c>
      <c r="I145" s="282">
        <v>20.7</v>
      </c>
    </row>
    <row r="146" spans="1:9">
      <c r="A146" s="281">
        <v>112</v>
      </c>
      <c r="B146" s="149" t="s">
        <v>69</v>
      </c>
      <c r="C146" s="309">
        <f>VLOOKUP(A146,'2-Kosten per locatie'!$A$13:$C$88,3,FALSE)</f>
        <v>2</v>
      </c>
      <c r="D146" s="411" t="str">
        <f ca="1">VLOOKUP(A146,'3-Ruimtestaat'!B:D,3,FALSE)</f>
        <v>Oostlijn bovengronds</v>
      </c>
      <c r="E146" s="152"/>
      <c r="F146" s="153" t="s">
        <v>378</v>
      </c>
      <c r="G146" s="154" t="s">
        <v>341</v>
      </c>
      <c r="H146" s="153" t="s">
        <v>162</v>
      </c>
      <c r="I146" s="282">
        <v>5.5</v>
      </c>
    </row>
    <row r="147" spans="1:9">
      <c r="A147" s="281">
        <v>112</v>
      </c>
      <c r="B147" s="149" t="s">
        <v>69</v>
      </c>
      <c r="C147" s="309">
        <f>VLOOKUP(A147,'2-Kosten per locatie'!$A$13:$C$88,3,FALSE)</f>
        <v>2</v>
      </c>
      <c r="D147" s="411" t="str">
        <f ca="1">VLOOKUP(A147,'3-Ruimtestaat'!B:D,3,FALSE)</f>
        <v>Oostlijn bovengronds</v>
      </c>
      <c r="E147" s="152"/>
      <c r="F147" s="153" t="s">
        <v>379</v>
      </c>
      <c r="G147" s="154" t="s">
        <v>380</v>
      </c>
      <c r="H147" s="153" t="s">
        <v>171</v>
      </c>
      <c r="I147" s="282">
        <v>13.9</v>
      </c>
    </row>
    <row r="148" spans="1:9">
      <c r="A148" s="281">
        <v>112</v>
      </c>
      <c r="B148" s="149" t="s">
        <v>69</v>
      </c>
      <c r="C148" s="309">
        <f>VLOOKUP(A148,'2-Kosten per locatie'!$A$13:$C$88,3,FALSE)</f>
        <v>2</v>
      </c>
      <c r="D148" s="411" t="str">
        <f ca="1">VLOOKUP(A148,'3-Ruimtestaat'!B:D,3,FALSE)</f>
        <v>Oostlijn bovengronds</v>
      </c>
      <c r="E148" s="152"/>
      <c r="F148" s="153" t="s">
        <v>381</v>
      </c>
      <c r="G148" s="154" t="s">
        <v>382</v>
      </c>
      <c r="H148" s="153" t="s">
        <v>162</v>
      </c>
      <c r="I148" s="282">
        <v>29.8</v>
      </c>
    </row>
    <row r="149" spans="1:9">
      <c r="A149" s="281">
        <v>112</v>
      </c>
      <c r="B149" s="149" t="s">
        <v>69</v>
      </c>
      <c r="C149" s="309">
        <f>VLOOKUP(A149,'2-Kosten per locatie'!$A$13:$C$88,3,FALSE)</f>
        <v>2</v>
      </c>
      <c r="D149" s="411" t="str">
        <f ca="1">VLOOKUP(A149,'3-Ruimtestaat'!B:D,3,FALSE)</f>
        <v>Oostlijn bovengronds</v>
      </c>
      <c r="E149" s="152"/>
      <c r="F149" s="153" t="s">
        <v>383</v>
      </c>
      <c r="G149" s="154" t="s">
        <v>331</v>
      </c>
      <c r="H149" s="153" t="s">
        <v>171</v>
      </c>
      <c r="I149" s="282">
        <v>31.36</v>
      </c>
    </row>
    <row r="150" spans="1:9">
      <c r="A150" s="281">
        <v>112</v>
      </c>
      <c r="B150" s="149" t="s">
        <v>69</v>
      </c>
      <c r="C150" s="309">
        <f>VLOOKUP(A150,'2-Kosten per locatie'!$A$13:$C$88,3,FALSE)</f>
        <v>2</v>
      </c>
      <c r="D150" s="411" t="str">
        <f ca="1">VLOOKUP(A150,'3-Ruimtestaat'!B:D,3,FALSE)</f>
        <v>Oostlijn bovengronds</v>
      </c>
      <c r="E150" s="152"/>
      <c r="F150" s="153" t="s">
        <v>384</v>
      </c>
      <c r="G150" s="154" t="s">
        <v>332</v>
      </c>
      <c r="H150" s="153" t="s">
        <v>171</v>
      </c>
      <c r="I150" s="282">
        <v>34.200000000000003</v>
      </c>
    </row>
    <row r="151" spans="1:9">
      <c r="A151" s="281">
        <v>112</v>
      </c>
      <c r="B151" s="149" t="s">
        <v>69</v>
      </c>
      <c r="C151" s="309">
        <f>VLOOKUP(A151,'2-Kosten per locatie'!$A$13:$C$88,3,FALSE)</f>
        <v>2</v>
      </c>
      <c r="D151" s="411" t="str">
        <f ca="1">VLOOKUP(A151,'3-Ruimtestaat'!B:D,3,FALSE)</f>
        <v>Oostlijn bovengronds</v>
      </c>
      <c r="E151" s="152"/>
      <c r="F151" s="153" t="s">
        <v>385</v>
      </c>
      <c r="G151" s="154" t="s">
        <v>386</v>
      </c>
      <c r="H151" s="153" t="s">
        <v>162</v>
      </c>
      <c r="I151" s="282">
        <v>10.76</v>
      </c>
    </row>
    <row r="152" spans="1:9">
      <c r="A152" s="281">
        <v>113</v>
      </c>
      <c r="B152" s="149" t="s">
        <v>70</v>
      </c>
      <c r="C152" s="309">
        <f>VLOOKUP(A152,'2-Kosten per locatie'!$A$13:$C$88,3,FALSE)</f>
        <v>2</v>
      </c>
      <c r="D152" s="411" t="str">
        <f ca="1">VLOOKUP(A152,'3-Ruimtestaat'!B:D,3,FALSE)</f>
        <v>Oostlijn bovengronds</v>
      </c>
      <c r="E152" s="152"/>
      <c r="F152" s="153" t="s">
        <v>301</v>
      </c>
      <c r="G152" s="154" t="s">
        <v>192</v>
      </c>
      <c r="H152" s="153" t="s">
        <v>171</v>
      </c>
      <c r="I152" s="282">
        <v>4.2</v>
      </c>
    </row>
    <row r="153" spans="1:9">
      <c r="A153" s="281">
        <v>113</v>
      </c>
      <c r="B153" s="149" t="s">
        <v>70</v>
      </c>
      <c r="C153" s="309">
        <f>VLOOKUP(A153,'2-Kosten per locatie'!$A$13:$C$88,3,FALSE)</f>
        <v>2</v>
      </c>
      <c r="D153" s="411" t="str">
        <f ca="1">VLOOKUP(A153,'3-Ruimtestaat'!B:D,3,FALSE)</f>
        <v>Oostlijn bovengronds</v>
      </c>
      <c r="E153" s="152"/>
      <c r="F153" s="153" t="s">
        <v>190</v>
      </c>
      <c r="G153" s="154" t="s">
        <v>194</v>
      </c>
      <c r="H153" s="153" t="s">
        <v>171</v>
      </c>
      <c r="I153" s="282">
        <v>29.76</v>
      </c>
    </row>
    <row r="154" spans="1:9">
      <c r="A154" s="281">
        <v>113</v>
      </c>
      <c r="B154" s="149" t="s">
        <v>70</v>
      </c>
      <c r="C154" s="309">
        <f>VLOOKUP(A154,'2-Kosten per locatie'!$A$13:$C$88,3,FALSE)</f>
        <v>2</v>
      </c>
      <c r="D154" s="411" t="str">
        <f ca="1">VLOOKUP(A154,'3-Ruimtestaat'!B:D,3,FALSE)</f>
        <v>Oostlijn bovengronds</v>
      </c>
      <c r="E154" s="152"/>
      <c r="F154" s="153" t="s">
        <v>302</v>
      </c>
      <c r="G154" s="154" t="s">
        <v>253</v>
      </c>
      <c r="H154" s="153" t="s">
        <v>171</v>
      </c>
      <c r="I154" s="282">
        <v>32.6</v>
      </c>
    </row>
    <row r="155" spans="1:9">
      <c r="A155" s="281">
        <v>113</v>
      </c>
      <c r="B155" s="149" t="s">
        <v>70</v>
      </c>
      <c r="C155" s="309">
        <f>VLOOKUP(A155,'2-Kosten per locatie'!$A$13:$C$88,3,FALSE)</f>
        <v>2</v>
      </c>
      <c r="D155" s="411" t="str">
        <f ca="1">VLOOKUP(A155,'3-Ruimtestaat'!B:D,3,FALSE)</f>
        <v>Oostlijn bovengronds</v>
      </c>
      <c r="E155" s="152"/>
      <c r="F155" s="153" t="s">
        <v>254</v>
      </c>
      <c r="G155" s="154" t="s">
        <v>196</v>
      </c>
      <c r="H155" s="153" t="s">
        <v>171</v>
      </c>
      <c r="I155" s="282">
        <v>10.6</v>
      </c>
    </row>
    <row r="156" spans="1:9">
      <c r="A156" s="281">
        <v>113</v>
      </c>
      <c r="B156" s="149" t="s">
        <v>70</v>
      </c>
      <c r="C156" s="309">
        <f>VLOOKUP(A156,'2-Kosten per locatie'!$A$13:$C$88,3,FALSE)</f>
        <v>2</v>
      </c>
      <c r="D156" s="411" t="str">
        <f ca="1">VLOOKUP(A156,'3-Ruimtestaat'!B:D,3,FALSE)</f>
        <v>Oostlijn bovengronds</v>
      </c>
      <c r="E156" s="152"/>
      <c r="F156" s="153" t="s">
        <v>303</v>
      </c>
      <c r="G156" s="154" t="s">
        <v>198</v>
      </c>
      <c r="H156" s="153" t="s">
        <v>171</v>
      </c>
      <c r="I156" s="282">
        <v>7</v>
      </c>
    </row>
    <row r="157" spans="1:9">
      <c r="A157" s="281">
        <v>113</v>
      </c>
      <c r="B157" s="149" t="s">
        <v>70</v>
      </c>
      <c r="C157" s="309">
        <f>VLOOKUP(A157,'2-Kosten per locatie'!$A$13:$C$88,3,FALSE)</f>
        <v>2</v>
      </c>
      <c r="D157" s="411" t="str">
        <f ca="1">VLOOKUP(A157,'3-Ruimtestaat'!B:D,3,FALSE)</f>
        <v>Oostlijn bovengronds</v>
      </c>
      <c r="E157" s="152"/>
      <c r="F157" s="153" t="s">
        <v>305</v>
      </c>
      <c r="G157" s="154" t="s">
        <v>306</v>
      </c>
      <c r="H157" s="153" t="s">
        <v>171</v>
      </c>
      <c r="I157" s="282">
        <v>13.1</v>
      </c>
    </row>
    <row r="158" spans="1:9">
      <c r="A158" s="281">
        <v>113</v>
      </c>
      <c r="B158" s="149" t="s">
        <v>70</v>
      </c>
      <c r="C158" s="309">
        <f>VLOOKUP(A158,'2-Kosten per locatie'!$A$13:$C$88,3,FALSE)</f>
        <v>2</v>
      </c>
      <c r="D158" s="411" t="str">
        <f ca="1">VLOOKUP(A158,'3-Ruimtestaat'!B:D,3,FALSE)</f>
        <v>Oostlijn bovengronds</v>
      </c>
      <c r="E158" s="152"/>
      <c r="F158" s="153" t="s">
        <v>307</v>
      </c>
      <c r="G158" s="154" t="s">
        <v>308</v>
      </c>
      <c r="H158" s="153" t="s">
        <v>171</v>
      </c>
      <c r="I158" s="282">
        <v>9.4</v>
      </c>
    </row>
    <row r="159" spans="1:9">
      <c r="A159" s="281">
        <v>113</v>
      </c>
      <c r="B159" s="149" t="s">
        <v>70</v>
      </c>
      <c r="C159" s="309">
        <f>VLOOKUP(A159,'2-Kosten per locatie'!$A$13:$C$88,3,FALSE)</f>
        <v>2</v>
      </c>
      <c r="D159" s="411" t="str">
        <f ca="1">VLOOKUP(A159,'3-Ruimtestaat'!B:D,3,FALSE)</f>
        <v>Oostlijn bovengronds</v>
      </c>
      <c r="E159" s="152"/>
      <c r="F159" s="153" t="s">
        <v>199</v>
      </c>
      <c r="G159" s="154" t="s">
        <v>200</v>
      </c>
      <c r="H159" s="153" t="s">
        <v>171</v>
      </c>
      <c r="I159" s="282">
        <v>15.2</v>
      </c>
    </row>
    <row r="160" spans="1:9">
      <c r="A160" s="281">
        <v>113</v>
      </c>
      <c r="B160" s="149" t="s">
        <v>70</v>
      </c>
      <c r="C160" s="309">
        <f>VLOOKUP(A160,'2-Kosten per locatie'!$A$13:$C$88,3,FALSE)</f>
        <v>2</v>
      </c>
      <c r="D160" s="411" t="str">
        <f ca="1">VLOOKUP(A160,'3-Ruimtestaat'!B:D,3,FALSE)</f>
        <v>Oostlijn bovengronds</v>
      </c>
      <c r="E160" s="152"/>
      <c r="F160" s="153" t="s">
        <v>237</v>
      </c>
      <c r="G160" s="154" t="s">
        <v>202</v>
      </c>
      <c r="H160" s="153" t="s">
        <v>171</v>
      </c>
      <c r="I160" s="282">
        <v>19.64</v>
      </c>
    </row>
    <row r="161" spans="1:9">
      <c r="A161" s="281">
        <v>113</v>
      </c>
      <c r="B161" s="149" t="s">
        <v>70</v>
      </c>
      <c r="C161" s="309">
        <f>VLOOKUP(A161,'2-Kosten per locatie'!$A$13:$C$88,3,FALSE)</f>
        <v>2</v>
      </c>
      <c r="D161" s="411" t="str">
        <f ca="1">VLOOKUP(A161,'3-Ruimtestaat'!B:D,3,FALSE)</f>
        <v>Oostlijn bovengronds</v>
      </c>
      <c r="E161" s="152"/>
      <c r="F161" s="153" t="s">
        <v>313</v>
      </c>
      <c r="G161" s="154" t="s">
        <v>259</v>
      </c>
      <c r="H161" s="153" t="s">
        <v>159</v>
      </c>
      <c r="I161" s="282">
        <v>2.2000000000000002</v>
      </c>
    </row>
    <row r="162" spans="1:9">
      <c r="A162" s="281">
        <v>113</v>
      </c>
      <c r="B162" s="149" t="s">
        <v>70</v>
      </c>
      <c r="C162" s="309">
        <f>VLOOKUP(A162,'2-Kosten per locatie'!$A$13:$C$88,3,FALSE)</f>
        <v>2</v>
      </c>
      <c r="D162" s="411" t="str">
        <f ca="1">VLOOKUP(A162,'3-Ruimtestaat'!B:D,3,FALSE)</f>
        <v>Oostlijn bovengronds</v>
      </c>
      <c r="E162" s="152"/>
      <c r="F162" s="153" t="s">
        <v>313</v>
      </c>
      <c r="G162" s="154" t="s">
        <v>261</v>
      </c>
      <c r="H162" s="153" t="s">
        <v>171</v>
      </c>
      <c r="I162" s="282">
        <v>2.2000000000000002</v>
      </c>
    </row>
    <row r="163" spans="1:9">
      <c r="A163" s="281">
        <v>113</v>
      </c>
      <c r="B163" s="149" t="s">
        <v>70</v>
      </c>
      <c r="C163" s="309">
        <f>VLOOKUP(A163,'2-Kosten per locatie'!$A$13:$C$88,3,FALSE)</f>
        <v>2</v>
      </c>
      <c r="D163" s="411" t="str">
        <f ca="1">VLOOKUP(A163,'3-Ruimtestaat'!B:D,3,FALSE)</f>
        <v>Oostlijn bovengronds</v>
      </c>
      <c r="E163" s="152"/>
      <c r="F163" s="153" t="s">
        <v>183</v>
      </c>
      <c r="G163" s="154" t="s">
        <v>263</v>
      </c>
      <c r="H163" s="153" t="s">
        <v>159</v>
      </c>
      <c r="I163" s="282">
        <v>7.8</v>
      </c>
    </row>
    <row r="164" spans="1:9">
      <c r="A164" s="281">
        <v>113</v>
      </c>
      <c r="B164" s="149" t="s">
        <v>70</v>
      </c>
      <c r="C164" s="309">
        <f>VLOOKUP(A164,'2-Kosten per locatie'!$A$13:$C$88,3,FALSE)</f>
        <v>2</v>
      </c>
      <c r="D164" s="411" t="str">
        <f ca="1">VLOOKUP(A164,'3-Ruimtestaat'!B:D,3,FALSE)</f>
        <v>Oostlijn bovengronds</v>
      </c>
      <c r="E164" s="152"/>
      <c r="F164" s="153" t="s">
        <v>183</v>
      </c>
      <c r="G164" s="154" t="s">
        <v>319</v>
      </c>
      <c r="H164" s="153" t="s">
        <v>214</v>
      </c>
      <c r="I164" s="282">
        <v>7.25</v>
      </c>
    </row>
    <row r="165" spans="1:9">
      <c r="A165" s="281">
        <v>113</v>
      </c>
      <c r="B165" s="149" t="s">
        <v>70</v>
      </c>
      <c r="C165" s="309">
        <f>VLOOKUP(A165,'2-Kosten per locatie'!$A$13:$C$88,3,FALSE)</f>
        <v>2</v>
      </c>
      <c r="D165" s="411" t="str">
        <f ca="1">VLOOKUP(A165,'3-Ruimtestaat'!B:D,3,FALSE)</f>
        <v>Oostlijn bovengronds</v>
      </c>
      <c r="E165" s="152"/>
      <c r="F165" s="153" t="s">
        <v>325</v>
      </c>
      <c r="G165" s="154" t="s">
        <v>326</v>
      </c>
      <c r="H165" s="153" t="s">
        <v>171</v>
      </c>
      <c r="I165" s="282">
        <v>10.4</v>
      </c>
    </row>
    <row r="166" spans="1:9">
      <c r="A166" s="281">
        <v>113</v>
      </c>
      <c r="B166" s="149" t="s">
        <v>70</v>
      </c>
      <c r="C166" s="309">
        <f>VLOOKUP(A166,'2-Kosten per locatie'!$A$13:$C$88,3,FALSE)</f>
        <v>2</v>
      </c>
      <c r="D166" s="411" t="str">
        <f ca="1">VLOOKUP(A166,'3-Ruimtestaat'!B:D,3,FALSE)</f>
        <v>Oostlijn bovengronds</v>
      </c>
      <c r="E166" s="152"/>
      <c r="F166" s="153" t="s">
        <v>248</v>
      </c>
      <c r="G166" s="154" t="s">
        <v>213</v>
      </c>
      <c r="H166" s="153" t="s">
        <v>171</v>
      </c>
      <c r="I166" s="282">
        <v>20.7</v>
      </c>
    </row>
    <row r="167" spans="1:9">
      <c r="A167" s="281">
        <v>113</v>
      </c>
      <c r="B167" s="149" t="s">
        <v>70</v>
      </c>
      <c r="C167" s="309">
        <f>VLOOKUP(A167,'2-Kosten per locatie'!$A$13:$C$88,3,FALSE)</f>
        <v>2</v>
      </c>
      <c r="D167" s="411" t="str">
        <f ca="1">VLOOKUP(A167,'3-Ruimtestaat'!B:D,3,FALSE)</f>
        <v>Oostlijn bovengronds</v>
      </c>
      <c r="E167" s="152"/>
      <c r="F167" s="153" t="s">
        <v>212</v>
      </c>
      <c r="G167" s="154" t="s">
        <v>328</v>
      </c>
      <c r="H167" s="153" t="s">
        <v>171</v>
      </c>
      <c r="I167" s="282">
        <v>9.4</v>
      </c>
    </row>
    <row r="168" spans="1:9">
      <c r="A168" s="281">
        <v>113</v>
      </c>
      <c r="B168" s="149" t="s">
        <v>70</v>
      </c>
      <c r="C168" s="309">
        <f>VLOOKUP(A168,'2-Kosten per locatie'!$A$13:$C$88,3,FALSE)</f>
        <v>2</v>
      </c>
      <c r="D168" s="411" t="str">
        <f ca="1">VLOOKUP(A168,'3-Ruimtestaat'!B:D,3,FALSE)</f>
        <v>Oostlijn bovengronds</v>
      </c>
      <c r="E168" s="152"/>
      <c r="F168" s="153" t="s">
        <v>330</v>
      </c>
      <c r="G168" s="154" t="s">
        <v>331</v>
      </c>
      <c r="H168" s="153" t="s">
        <v>171</v>
      </c>
      <c r="I168" s="282">
        <v>46.17</v>
      </c>
    </row>
    <row r="169" spans="1:9">
      <c r="A169" s="281">
        <v>113</v>
      </c>
      <c r="B169" s="149" t="s">
        <v>70</v>
      </c>
      <c r="C169" s="309">
        <f>VLOOKUP(A169,'2-Kosten per locatie'!$A$13:$C$88,3,FALSE)</f>
        <v>2</v>
      </c>
      <c r="D169" s="411" t="str">
        <f ca="1">VLOOKUP(A169,'3-Ruimtestaat'!B:D,3,FALSE)</f>
        <v>Oostlijn bovengronds</v>
      </c>
      <c r="E169" s="152"/>
      <c r="F169" s="153" t="s">
        <v>330</v>
      </c>
      <c r="G169" s="154" t="s">
        <v>332</v>
      </c>
      <c r="H169" s="153" t="s">
        <v>171</v>
      </c>
      <c r="I169" s="282">
        <v>47.88</v>
      </c>
    </row>
    <row r="170" spans="1:9">
      <c r="A170" s="281">
        <v>113</v>
      </c>
      <c r="B170" s="149" t="s">
        <v>70</v>
      </c>
      <c r="C170" s="309">
        <f>VLOOKUP(A170,'2-Kosten per locatie'!$A$13:$C$88,3,FALSE)</f>
        <v>2</v>
      </c>
      <c r="D170" s="411" t="str">
        <f ca="1">VLOOKUP(A170,'3-Ruimtestaat'!B:D,3,FALSE)</f>
        <v>Oostlijn bovengronds</v>
      </c>
      <c r="E170" s="152"/>
      <c r="F170" s="153" t="s">
        <v>333</v>
      </c>
      <c r="G170" s="154" t="s">
        <v>334</v>
      </c>
      <c r="H170" s="153" t="s">
        <v>159</v>
      </c>
      <c r="I170" s="282">
        <v>46.25</v>
      </c>
    </row>
    <row r="171" spans="1:9">
      <c r="A171" s="281">
        <v>113</v>
      </c>
      <c r="B171" s="149" t="s">
        <v>70</v>
      </c>
      <c r="C171" s="309">
        <f>VLOOKUP(A171,'2-Kosten per locatie'!$A$13:$C$88,3,FALSE)</f>
        <v>2</v>
      </c>
      <c r="D171" s="411" t="str">
        <f ca="1">VLOOKUP(A171,'3-Ruimtestaat'!B:D,3,FALSE)</f>
        <v>Oostlijn bovengronds</v>
      </c>
      <c r="E171" s="152"/>
      <c r="F171" s="153" t="s">
        <v>333</v>
      </c>
      <c r="G171" s="154" t="s">
        <v>336</v>
      </c>
      <c r="H171" s="153" t="s">
        <v>171</v>
      </c>
      <c r="I171" s="282">
        <v>42.01</v>
      </c>
    </row>
    <row r="172" spans="1:9">
      <c r="A172" s="281">
        <v>114</v>
      </c>
      <c r="B172" s="149" t="s">
        <v>71</v>
      </c>
      <c r="C172" s="309">
        <f>VLOOKUP(A172,'2-Kosten per locatie'!$A$13:$C$88,3,FALSE)</f>
        <v>2</v>
      </c>
      <c r="D172" s="411" t="str">
        <f ca="1">VLOOKUP(A172,'3-Ruimtestaat'!B:D,3,FALSE)</f>
        <v>Oostlijn bovengronds</v>
      </c>
      <c r="E172" s="152"/>
      <c r="F172" s="153" t="s">
        <v>398</v>
      </c>
      <c r="G172" s="154" t="s">
        <v>194</v>
      </c>
      <c r="H172" s="153" t="s">
        <v>159</v>
      </c>
      <c r="I172" s="282">
        <v>8.7799999999999994</v>
      </c>
    </row>
    <row r="173" spans="1:9">
      <c r="A173" s="281">
        <v>114</v>
      </c>
      <c r="B173" s="149" t="s">
        <v>71</v>
      </c>
      <c r="C173" s="309">
        <f>VLOOKUP(A173,'2-Kosten per locatie'!$A$13:$C$88,3,FALSE)</f>
        <v>2</v>
      </c>
      <c r="D173" s="411" t="str">
        <f ca="1">VLOOKUP(A173,'3-Ruimtestaat'!B:D,3,FALSE)</f>
        <v>Oostlijn bovengronds</v>
      </c>
      <c r="E173" s="152"/>
      <c r="F173" s="153" t="s">
        <v>398</v>
      </c>
      <c r="G173" s="154" t="s">
        <v>400</v>
      </c>
      <c r="H173" s="153" t="s">
        <v>159</v>
      </c>
      <c r="I173" s="282">
        <v>13.81</v>
      </c>
    </row>
    <row r="174" spans="1:9">
      <c r="A174" s="281">
        <v>114</v>
      </c>
      <c r="B174" s="149" t="s">
        <v>71</v>
      </c>
      <c r="C174" s="309">
        <f>VLOOKUP(A174,'2-Kosten per locatie'!$A$13:$C$88,3,FALSE)</f>
        <v>2</v>
      </c>
      <c r="D174" s="411" t="str">
        <f ca="1">VLOOKUP(A174,'3-Ruimtestaat'!B:D,3,FALSE)</f>
        <v>Oostlijn bovengronds</v>
      </c>
      <c r="E174" s="152"/>
      <c r="F174" s="153" t="s">
        <v>401</v>
      </c>
      <c r="G174" s="154" t="s">
        <v>402</v>
      </c>
      <c r="H174" s="153" t="s">
        <v>222</v>
      </c>
      <c r="I174" s="282">
        <v>2.42</v>
      </c>
    </row>
    <row r="175" spans="1:9">
      <c r="A175" s="281">
        <v>114</v>
      </c>
      <c r="B175" s="149" t="s">
        <v>71</v>
      </c>
      <c r="C175" s="309">
        <f>VLOOKUP(A175,'2-Kosten per locatie'!$A$13:$C$88,3,FALSE)</f>
        <v>2</v>
      </c>
      <c r="D175" s="411" t="str">
        <f ca="1">VLOOKUP(A175,'3-Ruimtestaat'!B:D,3,FALSE)</f>
        <v>Oostlijn bovengronds</v>
      </c>
      <c r="E175" s="152"/>
      <c r="F175" s="153" t="s">
        <v>403</v>
      </c>
      <c r="G175" s="154" t="s">
        <v>404</v>
      </c>
      <c r="H175" s="153" t="s">
        <v>405</v>
      </c>
      <c r="I175" s="282">
        <v>40.619999999999997</v>
      </c>
    </row>
    <row r="176" spans="1:9">
      <c r="A176" s="281">
        <v>114</v>
      </c>
      <c r="B176" s="149" t="s">
        <v>71</v>
      </c>
      <c r="C176" s="309">
        <f>VLOOKUP(A176,'2-Kosten per locatie'!$A$13:$C$88,3,FALSE)</f>
        <v>2</v>
      </c>
      <c r="D176" s="411" t="str">
        <f ca="1">VLOOKUP(A176,'3-Ruimtestaat'!B:D,3,FALSE)</f>
        <v>Oostlijn bovengronds</v>
      </c>
      <c r="E176" s="152"/>
      <c r="F176" s="153" t="s">
        <v>406</v>
      </c>
      <c r="G176" s="154" t="s">
        <v>407</v>
      </c>
      <c r="H176" s="153" t="s">
        <v>405</v>
      </c>
      <c r="I176" s="282">
        <v>34.79</v>
      </c>
    </row>
    <row r="177" spans="1:9">
      <c r="A177" s="281">
        <v>114</v>
      </c>
      <c r="B177" s="149" t="s">
        <v>71</v>
      </c>
      <c r="C177" s="309">
        <f>VLOOKUP(A177,'2-Kosten per locatie'!$A$13:$C$88,3,FALSE)</f>
        <v>2</v>
      </c>
      <c r="D177" s="411" t="str">
        <f ca="1">VLOOKUP(A177,'3-Ruimtestaat'!B:D,3,FALSE)</f>
        <v>Oostlijn bovengronds</v>
      </c>
      <c r="E177" s="152"/>
      <c r="F177" s="153" t="s">
        <v>195</v>
      </c>
      <c r="G177" s="154" t="s">
        <v>196</v>
      </c>
      <c r="H177" s="153" t="s">
        <v>159</v>
      </c>
      <c r="I177" s="282">
        <v>17.68</v>
      </c>
    </row>
    <row r="178" spans="1:9">
      <c r="A178" s="281">
        <v>114</v>
      </c>
      <c r="B178" s="149" t="s">
        <v>71</v>
      </c>
      <c r="C178" s="309">
        <f>VLOOKUP(A178,'2-Kosten per locatie'!$A$13:$C$88,3,FALSE)</f>
        <v>2</v>
      </c>
      <c r="D178" s="411" t="str">
        <f ca="1">VLOOKUP(A178,'3-Ruimtestaat'!B:D,3,FALSE)</f>
        <v>Oostlijn bovengronds</v>
      </c>
      <c r="E178" s="152"/>
      <c r="F178" s="153" t="s">
        <v>408</v>
      </c>
      <c r="G178" s="154" t="s">
        <v>364</v>
      </c>
      <c r="H178" s="153" t="s">
        <v>159</v>
      </c>
      <c r="I178" s="282">
        <v>8.16</v>
      </c>
    </row>
    <row r="179" spans="1:9">
      <c r="A179" s="281">
        <v>114</v>
      </c>
      <c r="B179" s="149" t="s">
        <v>71</v>
      </c>
      <c r="C179" s="309">
        <f>VLOOKUP(A179,'2-Kosten per locatie'!$A$13:$C$88,3,FALSE)</f>
        <v>2</v>
      </c>
      <c r="D179" s="411" t="str">
        <f ca="1">VLOOKUP(A179,'3-Ruimtestaat'!B:D,3,FALSE)</f>
        <v>Oostlijn bovengronds</v>
      </c>
      <c r="E179" s="152"/>
      <c r="F179" s="153" t="s">
        <v>410</v>
      </c>
      <c r="G179" s="154" t="s">
        <v>366</v>
      </c>
      <c r="H179" s="153" t="s">
        <v>162</v>
      </c>
      <c r="I179" s="282">
        <v>14.31</v>
      </c>
    </row>
    <row r="180" spans="1:9">
      <c r="A180" s="281">
        <v>114</v>
      </c>
      <c r="B180" s="149" t="s">
        <v>71</v>
      </c>
      <c r="C180" s="309">
        <f>VLOOKUP(A180,'2-Kosten per locatie'!$A$13:$C$88,3,FALSE)</f>
        <v>2</v>
      </c>
      <c r="D180" s="411" t="str">
        <f ca="1">VLOOKUP(A180,'3-Ruimtestaat'!B:D,3,FALSE)</f>
        <v>Oostlijn bovengronds</v>
      </c>
      <c r="E180" s="152"/>
      <c r="F180" s="153" t="s">
        <v>411</v>
      </c>
      <c r="G180" s="154" t="s">
        <v>198</v>
      </c>
      <c r="H180" s="153" t="s">
        <v>159</v>
      </c>
      <c r="I180" s="282">
        <v>14.9</v>
      </c>
    </row>
    <row r="181" spans="1:9">
      <c r="A181" s="281">
        <v>114</v>
      </c>
      <c r="B181" s="149" t="s">
        <v>71</v>
      </c>
      <c r="C181" s="309">
        <f>VLOOKUP(A181,'2-Kosten per locatie'!$A$13:$C$88,3,FALSE)</f>
        <v>2</v>
      </c>
      <c r="D181" s="411" t="str">
        <f ca="1">VLOOKUP(A181,'3-Ruimtestaat'!B:D,3,FALSE)</f>
        <v>Oostlijn bovengronds</v>
      </c>
      <c r="E181" s="152"/>
      <c r="F181" s="153" t="s">
        <v>197</v>
      </c>
      <c r="G181" s="154" t="s">
        <v>306</v>
      </c>
      <c r="H181" s="153" t="s">
        <v>159</v>
      </c>
      <c r="I181" s="282">
        <v>11.71</v>
      </c>
    </row>
    <row r="182" spans="1:9">
      <c r="A182" s="281">
        <v>114</v>
      </c>
      <c r="B182" s="149" t="s">
        <v>71</v>
      </c>
      <c r="C182" s="309">
        <f>VLOOKUP(A182,'2-Kosten per locatie'!$A$13:$C$88,3,FALSE)</f>
        <v>2</v>
      </c>
      <c r="D182" s="411" t="str">
        <f ca="1">VLOOKUP(A182,'3-Ruimtestaat'!B:D,3,FALSE)</f>
        <v>Oostlijn bovengronds</v>
      </c>
      <c r="E182" s="152"/>
      <c r="F182" s="153" t="s">
        <v>199</v>
      </c>
      <c r="G182" s="154" t="s">
        <v>200</v>
      </c>
      <c r="H182" s="153" t="s">
        <v>159</v>
      </c>
      <c r="I182" s="282">
        <v>21.55</v>
      </c>
    </row>
    <row r="183" spans="1:9">
      <c r="A183" s="281">
        <v>114</v>
      </c>
      <c r="B183" s="149" t="s">
        <v>71</v>
      </c>
      <c r="C183" s="309">
        <f>VLOOKUP(A183,'2-Kosten per locatie'!$A$13:$C$88,3,FALSE)</f>
        <v>2</v>
      </c>
      <c r="D183" s="411" t="str">
        <f ca="1">VLOOKUP(A183,'3-Ruimtestaat'!B:D,3,FALSE)</f>
        <v>Oostlijn bovengronds</v>
      </c>
      <c r="E183" s="152"/>
      <c r="F183" s="153" t="s">
        <v>412</v>
      </c>
      <c r="G183" s="154" t="s">
        <v>202</v>
      </c>
      <c r="H183" s="153" t="s">
        <v>162</v>
      </c>
      <c r="I183" s="282">
        <v>10.62</v>
      </c>
    </row>
    <row r="184" spans="1:9">
      <c r="A184" s="281">
        <v>114</v>
      </c>
      <c r="B184" s="149" t="s">
        <v>71</v>
      </c>
      <c r="C184" s="309">
        <f>VLOOKUP(A184,'2-Kosten per locatie'!$A$13:$C$88,3,FALSE)</f>
        <v>2</v>
      </c>
      <c r="D184" s="411" t="str">
        <f ca="1">VLOOKUP(A184,'3-Ruimtestaat'!B:D,3,FALSE)</f>
        <v>Oostlijn bovengronds</v>
      </c>
      <c r="E184" s="152"/>
      <c r="F184" s="153" t="s">
        <v>413</v>
      </c>
      <c r="G184" s="154" t="s">
        <v>309</v>
      </c>
      <c r="H184" s="153" t="s">
        <v>162</v>
      </c>
      <c r="I184" s="282">
        <v>24.6</v>
      </c>
    </row>
    <row r="185" spans="1:9">
      <c r="A185" s="281">
        <v>114</v>
      </c>
      <c r="B185" s="149" t="s">
        <v>71</v>
      </c>
      <c r="C185" s="309">
        <f>VLOOKUP(A185,'2-Kosten per locatie'!$A$13:$C$88,3,FALSE)</f>
        <v>2</v>
      </c>
      <c r="D185" s="411" t="str">
        <f ca="1">VLOOKUP(A185,'3-Ruimtestaat'!B:D,3,FALSE)</f>
        <v>Oostlijn bovengronds</v>
      </c>
      <c r="E185" s="152"/>
      <c r="F185" s="153" t="s">
        <v>237</v>
      </c>
      <c r="G185" s="154" t="s">
        <v>415</v>
      </c>
      <c r="H185" s="153" t="s">
        <v>159</v>
      </c>
      <c r="I185" s="282">
        <v>13.85</v>
      </c>
    </row>
    <row r="186" spans="1:9">
      <c r="A186" s="281">
        <v>114</v>
      </c>
      <c r="B186" s="149" t="s">
        <v>71</v>
      </c>
      <c r="C186" s="309">
        <f>VLOOKUP(A186,'2-Kosten per locatie'!$A$13:$C$88,3,FALSE)</f>
        <v>2</v>
      </c>
      <c r="D186" s="411" t="str">
        <f ca="1">VLOOKUP(A186,'3-Ruimtestaat'!B:D,3,FALSE)</f>
        <v>Oostlijn bovengronds</v>
      </c>
      <c r="E186" s="152"/>
      <c r="F186" s="153" t="s">
        <v>417</v>
      </c>
      <c r="G186" s="154" t="s">
        <v>259</v>
      </c>
      <c r="H186" s="153" t="s">
        <v>418</v>
      </c>
      <c r="I186" s="282">
        <v>6.53</v>
      </c>
    </row>
    <row r="187" spans="1:9">
      <c r="A187" s="281">
        <v>114</v>
      </c>
      <c r="B187" s="149" t="s">
        <v>71</v>
      </c>
      <c r="C187" s="309">
        <f>VLOOKUP(A187,'2-Kosten per locatie'!$A$13:$C$88,3,FALSE)</f>
        <v>2</v>
      </c>
      <c r="D187" s="411" t="str">
        <f ca="1">VLOOKUP(A187,'3-Ruimtestaat'!B:D,3,FALSE)</f>
        <v>Oostlijn bovengronds</v>
      </c>
      <c r="E187" s="152"/>
      <c r="F187" s="153" t="s">
        <v>419</v>
      </c>
      <c r="G187" s="154" t="s">
        <v>261</v>
      </c>
      <c r="H187" s="153" t="s">
        <v>159</v>
      </c>
      <c r="I187" s="282">
        <v>7</v>
      </c>
    </row>
    <row r="188" spans="1:9">
      <c r="A188" s="281">
        <v>114</v>
      </c>
      <c r="B188" s="149" t="s">
        <v>71</v>
      </c>
      <c r="C188" s="309">
        <f>VLOOKUP(A188,'2-Kosten per locatie'!$A$13:$C$88,3,FALSE)</f>
        <v>2</v>
      </c>
      <c r="D188" s="411" t="str">
        <f ca="1">VLOOKUP(A188,'3-Ruimtestaat'!B:D,3,FALSE)</f>
        <v>Oostlijn bovengronds</v>
      </c>
      <c r="E188" s="152"/>
      <c r="F188" s="153" t="s">
        <v>422</v>
      </c>
      <c r="G188" s="154" t="s">
        <v>265</v>
      </c>
      <c r="H188" s="153" t="s">
        <v>418</v>
      </c>
      <c r="I188" s="282">
        <v>18.2</v>
      </c>
    </row>
    <row r="189" spans="1:9">
      <c r="A189" s="281">
        <v>114</v>
      </c>
      <c r="B189" s="149" t="s">
        <v>71</v>
      </c>
      <c r="C189" s="309">
        <f>VLOOKUP(A189,'2-Kosten per locatie'!$A$13:$C$88,3,FALSE)</f>
        <v>2</v>
      </c>
      <c r="D189" s="411" t="str">
        <f ca="1">VLOOKUP(A189,'3-Ruimtestaat'!B:D,3,FALSE)</f>
        <v>Oostlijn bovengronds</v>
      </c>
      <c r="E189" s="152"/>
      <c r="F189" s="153" t="s">
        <v>423</v>
      </c>
      <c r="G189" s="154" t="s">
        <v>319</v>
      </c>
      <c r="H189" s="153" t="s">
        <v>159</v>
      </c>
      <c r="I189" s="282">
        <v>6.36</v>
      </c>
    </row>
    <row r="190" spans="1:9">
      <c r="A190" s="281">
        <v>114</v>
      </c>
      <c r="B190" s="149" t="s">
        <v>71</v>
      </c>
      <c r="C190" s="309">
        <f>VLOOKUP(A190,'2-Kosten per locatie'!$A$13:$C$88,3,FALSE)</f>
        <v>2</v>
      </c>
      <c r="D190" s="411" t="str">
        <f ca="1">VLOOKUP(A190,'3-Ruimtestaat'!B:D,3,FALSE)</f>
        <v>Oostlijn bovengronds</v>
      </c>
      <c r="E190" s="152"/>
      <c r="F190" s="153" t="s">
        <v>424</v>
      </c>
      <c r="G190" s="154" t="s">
        <v>321</v>
      </c>
      <c r="H190" s="153" t="s">
        <v>159</v>
      </c>
      <c r="I190" s="282">
        <v>2.23</v>
      </c>
    </row>
    <row r="191" spans="1:9">
      <c r="A191" s="281">
        <v>114</v>
      </c>
      <c r="B191" s="149" t="s">
        <v>71</v>
      </c>
      <c r="C191" s="309">
        <f>VLOOKUP(A191,'2-Kosten per locatie'!$A$13:$C$88,3,FALSE)</f>
        <v>2</v>
      </c>
      <c r="D191" s="411" t="str">
        <f ca="1">VLOOKUP(A191,'3-Ruimtestaat'!B:D,3,FALSE)</f>
        <v>Oostlijn bovengronds</v>
      </c>
      <c r="E191" s="152"/>
      <c r="F191" s="153" t="s">
        <v>425</v>
      </c>
      <c r="G191" s="154" t="s">
        <v>426</v>
      </c>
      <c r="H191" s="153" t="s">
        <v>159</v>
      </c>
      <c r="I191" s="282">
        <v>5.0199999999999996</v>
      </c>
    </row>
    <row r="192" spans="1:9">
      <c r="A192" s="281">
        <v>114</v>
      </c>
      <c r="B192" s="149" t="s">
        <v>71</v>
      </c>
      <c r="C192" s="309">
        <f>VLOOKUP(A192,'2-Kosten per locatie'!$A$13:$C$88,3,FALSE)</f>
        <v>2</v>
      </c>
      <c r="D192" s="411" t="str">
        <f ca="1">VLOOKUP(A192,'3-Ruimtestaat'!B:D,3,FALSE)</f>
        <v>Oostlijn bovengronds</v>
      </c>
      <c r="E192" s="152"/>
      <c r="F192" s="153" t="s">
        <v>430</v>
      </c>
      <c r="G192" s="154" t="s">
        <v>431</v>
      </c>
      <c r="H192" s="153" t="s">
        <v>159</v>
      </c>
      <c r="I192" s="282">
        <v>32.75</v>
      </c>
    </row>
    <row r="193" spans="1:9">
      <c r="A193" s="281">
        <v>114</v>
      </c>
      <c r="B193" s="149" t="s">
        <v>71</v>
      </c>
      <c r="C193" s="309">
        <f>VLOOKUP(A193,'2-Kosten per locatie'!$A$13:$C$88,3,FALSE)</f>
        <v>2</v>
      </c>
      <c r="D193" s="411" t="str">
        <f ca="1">VLOOKUP(A193,'3-Ruimtestaat'!B:D,3,FALSE)</f>
        <v>Oostlijn bovengronds</v>
      </c>
      <c r="E193" s="152"/>
      <c r="F193" s="153" t="s">
        <v>432</v>
      </c>
      <c r="G193" s="154" t="s">
        <v>211</v>
      </c>
      <c r="H193" s="153" t="s">
        <v>418</v>
      </c>
      <c r="I193" s="282">
        <v>15.07</v>
      </c>
    </row>
    <row r="194" spans="1:9">
      <c r="A194" s="281">
        <v>114</v>
      </c>
      <c r="B194" s="149" t="s">
        <v>71</v>
      </c>
      <c r="C194" s="309">
        <f>VLOOKUP(A194,'2-Kosten per locatie'!$A$13:$C$88,3,FALSE)</f>
        <v>2</v>
      </c>
      <c r="D194" s="411" t="str">
        <f ca="1">VLOOKUP(A194,'3-Ruimtestaat'!B:D,3,FALSE)</f>
        <v>Oostlijn bovengronds</v>
      </c>
      <c r="E194" s="152"/>
      <c r="F194" s="153" t="s">
        <v>433</v>
      </c>
      <c r="G194" s="154" t="s">
        <v>434</v>
      </c>
      <c r="H194" s="153" t="s">
        <v>159</v>
      </c>
      <c r="I194" s="282">
        <v>35.49</v>
      </c>
    </row>
    <row r="195" spans="1:9">
      <c r="A195" s="281">
        <v>114</v>
      </c>
      <c r="B195" s="149" t="s">
        <v>71</v>
      </c>
      <c r="C195" s="309">
        <f>VLOOKUP(A195,'2-Kosten per locatie'!$A$13:$C$88,3,FALSE)</f>
        <v>2</v>
      </c>
      <c r="D195" s="411" t="str">
        <f ca="1">VLOOKUP(A195,'3-Ruimtestaat'!B:D,3,FALSE)</f>
        <v>Oostlijn bovengronds</v>
      </c>
      <c r="E195" s="152"/>
      <c r="F195" s="153" t="s">
        <v>435</v>
      </c>
      <c r="G195" s="154" t="s">
        <v>436</v>
      </c>
      <c r="H195" s="153" t="s">
        <v>159</v>
      </c>
      <c r="I195" s="282">
        <v>34.61</v>
      </c>
    </row>
    <row r="196" spans="1:9">
      <c r="A196" s="281">
        <v>115</v>
      </c>
      <c r="B196" s="149" t="s">
        <v>72</v>
      </c>
      <c r="C196" s="309">
        <f>VLOOKUP(A196,'2-Kosten per locatie'!$A$13:$C$88,3,FALSE)</f>
        <v>2</v>
      </c>
      <c r="D196" s="411" t="str">
        <f ca="1">VLOOKUP(A196,'3-Ruimtestaat'!B:D,3,FALSE)</f>
        <v>Oostlijn Bovengronds</v>
      </c>
      <c r="E196" s="152"/>
      <c r="F196" s="153" t="s">
        <v>398</v>
      </c>
      <c r="G196" s="154" t="s">
        <v>194</v>
      </c>
      <c r="H196" s="153" t="s">
        <v>159</v>
      </c>
      <c r="I196" s="282">
        <v>19.579999999999998</v>
      </c>
    </row>
    <row r="197" spans="1:9">
      <c r="A197" s="281">
        <v>115</v>
      </c>
      <c r="B197" s="149" t="s">
        <v>72</v>
      </c>
      <c r="C197" s="309">
        <f>VLOOKUP(A197,'2-Kosten per locatie'!$A$13:$C$88,3,FALSE)</f>
        <v>2</v>
      </c>
      <c r="D197" s="411" t="str">
        <f ca="1">VLOOKUP(A197,'3-Ruimtestaat'!B:D,3,FALSE)</f>
        <v>Oostlijn Bovengronds</v>
      </c>
      <c r="E197" s="152"/>
      <c r="F197" s="153" t="s">
        <v>398</v>
      </c>
      <c r="G197" s="154" t="s">
        <v>400</v>
      </c>
      <c r="H197" s="153" t="s">
        <v>159</v>
      </c>
      <c r="I197" s="282">
        <v>18.52</v>
      </c>
    </row>
    <row r="198" spans="1:9">
      <c r="A198" s="281">
        <v>115</v>
      </c>
      <c r="B198" s="149" t="s">
        <v>72</v>
      </c>
      <c r="C198" s="309">
        <f>VLOOKUP(A198,'2-Kosten per locatie'!$A$13:$C$88,3,FALSE)</f>
        <v>2</v>
      </c>
      <c r="D198" s="411" t="str">
        <f ca="1">VLOOKUP(A198,'3-Ruimtestaat'!B:D,3,FALSE)</f>
        <v>Oostlijn Bovengronds</v>
      </c>
      <c r="E198" s="152"/>
      <c r="F198" s="153" t="s">
        <v>450</v>
      </c>
      <c r="G198" s="154" t="s">
        <v>451</v>
      </c>
      <c r="H198" s="153" t="s">
        <v>159</v>
      </c>
      <c r="I198" s="282">
        <v>20.94</v>
      </c>
    </row>
    <row r="199" spans="1:9">
      <c r="A199" s="281">
        <v>115</v>
      </c>
      <c r="B199" s="149" t="s">
        <v>72</v>
      </c>
      <c r="C199" s="309">
        <f>VLOOKUP(A199,'2-Kosten per locatie'!$A$13:$C$88,3,FALSE)</f>
        <v>2</v>
      </c>
      <c r="D199" s="411" t="str">
        <f ca="1">VLOOKUP(A199,'3-Ruimtestaat'!B:D,3,FALSE)</f>
        <v>Oostlijn Bovengronds</v>
      </c>
      <c r="E199" s="152"/>
      <c r="F199" s="153" t="s">
        <v>452</v>
      </c>
      <c r="G199" s="154" t="s">
        <v>253</v>
      </c>
      <c r="H199" s="153" t="s">
        <v>162</v>
      </c>
      <c r="I199" s="282">
        <v>34.950000000000003</v>
      </c>
    </row>
    <row r="200" spans="1:9">
      <c r="A200" s="281">
        <v>115</v>
      </c>
      <c r="B200" s="149" t="s">
        <v>72</v>
      </c>
      <c r="C200" s="309">
        <f>VLOOKUP(A200,'2-Kosten per locatie'!$A$13:$C$88,3,FALSE)</f>
        <v>2</v>
      </c>
      <c r="D200" s="411" t="str">
        <f ca="1">VLOOKUP(A200,'3-Ruimtestaat'!B:D,3,FALSE)</f>
        <v>Oostlijn Bovengronds</v>
      </c>
      <c r="E200" s="152"/>
      <c r="F200" s="153" t="s">
        <v>453</v>
      </c>
      <c r="G200" s="154" t="s">
        <v>454</v>
      </c>
      <c r="H200" s="153" t="s">
        <v>162</v>
      </c>
      <c r="I200" s="282">
        <v>28.37</v>
      </c>
    </row>
    <row r="201" spans="1:9">
      <c r="A201" s="281">
        <v>115</v>
      </c>
      <c r="B201" s="149" t="s">
        <v>72</v>
      </c>
      <c r="C201" s="309">
        <f>VLOOKUP(A201,'2-Kosten per locatie'!$A$13:$C$88,3,FALSE)</f>
        <v>2</v>
      </c>
      <c r="D201" s="411" t="str">
        <f ca="1">VLOOKUP(A201,'3-Ruimtestaat'!B:D,3,FALSE)</f>
        <v>Oostlijn Bovengronds</v>
      </c>
      <c r="E201" s="152"/>
      <c r="F201" s="153" t="s">
        <v>455</v>
      </c>
      <c r="G201" s="154" t="s">
        <v>456</v>
      </c>
      <c r="H201" s="153" t="s">
        <v>162</v>
      </c>
      <c r="I201" s="282">
        <v>15.1</v>
      </c>
    </row>
    <row r="202" spans="1:9">
      <c r="A202" s="281">
        <v>115</v>
      </c>
      <c r="B202" s="149" t="s">
        <v>72</v>
      </c>
      <c r="C202" s="309">
        <f>VLOOKUP(A202,'2-Kosten per locatie'!$A$13:$C$88,3,FALSE)</f>
        <v>2</v>
      </c>
      <c r="D202" s="411" t="str">
        <f ca="1">VLOOKUP(A202,'3-Ruimtestaat'!B:D,3,FALSE)</f>
        <v>Oostlijn Bovengronds</v>
      </c>
      <c r="E202" s="152"/>
      <c r="F202" s="153" t="s">
        <v>457</v>
      </c>
      <c r="G202" s="154" t="s">
        <v>196</v>
      </c>
      <c r="H202" s="153" t="s">
        <v>162</v>
      </c>
      <c r="I202" s="282">
        <v>14.18</v>
      </c>
    </row>
    <row r="203" spans="1:9">
      <c r="A203" s="281">
        <v>115</v>
      </c>
      <c r="B203" s="149" t="s">
        <v>72</v>
      </c>
      <c r="C203" s="309">
        <f>VLOOKUP(A203,'2-Kosten per locatie'!$A$13:$C$88,3,FALSE)</f>
        <v>2</v>
      </c>
      <c r="D203" s="411" t="str">
        <f ca="1">VLOOKUP(A203,'3-Ruimtestaat'!B:D,3,FALSE)</f>
        <v>Oostlijn Bovengronds</v>
      </c>
      <c r="E203" s="152"/>
      <c r="F203" s="153" t="s">
        <v>408</v>
      </c>
      <c r="G203" s="154" t="s">
        <v>326</v>
      </c>
      <c r="H203" s="153" t="s">
        <v>159</v>
      </c>
      <c r="I203" s="282">
        <v>12.53</v>
      </c>
    </row>
    <row r="204" spans="1:9">
      <c r="A204" s="281">
        <v>115</v>
      </c>
      <c r="B204" s="149" t="s">
        <v>72</v>
      </c>
      <c r="C204" s="309">
        <f>VLOOKUP(A204,'2-Kosten per locatie'!$A$13:$C$88,3,FALSE)</f>
        <v>2</v>
      </c>
      <c r="D204" s="411" t="str">
        <f ca="1">VLOOKUP(A204,'3-Ruimtestaat'!B:D,3,FALSE)</f>
        <v>Oostlijn Bovengronds</v>
      </c>
      <c r="E204" s="152"/>
      <c r="F204" s="153" t="s">
        <v>458</v>
      </c>
      <c r="G204" s="154" t="s">
        <v>198</v>
      </c>
      <c r="H204" s="153" t="s">
        <v>159</v>
      </c>
      <c r="I204" s="282">
        <v>11.08</v>
      </c>
    </row>
    <row r="205" spans="1:9">
      <c r="A205" s="281">
        <v>115</v>
      </c>
      <c r="B205" s="149" t="s">
        <v>72</v>
      </c>
      <c r="C205" s="309">
        <f>VLOOKUP(A205,'2-Kosten per locatie'!$A$13:$C$88,3,FALSE)</f>
        <v>2</v>
      </c>
      <c r="D205" s="411" t="str">
        <f ca="1">VLOOKUP(A205,'3-Ruimtestaat'!B:D,3,FALSE)</f>
        <v>Oostlijn Bovengronds</v>
      </c>
      <c r="E205" s="152"/>
      <c r="F205" s="153" t="s">
        <v>458</v>
      </c>
      <c r="G205" s="154" t="s">
        <v>306</v>
      </c>
      <c r="H205" s="153" t="s">
        <v>159</v>
      </c>
      <c r="I205" s="282">
        <v>6.91</v>
      </c>
    </row>
    <row r="206" spans="1:9">
      <c r="A206" s="281">
        <v>115</v>
      </c>
      <c r="B206" s="149" t="s">
        <v>72</v>
      </c>
      <c r="C206" s="309">
        <f>VLOOKUP(A206,'2-Kosten per locatie'!$A$13:$C$88,3,FALSE)</f>
        <v>2</v>
      </c>
      <c r="D206" s="411" t="str">
        <f ca="1">VLOOKUP(A206,'3-Ruimtestaat'!B:D,3,FALSE)</f>
        <v>Oostlijn Bovengronds</v>
      </c>
      <c r="E206" s="152"/>
      <c r="F206" s="153" t="s">
        <v>459</v>
      </c>
      <c r="G206" s="154" t="s">
        <v>200</v>
      </c>
      <c r="H206" s="153" t="s">
        <v>159</v>
      </c>
      <c r="I206" s="282">
        <v>14.75</v>
      </c>
    </row>
    <row r="207" spans="1:9">
      <c r="A207" s="281">
        <v>115</v>
      </c>
      <c r="B207" s="149" t="s">
        <v>72</v>
      </c>
      <c r="C207" s="309">
        <f>VLOOKUP(A207,'2-Kosten per locatie'!$A$13:$C$88,3,FALSE)</f>
        <v>2</v>
      </c>
      <c r="D207" s="411" t="str">
        <f ca="1">VLOOKUP(A207,'3-Ruimtestaat'!B:D,3,FALSE)</f>
        <v>Oostlijn Bovengronds</v>
      </c>
      <c r="E207" s="152"/>
      <c r="F207" s="153" t="s">
        <v>462</v>
      </c>
      <c r="G207" s="154" t="s">
        <v>309</v>
      </c>
      <c r="H207" s="153" t="s">
        <v>159</v>
      </c>
      <c r="I207" s="282">
        <v>4.38</v>
      </c>
    </row>
    <row r="208" spans="1:9">
      <c r="A208" s="281">
        <v>115</v>
      </c>
      <c r="B208" s="149" t="s">
        <v>72</v>
      </c>
      <c r="C208" s="309">
        <f>VLOOKUP(A208,'2-Kosten per locatie'!$A$13:$C$88,3,FALSE)</f>
        <v>2</v>
      </c>
      <c r="D208" s="411" t="str">
        <f ca="1">VLOOKUP(A208,'3-Ruimtestaat'!B:D,3,FALSE)</f>
        <v>Oostlijn Bovengronds</v>
      </c>
      <c r="E208" s="152"/>
      <c r="F208" s="153" t="s">
        <v>463</v>
      </c>
      <c r="G208" s="154" t="s">
        <v>368</v>
      </c>
      <c r="H208" s="153" t="s">
        <v>159</v>
      </c>
      <c r="I208" s="282">
        <v>13.63</v>
      </c>
    </row>
    <row r="209" spans="1:9">
      <c r="A209" s="281">
        <v>115</v>
      </c>
      <c r="B209" s="149" t="s">
        <v>72</v>
      </c>
      <c r="C209" s="309">
        <f>VLOOKUP(A209,'2-Kosten per locatie'!$A$13:$C$88,3,FALSE)</f>
        <v>2</v>
      </c>
      <c r="D209" s="411" t="str">
        <f ca="1">VLOOKUP(A209,'3-Ruimtestaat'!B:D,3,FALSE)</f>
        <v>Oostlijn Bovengronds</v>
      </c>
      <c r="E209" s="152"/>
      <c r="F209" s="153" t="s">
        <v>466</v>
      </c>
      <c r="G209" s="154" t="s">
        <v>263</v>
      </c>
      <c r="H209" s="153" t="s">
        <v>159</v>
      </c>
      <c r="I209" s="282">
        <v>2.2000000000000002</v>
      </c>
    </row>
    <row r="210" spans="1:9">
      <c r="A210" s="281">
        <v>115</v>
      </c>
      <c r="B210" s="149" t="s">
        <v>72</v>
      </c>
      <c r="C210" s="309">
        <f>VLOOKUP(A210,'2-Kosten per locatie'!$A$13:$C$88,3,FALSE)</f>
        <v>2</v>
      </c>
      <c r="D210" s="411" t="str">
        <f ca="1">VLOOKUP(A210,'3-Ruimtestaat'!B:D,3,FALSE)</f>
        <v>Oostlijn Bovengronds</v>
      </c>
      <c r="E210" s="152"/>
      <c r="F210" s="153" t="s">
        <v>467</v>
      </c>
      <c r="G210" s="154" t="s">
        <v>265</v>
      </c>
      <c r="H210" s="153" t="s">
        <v>159</v>
      </c>
      <c r="I210" s="282">
        <v>5.55</v>
      </c>
    </row>
    <row r="211" spans="1:9">
      <c r="A211" s="281">
        <v>115</v>
      </c>
      <c r="B211" s="149" t="s">
        <v>72</v>
      </c>
      <c r="C211" s="309">
        <f>VLOOKUP(A211,'2-Kosten per locatie'!$A$13:$C$88,3,FALSE)</f>
        <v>2</v>
      </c>
      <c r="D211" s="411" t="str">
        <f ca="1">VLOOKUP(A211,'3-Ruimtestaat'!B:D,3,FALSE)</f>
        <v>Oostlijn Bovengronds</v>
      </c>
      <c r="E211" s="152"/>
      <c r="F211" s="153" t="s">
        <v>468</v>
      </c>
      <c r="G211" s="154" t="s">
        <v>321</v>
      </c>
      <c r="H211" s="153" t="s">
        <v>159</v>
      </c>
      <c r="I211" s="282">
        <v>3.36</v>
      </c>
    </row>
    <row r="212" spans="1:9">
      <c r="A212" s="281">
        <v>115</v>
      </c>
      <c r="B212" s="149" t="s">
        <v>72</v>
      </c>
      <c r="C212" s="309">
        <f>VLOOKUP(A212,'2-Kosten per locatie'!$A$13:$C$88,3,FALSE)</f>
        <v>2</v>
      </c>
      <c r="D212" s="411" t="str">
        <f ca="1">VLOOKUP(A212,'3-Ruimtestaat'!B:D,3,FALSE)</f>
        <v>Oostlijn Bovengronds</v>
      </c>
      <c r="E212" s="152"/>
      <c r="F212" s="153" t="s">
        <v>469</v>
      </c>
      <c r="G212" s="154" t="s">
        <v>426</v>
      </c>
      <c r="H212" s="153" t="s">
        <v>159</v>
      </c>
      <c r="I212" s="282">
        <v>10.53</v>
      </c>
    </row>
    <row r="213" spans="1:9">
      <c r="A213" s="281">
        <v>115</v>
      </c>
      <c r="B213" s="149" t="s">
        <v>72</v>
      </c>
      <c r="C213" s="309">
        <f>VLOOKUP(A213,'2-Kosten per locatie'!$A$13:$C$88,3,FALSE)</f>
        <v>2</v>
      </c>
      <c r="D213" s="411" t="str">
        <f ca="1">VLOOKUP(A213,'3-Ruimtestaat'!B:D,3,FALSE)</f>
        <v>Oostlijn Bovengronds</v>
      </c>
      <c r="E213" s="152"/>
      <c r="F213" s="153" t="s">
        <v>471</v>
      </c>
      <c r="G213" s="154" t="s">
        <v>211</v>
      </c>
      <c r="H213" s="153" t="s">
        <v>159</v>
      </c>
      <c r="I213" s="282">
        <v>6.55</v>
      </c>
    </row>
    <row r="214" spans="1:9">
      <c r="A214" s="281">
        <v>115</v>
      </c>
      <c r="B214" s="149" t="s">
        <v>72</v>
      </c>
      <c r="C214" s="309">
        <f>VLOOKUP(A214,'2-Kosten per locatie'!$A$13:$C$88,3,FALSE)</f>
        <v>2</v>
      </c>
      <c r="D214" s="411" t="str">
        <f ca="1">VLOOKUP(A214,'3-Ruimtestaat'!B:D,3,FALSE)</f>
        <v>Oostlijn Bovengronds</v>
      </c>
      <c r="E214" s="152"/>
      <c r="F214" s="153" t="s">
        <v>473</v>
      </c>
      <c r="G214" s="154" t="s">
        <v>213</v>
      </c>
      <c r="H214" s="153" t="s">
        <v>159</v>
      </c>
      <c r="I214" s="282">
        <v>6.25</v>
      </c>
    </row>
    <row r="215" spans="1:9">
      <c r="A215" s="281">
        <v>115</v>
      </c>
      <c r="B215" s="149" t="s">
        <v>72</v>
      </c>
      <c r="C215" s="309">
        <f>VLOOKUP(A215,'2-Kosten per locatie'!$A$13:$C$88,3,FALSE)</f>
        <v>2</v>
      </c>
      <c r="D215" s="411" t="str">
        <f ca="1">VLOOKUP(A215,'3-Ruimtestaat'!B:D,3,FALSE)</f>
        <v>Oostlijn Bovengronds</v>
      </c>
      <c r="E215" s="152"/>
      <c r="F215" s="153" t="s">
        <v>474</v>
      </c>
      <c r="G215" s="154" t="s">
        <v>328</v>
      </c>
      <c r="H215" s="153" t="s">
        <v>159</v>
      </c>
      <c r="I215" s="282">
        <v>5.25</v>
      </c>
    </row>
    <row r="216" spans="1:9">
      <c r="A216" s="281">
        <v>115</v>
      </c>
      <c r="B216" s="149" t="s">
        <v>72</v>
      </c>
      <c r="C216" s="309">
        <f>VLOOKUP(A216,'2-Kosten per locatie'!$A$13:$C$88,3,FALSE)</f>
        <v>2</v>
      </c>
      <c r="D216" s="411" t="str">
        <f ca="1">VLOOKUP(A216,'3-Ruimtestaat'!B:D,3,FALSE)</f>
        <v>Oostlijn Bovengronds</v>
      </c>
      <c r="E216" s="152"/>
      <c r="F216" s="153" t="s">
        <v>476</v>
      </c>
      <c r="G216" s="154" t="s">
        <v>477</v>
      </c>
      <c r="H216" s="153" t="s">
        <v>159</v>
      </c>
      <c r="I216" s="282">
        <v>11.57</v>
      </c>
    </row>
    <row r="217" spans="1:9">
      <c r="A217" s="281">
        <v>115</v>
      </c>
      <c r="B217" s="149" t="s">
        <v>72</v>
      </c>
      <c r="C217" s="309">
        <f>VLOOKUP(A217,'2-Kosten per locatie'!$A$13:$C$88,3,FALSE)</f>
        <v>2</v>
      </c>
      <c r="D217" s="411" t="str">
        <f ca="1">VLOOKUP(A217,'3-Ruimtestaat'!B:D,3,FALSE)</f>
        <v>Oostlijn Bovengronds</v>
      </c>
      <c r="E217" s="152"/>
      <c r="F217" s="153" t="s">
        <v>478</v>
      </c>
      <c r="G217" s="154" t="s">
        <v>479</v>
      </c>
      <c r="H217" s="153" t="s">
        <v>162</v>
      </c>
      <c r="I217" s="282">
        <v>8.6300000000000008</v>
      </c>
    </row>
    <row r="218" spans="1:9">
      <c r="A218" s="281">
        <v>115</v>
      </c>
      <c r="B218" s="149" t="s">
        <v>72</v>
      </c>
      <c r="C218" s="309">
        <f>VLOOKUP(A218,'2-Kosten per locatie'!$A$13:$C$88,3,FALSE)</f>
        <v>2</v>
      </c>
      <c r="D218" s="411" t="str">
        <f ca="1">VLOOKUP(A218,'3-Ruimtestaat'!B:D,3,FALSE)</f>
        <v>Oostlijn Bovengronds</v>
      </c>
      <c r="E218" s="152"/>
      <c r="F218" s="153" t="s">
        <v>467</v>
      </c>
      <c r="G218" s="154" t="s">
        <v>334</v>
      </c>
      <c r="H218" s="153" t="s">
        <v>159</v>
      </c>
      <c r="I218" s="282">
        <v>13.76</v>
      </c>
    </row>
    <row r="219" spans="1:9">
      <c r="A219" s="281">
        <v>115</v>
      </c>
      <c r="B219" s="149" t="s">
        <v>72</v>
      </c>
      <c r="C219" s="309">
        <f>VLOOKUP(A219,'2-Kosten per locatie'!$A$13:$C$88,3,FALSE)</f>
        <v>2</v>
      </c>
      <c r="D219" s="411" t="str">
        <f ca="1">VLOOKUP(A219,'3-Ruimtestaat'!B:D,3,FALSE)</f>
        <v>Oostlijn Bovengronds</v>
      </c>
      <c r="E219" s="152"/>
      <c r="F219" s="153" t="s">
        <v>466</v>
      </c>
      <c r="G219" s="154" t="s">
        <v>336</v>
      </c>
      <c r="H219" s="153" t="s">
        <v>159</v>
      </c>
      <c r="I219" s="282">
        <v>25.15</v>
      </c>
    </row>
    <row r="220" spans="1:9">
      <c r="A220" s="281">
        <v>115</v>
      </c>
      <c r="B220" s="149" t="s">
        <v>72</v>
      </c>
      <c r="C220" s="309">
        <f>VLOOKUP(A220,'2-Kosten per locatie'!$A$13:$C$88,3,FALSE)</f>
        <v>2</v>
      </c>
      <c r="D220" s="411" t="str">
        <f ca="1">VLOOKUP(A220,'3-Ruimtestaat'!B:D,3,FALSE)</f>
        <v>Oostlijn Bovengronds</v>
      </c>
      <c r="E220" s="152"/>
      <c r="F220" s="153" t="s">
        <v>466</v>
      </c>
      <c r="G220" s="154" t="s">
        <v>184</v>
      </c>
      <c r="H220" s="153" t="s">
        <v>159</v>
      </c>
      <c r="I220" s="282">
        <v>33.200000000000003</v>
      </c>
    </row>
    <row r="221" spans="1:9">
      <c r="A221" s="281">
        <v>115</v>
      </c>
      <c r="B221" s="149" t="s">
        <v>72</v>
      </c>
      <c r="C221" s="309">
        <f>VLOOKUP(A221,'2-Kosten per locatie'!$A$13:$C$88,3,FALSE)</f>
        <v>2</v>
      </c>
      <c r="D221" s="411" t="str">
        <f ca="1">VLOOKUP(A221,'3-Ruimtestaat'!B:D,3,FALSE)</f>
        <v>Oostlijn Bovengronds</v>
      </c>
      <c r="E221" s="152"/>
      <c r="F221" s="153" t="s">
        <v>471</v>
      </c>
      <c r="G221" s="154" t="s">
        <v>485</v>
      </c>
      <c r="H221" s="153" t="s">
        <v>159</v>
      </c>
      <c r="I221" s="282">
        <v>14.91</v>
      </c>
    </row>
    <row r="222" spans="1:9">
      <c r="A222" s="281">
        <v>116</v>
      </c>
      <c r="B222" s="149" t="s">
        <v>73</v>
      </c>
      <c r="C222" s="309">
        <f>VLOOKUP(A222,'2-Kosten per locatie'!$A$13:$C$88,3,FALSE)</f>
        <v>2</v>
      </c>
      <c r="D222" s="411" t="str">
        <f ca="1">VLOOKUP(A222,'3-Ruimtestaat'!B:D,3,FALSE)</f>
        <v>Oostlijn bovengronds</v>
      </c>
      <c r="E222" s="152"/>
      <c r="F222" s="153" t="s">
        <v>490</v>
      </c>
      <c r="G222" s="154" t="s">
        <v>491</v>
      </c>
      <c r="H222" s="153" t="s">
        <v>171</v>
      </c>
      <c r="I222" s="282">
        <v>35</v>
      </c>
    </row>
    <row r="223" spans="1:9">
      <c r="A223" s="281">
        <v>116</v>
      </c>
      <c r="B223" s="149" t="s">
        <v>73</v>
      </c>
      <c r="C223" s="309">
        <f>VLOOKUP(A223,'2-Kosten per locatie'!$A$13:$C$88,3,FALSE)</f>
        <v>2</v>
      </c>
      <c r="D223" s="411" t="str">
        <f ca="1">VLOOKUP(A223,'3-Ruimtestaat'!B:D,3,FALSE)</f>
        <v>Oostlijn bovengronds</v>
      </c>
      <c r="E223" s="152"/>
      <c r="F223" s="153" t="s">
        <v>183</v>
      </c>
      <c r="G223" s="154" t="s">
        <v>492</v>
      </c>
      <c r="H223" s="153" t="s">
        <v>159</v>
      </c>
      <c r="I223" s="282">
        <v>5</v>
      </c>
    </row>
    <row r="224" spans="1:9">
      <c r="A224" s="281">
        <v>116</v>
      </c>
      <c r="B224" s="149" t="s">
        <v>73</v>
      </c>
      <c r="C224" s="309">
        <f>VLOOKUP(A224,'2-Kosten per locatie'!$A$13:$C$88,3,FALSE)</f>
        <v>2</v>
      </c>
      <c r="D224" s="411" t="str">
        <f ca="1">VLOOKUP(A224,'3-Ruimtestaat'!B:D,3,FALSE)</f>
        <v>Oostlijn bovengronds</v>
      </c>
      <c r="E224" s="152"/>
      <c r="F224" s="153" t="s">
        <v>493</v>
      </c>
      <c r="G224" s="154" t="s">
        <v>494</v>
      </c>
      <c r="H224" s="153" t="s">
        <v>214</v>
      </c>
      <c r="I224" s="282">
        <v>19</v>
      </c>
    </row>
    <row r="225" spans="1:9">
      <c r="A225" s="281">
        <v>116</v>
      </c>
      <c r="B225" s="149" t="s">
        <v>73</v>
      </c>
      <c r="C225" s="309">
        <f>VLOOKUP(A225,'2-Kosten per locatie'!$A$13:$C$88,3,FALSE)</f>
        <v>2</v>
      </c>
      <c r="D225" s="411" t="str">
        <f ca="1">VLOOKUP(A225,'3-Ruimtestaat'!B:D,3,FALSE)</f>
        <v>Oostlijn bovengronds</v>
      </c>
      <c r="E225" s="152"/>
      <c r="F225" s="153" t="s">
        <v>495</v>
      </c>
      <c r="G225" s="154" t="s">
        <v>496</v>
      </c>
      <c r="H225" s="153" t="s">
        <v>214</v>
      </c>
      <c r="I225" s="282">
        <v>15</v>
      </c>
    </row>
    <row r="226" spans="1:9">
      <c r="A226" s="281">
        <v>116</v>
      </c>
      <c r="B226" s="149" t="s">
        <v>73</v>
      </c>
      <c r="C226" s="309">
        <f>VLOOKUP(A226,'2-Kosten per locatie'!$A$13:$C$88,3,FALSE)</f>
        <v>2</v>
      </c>
      <c r="D226" s="411" t="str">
        <f ca="1">VLOOKUP(A226,'3-Ruimtestaat'!B:D,3,FALSE)</f>
        <v>Oostlijn bovengronds</v>
      </c>
      <c r="E226" s="152"/>
      <c r="F226" s="153" t="s">
        <v>497</v>
      </c>
      <c r="G226" s="154" t="s">
        <v>498</v>
      </c>
      <c r="H226" s="153" t="s">
        <v>214</v>
      </c>
      <c r="I226" s="282">
        <v>13</v>
      </c>
    </row>
    <row r="227" spans="1:9">
      <c r="A227" s="281">
        <v>116</v>
      </c>
      <c r="B227" s="149" t="s">
        <v>73</v>
      </c>
      <c r="C227" s="309">
        <f>VLOOKUP(A227,'2-Kosten per locatie'!$A$13:$C$88,3,FALSE)</f>
        <v>2</v>
      </c>
      <c r="D227" s="411" t="str">
        <f ca="1">VLOOKUP(A227,'3-Ruimtestaat'!B:D,3,FALSE)</f>
        <v>Oostlijn bovengronds</v>
      </c>
      <c r="E227" s="152"/>
      <c r="F227" s="153" t="s">
        <v>499</v>
      </c>
      <c r="G227" s="154" t="s">
        <v>500</v>
      </c>
      <c r="H227" s="153" t="s">
        <v>214</v>
      </c>
      <c r="I227" s="282">
        <v>3</v>
      </c>
    </row>
    <row r="228" spans="1:9">
      <c r="A228" s="281">
        <v>116</v>
      </c>
      <c r="B228" s="149" t="s">
        <v>73</v>
      </c>
      <c r="C228" s="309">
        <f>VLOOKUP(A228,'2-Kosten per locatie'!$A$13:$C$88,3,FALSE)</f>
        <v>2</v>
      </c>
      <c r="D228" s="411" t="str">
        <f ca="1">VLOOKUP(A228,'3-Ruimtestaat'!B:D,3,FALSE)</f>
        <v>Oostlijn bovengronds</v>
      </c>
      <c r="E228" s="152"/>
      <c r="F228" s="153" t="s">
        <v>501</v>
      </c>
      <c r="G228" s="154" t="s">
        <v>502</v>
      </c>
      <c r="H228" s="153" t="s">
        <v>280</v>
      </c>
      <c r="I228" s="282">
        <v>158</v>
      </c>
    </row>
    <row r="229" spans="1:9">
      <c r="A229" s="281">
        <v>116</v>
      </c>
      <c r="B229" s="149" t="s">
        <v>73</v>
      </c>
      <c r="C229" s="309">
        <f>VLOOKUP(A229,'2-Kosten per locatie'!$A$13:$C$88,3,FALSE)</f>
        <v>2</v>
      </c>
      <c r="D229" s="411" t="str">
        <f ca="1">VLOOKUP(A229,'3-Ruimtestaat'!B:D,3,FALSE)</f>
        <v>Oostlijn bovengronds</v>
      </c>
      <c r="E229" s="152"/>
      <c r="F229" s="153" t="s">
        <v>503</v>
      </c>
      <c r="G229" s="154" t="s">
        <v>504</v>
      </c>
      <c r="H229" s="153" t="s">
        <v>214</v>
      </c>
      <c r="I229" s="282">
        <v>33</v>
      </c>
    </row>
    <row r="230" spans="1:9">
      <c r="A230" s="281">
        <v>116</v>
      </c>
      <c r="B230" s="149" t="s">
        <v>73</v>
      </c>
      <c r="C230" s="309">
        <f>VLOOKUP(A230,'2-Kosten per locatie'!$A$13:$C$88,3,FALSE)</f>
        <v>2</v>
      </c>
      <c r="D230" s="411" t="str">
        <f ca="1">VLOOKUP(A230,'3-Ruimtestaat'!B:D,3,FALSE)</f>
        <v>Oostlijn bovengronds</v>
      </c>
      <c r="E230" s="152"/>
      <c r="F230" s="153" t="s">
        <v>197</v>
      </c>
      <c r="G230" s="154" t="s">
        <v>282</v>
      </c>
      <c r="H230" s="153" t="s">
        <v>171</v>
      </c>
      <c r="I230" s="282">
        <v>20</v>
      </c>
    </row>
    <row r="231" spans="1:9">
      <c r="A231" s="281">
        <v>116</v>
      </c>
      <c r="B231" s="149" t="s">
        <v>73</v>
      </c>
      <c r="C231" s="309">
        <f>VLOOKUP(A231,'2-Kosten per locatie'!$A$13:$C$88,3,FALSE)</f>
        <v>2</v>
      </c>
      <c r="D231" s="411" t="str">
        <f ca="1">VLOOKUP(A231,'3-Ruimtestaat'!B:D,3,FALSE)</f>
        <v>Oostlijn bovengronds</v>
      </c>
      <c r="E231" s="152"/>
      <c r="F231" s="153" t="s">
        <v>199</v>
      </c>
      <c r="G231" s="154" t="s">
        <v>510</v>
      </c>
      <c r="H231" s="153" t="s">
        <v>171</v>
      </c>
      <c r="I231" s="282">
        <v>9</v>
      </c>
    </row>
    <row r="232" spans="1:9">
      <c r="A232" s="281">
        <v>116</v>
      </c>
      <c r="B232" s="149" t="s">
        <v>73</v>
      </c>
      <c r="C232" s="309">
        <f>VLOOKUP(A232,'2-Kosten per locatie'!$A$13:$C$88,3,FALSE)</f>
        <v>2</v>
      </c>
      <c r="D232" s="411" t="str">
        <f ca="1">VLOOKUP(A232,'3-Ruimtestaat'!B:D,3,FALSE)</f>
        <v>Oostlijn bovengronds</v>
      </c>
      <c r="E232" s="152"/>
      <c r="F232" s="153" t="s">
        <v>237</v>
      </c>
      <c r="G232" s="154" t="s">
        <v>513</v>
      </c>
      <c r="H232" s="153" t="s">
        <v>171</v>
      </c>
      <c r="I232" s="282">
        <v>7</v>
      </c>
    </row>
    <row r="233" spans="1:9">
      <c r="A233" s="281">
        <v>116</v>
      </c>
      <c r="B233" s="149" t="s">
        <v>73</v>
      </c>
      <c r="C233" s="309">
        <f>VLOOKUP(A233,'2-Kosten per locatie'!$A$13:$C$88,3,FALSE)</f>
        <v>2</v>
      </c>
      <c r="D233" s="411" t="str">
        <f ca="1">VLOOKUP(A233,'3-Ruimtestaat'!B:D,3,FALSE)</f>
        <v>Oostlijn bovengronds</v>
      </c>
      <c r="E233" s="152"/>
      <c r="F233" s="153" t="s">
        <v>490</v>
      </c>
      <c r="G233" s="154" t="s">
        <v>517</v>
      </c>
      <c r="H233" s="153" t="s">
        <v>171</v>
      </c>
      <c r="I233" s="282">
        <v>20</v>
      </c>
    </row>
    <row r="234" spans="1:9">
      <c r="A234" s="281">
        <v>116</v>
      </c>
      <c r="B234" s="149" t="s">
        <v>73</v>
      </c>
      <c r="C234" s="309">
        <f>VLOOKUP(A234,'2-Kosten per locatie'!$A$13:$C$88,3,FALSE)</f>
        <v>2</v>
      </c>
      <c r="D234" s="411" t="str">
        <f ca="1">VLOOKUP(A234,'3-Ruimtestaat'!B:D,3,FALSE)</f>
        <v>Oostlijn bovengronds</v>
      </c>
      <c r="E234" s="152"/>
      <c r="F234" s="153" t="s">
        <v>520</v>
      </c>
      <c r="G234" s="154" t="s">
        <v>521</v>
      </c>
      <c r="H234" s="153" t="s">
        <v>214</v>
      </c>
      <c r="I234" s="282">
        <v>9</v>
      </c>
    </row>
    <row r="235" spans="1:9">
      <c r="A235" s="281">
        <v>116</v>
      </c>
      <c r="B235" s="149" t="s">
        <v>73</v>
      </c>
      <c r="C235" s="309">
        <f>VLOOKUP(A235,'2-Kosten per locatie'!$A$13:$C$88,3,FALSE)</f>
        <v>2</v>
      </c>
      <c r="D235" s="411" t="str">
        <f ca="1">VLOOKUP(A235,'3-Ruimtestaat'!B:D,3,FALSE)</f>
        <v>Oostlijn bovengronds</v>
      </c>
      <c r="E235" s="152"/>
      <c r="F235" s="153" t="s">
        <v>526</v>
      </c>
      <c r="G235" s="154" t="s">
        <v>527</v>
      </c>
      <c r="H235" s="153" t="s">
        <v>162</v>
      </c>
      <c r="I235" s="282">
        <v>16</v>
      </c>
    </row>
    <row r="236" spans="1:9">
      <c r="A236" s="281">
        <v>116</v>
      </c>
      <c r="B236" s="149" t="s">
        <v>73</v>
      </c>
      <c r="C236" s="309">
        <f>VLOOKUP(A236,'2-Kosten per locatie'!$A$13:$C$88,3,FALSE)</f>
        <v>2</v>
      </c>
      <c r="D236" s="411" t="str">
        <f ca="1">VLOOKUP(A236,'3-Ruimtestaat'!B:D,3,FALSE)</f>
        <v>Oostlijn bovengronds</v>
      </c>
      <c r="E236" s="152"/>
      <c r="F236" s="153" t="s">
        <v>330</v>
      </c>
      <c r="G236" s="154" t="s">
        <v>528</v>
      </c>
      <c r="H236" s="153" t="s">
        <v>171</v>
      </c>
      <c r="I236" s="282">
        <v>76</v>
      </c>
    </row>
    <row r="237" spans="1:9">
      <c r="A237" s="281">
        <v>116</v>
      </c>
      <c r="B237" s="149" t="s">
        <v>73</v>
      </c>
      <c r="C237" s="309">
        <f>VLOOKUP(A237,'2-Kosten per locatie'!$A$13:$C$88,3,FALSE)</f>
        <v>2</v>
      </c>
      <c r="D237" s="411" t="str">
        <f ca="1">VLOOKUP(A237,'3-Ruimtestaat'!B:D,3,FALSE)</f>
        <v>Oostlijn bovengronds</v>
      </c>
      <c r="E237" s="152"/>
      <c r="F237" s="153" t="s">
        <v>529</v>
      </c>
      <c r="G237" s="154" t="s">
        <v>530</v>
      </c>
      <c r="H237" s="153" t="s">
        <v>171</v>
      </c>
      <c r="I237" s="282">
        <v>13</v>
      </c>
    </row>
    <row r="238" spans="1:9">
      <c r="A238" s="281">
        <v>116</v>
      </c>
      <c r="B238" s="149" t="s">
        <v>73</v>
      </c>
      <c r="C238" s="309">
        <f>VLOOKUP(A238,'2-Kosten per locatie'!$A$13:$C$88,3,FALSE)</f>
        <v>2</v>
      </c>
      <c r="D238" s="411" t="str">
        <f ca="1">VLOOKUP(A238,'3-Ruimtestaat'!B:D,3,FALSE)</f>
        <v>Oostlijn bovengronds</v>
      </c>
      <c r="E238" s="152"/>
      <c r="F238" s="153" t="s">
        <v>531</v>
      </c>
      <c r="G238" s="154" t="s">
        <v>532</v>
      </c>
      <c r="H238" s="153" t="s">
        <v>171</v>
      </c>
      <c r="I238" s="282">
        <v>1</v>
      </c>
    </row>
    <row r="239" spans="1:9">
      <c r="A239" s="281">
        <v>116</v>
      </c>
      <c r="B239" s="149" t="s">
        <v>73</v>
      </c>
      <c r="C239" s="309">
        <f>VLOOKUP(A239,'2-Kosten per locatie'!$A$13:$C$88,3,FALSE)</f>
        <v>2</v>
      </c>
      <c r="D239" s="411" t="str">
        <f ca="1">VLOOKUP(A239,'3-Ruimtestaat'!B:D,3,FALSE)</f>
        <v>Oostlijn bovengronds</v>
      </c>
      <c r="E239" s="152"/>
      <c r="F239" s="153" t="s">
        <v>531</v>
      </c>
      <c r="G239" s="154" t="s">
        <v>533</v>
      </c>
      <c r="H239" s="153" t="s">
        <v>171</v>
      </c>
      <c r="I239" s="282">
        <v>1</v>
      </c>
    </row>
    <row r="240" spans="1:9">
      <c r="A240" s="281">
        <v>116</v>
      </c>
      <c r="B240" s="149" t="s">
        <v>73</v>
      </c>
      <c r="C240" s="309">
        <f>VLOOKUP(A240,'2-Kosten per locatie'!$A$13:$C$88,3,FALSE)</f>
        <v>2</v>
      </c>
      <c r="D240" s="411" t="str">
        <f ca="1">VLOOKUP(A240,'3-Ruimtestaat'!B:D,3,FALSE)</f>
        <v>Oostlijn bovengronds</v>
      </c>
      <c r="E240" s="152"/>
      <c r="F240" s="153" t="s">
        <v>534</v>
      </c>
      <c r="G240" s="154" t="s">
        <v>535</v>
      </c>
      <c r="H240" s="153" t="s">
        <v>536</v>
      </c>
      <c r="I240" s="282">
        <v>1</v>
      </c>
    </row>
    <row r="241" spans="1:9">
      <c r="A241" s="281">
        <v>117</v>
      </c>
      <c r="B241" s="149" t="s">
        <v>74</v>
      </c>
      <c r="C241" s="309">
        <f>VLOOKUP(A241,'2-Kosten per locatie'!$A$13:$C$88,3,FALSE)</f>
        <v>2</v>
      </c>
      <c r="D241" s="411" t="str">
        <f ca="1">VLOOKUP(A241,'3-Ruimtestaat'!B:D,3,FALSE)</f>
        <v>Oostlijn bovengronds</v>
      </c>
      <c r="E241" s="152"/>
      <c r="F241" s="153" t="s">
        <v>526</v>
      </c>
      <c r="G241" s="154" t="s">
        <v>541</v>
      </c>
      <c r="H241" s="153" t="s">
        <v>162</v>
      </c>
      <c r="I241" s="282">
        <v>26</v>
      </c>
    </row>
    <row r="242" spans="1:9">
      <c r="A242" s="281">
        <v>117</v>
      </c>
      <c r="B242" s="149" t="s">
        <v>74</v>
      </c>
      <c r="C242" s="309">
        <f>VLOOKUP(A242,'2-Kosten per locatie'!$A$13:$C$88,3,FALSE)</f>
        <v>2</v>
      </c>
      <c r="D242" s="411" t="str">
        <f ca="1">VLOOKUP(A242,'3-Ruimtestaat'!B:D,3,FALSE)</f>
        <v>Oostlijn bovengronds</v>
      </c>
      <c r="E242" s="152"/>
      <c r="F242" s="153" t="s">
        <v>542</v>
      </c>
      <c r="G242" s="154" t="s">
        <v>543</v>
      </c>
      <c r="H242" s="153" t="s">
        <v>162</v>
      </c>
      <c r="I242" s="282">
        <v>7</v>
      </c>
    </row>
    <row r="243" spans="1:9">
      <c r="A243" s="281">
        <v>117</v>
      </c>
      <c r="B243" s="149" t="s">
        <v>74</v>
      </c>
      <c r="C243" s="309">
        <f>VLOOKUP(A243,'2-Kosten per locatie'!$A$13:$C$88,3,FALSE)</f>
        <v>2</v>
      </c>
      <c r="D243" s="411" t="str">
        <f ca="1">VLOOKUP(A243,'3-Ruimtestaat'!B:D,3,FALSE)</f>
        <v>Oostlijn bovengronds</v>
      </c>
      <c r="E243" s="152"/>
      <c r="F243" s="153" t="s">
        <v>342</v>
      </c>
      <c r="G243" s="154" t="s">
        <v>544</v>
      </c>
      <c r="H243" s="153" t="s">
        <v>171</v>
      </c>
      <c r="I243" s="282">
        <v>13</v>
      </c>
    </row>
    <row r="244" spans="1:9">
      <c r="A244" s="281">
        <v>117</v>
      </c>
      <c r="B244" s="149" t="s">
        <v>74</v>
      </c>
      <c r="C244" s="309">
        <f>VLOOKUP(A244,'2-Kosten per locatie'!$A$13:$C$88,3,FALSE)</f>
        <v>2</v>
      </c>
      <c r="D244" s="411" t="str">
        <f ca="1">VLOOKUP(A244,'3-Ruimtestaat'!B:D,3,FALSE)</f>
        <v>Oostlijn bovengronds</v>
      </c>
      <c r="E244" s="152"/>
      <c r="F244" s="153" t="s">
        <v>342</v>
      </c>
      <c r="G244" s="154" t="s">
        <v>545</v>
      </c>
      <c r="H244" s="153" t="s">
        <v>171</v>
      </c>
      <c r="I244" s="282">
        <v>19</v>
      </c>
    </row>
    <row r="245" spans="1:9">
      <c r="A245" s="281">
        <v>117</v>
      </c>
      <c r="B245" s="149" t="s">
        <v>74</v>
      </c>
      <c r="C245" s="309">
        <f>VLOOKUP(A245,'2-Kosten per locatie'!$A$13:$C$88,3,FALSE)</f>
        <v>2</v>
      </c>
      <c r="D245" s="411" t="str">
        <f ca="1">VLOOKUP(A245,'3-Ruimtestaat'!B:D,3,FALSE)</f>
        <v>Oostlijn bovengronds</v>
      </c>
      <c r="E245" s="152"/>
      <c r="F245" s="153" t="s">
        <v>199</v>
      </c>
      <c r="G245" s="154" t="s">
        <v>546</v>
      </c>
      <c r="H245" s="153" t="s">
        <v>171</v>
      </c>
      <c r="I245" s="282">
        <v>16</v>
      </c>
    </row>
    <row r="246" spans="1:9">
      <c r="A246" s="281">
        <v>117</v>
      </c>
      <c r="B246" s="149" t="s">
        <v>74</v>
      </c>
      <c r="C246" s="309">
        <f>VLOOKUP(A246,'2-Kosten per locatie'!$A$13:$C$88,3,FALSE)</f>
        <v>2</v>
      </c>
      <c r="D246" s="411" t="str">
        <f ca="1">VLOOKUP(A246,'3-Ruimtestaat'!B:D,3,FALSE)</f>
        <v>Oostlijn bovengronds</v>
      </c>
      <c r="E246" s="152"/>
      <c r="F246" s="153" t="s">
        <v>547</v>
      </c>
      <c r="G246" s="154" t="s">
        <v>491</v>
      </c>
      <c r="H246" s="153" t="s">
        <v>171</v>
      </c>
      <c r="I246" s="282">
        <v>28</v>
      </c>
    </row>
    <row r="247" spans="1:9">
      <c r="A247" s="281">
        <v>117</v>
      </c>
      <c r="B247" s="149" t="s">
        <v>74</v>
      </c>
      <c r="C247" s="309">
        <f>VLOOKUP(A247,'2-Kosten per locatie'!$A$13:$C$88,3,FALSE)</f>
        <v>2</v>
      </c>
      <c r="D247" s="411" t="str">
        <f ca="1">VLOOKUP(A247,'3-Ruimtestaat'!B:D,3,FALSE)</f>
        <v>Oostlijn bovengronds</v>
      </c>
      <c r="E247" s="152"/>
      <c r="F247" s="153" t="s">
        <v>548</v>
      </c>
      <c r="G247" s="154" t="s">
        <v>492</v>
      </c>
      <c r="H247" s="153" t="s">
        <v>159</v>
      </c>
      <c r="I247" s="282">
        <v>10</v>
      </c>
    </row>
    <row r="248" spans="1:9">
      <c r="A248" s="281">
        <v>117</v>
      </c>
      <c r="B248" s="149" t="s">
        <v>74</v>
      </c>
      <c r="C248" s="309">
        <f>VLOOKUP(A248,'2-Kosten per locatie'!$A$13:$C$88,3,FALSE)</f>
        <v>2</v>
      </c>
      <c r="D248" s="411" t="str">
        <f ca="1">VLOOKUP(A248,'3-Ruimtestaat'!B:D,3,FALSE)</f>
        <v>Oostlijn bovengronds</v>
      </c>
      <c r="E248" s="152"/>
      <c r="F248" s="153" t="s">
        <v>547</v>
      </c>
      <c r="G248" s="154" t="s">
        <v>549</v>
      </c>
      <c r="H248" s="153" t="s">
        <v>171</v>
      </c>
      <c r="I248" s="282">
        <v>18</v>
      </c>
    </row>
    <row r="249" spans="1:9">
      <c r="A249" s="281">
        <v>117</v>
      </c>
      <c r="B249" s="149" t="s">
        <v>74</v>
      </c>
      <c r="C249" s="309">
        <f>VLOOKUP(A249,'2-Kosten per locatie'!$A$13:$C$88,3,FALSE)</f>
        <v>2</v>
      </c>
      <c r="D249" s="411" t="str">
        <f ca="1">VLOOKUP(A249,'3-Ruimtestaat'!B:D,3,FALSE)</f>
        <v>Oostlijn bovengronds</v>
      </c>
      <c r="E249" s="152"/>
      <c r="F249" s="153" t="s">
        <v>552</v>
      </c>
      <c r="G249" s="154" t="s">
        <v>553</v>
      </c>
      <c r="H249" s="153" t="s">
        <v>214</v>
      </c>
      <c r="I249" s="282">
        <v>4</v>
      </c>
    </row>
    <row r="250" spans="1:9">
      <c r="A250" s="281">
        <v>117</v>
      </c>
      <c r="B250" s="149" t="s">
        <v>74</v>
      </c>
      <c r="C250" s="309">
        <f>VLOOKUP(A250,'2-Kosten per locatie'!$A$13:$C$88,3,FALSE)</f>
        <v>2</v>
      </c>
      <c r="D250" s="411" t="str">
        <f ca="1">VLOOKUP(A250,'3-Ruimtestaat'!B:D,3,FALSE)</f>
        <v>Oostlijn bovengronds</v>
      </c>
      <c r="E250" s="152"/>
      <c r="F250" s="153" t="s">
        <v>554</v>
      </c>
      <c r="G250" s="154" t="s">
        <v>494</v>
      </c>
      <c r="H250" s="153" t="s">
        <v>555</v>
      </c>
      <c r="I250" s="282">
        <v>144</v>
      </c>
    </row>
    <row r="251" spans="1:9">
      <c r="A251" s="281">
        <v>117</v>
      </c>
      <c r="B251" s="149" t="s">
        <v>74</v>
      </c>
      <c r="C251" s="309">
        <f>VLOOKUP(A251,'2-Kosten per locatie'!$A$13:$C$88,3,FALSE)</f>
        <v>2</v>
      </c>
      <c r="D251" s="411" t="str">
        <f ca="1">VLOOKUP(A251,'3-Ruimtestaat'!B:D,3,FALSE)</f>
        <v>Oostlijn bovengronds</v>
      </c>
      <c r="E251" s="152"/>
      <c r="F251" s="153" t="s">
        <v>495</v>
      </c>
      <c r="G251" s="154" t="s">
        <v>496</v>
      </c>
      <c r="H251" s="153" t="s">
        <v>214</v>
      </c>
      <c r="I251" s="282">
        <v>11</v>
      </c>
    </row>
    <row r="252" spans="1:9">
      <c r="A252" s="281">
        <v>117</v>
      </c>
      <c r="B252" s="149" t="s">
        <v>74</v>
      </c>
      <c r="C252" s="309">
        <f>VLOOKUP(A252,'2-Kosten per locatie'!$A$13:$C$88,3,FALSE)</f>
        <v>2</v>
      </c>
      <c r="D252" s="411" t="str">
        <f ca="1">VLOOKUP(A252,'3-Ruimtestaat'!B:D,3,FALSE)</f>
        <v>Oostlijn bovengronds</v>
      </c>
      <c r="E252" s="152"/>
      <c r="F252" s="153" t="s">
        <v>556</v>
      </c>
      <c r="G252" s="154" t="s">
        <v>498</v>
      </c>
      <c r="H252" s="153" t="s">
        <v>214</v>
      </c>
      <c r="I252" s="282">
        <v>19</v>
      </c>
    </row>
    <row r="253" spans="1:9">
      <c r="A253" s="281">
        <v>117</v>
      </c>
      <c r="B253" s="149" t="s">
        <v>74</v>
      </c>
      <c r="C253" s="309">
        <f>VLOOKUP(A253,'2-Kosten per locatie'!$A$13:$C$88,3,FALSE)</f>
        <v>2</v>
      </c>
      <c r="D253" s="411" t="str">
        <f ca="1">VLOOKUP(A253,'3-Ruimtestaat'!B:D,3,FALSE)</f>
        <v>Oostlijn bovengronds</v>
      </c>
      <c r="E253" s="152"/>
      <c r="F253" s="153" t="s">
        <v>557</v>
      </c>
      <c r="G253" s="154" t="s">
        <v>500</v>
      </c>
      <c r="H253" s="153" t="s">
        <v>405</v>
      </c>
      <c r="I253" s="282">
        <v>50</v>
      </c>
    </row>
    <row r="254" spans="1:9">
      <c r="A254" s="281">
        <v>117</v>
      </c>
      <c r="B254" s="149" t="s">
        <v>74</v>
      </c>
      <c r="C254" s="309">
        <f>VLOOKUP(A254,'2-Kosten per locatie'!$A$13:$C$88,3,FALSE)</f>
        <v>2</v>
      </c>
      <c r="D254" s="411" t="str">
        <f ca="1">VLOOKUP(A254,'3-Ruimtestaat'!B:D,3,FALSE)</f>
        <v>Oostlijn bovengronds</v>
      </c>
      <c r="E254" s="152"/>
      <c r="F254" s="153" t="s">
        <v>560</v>
      </c>
      <c r="G254" s="154" t="s">
        <v>164</v>
      </c>
      <c r="H254" s="153" t="s">
        <v>367</v>
      </c>
      <c r="I254" s="282">
        <v>15</v>
      </c>
    </row>
    <row r="255" spans="1:9">
      <c r="A255" s="281">
        <v>117</v>
      </c>
      <c r="B255" s="149" t="s">
        <v>74</v>
      </c>
      <c r="C255" s="309">
        <f>VLOOKUP(A255,'2-Kosten per locatie'!$A$13:$C$88,3,FALSE)</f>
        <v>2</v>
      </c>
      <c r="D255" s="411" t="str">
        <f ca="1">VLOOKUP(A255,'3-Ruimtestaat'!B:D,3,FALSE)</f>
        <v>Oostlijn bovengronds</v>
      </c>
      <c r="E255" s="152"/>
      <c r="F255" s="153" t="s">
        <v>237</v>
      </c>
      <c r="G255" s="154" t="s">
        <v>512</v>
      </c>
      <c r="H255" s="153" t="s">
        <v>171</v>
      </c>
      <c r="I255" s="282">
        <v>3</v>
      </c>
    </row>
    <row r="256" spans="1:9">
      <c r="A256" s="281">
        <v>117</v>
      </c>
      <c r="B256" s="149" t="s">
        <v>74</v>
      </c>
      <c r="C256" s="309">
        <f>VLOOKUP(A256,'2-Kosten per locatie'!$A$13:$C$88,3,FALSE)</f>
        <v>2</v>
      </c>
      <c r="D256" s="411" t="str">
        <f ca="1">VLOOKUP(A256,'3-Ruimtestaat'!B:D,3,FALSE)</f>
        <v>Oostlijn bovengronds</v>
      </c>
      <c r="E256" s="152"/>
      <c r="F256" s="153" t="s">
        <v>561</v>
      </c>
      <c r="G256" s="154" t="s">
        <v>562</v>
      </c>
      <c r="H256" s="153" t="s">
        <v>159</v>
      </c>
      <c r="I256" s="282">
        <v>5</v>
      </c>
    </row>
    <row r="257" spans="1:9">
      <c r="A257" s="281">
        <v>117</v>
      </c>
      <c r="B257" s="149" t="s">
        <v>74</v>
      </c>
      <c r="C257" s="309">
        <f>VLOOKUP(A257,'2-Kosten per locatie'!$A$13:$C$88,3,FALSE)</f>
        <v>2</v>
      </c>
      <c r="D257" s="411" t="str">
        <f ca="1">VLOOKUP(A257,'3-Ruimtestaat'!B:D,3,FALSE)</f>
        <v>Oostlijn bovengronds</v>
      </c>
      <c r="E257" s="152"/>
      <c r="F257" s="153" t="s">
        <v>563</v>
      </c>
      <c r="G257" s="154" t="s">
        <v>564</v>
      </c>
      <c r="H257" s="153" t="s">
        <v>159</v>
      </c>
      <c r="I257" s="282">
        <v>3</v>
      </c>
    </row>
    <row r="258" spans="1:9">
      <c r="A258" s="281">
        <v>117</v>
      </c>
      <c r="B258" s="149" t="s">
        <v>74</v>
      </c>
      <c r="C258" s="309">
        <f>VLOOKUP(A258,'2-Kosten per locatie'!$A$13:$C$88,3,FALSE)</f>
        <v>2</v>
      </c>
      <c r="D258" s="411" t="str">
        <f ca="1">VLOOKUP(A258,'3-Ruimtestaat'!B:D,3,FALSE)</f>
        <v>Oostlijn bovengronds</v>
      </c>
      <c r="E258" s="152"/>
      <c r="F258" s="153" t="s">
        <v>565</v>
      </c>
      <c r="G258" s="154" t="s">
        <v>566</v>
      </c>
      <c r="H258" s="153" t="s">
        <v>171</v>
      </c>
      <c r="I258" s="282">
        <v>2</v>
      </c>
    </row>
    <row r="259" spans="1:9">
      <c r="A259" s="281">
        <v>117</v>
      </c>
      <c r="B259" s="149" t="s">
        <v>74</v>
      </c>
      <c r="C259" s="309">
        <f>VLOOKUP(A259,'2-Kosten per locatie'!$A$13:$C$88,3,FALSE)</f>
        <v>2</v>
      </c>
      <c r="D259" s="411" t="str">
        <f ca="1">VLOOKUP(A259,'3-Ruimtestaat'!B:D,3,FALSE)</f>
        <v>Oostlijn bovengronds</v>
      </c>
      <c r="E259" s="152"/>
      <c r="F259" s="153" t="s">
        <v>569</v>
      </c>
      <c r="G259" s="154" t="s">
        <v>570</v>
      </c>
      <c r="H259" s="153" t="s">
        <v>159</v>
      </c>
      <c r="I259" s="282">
        <v>6</v>
      </c>
    </row>
    <row r="260" spans="1:9">
      <c r="A260" s="281">
        <v>117</v>
      </c>
      <c r="B260" s="149" t="s">
        <v>74</v>
      </c>
      <c r="C260" s="309">
        <f>VLOOKUP(A260,'2-Kosten per locatie'!$A$13:$C$88,3,FALSE)</f>
        <v>2</v>
      </c>
      <c r="D260" s="411" t="str">
        <f ca="1">VLOOKUP(A260,'3-Ruimtestaat'!B:D,3,FALSE)</f>
        <v>Oostlijn bovengronds</v>
      </c>
      <c r="E260" s="152"/>
      <c r="F260" s="153" t="s">
        <v>571</v>
      </c>
      <c r="G260" s="154" t="s">
        <v>521</v>
      </c>
      <c r="H260" s="153" t="s">
        <v>159</v>
      </c>
      <c r="I260" s="282">
        <v>2</v>
      </c>
    </row>
    <row r="261" spans="1:9">
      <c r="A261" s="281">
        <v>117</v>
      </c>
      <c r="B261" s="149" t="s">
        <v>74</v>
      </c>
      <c r="C261" s="309">
        <f>VLOOKUP(A261,'2-Kosten per locatie'!$A$13:$C$88,3,FALSE)</f>
        <v>2</v>
      </c>
      <c r="D261" s="411" t="str">
        <f ca="1">VLOOKUP(A261,'3-Ruimtestaat'!B:D,3,FALSE)</f>
        <v>Oostlijn bovengronds</v>
      </c>
      <c r="E261" s="152"/>
      <c r="F261" s="153" t="s">
        <v>572</v>
      </c>
      <c r="G261" s="154" t="s">
        <v>522</v>
      </c>
      <c r="H261" s="153" t="s">
        <v>214</v>
      </c>
      <c r="I261" s="282">
        <v>6</v>
      </c>
    </row>
    <row r="262" spans="1:9">
      <c r="A262" s="281">
        <v>117</v>
      </c>
      <c r="B262" s="149" t="s">
        <v>74</v>
      </c>
      <c r="C262" s="309">
        <f>VLOOKUP(A262,'2-Kosten per locatie'!$A$13:$C$88,3,FALSE)</f>
        <v>2</v>
      </c>
      <c r="D262" s="411" t="str">
        <f ca="1">VLOOKUP(A262,'3-Ruimtestaat'!B:D,3,FALSE)</f>
        <v>Oostlijn bovengronds</v>
      </c>
      <c r="E262" s="152"/>
      <c r="F262" s="153" t="s">
        <v>375</v>
      </c>
      <c r="G262" s="154" t="s">
        <v>574</v>
      </c>
      <c r="H262" s="153" t="s">
        <v>171</v>
      </c>
      <c r="I262" s="282">
        <v>12</v>
      </c>
    </row>
    <row r="263" spans="1:9">
      <c r="A263" s="281">
        <v>117</v>
      </c>
      <c r="B263" s="149" t="s">
        <v>74</v>
      </c>
      <c r="C263" s="309">
        <f>VLOOKUP(A263,'2-Kosten per locatie'!$A$13:$C$88,3,FALSE)</f>
        <v>2</v>
      </c>
      <c r="D263" s="411" t="str">
        <f ca="1">VLOOKUP(A263,'3-Ruimtestaat'!B:D,3,FALSE)</f>
        <v>Oostlijn bovengronds</v>
      </c>
      <c r="E263" s="152"/>
      <c r="F263" s="153" t="s">
        <v>571</v>
      </c>
      <c r="G263" s="154" t="s">
        <v>575</v>
      </c>
      <c r="H263" s="153" t="s">
        <v>214</v>
      </c>
      <c r="I263" s="282">
        <v>9</v>
      </c>
    </row>
    <row r="264" spans="1:9">
      <c r="A264" s="281">
        <v>117</v>
      </c>
      <c r="B264" s="149" t="s">
        <v>74</v>
      </c>
      <c r="C264" s="309">
        <f>VLOOKUP(A264,'2-Kosten per locatie'!$A$13:$C$88,3,FALSE)</f>
        <v>2</v>
      </c>
      <c r="D264" s="411" t="str">
        <f ca="1">VLOOKUP(A264,'3-Ruimtestaat'!B:D,3,FALSE)</f>
        <v>Oostlijn bovengronds</v>
      </c>
      <c r="E264" s="152"/>
      <c r="F264" s="153" t="s">
        <v>576</v>
      </c>
      <c r="G264" s="154" t="s">
        <v>577</v>
      </c>
      <c r="H264" s="153" t="s">
        <v>171</v>
      </c>
      <c r="I264" s="282">
        <v>22</v>
      </c>
    </row>
    <row r="265" spans="1:9">
      <c r="A265" s="281">
        <v>117</v>
      </c>
      <c r="B265" s="149" t="s">
        <v>74</v>
      </c>
      <c r="C265" s="309">
        <f>VLOOKUP(A265,'2-Kosten per locatie'!$A$13:$C$88,3,FALSE)</f>
        <v>2</v>
      </c>
      <c r="D265" s="411" t="str">
        <f ca="1">VLOOKUP(A265,'3-Ruimtestaat'!B:D,3,FALSE)</f>
        <v>Oostlijn bovengronds</v>
      </c>
      <c r="E265" s="152"/>
      <c r="F265" s="153" t="s">
        <v>576</v>
      </c>
      <c r="G265" s="154" t="s">
        <v>579</v>
      </c>
      <c r="H265" s="153" t="s">
        <v>171</v>
      </c>
      <c r="I265" s="282">
        <v>20</v>
      </c>
    </row>
    <row r="266" spans="1:9">
      <c r="A266" s="281">
        <v>117</v>
      </c>
      <c r="B266" s="149" t="s">
        <v>74</v>
      </c>
      <c r="C266" s="309">
        <f>VLOOKUP(A266,'2-Kosten per locatie'!$A$13:$C$88,3,FALSE)</f>
        <v>2</v>
      </c>
      <c r="D266" s="411" t="str">
        <f ca="1">VLOOKUP(A266,'3-Ruimtestaat'!B:D,3,FALSE)</f>
        <v>Oostlijn bovengronds</v>
      </c>
      <c r="E266" s="152"/>
      <c r="F266" s="153" t="s">
        <v>580</v>
      </c>
      <c r="G266" s="154" t="s">
        <v>532</v>
      </c>
      <c r="H266" s="153" t="s">
        <v>214</v>
      </c>
      <c r="I266" s="282">
        <v>57</v>
      </c>
    </row>
    <row r="267" spans="1:9">
      <c r="A267" s="281">
        <v>117</v>
      </c>
      <c r="B267" s="149" t="s">
        <v>74</v>
      </c>
      <c r="C267" s="309">
        <f>VLOOKUP(A267,'2-Kosten per locatie'!$A$13:$C$88,3,FALSE)</f>
        <v>2</v>
      </c>
      <c r="D267" s="411" t="str">
        <f ca="1">VLOOKUP(A267,'3-Ruimtestaat'!B:D,3,FALSE)</f>
        <v>Oostlijn bovengronds</v>
      </c>
      <c r="E267" s="152"/>
      <c r="F267" s="153" t="s">
        <v>581</v>
      </c>
      <c r="G267" s="154" t="s">
        <v>533</v>
      </c>
      <c r="H267" s="153" t="s">
        <v>214</v>
      </c>
      <c r="I267" s="282">
        <v>16</v>
      </c>
    </row>
    <row r="268" spans="1:9">
      <c r="A268" s="281">
        <v>117</v>
      </c>
      <c r="B268" s="149" t="s">
        <v>74</v>
      </c>
      <c r="C268" s="309">
        <f>VLOOKUP(A268,'2-Kosten per locatie'!$A$13:$C$88,3,FALSE)</f>
        <v>2</v>
      </c>
      <c r="D268" s="411" t="str">
        <f ca="1">VLOOKUP(A268,'3-Ruimtestaat'!B:D,3,FALSE)</f>
        <v>Oostlijn bovengronds</v>
      </c>
      <c r="E268" s="152"/>
      <c r="F268" s="153" t="s">
        <v>563</v>
      </c>
      <c r="G268" s="154" t="s">
        <v>535</v>
      </c>
      <c r="H268" s="153" t="s">
        <v>171</v>
      </c>
      <c r="I268" s="282">
        <v>4</v>
      </c>
    </row>
    <row r="269" spans="1:9">
      <c r="A269" s="281">
        <v>118</v>
      </c>
      <c r="B269" s="149" t="s">
        <v>75</v>
      </c>
      <c r="C269" s="309">
        <f>VLOOKUP(A269,'2-Kosten per locatie'!$A$13:$C$88,3,FALSE)</f>
        <v>2</v>
      </c>
      <c r="D269" s="411" t="str">
        <f ca="1">VLOOKUP(A269,'3-Ruimtestaat'!B:D,3,FALSE)</f>
        <v>Oostlijn bovengronds</v>
      </c>
      <c r="E269" s="152"/>
      <c r="F269" s="153" t="s">
        <v>548</v>
      </c>
      <c r="G269" s="154" t="s">
        <v>491</v>
      </c>
      <c r="H269" s="153" t="s">
        <v>159</v>
      </c>
      <c r="I269" s="282">
        <v>5</v>
      </c>
    </row>
    <row r="270" spans="1:9">
      <c r="A270" s="281">
        <v>118</v>
      </c>
      <c r="B270" s="149" t="s">
        <v>75</v>
      </c>
      <c r="C270" s="309">
        <f>VLOOKUP(A270,'2-Kosten per locatie'!$A$13:$C$88,3,FALSE)</f>
        <v>2</v>
      </c>
      <c r="D270" s="411" t="str">
        <f ca="1">VLOOKUP(A270,'3-Ruimtestaat'!B:D,3,FALSE)</f>
        <v>Oostlijn bovengronds</v>
      </c>
      <c r="E270" s="152"/>
      <c r="F270" s="153" t="s">
        <v>547</v>
      </c>
      <c r="G270" s="154" t="s">
        <v>492</v>
      </c>
      <c r="H270" s="153" t="s">
        <v>171</v>
      </c>
      <c r="I270" s="282">
        <v>40</v>
      </c>
    </row>
    <row r="271" spans="1:9">
      <c r="A271" s="281">
        <v>118</v>
      </c>
      <c r="B271" s="149" t="s">
        <v>75</v>
      </c>
      <c r="C271" s="309">
        <f>VLOOKUP(A271,'2-Kosten per locatie'!$A$13:$C$88,3,FALSE)</f>
        <v>2</v>
      </c>
      <c r="D271" s="411" t="str">
        <f ca="1">VLOOKUP(A271,'3-Ruimtestaat'!B:D,3,FALSE)</f>
        <v>Oostlijn bovengronds</v>
      </c>
      <c r="E271" s="152"/>
      <c r="F271" s="153" t="s">
        <v>587</v>
      </c>
      <c r="G271" s="154" t="s">
        <v>494</v>
      </c>
      <c r="H271" s="153" t="s">
        <v>214</v>
      </c>
      <c r="I271" s="282">
        <v>36</v>
      </c>
    </row>
    <row r="272" spans="1:9">
      <c r="A272" s="281">
        <v>118</v>
      </c>
      <c r="B272" s="149" t="s">
        <v>75</v>
      </c>
      <c r="C272" s="309">
        <f>VLOOKUP(A272,'2-Kosten per locatie'!$A$13:$C$88,3,FALSE)</f>
        <v>2</v>
      </c>
      <c r="D272" s="411" t="str">
        <f ca="1">VLOOKUP(A272,'3-Ruimtestaat'!B:D,3,FALSE)</f>
        <v>Oostlijn bovengronds</v>
      </c>
      <c r="E272" s="152"/>
      <c r="F272" s="153" t="s">
        <v>588</v>
      </c>
      <c r="G272" s="154" t="s">
        <v>496</v>
      </c>
      <c r="H272" s="153" t="s">
        <v>214</v>
      </c>
      <c r="I272" s="282">
        <v>11</v>
      </c>
    </row>
    <row r="273" spans="1:9">
      <c r="A273" s="281">
        <v>118</v>
      </c>
      <c r="B273" s="149" t="s">
        <v>75</v>
      </c>
      <c r="C273" s="309">
        <f>VLOOKUP(A273,'2-Kosten per locatie'!$A$13:$C$88,3,FALSE)</f>
        <v>2</v>
      </c>
      <c r="D273" s="411" t="str">
        <f ca="1">VLOOKUP(A273,'3-Ruimtestaat'!B:D,3,FALSE)</f>
        <v>Oostlijn bovengronds</v>
      </c>
      <c r="E273" s="152"/>
      <c r="F273" s="153" t="s">
        <v>589</v>
      </c>
      <c r="G273" s="154" t="s">
        <v>498</v>
      </c>
      <c r="H273" s="153" t="s">
        <v>214</v>
      </c>
      <c r="I273" s="282">
        <v>8</v>
      </c>
    </row>
    <row r="274" spans="1:9">
      <c r="A274" s="281">
        <v>118</v>
      </c>
      <c r="B274" s="149" t="s">
        <v>75</v>
      </c>
      <c r="C274" s="309">
        <f>VLOOKUP(A274,'2-Kosten per locatie'!$A$13:$C$88,3,FALSE)</f>
        <v>2</v>
      </c>
      <c r="D274" s="411" t="str">
        <f ca="1">VLOOKUP(A274,'3-Ruimtestaat'!B:D,3,FALSE)</f>
        <v>Oostlijn bovengronds</v>
      </c>
      <c r="E274" s="152"/>
      <c r="F274" s="153" t="s">
        <v>495</v>
      </c>
      <c r="G274" s="154" t="s">
        <v>500</v>
      </c>
      <c r="H274" s="153" t="s">
        <v>214</v>
      </c>
      <c r="I274" s="282">
        <v>9</v>
      </c>
    </row>
    <row r="275" spans="1:9">
      <c r="A275" s="281">
        <v>118</v>
      </c>
      <c r="B275" s="149" t="s">
        <v>75</v>
      </c>
      <c r="C275" s="309">
        <f>VLOOKUP(A275,'2-Kosten per locatie'!$A$13:$C$88,3,FALSE)</f>
        <v>2</v>
      </c>
      <c r="D275" s="411" t="str">
        <f ca="1">VLOOKUP(A275,'3-Ruimtestaat'!B:D,3,FALSE)</f>
        <v>Oostlijn bovengronds</v>
      </c>
      <c r="E275" s="152"/>
      <c r="F275" s="153" t="s">
        <v>590</v>
      </c>
      <c r="G275" s="154" t="s">
        <v>504</v>
      </c>
      <c r="H275" s="153" t="s">
        <v>214</v>
      </c>
      <c r="I275" s="282">
        <v>29</v>
      </c>
    </row>
    <row r="276" spans="1:9">
      <c r="A276" s="281">
        <v>118</v>
      </c>
      <c r="B276" s="149" t="s">
        <v>75</v>
      </c>
      <c r="C276" s="309">
        <f>VLOOKUP(A276,'2-Kosten per locatie'!$A$13:$C$88,3,FALSE)</f>
        <v>2</v>
      </c>
      <c r="D276" s="411" t="str">
        <f ca="1">VLOOKUP(A276,'3-Ruimtestaat'!B:D,3,FALSE)</f>
        <v>Oostlijn bovengronds</v>
      </c>
      <c r="E276" s="152"/>
      <c r="F276" s="153" t="s">
        <v>381</v>
      </c>
      <c r="G276" s="154" t="s">
        <v>164</v>
      </c>
      <c r="H276" s="153" t="s">
        <v>162</v>
      </c>
      <c r="I276" s="282">
        <v>24</v>
      </c>
    </row>
    <row r="277" spans="1:9">
      <c r="A277" s="281">
        <v>118</v>
      </c>
      <c r="B277" s="149" t="s">
        <v>75</v>
      </c>
      <c r="C277" s="309">
        <f>VLOOKUP(A277,'2-Kosten per locatie'!$A$13:$C$88,3,FALSE)</f>
        <v>2</v>
      </c>
      <c r="D277" s="411" t="str">
        <f ca="1">VLOOKUP(A277,'3-Ruimtestaat'!B:D,3,FALSE)</f>
        <v>Oostlijn bovengronds</v>
      </c>
      <c r="E277" s="152"/>
      <c r="F277" s="153" t="s">
        <v>197</v>
      </c>
      <c r="G277" s="154" t="s">
        <v>591</v>
      </c>
      <c r="H277" s="153" t="s">
        <v>171</v>
      </c>
      <c r="I277" s="282">
        <v>10</v>
      </c>
    </row>
    <row r="278" spans="1:9">
      <c r="A278" s="281">
        <v>118</v>
      </c>
      <c r="B278" s="149" t="s">
        <v>75</v>
      </c>
      <c r="C278" s="309">
        <f>VLOOKUP(A278,'2-Kosten per locatie'!$A$13:$C$88,3,FALSE)</f>
        <v>2</v>
      </c>
      <c r="D278" s="411" t="str">
        <f ca="1">VLOOKUP(A278,'3-Ruimtestaat'!B:D,3,FALSE)</f>
        <v>Oostlijn bovengronds</v>
      </c>
      <c r="E278" s="152"/>
      <c r="F278" s="153" t="s">
        <v>592</v>
      </c>
      <c r="G278" s="154" t="s">
        <v>593</v>
      </c>
      <c r="H278" s="153" t="s">
        <v>171</v>
      </c>
      <c r="I278" s="282">
        <v>7</v>
      </c>
    </row>
    <row r="279" spans="1:9">
      <c r="A279" s="281">
        <v>118</v>
      </c>
      <c r="B279" s="149" t="s">
        <v>75</v>
      </c>
      <c r="C279" s="309">
        <f>VLOOKUP(A279,'2-Kosten per locatie'!$A$13:$C$88,3,FALSE)</f>
        <v>2</v>
      </c>
      <c r="D279" s="411" t="str">
        <f ca="1">VLOOKUP(A279,'3-Ruimtestaat'!B:D,3,FALSE)</f>
        <v>Oostlijn bovengronds</v>
      </c>
      <c r="E279" s="152"/>
      <c r="F279" s="153" t="s">
        <v>199</v>
      </c>
      <c r="G279" s="154" t="s">
        <v>510</v>
      </c>
      <c r="H279" s="153" t="s">
        <v>171</v>
      </c>
      <c r="I279" s="282">
        <v>9</v>
      </c>
    </row>
    <row r="280" spans="1:9">
      <c r="A280" s="281">
        <v>118</v>
      </c>
      <c r="B280" s="149" t="s">
        <v>75</v>
      </c>
      <c r="C280" s="309">
        <f>VLOOKUP(A280,'2-Kosten per locatie'!$A$13:$C$88,3,FALSE)</f>
        <v>2</v>
      </c>
      <c r="D280" s="411" t="str">
        <f ca="1">VLOOKUP(A280,'3-Ruimtestaat'!B:D,3,FALSE)</f>
        <v>Oostlijn bovengronds</v>
      </c>
      <c r="E280" s="152"/>
      <c r="F280" s="153" t="s">
        <v>596</v>
      </c>
      <c r="G280" s="154" t="s">
        <v>517</v>
      </c>
      <c r="H280" s="153" t="s">
        <v>171</v>
      </c>
      <c r="I280" s="282">
        <v>4</v>
      </c>
    </row>
    <row r="281" spans="1:9">
      <c r="A281" s="281">
        <v>118</v>
      </c>
      <c r="B281" s="149" t="s">
        <v>75</v>
      </c>
      <c r="C281" s="309">
        <f>VLOOKUP(A281,'2-Kosten per locatie'!$A$13:$C$88,3,FALSE)</f>
        <v>2</v>
      </c>
      <c r="D281" s="411" t="str">
        <f ca="1">VLOOKUP(A281,'3-Ruimtestaat'!B:D,3,FALSE)</f>
        <v>Oostlijn bovengronds</v>
      </c>
      <c r="E281" s="152"/>
      <c r="F281" s="153" t="s">
        <v>597</v>
      </c>
      <c r="G281" s="154" t="s">
        <v>522</v>
      </c>
      <c r="H281" s="153" t="s">
        <v>159</v>
      </c>
      <c r="I281" s="282">
        <v>1</v>
      </c>
    </row>
    <row r="282" spans="1:9">
      <c r="A282" s="281">
        <v>118</v>
      </c>
      <c r="B282" s="149" t="s">
        <v>75</v>
      </c>
      <c r="C282" s="309">
        <f>VLOOKUP(A282,'2-Kosten per locatie'!$A$13:$C$88,3,FALSE)</f>
        <v>2</v>
      </c>
      <c r="D282" s="411" t="str">
        <f ca="1">VLOOKUP(A282,'3-Ruimtestaat'!B:D,3,FALSE)</f>
        <v>Oostlijn bovengronds</v>
      </c>
      <c r="E282" s="152"/>
      <c r="F282" s="153" t="s">
        <v>600</v>
      </c>
      <c r="G282" s="154" t="s">
        <v>528</v>
      </c>
      <c r="H282" s="153" t="s">
        <v>171</v>
      </c>
      <c r="I282" s="282">
        <v>19</v>
      </c>
    </row>
    <row r="283" spans="1:9">
      <c r="A283" s="281">
        <v>119</v>
      </c>
      <c r="B283" s="149" t="s">
        <v>76</v>
      </c>
      <c r="C283" s="309">
        <f>VLOOKUP(A283,'2-Kosten per locatie'!$A$13:$C$88,3,FALSE)</f>
        <v>2</v>
      </c>
      <c r="D283" s="411" t="str">
        <f ca="1">VLOOKUP(A283,'3-Ruimtestaat'!B:D,3,FALSE)</f>
        <v>Oostlijn bovengronds</v>
      </c>
      <c r="E283" s="152"/>
      <c r="F283" s="153" t="s">
        <v>342</v>
      </c>
      <c r="G283" s="154" t="s">
        <v>282</v>
      </c>
      <c r="H283" s="153" t="s">
        <v>171</v>
      </c>
      <c r="I283" s="282">
        <v>9</v>
      </c>
    </row>
    <row r="284" spans="1:9">
      <c r="A284" s="281">
        <v>119</v>
      </c>
      <c r="B284" s="149" t="s">
        <v>76</v>
      </c>
      <c r="C284" s="309">
        <f>VLOOKUP(A284,'2-Kosten per locatie'!$A$13:$C$88,3,FALSE)</f>
        <v>2</v>
      </c>
      <c r="D284" s="411" t="str">
        <f ca="1">VLOOKUP(A284,'3-Ruimtestaat'!B:D,3,FALSE)</f>
        <v>Oostlijn bovengronds</v>
      </c>
      <c r="E284" s="152"/>
      <c r="F284" s="153" t="s">
        <v>601</v>
      </c>
      <c r="G284" s="154" t="s">
        <v>593</v>
      </c>
      <c r="H284" s="153" t="s">
        <v>171</v>
      </c>
      <c r="I284" s="282">
        <v>4</v>
      </c>
    </row>
    <row r="285" spans="1:9">
      <c r="A285" s="281">
        <v>119</v>
      </c>
      <c r="B285" s="149" t="s">
        <v>76</v>
      </c>
      <c r="C285" s="309">
        <f>VLOOKUP(A285,'2-Kosten per locatie'!$A$13:$C$88,3,FALSE)</f>
        <v>2</v>
      </c>
      <c r="D285" s="411" t="str">
        <f ca="1">VLOOKUP(A285,'3-Ruimtestaat'!B:D,3,FALSE)</f>
        <v>Oostlijn bovengronds</v>
      </c>
      <c r="E285" s="152"/>
      <c r="F285" s="153" t="s">
        <v>602</v>
      </c>
      <c r="G285" s="154" t="s">
        <v>510</v>
      </c>
      <c r="H285" s="153" t="s">
        <v>214</v>
      </c>
      <c r="I285" s="282">
        <v>6</v>
      </c>
    </row>
    <row r="286" spans="1:9">
      <c r="A286" s="281">
        <v>119</v>
      </c>
      <c r="B286" s="149" t="s">
        <v>76</v>
      </c>
      <c r="C286" s="309">
        <f>VLOOKUP(A286,'2-Kosten per locatie'!$A$13:$C$88,3,FALSE)</f>
        <v>2</v>
      </c>
      <c r="D286" s="411" t="str">
        <f ca="1">VLOOKUP(A286,'3-Ruimtestaat'!B:D,3,FALSE)</f>
        <v>Oostlijn bovengronds</v>
      </c>
      <c r="E286" s="152"/>
      <c r="F286" s="153" t="s">
        <v>602</v>
      </c>
      <c r="G286" s="154" t="s">
        <v>603</v>
      </c>
      <c r="H286" s="153" t="s">
        <v>214</v>
      </c>
      <c r="I286" s="282">
        <v>6</v>
      </c>
    </row>
    <row r="287" spans="1:9">
      <c r="A287" s="281">
        <v>119</v>
      </c>
      <c r="B287" s="149" t="s">
        <v>76</v>
      </c>
      <c r="C287" s="309">
        <f>VLOOKUP(A287,'2-Kosten per locatie'!$A$13:$C$88,3,FALSE)</f>
        <v>2</v>
      </c>
      <c r="D287" s="411" t="str">
        <f ca="1">VLOOKUP(A287,'3-Ruimtestaat'!B:D,3,FALSE)</f>
        <v>Oostlijn bovengronds</v>
      </c>
      <c r="E287" s="152"/>
      <c r="F287" s="153" t="s">
        <v>604</v>
      </c>
      <c r="G287" s="154" t="s">
        <v>512</v>
      </c>
      <c r="H287" s="153" t="s">
        <v>159</v>
      </c>
      <c r="I287" s="282">
        <v>12</v>
      </c>
    </row>
    <row r="288" spans="1:9">
      <c r="A288" s="281">
        <v>119</v>
      </c>
      <c r="B288" s="149" t="s">
        <v>76</v>
      </c>
      <c r="C288" s="309">
        <f>VLOOKUP(A288,'2-Kosten per locatie'!$A$13:$C$88,3,FALSE)</f>
        <v>2</v>
      </c>
      <c r="D288" s="411" t="str">
        <f ca="1">VLOOKUP(A288,'3-Ruimtestaat'!B:D,3,FALSE)</f>
        <v>Oostlijn bovengronds</v>
      </c>
      <c r="E288" s="152"/>
      <c r="F288" s="153" t="s">
        <v>542</v>
      </c>
      <c r="G288" s="154" t="s">
        <v>527</v>
      </c>
      <c r="H288" s="153" t="s">
        <v>171</v>
      </c>
      <c r="I288" s="282">
        <v>15</v>
      </c>
    </row>
    <row r="289" spans="1:9">
      <c r="A289" s="281">
        <v>119</v>
      </c>
      <c r="B289" s="149" t="s">
        <v>76</v>
      </c>
      <c r="C289" s="309">
        <f>VLOOKUP(A289,'2-Kosten per locatie'!$A$13:$C$88,3,FALSE)</f>
        <v>2</v>
      </c>
      <c r="D289" s="411" t="str">
        <f ca="1">VLOOKUP(A289,'3-Ruimtestaat'!B:D,3,FALSE)</f>
        <v>Oostlijn bovengronds</v>
      </c>
      <c r="E289" s="152"/>
      <c r="F289" s="153" t="s">
        <v>615</v>
      </c>
      <c r="G289" s="154" t="s">
        <v>616</v>
      </c>
      <c r="H289" s="153" t="s">
        <v>222</v>
      </c>
      <c r="I289" s="282">
        <v>20</v>
      </c>
    </row>
    <row r="290" spans="1:9">
      <c r="A290" s="281">
        <v>119</v>
      </c>
      <c r="B290" s="149" t="s">
        <v>76</v>
      </c>
      <c r="C290" s="309">
        <f>VLOOKUP(A290,'2-Kosten per locatie'!$A$13:$C$88,3,FALSE)</f>
        <v>2</v>
      </c>
      <c r="D290" s="411" t="str">
        <f ca="1">VLOOKUP(A290,'3-Ruimtestaat'!B:D,3,FALSE)</f>
        <v>Oostlijn bovengronds</v>
      </c>
      <c r="E290" s="152"/>
      <c r="F290" s="153" t="s">
        <v>183</v>
      </c>
      <c r="G290" s="154" t="s">
        <v>619</v>
      </c>
      <c r="H290" s="153" t="s">
        <v>214</v>
      </c>
      <c r="I290" s="282">
        <v>3</v>
      </c>
    </row>
    <row r="291" spans="1:9">
      <c r="A291" s="281">
        <v>120</v>
      </c>
      <c r="B291" s="149" t="s">
        <v>77</v>
      </c>
      <c r="C291" s="309">
        <f>VLOOKUP(A291,'2-Kosten per locatie'!$A$13:$C$88,3,FALSE)</f>
        <v>2</v>
      </c>
      <c r="D291" s="411" t="str">
        <f ca="1">VLOOKUP(A291,'3-Ruimtestaat'!B:D,3,FALSE)</f>
        <v>Oostlijn bovengronds</v>
      </c>
      <c r="E291" s="152"/>
      <c r="F291" s="153" t="s">
        <v>342</v>
      </c>
      <c r="G291" s="154" t="s">
        <v>622</v>
      </c>
      <c r="H291" s="153" t="s">
        <v>171</v>
      </c>
      <c r="I291" s="282">
        <v>15</v>
      </c>
    </row>
    <row r="292" spans="1:9">
      <c r="A292" s="281">
        <v>120</v>
      </c>
      <c r="B292" s="149" t="s">
        <v>77</v>
      </c>
      <c r="C292" s="309">
        <f>VLOOKUP(A292,'2-Kosten per locatie'!$A$13:$C$88,3,FALSE)</f>
        <v>2</v>
      </c>
      <c r="D292" s="411" t="str">
        <f ca="1">VLOOKUP(A292,'3-Ruimtestaat'!B:D,3,FALSE)</f>
        <v>Oostlijn bovengronds</v>
      </c>
      <c r="E292" s="152"/>
      <c r="F292" s="153" t="s">
        <v>601</v>
      </c>
      <c r="G292" s="154" t="s">
        <v>623</v>
      </c>
      <c r="H292" s="153" t="s">
        <v>171</v>
      </c>
      <c r="I292" s="282">
        <v>8</v>
      </c>
    </row>
    <row r="293" spans="1:9">
      <c r="A293" s="281">
        <v>120</v>
      </c>
      <c r="B293" s="149" t="s">
        <v>77</v>
      </c>
      <c r="C293" s="309">
        <f>VLOOKUP(A293,'2-Kosten per locatie'!$A$13:$C$88,3,FALSE)</f>
        <v>2</v>
      </c>
      <c r="D293" s="411" t="str">
        <f ca="1">VLOOKUP(A293,'3-Ruimtestaat'!B:D,3,FALSE)</f>
        <v>Oostlijn bovengronds</v>
      </c>
      <c r="E293" s="152"/>
      <c r="F293" s="153" t="s">
        <v>602</v>
      </c>
      <c r="G293" s="154" t="s">
        <v>510</v>
      </c>
      <c r="H293" s="153" t="s">
        <v>171</v>
      </c>
      <c r="I293" s="282">
        <v>12</v>
      </c>
    </row>
    <row r="294" spans="1:9">
      <c r="A294" s="281">
        <v>120</v>
      </c>
      <c r="B294" s="149" t="s">
        <v>77</v>
      </c>
      <c r="C294" s="309">
        <f>VLOOKUP(A294,'2-Kosten per locatie'!$A$13:$C$88,3,FALSE)</f>
        <v>2</v>
      </c>
      <c r="D294" s="411" t="str">
        <f ca="1">VLOOKUP(A294,'3-Ruimtestaat'!B:D,3,FALSE)</f>
        <v>Oostlijn bovengronds</v>
      </c>
      <c r="E294" s="152"/>
      <c r="F294" s="153" t="s">
        <v>602</v>
      </c>
      <c r="G294" s="154" t="s">
        <v>603</v>
      </c>
      <c r="H294" s="153" t="s">
        <v>171</v>
      </c>
      <c r="I294" s="282">
        <v>12</v>
      </c>
    </row>
    <row r="295" spans="1:9">
      <c r="A295" s="281">
        <v>120</v>
      </c>
      <c r="B295" s="149" t="s">
        <v>77</v>
      </c>
      <c r="C295" s="309">
        <f>VLOOKUP(A295,'2-Kosten per locatie'!$A$13:$C$88,3,FALSE)</f>
        <v>2</v>
      </c>
      <c r="D295" s="411" t="str">
        <f ca="1">VLOOKUP(A295,'3-Ruimtestaat'!B:D,3,FALSE)</f>
        <v>Oostlijn bovengronds</v>
      </c>
      <c r="E295" s="152"/>
      <c r="F295" s="153" t="s">
        <v>604</v>
      </c>
      <c r="G295" s="154" t="s">
        <v>513</v>
      </c>
      <c r="H295" s="153" t="s">
        <v>171</v>
      </c>
      <c r="I295" s="282">
        <v>5</v>
      </c>
    </row>
    <row r="296" spans="1:9">
      <c r="A296" s="281">
        <v>120</v>
      </c>
      <c r="B296" s="149" t="s">
        <v>77</v>
      </c>
      <c r="C296" s="309">
        <f>VLOOKUP(A296,'2-Kosten per locatie'!$A$13:$C$88,3,FALSE)</f>
        <v>2</v>
      </c>
      <c r="D296" s="411" t="str">
        <f ca="1">VLOOKUP(A296,'3-Ruimtestaat'!B:D,3,FALSE)</f>
        <v>Oostlijn bovengronds</v>
      </c>
      <c r="E296" s="152"/>
      <c r="F296" s="153" t="s">
        <v>490</v>
      </c>
      <c r="G296" s="154" t="s">
        <v>166</v>
      </c>
      <c r="H296" s="153" t="s">
        <v>171</v>
      </c>
      <c r="I296" s="282">
        <v>50</v>
      </c>
    </row>
    <row r="297" spans="1:9">
      <c r="A297" s="281">
        <v>120</v>
      </c>
      <c r="B297" s="149" t="s">
        <v>77</v>
      </c>
      <c r="C297" s="309">
        <f>VLOOKUP(A297,'2-Kosten per locatie'!$A$13:$C$88,3,FALSE)</f>
        <v>2</v>
      </c>
      <c r="D297" s="411" t="str">
        <f ca="1">VLOOKUP(A297,'3-Ruimtestaat'!B:D,3,FALSE)</f>
        <v>Oostlijn bovengronds</v>
      </c>
      <c r="E297" s="152"/>
      <c r="F297" s="153" t="s">
        <v>625</v>
      </c>
      <c r="G297" s="154" t="s">
        <v>626</v>
      </c>
      <c r="H297" s="153" t="s">
        <v>171</v>
      </c>
      <c r="I297" s="282">
        <v>3</v>
      </c>
    </row>
    <row r="298" spans="1:9">
      <c r="A298" s="281">
        <v>120</v>
      </c>
      <c r="B298" s="149" t="s">
        <v>77</v>
      </c>
      <c r="C298" s="309">
        <f>VLOOKUP(A298,'2-Kosten per locatie'!$A$13:$C$88,3,FALSE)</f>
        <v>2</v>
      </c>
      <c r="D298" s="411" t="str">
        <f ca="1">VLOOKUP(A298,'3-Ruimtestaat'!B:D,3,FALSE)</f>
        <v>Oostlijn bovengronds</v>
      </c>
      <c r="E298" s="152"/>
      <c r="F298" s="153" t="s">
        <v>542</v>
      </c>
      <c r="G298" s="154" t="s">
        <v>627</v>
      </c>
      <c r="H298" s="153" t="s">
        <v>171</v>
      </c>
      <c r="I298" s="282">
        <v>34</v>
      </c>
    </row>
    <row r="299" spans="1:9">
      <c r="A299" s="281">
        <v>120</v>
      </c>
      <c r="B299" s="149" t="s">
        <v>77</v>
      </c>
      <c r="C299" s="309">
        <f>VLOOKUP(A299,'2-Kosten per locatie'!$A$13:$C$88,3,FALSE)</f>
        <v>2</v>
      </c>
      <c r="D299" s="411" t="str">
        <f ca="1">VLOOKUP(A299,'3-Ruimtestaat'!B:D,3,FALSE)</f>
        <v>Oostlijn bovengronds</v>
      </c>
      <c r="E299" s="152"/>
      <c r="F299" s="153" t="s">
        <v>615</v>
      </c>
      <c r="G299" s="154" t="s">
        <v>628</v>
      </c>
      <c r="H299" s="153" t="s">
        <v>171</v>
      </c>
      <c r="I299" s="282">
        <v>26</v>
      </c>
    </row>
    <row r="300" spans="1:9">
      <c r="A300" s="281">
        <v>121</v>
      </c>
      <c r="B300" s="149" t="s">
        <v>78</v>
      </c>
      <c r="C300" s="309">
        <f>VLOOKUP(A300,'2-Kosten per locatie'!$A$13:$C$88,3,FALSE)</f>
        <v>2</v>
      </c>
      <c r="D300" s="411" t="str">
        <f ca="1">VLOOKUP(A300,'3-Ruimtestaat'!B:D,3,FALSE)</f>
        <v>Oostlijn bovengronds</v>
      </c>
      <c r="E300" s="152"/>
      <c r="F300" s="153" t="s">
        <v>381</v>
      </c>
      <c r="G300" s="154" t="s">
        <v>635</v>
      </c>
      <c r="H300" s="153" t="s">
        <v>162</v>
      </c>
      <c r="I300" s="282">
        <v>41</v>
      </c>
    </row>
    <row r="301" spans="1:9">
      <c r="A301" s="281">
        <v>121</v>
      </c>
      <c r="B301" s="149" t="s">
        <v>78</v>
      </c>
      <c r="C301" s="309">
        <f>VLOOKUP(A301,'2-Kosten per locatie'!$A$13:$C$88,3,FALSE)</f>
        <v>2</v>
      </c>
      <c r="D301" s="411" t="str">
        <f ca="1">VLOOKUP(A301,'3-Ruimtestaat'!B:D,3,FALSE)</f>
        <v>Oostlijn bovengronds</v>
      </c>
      <c r="E301" s="152"/>
      <c r="F301" s="153" t="s">
        <v>636</v>
      </c>
      <c r="G301" s="154" t="s">
        <v>637</v>
      </c>
      <c r="H301" s="153" t="s">
        <v>162</v>
      </c>
      <c r="I301" s="282">
        <v>13.66</v>
      </c>
    </row>
    <row r="302" spans="1:9">
      <c r="A302" s="281">
        <v>121</v>
      </c>
      <c r="B302" s="149" t="s">
        <v>78</v>
      </c>
      <c r="C302" s="309">
        <f>VLOOKUP(A302,'2-Kosten per locatie'!$A$13:$C$88,3,FALSE)</f>
        <v>2</v>
      </c>
      <c r="D302" s="411" t="str">
        <f ca="1">VLOOKUP(A302,'3-Ruimtestaat'!B:D,3,FALSE)</f>
        <v>Oostlijn bovengronds</v>
      </c>
      <c r="E302" s="152"/>
      <c r="F302" s="153" t="s">
        <v>375</v>
      </c>
      <c r="G302" s="154" t="s">
        <v>638</v>
      </c>
      <c r="H302" s="153" t="s">
        <v>171</v>
      </c>
      <c r="I302" s="282">
        <v>13</v>
      </c>
    </row>
    <row r="303" spans="1:9">
      <c r="A303" s="281">
        <v>121</v>
      </c>
      <c r="B303" s="149" t="s">
        <v>78</v>
      </c>
      <c r="C303" s="309">
        <f>VLOOKUP(A303,'2-Kosten per locatie'!$A$13:$C$88,3,FALSE)</f>
        <v>2</v>
      </c>
      <c r="D303" s="411" t="str">
        <f ca="1">VLOOKUP(A303,'3-Ruimtestaat'!B:D,3,FALSE)</f>
        <v>Oostlijn bovengronds</v>
      </c>
      <c r="E303" s="152"/>
      <c r="F303" s="153" t="s">
        <v>254</v>
      </c>
      <c r="G303" s="154" t="s">
        <v>161</v>
      </c>
      <c r="H303" s="153" t="s">
        <v>162</v>
      </c>
      <c r="I303" s="282">
        <v>16</v>
      </c>
    </row>
    <row r="304" spans="1:9">
      <c r="A304" s="281">
        <v>121</v>
      </c>
      <c r="B304" s="149" t="s">
        <v>78</v>
      </c>
      <c r="C304" s="309">
        <f>VLOOKUP(A304,'2-Kosten per locatie'!$A$13:$C$88,3,FALSE)</f>
        <v>2</v>
      </c>
      <c r="D304" s="411" t="str">
        <f ca="1">VLOOKUP(A304,'3-Ruimtestaat'!B:D,3,FALSE)</f>
        <v>Oostlijn bovengronds</v>
      </c>
      <c r="E304" s="152"/>
      <c r="F304" s="153" t="s">
        <v>195</v>
      </c>
      <c r="G304" s="154" t="s">
        <v>639</v>
      </c>
      <c r="H304" s="153" t="s">
        <v>162</v>
      </c>
      <c r="I304" s="282">
        <v>32.47</v>
      </c>
    </row>
    <row r="305" spans="1:9">
      <c r="A305" s="281">
        <v>121</v>
      </c>
      <c r="B305" s="149" t="s">
        <v>78</v>
      </c>
      <c r="C305" s="309">
        <f>VLOOKUP(A305,'2-Kosten per locatie'!$A$13:$C$88,3,FALSE)</f>
        <v>2</v>
      </c>
      <c r="D305" s="411" t="str">
        <f ca="1">VLOOKUP(A305,'3-Ruimtestaat'!B:D,3,FALSE)</f>
        <v>Oostlijn bovengronds</v>
      </c>
      <c r="E305" s="152"/>
      <c r="F305" s="153" t="s">
        <v>640</v>
      </c>
      <c r="G305" s="154" t="s">
        <v>282</v>
      </c>
      <c r="H305" s="153" t="s">
        <v>171</v>
      </c>
      <c r="I305" s="282">
        <v>20</v>
      </c>
    </row>
    <row r="306" spans="1:9">
      <c r="A306" s="281">
        <v>121</v>
      </c>
      <c r="B306" s="149" t="s">
        <v>78</v>
      </c>
      <c r="C306" s="309">
        <f>VLOOKUP(A306,'2-Kosten per locatie'!$A$13:$C$88,3,FALSE)</f>
        <v>2</v>
      </c>
      <c r="D306" s="411" t="str">
        <f ca="1">VLOOKUP(A306,'3-Ruimtestaat'!B:D,3,FALSE)</f>
        <v>Oostlijn bovengronds</v>
      </c>
      <c r="E306" s="152"/>
      <c r="F306" s="153" t="s">
        <v>197</v>
      </c>
      <c r="G306" s="154" t="s">
        <v>593</v>
      </c>
      <c r="H306" s="153" t="s">
        <v>171</v>
      </c>
      <c r="I306" s="282">
        <v>13</v>
      </c>
    </row>
    <row r="307" spans="1:9">
      <c r="A307" s="281">
        <v>121</v>
      </c>
      <c r="B307" s="149" t="s">
        <v>78</v>
      </c>
      <c r="C307" s="309">
        <f>VLOOKUP(A307,'2-Kosten per locatie'!$A$13:$C$88,3,FALSE)</f>
        <v>2</v>
      </c>
      <c r="D307" s="411" t="str">
        <f ca="1">VLOOKUP(A307,'3-Ruimtestaat'!B:D,3,FALSE)</f>
        <v>Oostlijn bovengronds</v>
      </c>
      <c r="E307" s="152"/>
      <c r="F307" s="153" t="s">
        <v>303</v>
      </c>
      <c r="G307" s="154" t="s">
        <v>641</v>
      </c>
      <c r="H307" s="153" t="s">
        <v>171</v>
      </c>
      <c r="I307" s="282">
        <v>9</v>
      </c>
    </row>
    <row r="308" spans="1:9">
      <c r="A308" s="281">
        <v>121</v>
      </c>
      <c r="B308" s="149" t="s">
        <v>78</v>
      </c>
      <c r="C308" s="309">
        <f>VLOOKUP(A308,'2-Kosten per locatie'!$A$13:$C$88,3,FALSE)</f>
        <v>2</v>
      </c>
      <c r="D308" s="411" t="str">
        <f ca="1">VLOOKUP(A308,'3-Ruimtestaat'!B:D,3,FALSE)</f>
        <v>Oostlijn bovengronds</v>
      </c>
      <c r="E308" s="152"/>
      <c r="F308" s="153" t="s">
        <v>199</v>
      </c>
      <c r="G308" s="154" t="s">
        <v>510</v>
      </c>
      <c r="H308" s="153" t="s">
        <v>171</v>
      </c>
      <c r="I308" s="282">
        <v>18</v>
      </c>
    </row>
    <row r="309" spans="1:9">
      <c r="A309" s="281">
        <v>121</v>
      </c>
      <c r="B309" s="149" t="s">
        <v>78</v>
      </c>
      <c r="C309" s="309">
        <f>VLOOKUP(A309,'2-Kosten per locatie'!$A$13:$C$88,3,FALSE)</f>
        <v>2</v>
      </c>
      <c r="D309" s="411" t="str">
        <f ca="1">VLOOKUP(A309,'3-Ruimtestaat'!B:D,3,FALSE)</f>
        <v>Oostlijn bovengronds</v>
      </c>
      <c r="E309" s="152"/>
      <c r="F309" s="153" t="s">
        <v>642</v>
      </c>
      <c r="G309" s="154" t="s">
        <v>643</v>
      </c>
      <c r="H309" s="153" t="s">
        <v>171</v>
      </c>
      <c r="I309" s="282">
        <v>8</v>
      </c>
    </row>
    <row r="310" spans="1:9">
      <c r="A310" s="281">
        <v>121</v>
      </c>
      <c r="B310" s="149" t="s">
        <v>78</v>
      </c>
      <c r="C310" s="309">
        <f>VLOOKUP(A310,'2-Kosten per locatie'!$A$13:$C$88,3,FALSE)</f>
        <v>2</v>
      </c>
      <c r="D310" s="411" t="str">
        <f ca="1">VLOOKUP(A310,'3-Ruimtestaat'!B:D,3,FALSE)</f>
        <v>Oostlijn bovengronds</v>
      </c>
      <c r="E310" s="152"/>
      <c r="F310" s="153" t="s">
        <v>644</v>
      </c>
      <c r="G310" s="154" t="s">
        <v>513</v>
      </c>
      <c r="H310" s="153" t="s">
        <v>171</v>
      </c>
      <c r="I310" s="282">
        <v>7</v>
      </c>
    </row>
    <row r="311" spans="1:9">
      <c r="A311" s="281">
        <v>121</v>
      </c>
      <c r="B311" s="149" t="s">
        <v>78</v>
      </c>
      <c r="C311" s="309">
        <f>VLOOKUP(A311,'2-Kosten per locatie'!$A$13:$C$88,3,FALSE)</f>
        <v>2</v>
      </c>
      <c r="D311" s="411" t="str">
        <f ca="1">VLOOKUP(A311,'3-Ruimtestaat'!B:D,3,FALSE)</f>
        <v>Oostlijn bovengronds</v>
      </c>
      <c r="E311" s="152"/>
      <c r="F311" s="153" t="s">
        <v>237</v>
      </c>
      <c r="G311" s="154" t="s">
        <v>645</v>
      </c>
      <c r="H311" s="153" t="s">
        <v>171</v>
      </c>
      <c r="I311" s="282">
        <v>16</v>
      </c>
    </row>
    <row r="312" spans="1:9">
      <c r="A312" s="281">
        <v>121</v>
      </c>
      <c r="B312" s="149" t="s">
        <v>78</v>
      </c>
      <c r="C312" s="309">
        <f>VLOOKUP(A312,'2-Kosten per locatie'!$A$13:$C$88,3,FALSE)</f>
        <v>2</v>
      </c>
      <c r="D312" s="411" t="str">
        <f ca="1">VLOOKUP(A312,'3-Ruimtestaat'!B:D,3,FALSE)</f>
        <v>Oostlijn bovengronds</v>
      </c>
      <c r="E312" s="152"/>
      <c r="F312" s="153" t="s">
        <v>646</v>
      </c>
      <c r="G312" s="154" t="s">
        <v>166</v>
      </c>
      <c r="H312" s="153" t="s">
        <v>171</v>
      </c>
      <c r="I312" s="282">
        <v>45</v>
      </c>
    </row>
    <row r="313" spans="1:9">
      <c r="A313" s="281">
        <v>121</v>
      </c>
      <c r="B313" s="149" t="s">
        <v>78</v>
      </c>
      <c r="C313" s="309">
        <f>VLOOKUP(A313,'2-Kosten per locatie'!$A$13:$C$88,3,FALSE)</f>
        <v>2</v>
      </c>
      <c r="D313" s="411" t="str">
        <f ca="1">VLOOKUP(A313,'3-Ruimtestaat'!B:D,3,FALSE)</f>
        <v>Oostlijn bovengronds</v>
      </c>
      <c r="E313" s="152"/>
      <c r="F313" s="153" t="s">
        <v>385</v>
      </c>
      <c r="G313" s="154" t="s">
        <v>517</v>
      </c>
      <c r="H313" s="153" t="s">
        <v>162</v>
      </c>
      <c r="I313" s="282">
        <v>6</v>
      </c>
    </row>
    <row r="314" spans="1:9">
      <c r="A314" s="281">
        <v>121</v>
      </c>
      <c r="B314" s="149" t="s">
        <v>78</v>
      </c>
      <c r="C314" s="309">
        <f>VLOOKUP(A314,'2-Kosten per locatie'!$A$13:$C$88,3,FALSE)</f>
        <v>2</v>
      </c>
      <c r="D314" s="411" t="str">
        <f ca="1">VLOOKUP(A314,'3-Ruimtestaat'!B:D,3,FALSE)</f>
        <v>Oostlijn bovengronds</v>
      </c>
      <c r="E314" s="152"/>
      <c r="F314" s="153" t="s">
        <v>647</v>
      </c>
      <c r="G314" s="154" t="s">
        <v>648</v>
      </c>
      <c r="H314" s="153" t="s">
        <v>159</v>
      </c>
      <c r="I314" s="282">
        <v>6</v>
      </c>
    </row>
    <row r="315" spans="1:9">
      <c r="A315" s="281">
        <v>121</v>
      </c>
      <c r="B315" s="149" t="s">
        <v>78</v>
      </c>
      <c r="C315" s="309">
        <f>VLOOKUP(A315,'2-Kosten per locatie'!$A$13:$C$88,3,FALSE)</f>
        <v>2</v>
      </c>
      <c r="D315" s="411" t="str">
        <f ca="1">VLOOKUP(A315,'3-Ruimtestaat'!B:D,3,FALSE)</f>
        <v>Oostlijn bovengronds</v>
      </c>
      <c r="E315" s="152"/>
      <c r="F315" s="153" t="s">
        <v>215</v>
      </c>
      <c r="G315" s="154" t="s">
        <v>649</v>
      </c>
      <c r="H315" s="153" t="s">
        <v>171</v>
      </c>
      <c r="I315" s="282">
        <v>26</v>
      </c>
    </row>
    <row r="316" spans="1:9">
      <c r="A316" s="281">
        <v>121</v>
      </c>
      <c r="B316" s="149" t="s">
        <v>78</v>
      </c>
      <c r="C316" s="309">
        <f>VLOOKUP(A316,'2-Kosten per locatie'!$A$13:$C$88,3,FALSE)</f>
        <v>2</v>
      </c>
      <c r="D316" s="411" t="str">
        <f ca="1">VLOOKUP(A316,'3-Ruimtestaat'!B:D,3,FALSE)</f>
        <v>Oostlijn bovengronds</v>
      </c>
      <c r="E316" s="152"/>
      <c r="F316" s="153" t="s">
        <v>652</v>
      </c>
      <c r="G316" s="154" t="s">
        <v>653</v>
      </c>
      <c r="H316" s="153" t="s">
        <v>162</v>
      </c>
      <c r="I316" s="282">
        <v>14</v>
      </c>
    </row>
    <row r="317" spans="1:9">
      <c r="A317" s="281">
        <v>301</v>
      </c>
      <c r="B317" s="149" t="s">
        <v>100</v>
      </c>
      <c r="C317" s="309">
        <f>VLOOKUP(A317,'2-Kosten per locatie'!$A$13:$C$88,3,FALSE)</f>
        <v>2</v>
      </c>
      <c r="D317" s="411" t="str">
        <f ca="1">VLOOKUP(A317,'3-Ruimtestaat'!B:D,3,FALSE)</f>
        <v>Ringlijn</v>
      </c>
      <c r="E317" s="152"/>
      <c r="F317" s="153" t="s">
        <v>671</v>
      </c>
      <c r="G317" s="154" t="s">
        <v>161</v>
      </c>
      <c r="H317" s="153" t="s">
        <v>159</v>
      </c>
      <c r="I317" s="282">
        <v>20</v>
      </c>
    </row>
    <row r="318" spans="1:9">
      <c r="A318" s="281">
        <v>301</v>
      </c>
      <c r="B318" s="149" t="s">
        <v>100</v>
      </c>
      <c r="C318" s="309">
        <f>VLOOKUP(A318,'2-Kosten per locatie'!$A$13:$C$88,3,FALSE)</f>
        <v>2</v>
      </c>
      <c r="D318" s="411" t="str">
        <f ca="1">VLOOKUP(A318,'3-Ruimtestaat'!B:D,3,FALSE)</f>
        <v>Ringlijn</v>
      </c>
      <c r="E318" s="152"/>
      <c r="F318" s="153" t="s">
        <v>672</v>
      </c>
      <c r="G318" s="154" t="s">
        <v>282</v>
      </c>
      <c r="H318" s="153" t="s">
        <v>159</v>
      </c>
      <c r="I318" s="282">
        <v>2</v>
      </c>
    </row>
    <row r="319" spans="1:9">
      <c r="A319" s="281">
        <v>301</v>
      </c>
      <c r="B319" s="149" t="s">
        <v>100</v>
      </c>
      <c r="C319" s="309">
        <f>VLOOKUP(A319,'2-Kosten per locatie'!$A$13:$C$88,3,FALSE)</f>
        <v>2</v>
      </c>
      <c r="D319" s="411" t="str">
        <f ca="1">VLOOKUP(A319,'3-Ruimtestaat'!B:D,3,FALSE)</f>
        <v>Ringlijn</v>
      </c>
      <c r="E319" s="152"/>
      <c r="F319" s="153" t="s">
        <v>473</v>
      </c>
      <c r="G319" s="154" t="s">
        <v>513</v>
      </c>
      <c r="H319" s="153" t="s">
        <v>159</v>
      </c>
      <c r="I319" s="282">
        <v>2</v>
      </c>
    </row>
    <row r="320" spans="1:9">
      <c r="A320" s="281">
        <v>301</v>
      </c>
      <c r="B320" s="149" t="s">
        <v>100</v>
      </c>
      <c r="C320" s="309">
        <f>VLOOKUP(A320,'2-Kosten per locatie'!$A$13:$C$88,3,FALSE)</f>
        <v>2</v>
      </c>
      <c r="D320" s="411" t="str">
        <f ca="1">VLOOKUP(A320,'3-Ruimtestaat'!B:D,3,FALSE)</f>
        <v>Ringlijn</v>
      </c>
      <c r="E320" s="152"/>
      <c r="F320" s="153" t="s">
        <v>463</v>
      </c>
      <c r="G320" s="154" t="s">
        <v>512</v>
      </c>
      <c r="H320" s="153" t="s">
        <v>159</v>
      </c>
      <c r="I320" s="282">
        <v>2</v>
      </c>
    </row>
    <row r="321" spans="1:9">
      <c r="A321" s="281">
        <v>301</v>
      </c>
      <c r="B321" s="149" t="s">
        <v>100</v>
      </c>
      <c r="C321" s="309">
        <f>VLOOKUP(A321,'2-Kosten per locatie'!$A$13:$C$88,3,FALSE)</f>
        <v>2</v>
      </c>
      <c r="D321" s="411" t="str">
        <f ca="1">VLOOKUP(A321,'3-Ruimtestaat'!B:D,3,FALSE)</f>
        <v>Ringlijn</v>
      </c>
      <c r="E321" s="152"/>
      <c r="F321" s="153" t="s">
        <v>467</v>
      </c>
      <c r="G321" s="154" t="s">
        <v>166</v>
      </c>
      <c r="H321" s="153" t="s">
        <v>159</v>
      </c>
      <c r="I321" s="282">
        <v>8</v>
      </c>
    </row>
    <row r="322" spans="1:9">
      <c r="A322" s="281">
        <v>301</v>
      </c>
      <c r="B322" s="149" t="s">
        <v>100</v>
      </c>
      <c r="C322" s="309">
        <f>VLOOKUP(A322,'2-Kosten per locatie'!$A$13:$C$88,3,FALSE)</f>
        <v>2</v>
      </c>
      <c r="D322" s="411" t="str">
        <f ca="1">VLOOKUP(A322,'3-Ruimtestaat'!B:D,3,FALSE)</f>
        <v>Ringlijn</v>
      </c>
      <c r="E322" s="152"/>
      <c r="F322" s="153" t="s">
        <v>467</v>
      </c>
      <c r="G322" s="154" t="s">
        <v>607</v>
      </c>
      <c r="H322" s="153" t="s">
        <v>159</v>
      </c>
      <c r="I322" s="282">
        <v>6</v>
      </c>
    </row>
    <row r="323" spans="1:9">
      <c r="A323" s="281">
        <v>301</v>
      </c>
      <c r="B323" s="149" t="s">
        <v>100</v>
      </c>
      <c r="C323" s="309">
        <f>VLOOKUP(A323,'2-Kosten per locatie'!$A$13:$C$88,3,FALSE)</f>
        <v>2</v>
      </c>
      <c r="D323" s="411" t="str">
        <f ca="1">VLOOKUP(A323,'3-Ruimtestaat'!B:D,3,FALSE)</f>
        <v>Ringlijn</v>
      </c>
      <c r="E323" s="152"/>
      <c r="F323" s="153" t="s">
        <v>673</v>
      </c>
      <c r="G323" s="154" t="s">
        <v>651</v>
      </c>
      <c r="H323" s="153" t="s">
        <v>322</v>
      </c>
      <c r="I323" s="282">
        <v>0.5</v>
      </c>
    </row>
    <row r="324" spans="1:9">
      <c r="A324" s="281">
        <v>302</v>
      </c>
      <c r="B324" s="149" t="s">
        <v>101</v>
      </c>
      <c r="C324" s="309">
        <f>VLOOKUP(A324,'2-Kosten per locatie'!$A$13:$C$88,3,FALSE)</f>
        <v>2</v>
      </c>
      <c r="D324" s="411" t="str">
        <f ca="1">VLOOKUP(A324,'3-Ruimtestaat'!B:D,3,FALSE)</f>
        <v>Ringlijn</v>
      </c>
      <c r="E324" s="152"/>
      <c r="F324" s="153" t="s">
        <v>685</v>
      </c>
      <c r="G324" s="154" t="s">
        <v>161</v>
      </c>
      <c r="H324" s="153" t="s">
        <v>214</v>
      </c>
      <c r="I324" s="282">
        <v>10</v>
      </c>
    </row>
    <row r="325" spans="1:9">
      <c r="A325" s="281">
        <v>302</v>
      </c>
      <c r="B325" s="149" t="s">
        <v>101</v>
      </c>
      <c r="C325" s="309">
        <f>VLOOKUP(A325,'2-Kosten per locatie'!$A$13:$C$88,3,FALSE)</f>
        <v>2</v>
      </c>
      <c r="D325" s="411" t="str">
        <f ca="1">VLOOKUP(A325,'3-Ruimtestaat'!B:D,3,FALSE)</f>
        <v>Ringlijn</v>
      </c>
      <c r="E325" s="152"/>
      <c r="F325" s="153" t="s">
        <v>687</v>
      </c>
      <c r="G325" s="154" t="s">
        <v>166</v>
      </c>
      <c r="H325" s="153" t="s">
        <v>159</v>
      </c>
      <c r="I325" s="282">
        <v>30</v>
      </c>
    </row>
    <row r="326" spans="1:9">
      <c r="A326" s="281">
        <v>302</v>
      </c>
      <c r="B326" s="149" t="s">
        <v>101</v>
      </c>
      <c r="C326" s="309">
        <f>VLOOKUP(A326,'2-Kosten per locatie'!$A$13:$C$88,3,FALSE)</f>
        <v>2</v>
      </c>
      <c r="D326" s="411" t="str">
        <f ca="1">VLOOKUP(A326,'3-Ruimtestaat'!B:D,3,FALSE)</f>
        <v>Ringlijn</v>
      </c>
      <c r="E326" s="152"/>
      <c r="F326" s="153" t="s">
        <v>688</v>
      </c>
      <c r="G326" s="154" t="s">
        <v>607</v>
      </c>
      <c r="H326" s="153" t="s">
        <v>159</v>
      </c>
      <c r="I326" s="282">
        <v>45</v>
      </c>
    </row>
    <row r="327" spans="1:9">
      <c r="A327" s="281">
        <v>303</v>
      </c>
      <c r="B327" s="149" t="s">
        <v>102</v>
      </c>
      <c r="C327" s="309">
        <f>VLOOKUP(A327,'2-Kosten per locatie'!$A$13:$C$88,3,FALSE)</f>
        <v>2</v>
      </c>
      <c r="D327" s="411" t="str">
        <f ca="1">VLOOKUP(A327,'3-Ruimtestaat'!B:D,3,FALSE)</f>
        <v>Ringlijn</v>
      </c>
      <c r="E327" s="152"/>
      <c r="F327" s="153" t="s">
        <v>699</v>
      </c>
      <c r="G327" s="154" t="s">
        <v>700</v>
      </c>
      <c r="H327" s="153" t="s">
        <v>214</v>
      </c>
      <c r="I327" s="282">
        <v>7</v>
      </c>
    </row>
    <row r="328" spans="1:9">
      <c r="A328" s="281">
        <v>303</v>
      </c>
      <c r="B328" s="149" t="s">
        <v>102</v>
      </c>
      <c r="C328" s="309">
        <f>VLOOKUP(A328,'2-Kosten per locatie'!$A$13:$C$88,3,FALSE)</f>
        <v>2</v>
      </c>
      <c r="D328" s="411" t="str">
        <f ca="1">VLOOKUP(A328,'3-Ruimtestaat'!B:D,3,FALSE)</f>
        <v>Ringlijn</v>
      </c>
      <c r="E328" s="152"/>
      <c r="F328" s="153" t="s">
        <v>671</v>
      </c>
      <c r="G328" s="154" t="s">
        <v>161</v>
      </c>
      <c r="H328" s="153" t="s">
        <v>214</v>
      </c>
      <c r="I328" s="282">
        <v>17</v>
      </c>
    </row>
    <row r="329" spans="1:9">
      <c r="A329" s="281">
        <v>303</v>
      </c>
      <c r="B329" s="149" t="s">
        <v>102</v>
      </c>
      <c r="C329" s="309">
        <f>VLOOKUP(A329,'2-Kosten per locatie'!$A$13:$C$88,3,FALSE)</f>
        <v>2</v>
      </c>
      <c r="D329" s="411" t="str">
        <f ca="1">VLOOKUP(A329,'3-Ruimtestaat'!B:D,3,FALSE)</f>
        <v>Ringlijn</v>
      </c>
      <c r="E329" s="152"/>
      <c r="F329" s="153" t="s">
        <v>672</v>
      </c>
      <c r="G329" s="154" t="s">
        <v>282</v>
      </c>
      <c r="H329" s="153" t="s">
        <v>214</v>
      </c>
      <c r="I329" s="282">
        <v>9</v>
      </c>
    </row>
    <row r="330" spans="1:9">
      <c r="A330" s="281">
        <v>303</v>
      </c>
      <c r="B330" s="149" t="s">
        <v>102</v>
      </c>
      <c r="C330" s="309">
        <f>VLOOKUP(A330,'2-Kosten per locatie'!$A$13:$C$88,3,FALSE)</f>
        <v>2</v>
      </c>
      <c r="D330" s="411" t="str">
        <f ca="1">VLOOKUP(A330,'3-Ruimtestaat'!B:D,3,FALSE)</f>
        <v>Ringlijn</v>
      </c>
      <c r="E330" s="152"/>
      <c r="F330" s="153" t="s">
        <v>463</v>
      </c>
      <c r="G330" s="154" t="s">
        <v>512</v>
      </c>
      <c r="H330" s="153" t="s">
        <v>159</v>
      </c>
      <c r="I330" s="282">
        <v>6</v>
      </c>
    </row>
    <row r="331" spans="1:9">
      <c r="A331" s="281">
        <v>303</v>
      </c>
      <c r="B331" s="149" t="s">
        <v>102</v>
      </c>
      <c r="C331" s="309">
        <f>VLOOKUP(A331,'2-Kosten per locatie'!$A$13:$C$88,3,FALSE)</f>
        <v>2</v>
      </c>
      <c r="D331" s="411" t="str">
        <f ca="1">VLOOKUP(A331,'3-Ruimtestaat'!B:D,3,FALSE)</f>
        <v>Ringlijn</v>
      </c>
      <c r="E331" s="152"/>
      <c r="F331" s="153" t="s">
        <v>704</v>
      </c>
      <c r="G331" s="154" t="s">
        <v>166</v>
      </c>
      <c r="H331" s="153" t="s">
        <v>159</v>
      </c>
      <c r="I331" s="282">
        <v>64</v>
      </c>
    </row>
    <row r="332" spans="1:9">
      <c r="A332" s="281">
        <v>303</v>
      </c>
      <c r="B332" s="149" t="s">
        <v>102</v>
      </c>
      <c r="C332" s="309">
        <f>VLOOKUP(A332,'2-Kosten per locatie'!$A$13:$C$88,3,FALSE)</f>
        <v>2</v>
      </c>
      <c r="D332" s="411" t="str">
        <f ca="1">VLOOKUP(A332,'3-Ruimtestaat'!B:D,3,FALSE)</f>
        <v>Ringlijn</v>
      </c>
      <c r="E332" s="152"/>
      <c r="F332" s="153" t="s">
        <v>704</v>
      </c>
      <c r="G332" s="154" t="s">
        <v>607</v>
      </c>
      <c r="H332" s="153" t="s">
        <v>159</v>
      </c>
      <c r="I332" s="282">
        <v>50</v>
      </c>
    </row>
    <row r="333" spans="1:9">
      <c r="A333" s="281">
        <v>303</v>
      </c>
      <c r="B333" s="149" t="s">
        <v>102</v>
      </c>
      <c r="C333" s="309">
        <f>VLOOKUP(A333,'2-Kosten per locatie'!$A$13:$C$88,3,FALSE)</f>
        <v>2</v>
      </c>
      <c r="D333" s="411" t="str">
        <f ca="1">VLOOKUP(A333,'3-Ruimtestaat'!B:D,3,FALSE)</f>
        <v>Ringlijn</v>
      </c>
      <c r="E333" s="152"/>
      <c r="F333" s="153" t="s">
        <v>705</v>
      </c>
      <c r="G333" s="154"/>
      <c r="H333" s="153" t="s">
        <v>214</v>
      </c>
      <c r="I333" s="282">
        <v>10</v>
      </c>
    </row>
    <row r="334" spans="1:9">
      <c r="A334" s="281">
        <v>304</v>
      </c>
      <c r="B334" s="149" t="s">
        <v>105</v>
      </c>
      <c r="C334" s="309">
        <f>VLOOKUP(A334,'2-Kosten per locatie'!$A$13:$C$88,3,FALSE)</f>
        <v>2</v>
      </c>
      <c r="D334" s="411" t="str">
        <f ca="1">VLOOKUP(A334,'3-Ruimtestaat'!B:D,3,FALSE)</f>
        <v>Ringlijn</v>
      </c>
      <c r="E334" s="152"/>
      <c r="F334" s="153" t="s">
        <v>473</v>
      </c>
      <c r="G334" s="154" t="s">
        <v>158</v>
      </c>
      <c r="H334" s="153" t="s">
        <v>159</v>
      </c>
      <c r="I334" s="282">
        <v>12</v>
      </c>
    </row>
    <row r="335" spans="1:9">
      <c r="A335" s="281">
        <v>304</v>
      </c>
      <c r="B335" s="149" t="s">
        <v>105</v>
      </c>
      <c r="C335" s="309">
        <f>VLOOKUP(A335,'2-Kosten per locatie'!$A$13:$C$88,3,FALSE)</f>
        <v>2</v>
      </c>
      <c r="D335" s="411" t="str">
        <f ca="1">VLOOKUP(A335,'3-Ruimtestaat'!B:D,3,FALSE)</f>
        <v>Ringlijn</v>
      </c>
      <c r="E335" s="152"/>
      <c r="F335" s="153" t="s">
        <v>398</v>
      </c>
      <c r="G335" s="154" t="s">
        <v>509</v>
      </c>
      <c r="H335" s="153" t="s">
        <v>159</v>
      </c>
      <c r="I335" s="282">
        <v>8</v>
      </c>
    </row>
    <row r="336" spans="1:9">
      <c r="A336" s="281">
        <v>304</v>
      </c>
      <c r="B336" s="149" t="s">
        <v>105</v>
      </c>
      <c r="C336" s="309">
        <f>VLOOKUP(A336,'2-Kosten per locatie'!$A$13:$C$88,3,FALSE)</f>
        <v>2</v>
      </c>
      <c r="D336" s="411" t="str">
        <f ca="1">VLOOKUP(A336,'3-Ruimtestaat'!B:D,3,FALSE)</f>
        <v>Ringlijn</v>
      </c>
      <c r="E336" s="152"/>
      <c r="F336" s="153" t="s">
        <v>671</v>
      </c>
      <c r="G336" s="154" t="s">
        <v>161</v>
      </c>
      <c r="H336" s="153" t="s">
        <v>159</v>
      </c>
      <c r="I336" s="282">
        <v>10</v>
      </c>
    </row>
    <row r="337" spans="1:9">
      <c r="A337" s="281">
        <v>304</v>
      </c>
      <c r="B337" s="149" t="s">
        <v>105</v>
      </c>
      <c r="C337" s="309">
        <f>VLOOKUP(A337,'2-Kosten per locatie'!$A$13:$C$88,3,FALSE)</f>
        <v>2</v>
      </c>
      <c r="D337" s="411" t="str">
        <f ca="1">VLOOKUP(A337,'3-Ruimtestaat'!B:D,3,FALSE)</f>
        <v>Ringlijn</v>
      </c>
      <c r="E337" s="152"/>
      <c r="F337" s="153" t="s">
        <v>672</v>
      </c>
      <c r="G337" s="154" t="s">
        <v>282</v>
      </c>
      <c r="H337" s="153" t="s">
        <v>159</v>
      </c>
      <c r="I337" s="282">
        <v>8</v>
      </c>
    </row>
    <row r="338" spans="1:9">
      <c r="A338" s="281">
        <v>304</v>
      </c>
      <c r="B338" s="149" t="s">
        <v>105</v>
      </c>
      <c r="C338" s="309">
        <f>VLOOKUP(A338,'2-Kosten per locatie'!$A$13:$C$88,3,FALSE)</f>
        <v>2</v>
      </c>
      <c r="D338" s="411" t="str">
        <f ca="1">VLOOKUP(A338,'3-Ruimtestaat'!B:D,3,FALSE)</f>
        <v>Ringlijn</v>
      </c>
      <c r="E338" s="152"/>
      <c r="F338" s="153" t="s">
        <v>672</v>
      </c>
      <c r="G338" s="154" t="s">
        <v>593</v>
      </c>
      <c r="H338" s="153" t="s">
        <v>159</v>
      </c>
      <c r="I338" s="282">
        <v>1</v>
      </c>
    </row>
    <row r="339" spans="1:9">
      <c r="A339" s="281">
        <v>304</v>
      </c>
      <c r="B339" s="149" t="s">
        <v>105</v>
      </c>
      <c r="C339" s="309">
        <f>VLOOKUP(A339,'2-Kosten per locatie'!$A$13:$C$88,3,FALSE)</f>
        <v>2</v>
      </c>
      <c r="D339" s="411" t="str">
        <f ca="1">VLOOKUP(A339,'3-Ruimtestaat'!B:D,3,FALSE)</f>
        <v>Ringlijn</v>
      </c>
      <c r="E339" s="152"/>
      <c r="F339" s="153" t="s">
        <v>716</v>
      </c>
      <c r="G339" s="154" t="s">
        <v>510</v>
      </c>
      <c r="H339" s="153" t="s">
        <v>159</v>
      </c>
      <c r="I339" s="282">
        <v>10</v>
      </c>
    </row>
    <row r="340" spans="1:9">
      <c r="A340" s="281">
        <v>304</v>
      </c>
      <c r="B340" s="149" t="s">
        <v>105</v>
      </c>
      <c r="C340" s="309">
        <f>VLOOKUP(A340,'2-Kosten per locatie'!$A$13:$C$88,3,FALSE)</f>
        <v>2</v>
      </c>
      <c r="D340" s="411" t="str">
        <f ca="1">VLOOKUP(A340,'3-Ruimtestaat'!B:D,3,FALSE)</f>
        <v>Ringlijn</v>
      </c>
      <c r="E340" s="152"/>
      <c r="F340" s="153" t="s">
        <v>463</v>
      </c>
      <c r="G340" s="154" t="s">
        <v>512</v>
      </c>
      <c r="H340" s="153" t="s">
        <v>159</v>
      </c>
      <c r="I340" s="282">
        <v>10</v>
      </c>
    </row>
    <row r="341" spans="1:9">
      <c r="A341" s="281">
        <v>304</v>
      </c>
      <c r="B341" s="149" t="s">
        <v>105</v>
      </c>
      <c r="C341" s="309">
        <f>VLOOKUP(A341,'2-Kosten per locatie'!$A$13:$C$88,3,FALSE)</f>
        <v>2</v>
      </c>
      <c r="D341" s="411" t="str">
        <f ca="1">VLOOKUP(A341,'3-Ruimtestaat'!B:D,3,FALSE)</f>
        <v>Ringlijn</v>
      </c>
      <c r="E341" s="152"/>
      <c r="F341" s="153" t="s">
        <v>704</v>
      </c>
      <c r="G341" s="154" t="s">
        <v>166</v>
      </c>
      <c r="H341" s="153" t="s">
        <v>159</v>
      </c>
      <c r="I341" s="282">
        <v>15</v>
      </c>
    </row>
    <row r="342" spans="1:9">
      <c r="A342" s="281">
        <v>304</v>
      </c>
      <c r="B342" s="149" t="s">
        <v>105</v>
      </c>
      <c r="C342" s="309">
        <f>VLOOKUP(A342,'2-Kosten per locatie'!$A$13:$C$88,3,FALSE)</f>
        <v>2</v>
      </c>
      <c r="D342" s="411" t="str">
        <f ca="1">VLOOKUP(A342,'3-Ruimtestaat'!B:D,3,FALSE)</f>
        <v>Ringlijn</v>
      </c>
      <c r="E342" s="152"/>
      <c r="F342" s="153" t="s">
        <v>704</v>
      </c>
      <c r="G342" s="154" t="s">
        <v>607</v>
      </c>
      <c r="H342" s="153" t="s">
        <v>159</v>
      </c>
      <c r="I342" s="282">
        <v>11</v>
      </c>
    </row>
    <row r="343" spans="1:9">
      <c r="A343" s="281">
        <v>305</v>
      </c>
      <c r="B343" s="149" t="s">
        <v>106</v>
      </c>
      <c r="C343" s="309">
        <f>VLOOKUP(A343,'2-Kosten per locatie'!$A$13:$C$88,3,FALSE)</f>
        <v>2</v>
      </c>
      <c r="D343" s="411" t="str">
        <f ca="1">VLOOKUP(A343,'3-Ruimtestaat'!B:D,3,FALSE)</f>
        <v>Ringlijn</v>
      </c>
      <c r="E343" s="152"/>
      <c r="F343" s="153" t="s">
        <v>467</v>
      </c>
      <c r="G343" s="154" t="s">
        <v>727</v>
      </c>
      <c r="H343" s="153" t="s">
        <v>159</v>
      </c>
      <c r="I343" s="282">
        <v>10</v>
      </c>
    </row>
    <row r="344" spans="1:9">
      <c r="A344" s="281">
        <v>305</v>
      </c>
      <c r="B344" s="149" t="s">
        <v>106</v>
      </c>
      <c r="C344" s="309">
        <f>VLOOKUP(A344,'2-Kosten per locatie'!$A$13:$C$88,3,FALSE)</f>
        <v>2</v>
      </c>
      <c r="D344" s="411" t="str">
        <f ca="1">VLOOKUP(A344,'3-Ruimtestaat'!B:D,3,FALSE)</f>
        <v>Ringlijn</v>
      </c>
      <c r="E344" s="152"/>
      <c r="F344" s="153" t="s">
        <v>457</v>
      </c>
      <c r="G344" s="154" t="s">
        <v>729</v>
      </c>
      <c r="H344" s="153" t="s">
        <v>159</v>
      </c>
      <c r="I344" s="282">
        <v>11</v>
      </c>
    </row>
    <row r="345" spans="1:9">
      <c r="A345" s="281">
        <v>305</v>
      </c>
      <c r="B345" s="149" t="s">
        <v>106</v>
      </c>
      <c r="C345" s="309">
        <f>VLOOKUP(A345,'2-Kosten per locatie'!$A$13:$C$88,3,FALSE)</f>
        <v>2</v>
      </c>
      <c r="D345" s="411" t="str">
        <f ca="1">VLOOKUP(A345,'3-Ruimtestaat'!B:D,3,FALSE)</f>
        <v>Ringlijn</v>
      </c>
      <c r="E345" s="152"/>
      <c r="F345" s="153" t="s">
        <v>463</v>
      </c>
      <c r="G345" s="154" t="s">
        <v>730</v>
      </c>
      <c r="H345" s="153" t="s">
        <v>159</v>
      </c>
      <c r="I345" s="282">
        <v>5</v>
      </c>
    </row>
    <row r="346" spans="1:9">
      <c r="A346" s="281">
        <v>305</v>
      </c>
      <c r="B346" s="149" t="s">
        <v>106</v>
      </c>
      <c r="C346" s="309">
        <f>VLOOKUP(A346,'2-Kosten per locatie'!$A$13:$C$88,3,FALSE)</f>
        <v>2</v>
      </c>
      <c r="D346" s="411" t="str">
        <f ca="1">VLOOKUP(A346,'3-Ruimtestaat'!B:D,3,FALSE)</f>
        <v>Ringlijn</v>
      </c>
      <c r="E346" s="152"/>
      <c r="F346" s="153" t="s">
        <v>731</v>
      </c>
      <c r="G346" s="154" t="s">
        <v>732</v>
      </c>
      <c r="H346" s="153" t="s">
        <v>159</v>
      </c>
      <c r="I346" s="282">
        <v>2</v>
      </c>
    </row>
    <row r="347" spans="1:9">
      <c r="A347" s="281">
        <v>306</v>
      </c>
      <c r="B347" s="149" t="s">
        <v>107</v>
      </c>
      <c r="C347" s="309">
        <f>VLOOKUP(A347,'2-Kosten per locatie'!$A$13:$C$88,3,FALSE)</f>
        <v>2</v>
      </c>
      <c r="D347" s="411" t="str">
        <f ca="1">VLOOKUP(A347,'3-Ruimtestaat'!B:D,3,FALSE)</f>
        <v>Ringlijn</v>
      </c>
      <c r="E347" s="152"/>
      <c r="F347" s="153" t="s">
        <v>467</v>
      </c>
      <c r="G347" s="154" t="s">
        <v>727</v>
      </c>
      <c r="H347" s="153" t="s">
        <v>159</v>
      </c>
      <c r="I347" s="282">
        <v>15</v>
      </c>
    </row>
    <row r="348" spans="1:9">
      <c r="A348" s="281">
        <v>306</v>
      </c>
      <c r="B348" s="149" t="s">
        <v>107</v>
      </c>
      <c r="C348" s="309">
        <f>VLOOKUP(A348,'2-Kosten per locatie'!$A$13:$C$88,3,FALSE)</f>
        <v>2</v>
      </c>
      <c r="D348" s="411" t="str">
        <f ca="1">VLOOKUP(A348,'3-Ruimtestaat'!B:D,3,FALSE)</f>
        <v>Ringlijn</v>
      </c>
      <c r="E348" s="152"/>
      <c r="F348" s="153" t="s">
        <v>457</v>
      </c>
      <c r="G348" s="154" t="s">
        <v>729</v>
      </c>
      <c r="H348" s="153" t="s">
        <v>159</v>
      </c>
      <c r="I348" s="282">
        <v>12</v>
      </c>
    </row>
    <row r="349" spans="1:9">
      <c r="A349" s="281">
        <v>306</v>
      </c>
      <c r="B349" s="149" t="s">
        <v>107</v>
      </c>
      <c r="C349" s="309">
        <f>VLOOKUP(A349,'2-Kosten per locatie'!$A$13:$C$88,3,FALSE)</f>
        <v>2</v>
      </c>
      <c r="D349" s="411" t="str">
        <f ca="1">VLOOKUP(A349,'3-Ruimtestaat'!B:D,3,FALSE)</f>
        <v>Ringlijn</v>
      </c>
      <c r="E349" s="152"/>
      <c r="F349" s="153" t="s">
        <v>463</v>
      </c>
      <c r="G349" s="154" t="s">
        <v>730</v>
      </c>
      <c r="H349" s="153" t="s">
        <v>159</v>
      </c>
      <c r="I349" s="282">
        <v>6</v>
      </c>
    </row>
    <row r="350" spans="1:9">
      <c r="A350" s="281">
        <v>306</v>
      </c>
      <c r="B350" s="149" t="s">
        <v>107</v>
      </c>
      <c r="C350" s="309">
        <f>VLOOKUP(A350,'2-Kosten per locatie'!$A$13:$C$88,3,FALSE)</f>
        <v>2</v>
      </c>
      <c r="D350" s="411" t="str">
        <f ca="1">VLOOKUP(A350,'3-Ruimtestaat'!B:D,3,FALSE)</f>
        <v>Ringlijn</v>
      </c>
      <c r="E350" s="152"/>
      <c r="F350" s="153" t="s">
        <v>731</v>
      </c>
      <c r="G350" s="154" t="s">
        <v>732</v>
      </c>
      <c r="H350" s="153" t="s">
        <v>159</v>
      </c>
      <c r="I350" s="282">
        <v>2</v>
      </c>
    </row>
    <row r="351" spans="1:9">
      <c r="A351" s="281">
        <v>306</v>
      </c>
      <c r="B351" s="149" t="s">
        <v>107</v>
      </c>
      <c r="C351" s="309">
        <f>VLOOKUP(A351,'2-Kosten per locatie'!$A$13:$C$88,3,FALSE)</f>
        <v>2</v>
      </c>
      <c r="D351" s="411" t="str">
        <f ca="1">VLOOKUP(A351,'3-Ruimtestaat'!B:D,3,FALSE)</f>
        <v>Ringlijn</v>
      </c>
      <c r="E351" s="152"/>
      <c r="F351" s="153" t="s">
        <v>735</v>
      </c>
      <c r="G351" s="154" t="s">
        <v>736</v>
      </c>
      <c r="H351" s="153" t="s">
        <v>159</v>
      </c>
      <c r="I351" s="282">
        <v>13</v>
      </c>
    </row>
    <row r="352" spans="1:9">
      <c r="A352" s="281">
        <v>307</v>
      </c>
      <c r="B352" s="149" t="s">
        <v>108</v>
      </c>
      <c r="C352" s="309">
        <f>VLOOKUP(A352,'2-Kosten per locatie'!$A$13:$C$88,3,FALSE)</f>
        <v>2</v>
      </c>
      <c r="D352" s="411" t="str">
        <f ca="1">VLOOKUP(A352,'3-Ruimtestaat'!B:D,3,FALSE)</f>
        <v>Ringlijn</v>
      </c>
      <c r="E352" s="152"/>
      <c r="F352" s="153" t="s">
        <v>744</v>
      </c>
      <c r="G352" s="154" t="s">
        <v>745</v>
      </c>
      <c r="H352" s="153" t="s">
        <v>162</v>
      </c>
      <c r="I352" s="282">
        <v>53.8</v>
      </c>
    </row>
    <row r="353" spans="1:9">
      <c r="A353" s="281">
        <v>307</v>
      </c>
      <c r="B353" s="149" t="s">
        <v>108</v>
      </c>
      <c r="C353" s="309">
        <f>VLOOKUP(A353,'2-Kosten per locatie'!$A$13:$C$88,3,FALSE)</f>
        <v>2</v>
      </c>
      <c r="D353" s="411" t="str">
        <f ca="1">VLOOKUP(A353,'3-Ruimtestaat'!B:D,3,FALSE)</f>
        <v>Ringlijn</v>
      </c>
      <c r="E353" s="152"/>
      <c r="F353" s="153" t="s">
        <v>746</v>
      </c>
      <c r="G353" s="154" t="s">
        <v>166</v>
      </c>
      <c r="H353" s="153" t="s">
        <v>159</v>
      </c>
      <c r="I353" s="282">
        <v>31</v>
      </c>
    </row>
    <row r="354" spans="1:9">
      <c r="A354" s="281">
        <v>307</v>
      </c>
      <c r="B354" s="149" t="s">
        <v>108</v>
      </c>
      <c r="C354" s="309">
        <f>VLOOKUP(A354,'2-Kosten per locatie'!$A$13:$C$88,3,FALSE)</f>
        <v>2</v>
      </c>
      <c r="D354" s="411" t="str">
        <f ca="1">VLOOKUP(A354,'3-Ruimtestaat'!B:D,3,FALSE)</f>
        <v>Ringlijn</v>
      </c>
      <c r="E354" s="152"/>
      <c r="F354" s="153" t="s">
        <v>746</v>
      </c>
      <c r="G354" s="154" t="s">
        <v>607</v>
      </c>
      <c r="H354" s="153" t="s">
        <v>159</v>
      </c>
      <c r="I354" s="282">
        <v>5</v>
      </c>
    </row>
    <row r="355" spans="1:9">
      <c r="A355" s="281">
        <v>307</v>
      </c>
      <c r="B355" s="149" t="s">
        <v>108</v>
      </c>
      <c r="C355" s="309">
        <f>VLOOKUP(A355,'2-Kosten per locatie'!$A$13:$C$88,3,FALSE)</f>
        <v>2</v>
      </c>
      <c r="D355" s="411" t="str">
        <f ca="1">VLOOKUP(A355,'3-Ruimtestaat'!B:D,3,FALSE)</f>
        <v>Ringlijn</v>
      </c>
      <c r="E355" s="152"/>
      <c r="F355" s="153" t="s">
        <v>746</v>
      </c>
      <c r="G355" s="154" t="s">
        <v>517</v>
      </c>
      <c r="H355" s="153" t="s">
        <v>159</v>
      </c>
      <c r="I355" s="282">
        <v>36</v>
      </c>
    </row>
    <row r="356" spans="1:9">
      <c r="A356" s="281">
        <v>307</v>
      </c>
      <c r="B356" s="149" t="s">
        <v>108</v>
      </c>
      <c r="C356" s="309">
        <f>VLOOKUP(A356,'2-Kosten per locatie'!$A$13:$C$88,3,FALSE)</f>
        <v>2</v>
      </c>
      <c r="D356" s="411" t="str">
        <f ca="1">VLOOKUP(A356,'3-Ruimtestaat'!B:D,3,FALSE)</f>
        <v>Ringlijn</v>
      </c>
      <c r="E356" s="152"/>
      <c r="F356" s="153" t="s">
        <v>746</v>
      </c>
      <c r="G356" s="154" t="s">
        <v>519</v>
      </c>
      <c r="H356" s="153" t="s">
        <v>159</v>
      </c>
      <c r="I356" s="282">
        <v>11</v>
      </c>
    </row>
    <row r="357" spans="1:9">
      <c r="A357" s="281">
        <v>307</v>
      </c>
      <c r="B357" s="149" t="s">
        <v>108</v>
      </c>
      <c r="C357" s="309">
        <f>VLOOKUP(A357,'2-Kosten per locatie'!$A$13:$C$88,3,FALSE)</f>
        <v>2</v>
      </c>
      <c r="D357" s="411" t="str">
        <f ca="1">VLOOKUP(A357,'3-Ruimtestaat'!B:D,3,FALSE)</f>
        <v>Ringlijn</v>
      </c>
      <c r="E357" s="152"/>
      <c r="F357" s="153" t="s">
        <v>748</v>
      </c>
      <c r="G357" s="154" t="s">
        <v>512</v>
      </c>
      <c r="H357" s="153" t="s">
        <v>159</v>
      </c>
      <c r="I357" s="282">
        <v>3</v>
      </c>
    </row>
    <row r="358" spans="1:9">
      <c r="A358" s="281">
        <v>307</v>
      </c>
      <c r="B358" s="149" t="s">
        <v>108</v>
      </c>
      <c r="C358" s="309">
        <f>VLOOKUP(A358,'2-Kosten per locatie'!$A$13:$C$88,3,FALSE)</f>
        <v>2</v>
      </c>
      <c r="D358" s="411" t="str">
        <f ca="1">VLOOKUP(A358,'3-Ruimtestaat'!B:D,3,FALSE)</f>
        <v>Ringlijn</v>
      </c>
      <c r="E358" s="152"/>
      <c r="F358" s="153" t="s">
        <v>160</v>
      </c>
      <c r="G358" s="154" t="s">
        <v>161</v>
      </c>
      <c r="H358" s="153" t="s">
        <v>159</v>
      </c>
      <c r="I358" s="282">
        <v>13</v>
      </c>
    </row>
    <row r="359" spans="1:9">
      <c r="A359" s="281">
        <v>307</v>
      </c>
      <c r="B359" s="149" t="s">
        <v>108</v>
      </c>
      <c r="C359" s="309">
        <f>VLOOKUP(A359,'2-Kosten per locatie'!$A$13:$C$88,3,FALSE)</f>
        <v>2</v>
      </c>
      <c r="D359" s="411" t="str">
        <f ca="1">VLOOKUP(A359,'3-Ruimtestaat'!B:D,3,FALSE)</f>
        <v>Ringlijn</v>
      </c>
      <c r="E359" s="152"/>
      <c r="F359" s="153" t="s">
        <v>751</v>
      </c>
      <c r="G359" s="154" t="s">
        <v>282</v>
      </c>
      <c r="H359" s="153" t="s">
        <v>159</v>
      </c>
      <c r="I359" s="282">
        <v>6</v>
      </c>
    </row>
    <row r="360" spans="1:9">
      <c r="A360" s="281">
        <v>308</v>
      </c>
      <c r="B360" s="149" t="s">
        <v>109</v>
      </c>
      <c r="C360" s="309">
        <f>VLOOKUP(A360,'2-Kosten per locatie'!$A$13:$C$88,3,FALSE)</f>
        <v>2</v>
      </c>
      <c r="D360" s="411" t="str">
        <f ca="1">VLOOKUP(A360,'3-Ruimtestaat'!B:D,3,FALSE)</f>
        <v>Ringlijn</v>
      </c>
      <c r="E360" s="152"/>
      <c r="F360" s="153" t="s">
        <v>671</v>
      </c>
      <c r="G360" s="154" t="s">
        <v>161</v>
      </c>
      <c r="H360" s="153" t="s">
        <v>159</v>
      </c>
      <c r="I360" s="282">
        <v>11</v>
      </c>
    </row>
    <row r="361" spans="1:9">
      <c r="A361" s="281">
        <v>308</v>
      </c>
      <c r="B361" s="149" t="s">
        <v>109</v>
      </c>
      <c r="C361" s="309">
        <f>VLOOKUP(A361,'2-Kosten per locatie'!$A$13:$C$88,3,FALSE)</f>
        <v>2</v>
      </c>
      <c r="D361" s="411" t="str">
        <f ca="1">VLOOKUP(A361,'3-Ruimtestaat'!B:D,3,FALSE)</f>
        <v>Ringlijn</v>
      </c>
      <c r="E361" s="152"/>
      <c r="F361" s="153" t="s">
        <v>672</v>
      </c>
      <c r="G361" s="154" t="s">
        <v>282</v>
      </c>
      <c r="H361" s="153" t="s">
        <v>159</v>
      </c>
      <c r="I361" s="282">
        <v>2</v>
      </c>
    </row>
    <row r="362" spans="1:9">
      <c r="A362" s="281">
        <v>308</v>
      </c>
      <c r="B362" s="149" t="s">
        <v>109</v>
      </c>
      <c r="C362" s="309">
        <f>VLOOKUP(A362,'2-Kosten per locatie'!$A$13:$C$88,3,FALSE)</f>
        <v>2</v>
      </c>
      <c r="D362" s="411" t="str">
        <f ca="1">VLOOKUP(A362,'3-Ruimtestaat'!B:D,3,FALSE)</f>
        <v>Ringlijn</v>
      </c>
      <c r="E362" s="152"/>
      <c r="F362" s="153" t="s">
        <v>463</v>
      </c>
      <c r="G362" s="154" t="s">
        <v>512</v>
      </c>
      <c r="H362" s="153" t="s">
        <v>159</v>
      </c>
      <c r="I362" s="282">
        <v>6</v>
      </c>
    </row>
    <row r="363" spans="1:9">
      <c r="A363" s="281">
        <v>308</v>
      </c>
      <c r="B363" s="149" t="s">
        <v>109</v>
      </c>
      <c r="C363" s="309">
        <f>VLOOKUP(A363,'2-Kosten per locatie'!$A$13:$C$88,3,FALSE)</f>
        <v>2</v>
      </c>
      <c r="D363" s="411" t="str">
        <f ca="1">VLOOKUP(A363,'3-Ruimtestaat'!B:D,3,FALSE)</f>
        <v>Ringlijn</v>
      </c>
      <c r="E363" s="152"/>
      <c r="F363" s="153" t="s">
        <v>704</v>
      </c>
      <c r="G363" s="154" t="s">
        <v>166</v>
      </c>
      <c r="H363" s="153" t="s">
        <v>159</v>
      </c>
      <c r="I363" s="282">
        <v>11</v>
      </c>
    </row>
    <row r="364" spans="1:9">
      <c r="A364" s="281">
        <v>309</v>
      </c>
      <c r="B364" s="149" t="s">
        <v>110</v>
      </c>
      <c r="C364" s="309">
        <f>VLOOKUP(A364,'2-Kosten per locatie'!$A$13:$C$88,3,FALSE)</f>
        <v>2</v>
      </c>
      <c r="D364" s="411" t="str">
        <f ca="1">VLOOKUP(A364,'3-Ruimtestaat'!B:D,3,FALSE)</f>
        <v>Ringlijn</v>
      </c>
      <c r="E364" s="152"/>
      <c r="F364" s="153" t="s">
        <v>671</v>
      </c>
      <c r="G364" s="154" t="s">
        <v>161</v>
      </c>
      <c r="H364" s="153" t="s">
        <v>159</v>
      </c>
      <c r="I364" s="282">
        <v>11</v>
      </c>
    </row>
    <row r="365" spans="1:9">
      <c r="A365" s="281">
        <v>309</v>
      </c>
      <c r="B365" s="149" t="s">
        <v>110</v>
      </c>
      <c r="C365" s="309">
        <f>VLOOKUP(A365,'2-Kosten per locatie'!$A$13:$C$88,3,FALSE)</f>
        <v>2</v>
      </c>
      <c r="D365" s="411" t="str">
        <f ca="1">VLOOKUP(A365,'3-Ruimtestaat'!B:D,3,FALSE)</f>
        <v>Ringlijn</v>
      </c>
      <c r="E365" s="152"/>
      <c r="F365" s="153" t="s">
        <v>672</v>
      </c>
      <c r="G365" s="154" t="s">
        <v>282</v>
      </c>
      <c r="H365" s="153" t="s">
        <v>159</v>
      </c>
      <c r="I365" s="282">
        <v>3</v>
      </c>
    </row>
    <row r="366" spans="1:9">
      <c r="A366" s="281">
        <v>309</v>
      </c>
      <c r="B366" s="149" t="s">
        <v>110</v>
      </c>
      <c r="C366" s="309">
        <f>VLOOKUP(A366,'2-Kosten per locatie'!$A$13:$C$88,3,FALSE)</f>
        <v>2</v>
      </c>
      <c r="D366" s="411" t="str">
        <f ca="1">VLOOKUP(A366,'3-Ruimtestaat'!B:D,3,FALSE)</f>
        <v>Ringlijn</v>
      </c>
      <c r="E366" s="152"/>
      <c r="F366" s="153" t="s">
        <v>463</v>
      </c>
      <c r="G366" s="154" t="s">
        <v>512</v>
      </c>
      <c r="H366" s="153" t="s">
        <v>159</v>
      </c>
      <c r="I366" s="282">
        <v>6</v>
      </c>
    </row>
    <row r="367" spans="1:9">
      <c r="A367" s="281">
        <v>309</v>
      </c>
      <c r="B367" s="149" t="s">
        <v>110</v>
      </c>
      <c r="C367" s="309">
        <f>VLOOKUP(A367,'2-Kosten per locatie'!$A$13:$C$88,3,FALSE)</f>
        <v>2</v>
      </c>
      <c r="D367" s="411" t="str">
        <f ca="1">VLOOKUP(A367,'3-Ruimtestaat'!B:D,3,FALSE)</f>
        <v>Ringlijn</v>
      </c>
      <c r="E367" s="152"/>
      <c r="F367" s="153" t="s">
        <v>704</v>
      </c>
      <c r="G367" s="154" t="s">
        <v>166</v>
      </c>
      <c r="H367" s="153" t="s">
        <v>159</v>
      </c>
      <c r="I367" s="282">
        <v>10</v>
      </c>
    </row>
    <row r="368" spans="1:9">
      <c r="A368" s="281">
        <v>310</v>
      </c>
      <c r="B368" s="149" t="s">
        <v>111</v>
      </c>
      <c r="C368" s="309">
        <f>VLOOKUP(A368,'2-Kosten per locatie'!$A$13:$C$88,3,FALSE)</f>
        <v>2</v>
      </c>
      <c r="D368" s="411" t="str">
        <f ca="1">VLOOKUP(A368,'3-Ruimtestaat'!B:D,3,FALSE)</f>
        <v>Ringlijn</v>
      </c>
      <c r="E368" s="152"/>
      <c r="F368" s="153" t="s">
        <v>759</v>
      </c>
      <c r="G368" s="154" t="s">
        <v>164</v>
      </c>
      <c r="H368" s="153" t="s">
        <v>159</v>
      </c>
      <c r="I368" s="282">
        <v>13</v>
      </c>
    </row>
    <row r="369" spans="1:9">
      <c r="A369" s="281">
        <v>310</v>
      </c>
      <c r="B369" s="149" t="s">
        <v>111</v>
      </c>
      <c r="C369" s="309">
        <f>VLOOKUP(A369,'2-Kosten per locatie'!$A$13:$C$88,3,FALSE)</f>
        <v>2</v>
      </c>
      <c r="D369" s="411" t="str">
        <f ca="1">VLOOKUP(A369,'3-Ruimtestaat'!B:D,3,FALSE)</f>
        <v>Ringlijn</v>
      </c>
      <c r="E369" s="152"/>
      <c r="F369" s="153" t="s">
        <v>671</v>
      </c>
      <c r="G369" s="154" t="s">
        <v>161</v>
      </c>
      <c r="H369" s="153" t="s">
        <v>159</v>
      </c>
      <c r="I369" s="282">
        <v>11</v>
      </c>
    </row>
    <row r="370" spans="1:9">
      <c r="A370" s="281">
        <v>310</v>
      </c>
      <c r="B370" s="149" t="s">
        <v>111</v>
      </c>
      <c r="C370" s="309">
        <f>VLOOKUP(A370,'2-Kosten per locatie'!$A$13:$C$88,3,FALSE)</f>
        <v>2</v>
      </c>
      <c r="D370" s="411" t="str">
        <f ca="1">VLOOKUP(A370,'3-Ruimtestaat'!B:D,3,FALSE)</f>
        <v>Ringlijn</v>
      </c>
      <c r="E370" s="152"/>
      <c r="F370" s="153" t="s">
        <v>672</v>
      </c>
      <c r="G370" s="154" t="s">
        <v>282</v>
      </c>
      <c r="H370" s="153" t="s">
        <v>159</v>
      </c>
      <c r="I370" s="282">
        <v>2</v>
      </c>
    </row>
    <row r="371" spans="1:9">
      <c r="A371" s="281">
        <v>310</v>
      </c>
      <c r="B371" s="149" t="s">
        <v>111</v>
      </c>
      <c r="C371" s="309">
        <f>VLOOKUP(A371,'2-Kosten per locatie'!$A$13:$C$88,3,FALSE)</f>
        <v>2</v>
      </c>
      <c r="D371" s="411" t="str">
        <f ca="1">VLOOKUP(A371,'3-Ruimtestaat'!B:D,3,FALSE)</f>
        <v>Ringlijn</v>
      </c>
      <c r="E371" s="152"/>
      <c r="F371" s="153" t="s">
        <v>463</v>
      </c>
      <c r="G371" s="154" t="s">
        <v>512</v>
      </c>
      <c r="H371" s="153" t="s">
        <v>159</v>
      </c>
      <c r="I371" s="282">
        <v>6</v>
      </c>
    </row>
    <row r="372" spans="1:9">
      <c r="A372" s="281">
        <v>310</v>
      </c>
      <c r="B372" s="149" t="s">
        <v>111</v>
      </c>
      <c r="C372" s="309">
        <f>VLOOKUP(A372,'2-Kosten per locatie'!$A$13:$C$88,3,FALSE)</f>
        <v>2</v>
      </c>
      <c r="D372" s="411" t="str">
        <f ca="1">VLOOKUP(A372,'3-Ruimtestaat'!B:D,3,FALSE)</f>
        <v>Ringlijn</v>
      </c>
      <c r="E372" s="152"/>
      <c r="F372" s="153" t="s">
        <v>704</v>
      </c>
      <c r="G372" s="154" t="s">
        <v>166</v>
      </c>
      <c r="H372" s="153" t="s">
        <v>159</v>
      </c>
      <c r="I372" s="282">
        <v>11</v>
      </c>
    </row>
    <row r="373" spans="1:9">
      <c r="A373" s="281">
        <v>311</v>
      </c>
      <c r="B373" s="149" t="s">
        <v>112</v>
      </c>
      <c r="C373" s="309">
        <f>VLOOKUP(A373,'2-Kosten per locatie'!$A$13:$C$88,3,FALSE)</f>
        <v>2</v>
      </c>
      <c r="D373" s="411" t="str">
        <f ca="1">VLOOKUP(A373,'3-Ruimtestaat'!B:D,3,FALSE)</f>
        <v>Ringlijn</v>
      </c>
      <c r="E373" s="152"/>
      <c r="F373" s="153" t="s">
        <v>463</v>
      </c>
      <c r="G373" s="154" t="s">
        <v>765</v>
      </c>
      <c r="H373" s="153" t="s">
        <v>162</v>
      </c>
      <c r="I373" s="282">
        <v>12</v>
      </c>
    </row>
    <row r="374" spans="1:9">
      <c r="A374" s="281">
        <v>311</v>
      </c>
      <c r="B374" s="149" t="s">
        <v>112</v>
      </c>
      <c r="C374" s="309">
        <f>VLOOKUP(A374,'2-Kosten per locatie'!$A$13:$C$88,3,FALSE)</f>
        <v>2</v>
      </c>
      <c r="D374" s="411" t="str">
        <f ca="1">VLOOKUP(A374,'3-Ruimtestaat'!B:D,3,FALSE)</f>
        <v>Ringlijn</v>
      </c>
      <c r="E374" s="152"/>
      <c r="F374" s="153" t="s">
        <v>438</v>
      </c>
      <c r="G374" s="154" t="s">
        <v>491</v>
      </c>
      <c r="H374" s="153" t="s">
        <v>767</v>
      </c>
      <c r="I374" s="282">
        <v>14</v>
      </c>
    </row>
    <row r="375" spans="1:9">
      <c r="A375" s="281">
        <v>311</v>
      </c>
      <c r="B375" s="149" t="s">
        <v>112</v>
      </c>
      <c r="C375" s="309">
        <f>VLOOKUP(A375,'2-Kosten per locatie'!$A$13:$C$88,3,FALSE)</f>
        <v>2</v>
      </c>
      <c r="D375" s="411" t="str">
        <f ca="1">VLOOKUP(A375,'3-Ruimtestaat'!B:D,3,FALSE)</f>
        <v>Ringlijn</v>
      </c>
      <c r="E375" s="152"/>
      <c r="F375" s="153" t="s">
        <v>160</v>
      </c>
      <c r="G375" s="154" t="s">
        <v>543</v>
      </c>
      <c r="H375" s="153" t="s">
        <v>767</v>
      </c>
      <c r="I375" s="282">
        <v>14</v>
      </c>
    </row>
    <row r="376" spans="1:9">
      <c r="A376" s="281">
        <v>311</v>
      </c>
      <c r="B376" s="149" t="s">
        <v>112</v>
      </c>
      <c r="C376" s="309">
        <f>VLOOKUP(A376,'2-Kosten per locatie'!$A$13:$C$88,3,FALSE)</f>
        <v>2</v>
      </c>
      <c r="D376" s="411" t="str">
        <f ca="1">VLOOKUP(A376,'3-Ruimtestaat'!B:D,3,FALSE)</f>
        <v>Ringlijn</v>
      </c>
      <c r="E376" s="152"/>
      <c r="F376" s="153" t="s">
        <v>751</v>
      </c>
      <c r="G376" s="154" t="s">
        <v>768</v>
      </c>
      <c r="H376" s="153" t="s">
        <v>257</v>
      </c>
      <c r="I376" s="282">
        <v>2</v>
      </c>
    </row>
    <row r="377" spans="1:9">
      <c r="A377" s="281">
        <v>312</v>
      </c>
      <c r="B377" s="149" t="s">
        <v>115</v>
      </c>
      <c r="C377" s="309">
        <f>VLOOKUP(A377,'2-Kosten per locatie'!$A$13:$C$88,3,FALSE)</f>
        <v>2</v>
      </c>
      <c r="D377" s="411" t="str">
        <f ca="1">VLOOKUP(A377,'3-Ruimtestaat'!B:D,3,FALSE)</f>
        <v>Ringlijn</v>
      </c>
      <c r="E377" s="152"/>
      <c r="F377" s="153" t="s">
        <v>759</v>
      </c>
      <c r="G377" s="154" t="s">
        <v>164</v>
      </c>
      <c r="H377" s="153" t="s">
        <v>159</v>
      </c>
      <c r="I377" s="282">
        <v>14</v>
      </c>
    </row>
    <row r="378" spans="1:9">
      <c r="A378" s="281">
        <v>312</v>
      </c>
      <c r="B378" s="149" t="s">
        <v>115</v>
      </c>
      <c r="C378" s="309">
        <f>VLOOKUP(A378,'2-Kosten per locatie'!$A$13:$C$88,3,FALSE)</f>
        <v>2</v>
      </c>
      <c r="D378" s="411" t="str">
        <f ca="1">VLOOKUP(A378,'3-Ruimtestaat'!B:D,3,FALSE)</f>
        <v>Ringlijn</v>
      </c>
      <c r="E378" s="152"/>
      <c r="F378" s="153" t="s">
        <v>671</v>
      </c>
      <c r="G378" s="154" t="s">
        <v>161</v>
      </c>
      <c r="H378" s="153" t="s">
        <v>159</v>
      </c>
      <c r="I378" s="282">
        <v>12</v>
      </c>
    </row>
    <row r="379" spans="1:9">
      <c r="A379" s="281">
        <v>312</v>
      </c>
      <c r="B379" s="149" t="s">
        <v>115</v>
      </c>
      <c r="C379" s="309">
        <f>VLOOKUP(A379,'2-Kosten per locatie'!$A$13:$C$88,3,FALSE)</f>
        <v>2</v>
      </c>
      <c r="D379" s="411" t="str">
        <f ca="1">VLOOKUP(A379,'3-Ruimtestaat'!B:D,3,FALSE)</f>
        <v>Ringlijn</v>
      </c>
      <c r="E379" s="152"/>
      <c r="F379" s="153" t="s">
        <v>672</v>
      </c>
      <c r="G379" s="154" t="s">
        <v>282</v>
      </c>
      <c r="H379" s="153" t="s">
        <v>159</v>
      </c>
      <c r="I379" s="282">
        <v>2</v>
      </c>
    </row>
    <row r="380" spans="1:9">
      <c r="A380" s="281">
        <v>312</v>
      </c>
      <c r="B380" s="149" t="s">
        <v>115</v>
      </c>
      <c r="C380" s="309">
        <f>VLOOKUP(A380,'2-Kosten per locatie'!$A$13:$C$88,3,FALSE)</f>
        <v>2</v>
      </c>
      <c r="D380" s="411" t="str">
        <f ca="1">VLOOKUP(A380,'3-Ruimtestaat'!B:D,3,FALSE)</f>
        <v>Ringlijn</v>
      </c>
      <c r="E380" s="152"/>
      <c r="F380" s="153" t="s">
        <v>463</v>
      </c>
      <c r="G380" s="154" t="s">
        <v>512</v>
      </c>
      <c r="H380" s="153" t="s">
        <v>159</v>
      </c>
      <c r="I380" s="282">
        <v>6</v>
      </c>
    </row>
    <row r="381" spans="1:9">
      <c r="A381" s="281">
        <v>312</v>
      </c>
      <c r="B381" s="149" t="s">
        <v>115</v>
      </c>
      <c r="C381" s="309">
        <f>VLOOKUP(A381,'2-Kosten per locatie'!$A$13:$C$88,3,FALSE)</f>
        <v>2</v>
      </c>
      <c r="D381" s="411" t="str">
        <f ca="1">VLOOKUP(A381,'3-Ruimtestaat'!B:D,3,FALSE)</f>
        <v>Ringlijn</v>
      </c>
      <c r="E381" s="152"/>
      <c r="F381" s="153" t="s">
        <v>770</v>
      </c>
      <c r="G381" s="154" t="s">
        <v>166</v>
      </c>
      <c r="H381" s="153" t="s">
        <v>159</v>
      </c>
      <c r="I381" s="282">
        <v>14</v>
      </c>
    </row>
    <row r="382" spans="1:9">
      <c r="A382" s="281">
        <v>1001</v>
      </c>
      <c r="B382" s="149" t="s">
        <v>116</v>
      </c>
      <c r="C382" s="309">
        <f>VLOOKUP(A382,'2-Kosten per locatie'!$A$13:$C$88,3,FALSE)</f>
        <v>2</v>
      </c>
      <c r="D382" s="411" t="str">
        <f ca="1">VLOOKUP(A382,'3-Ruimtestaat'!B:D,3,FALSE)</f>
        <v>Ijtram</v>
      </c>
      <c r="E382" s="152"/>
      <c r="F382" s="153" t="s">
        <v>467</v>
      </c>
      <c r="G382" s="154"/>
      <c r="H382" s="153" t="s">
        <v>180</v>
      </c>
      <c r="I382" s="282">
        <v>6</v>
      </c>
    </row>
    <row r="383" spans="1:9">
      <c r="A383" s="281">
        <v>1002</v>
      </c>
      <c r="B383" s="149" t="s">
        <v>117</v>
      </c>
      <c r="C383" s="309">
        <f>VLOOKUP(A383,'2-Kosten per locatie'!$A$13:$C$88,3,FALSE)</f>
        <v>2</v>
      </c>
      <c r="D383" s="411" t="str">
        <f ca="1">VLOOKUP(A383,'3-Ruimtestaat'!B:D,3,FALSE)</f>
        <v>Ijtram</v>
      </c>
      <c r="E383" s="152"/>
      <c r="F383" s="153" t="s">
        <v>777</v>
      </c>
      <c r="G383" s="154" t="s">
        <v>491</v>
      </c>
      <c r="H383" s="153" t="s">
        <v>159</v>
      </c>
      <c r="I383" s="282">
        <v>14.4</v>
      </c>
    </row>
    <row r="384" spans="1:9">
      <c r="A384" s="281">
        <v>1002</v>
      </c>
      <c r="B384" s="149" t="s">
        <v>117</v>
      </c>
      <c r="C384" s="309">
        <f>VLOOKUP(A384,'2-Kosten per locatie'!$A$13:$C$88,3,FALSE)</f>
        <v>2</v>
      </c>
      <c r="D384" s="411" t="str">
        <f ca="1">VLOOKUP(A384,'3-Ruimtestaat'!B:D,3,FALSE)</f>
        <v>Ijtram</v>
      </c>
      <c r="E384" s="152"/>
      <c r="F384" s="153" t="s">
        <v>778</v>
      </c>
      <c r="G384" s="154" t="s">
        <v>543</v>
      </c>
      <c r="H384" s="153" t="s">
        <v>159</v>
      </c>
      <c r="I384" s="282">
        <v>15.72</v>
      </c>
    </row>
    <row r="385" spans="1:9">
      <c r="A385" s="281">
        <v>1002</v>
      </c>
      <c r="B385" s="149" t="s">
        <v>117</v>
      </c>
      <c r="C385" s="309">
        <f>VLOOKUP(A385,'2-Kosten per locatie'!$A$13:$C$88,3,FALSE)</f>
        <v>2</v>
      </c>
      <c r="D385" s="411" t="str">
        <f ca="1">VLOOKUP(A385,'3-Ruimtestaat'!B:D,3,FALSE)</f>
        <v>Ijtram</v>
      </c>
      <c r="E385" s="152"/>
      <c r="F385" s="153" t="s">
        <v>187</v>
      </c>
      <c r="G385" s="154" t="s">
        <v>540</v>
      </c>
      <c r="H385" s="153" t="s">
        <v>159</v>
      </c>
      <c r="I385" s="282">
        <v>30</v>
      </c>
    </row>
    <row r="386" spans="1:9">
      <c r="A386" s="281">
        <v>1002</v>
      </c>
      <c r="B386" s="149" t="s">
        <v>117</v>
      </c>
      <c r="C386" s="309">
        <f>VLOOKUP(A386,'2-Kosten per locatie'!$A$13:$C$88,3,FALSE)</f>
        <v>2</v>
      </c>
      <c r="D386" s="411" t="str">
        <f ca="1">VLOOKUP(A386,'3-Ruimtestaat'!B:D,3,FALSE)</f>
        <v>Ijtram</v>
      </c>
      <c r="E386" s="152"/>
      <c r="F386" s="153" t="s">
        <v>338</v>
      </c>
      <c r="G386" s="154" t="s">
        <v>779</v>
      </c>
      <c r="H386" s="153" t="s">
        <v>159</v>
      </c>
      <c r="I386" s="282">
        <v>9.8000000000000007</v>
      </c>
    </row>
    <row r="387" spans="1:9">
      <c r="A387" s="281">
        <v>1002</v>
      </c>
      <c r="B387" s="149" t="s">
        <v>117</v>
      </c>
      <c r="C387" s="309">
        <f>VLOOKUP(A387,'2-Kosten per locatie'!$A$13:$C$88,3,FALSE)</f>
        <v>2</v>
      </c>
      <c r="D387" s="411" t="str">
        <f ca="1">VLOOKUP(A387,'3-Ruimtestaat'!B:D,3,FALSE)</f>
        <v>Ijtram</v>
      </c>
      <c r="E387" s="152"/>
      <c r="F387" s="153" t="s">
        <v>780</v>
      </c>
      <c r="G387" s="154" t="s">
        <v>781</v>
      </c>
      <c r="H387" s="153" t="s">
        <v>159</v>
      </c>
      <c r="I387" s="282">
        <v>6.16</v>
      </c>
    </row>
    <row r="388" spans="1:9">
      <c r="A388" s="281">
        <v>1002</v>
      </c>
      <c r="B388" s="149" t="s">
        <v>117</v>
      </c>
      <c r="C388" s="309">
        <f>VLOOKUP(A388,'2-Kosten per locatie'!$A$13:$C$88,3,FALSE)</f>
        <v>2</v>
      </c>
      <c r="D388" s="411" t="str">
        <f ca="1">VLOOKUP(A388,'3-Ruimtestaat'!B:D,3,FALSE)</f>
        <v>Ijtram</v>
      </c>
      <c r="E388" s="152"/>
      <c r="F388" s="153" t="s">
        <v>782</v>
      </c>
      <c r="G388" s="154" t="s">
        <v>781</v>
      </c>
      <c r="H388" s="153" t="s">
        <v>159</v>
      </c>
      <c r="I388" s="282">
        <v>7.7</v>
      </c>
    </row>
    <row r="389" spans="1:9">
      <c r="A389" s="281">
        <v>1002</v>
      </c>
      <c r="B389" s="149" t="s">
        <v>117</v>
      </c>
      <c r="C389" s="309">
        <f>VLOOKUP(A389,'2-Kosten per locatie'!$A$13:$C$88,3,FALSE)</f>
        <v>2</v>
      </c>
      <c r="D389" s="411" t="str">
        <f ca="1">VLOOKUP(A389,'3-Ruimtestaat'!B:D,3,FALSE)</f>
        <v>Ijtram</v>
      </c>
      <c r="E389" s="152"/>
      <c r="F389" s="153" t="s">
        <v>783</v>
      </c>
      <c r="G389" s="154" t="s">
        <v>781</v>
      </c>
      <c r="H389" s="153" t="s">
        <v>159</v>
      </c>
      <c r="I389" s="282">
        <v>0.7</v>
      </c>
    </row>
    <row r="390" spans="1:9">
      <c r="A390" s="281">
        <v>1002</v>
      </c>
      <c r="B390" s="149" t="s">
        <v>117</v>
      </c>
      <c r="C390" s="309">
        <f>VLOOKUP(A390,'2-Kosten per locatie'!$A$13:$C$88,3,FALSE)</f>
        <v>2</v>
      </c>
      <c r="D390" s="411" t="str">
        <f ca="1">VLOOKUP(A390,'3-Ruimtestaat'!B:D,3,FALSE)</f>
        <v>Ijtram</v>
      </c>
      <c r="E390" s="152"/>
      <c r="F390" s="153" t="s">
        <v>784</v>
      </c>
      <c r="G390" s="154"/>
      <c r="H390" s="153" t="s">
        <v>180</v>
      </c>
      <c r="I390" s="282">
        <v>43</v>
      </c>
    </row>
    <row r="391" spans="1:9">
      <c r="A391" s="281">
        <v>1002</v>
      </c>
      <c r="B391" s="149" t="s">
        <v>117</v>
      </c>
      <c r="C391" s="309">
        <f>VLOOKUP(A391,'2-Kosten per locatie'!$A$13:$C$88,3,FALSE)</f>
        <v>2</v>
      </c>
      <c r="D391" s="411" t="str">
        <f ca="1">VLOOKUP(A391,'3-Ruimtestaat'!B:D,3,FALSE)</f>
        <v>Ijtram</v>
      </c>
      <c r="E391" s="152"/>
      <c r="F391" s="153" t="s">
        <v>784</v>
      </c>
      <c r="G391" s="154"/>
      <c r="H391" s="153" t="s">
        <v>785</v>
      </c>
      <c r="I391" s="282">
        <v>60</v>
      </c>
    </row>
    <row r="392" spans="1:9">
      <c r="A392" s="281">
        <v>1002</v>
      </c>
      <c r="B392" s="149" t="s">
        <v>117</v>
      </c>
      <c r="C392" s="309">
        <f>VLOOKUP(A392,'2-Kosten per locatie'!$A$13:$C$88,3,FALSE)</f>
        <v>2</v>
      </c>
      <c r="D392" s="411" t="str">
        <f ca="1">VLOOKUP(A392,'3-Ruimtestaat'!B:D,3,FALSE)</f>
        <v>Ijtram</v>
      </c>
      <c r="E392" s="152"/>
      <c r="F392" s="153" t="s">
        <v>784</v>
      </c>
      <c r="G392" s="154"/>
      <c r="H392" s="153" t="s">
        <v>785</v>
      </c>
      <c r="I392" s="282">
        <v>6.25</v>
      </c>
    </row>
    <row r="393" spans="1:9">
      <c r="A393" s="281">
        <v>1002</v>
      </c>
      <c r="B393" s="149" t="s">
        <v>117</v>
      </c>
      <c r="C393" s="309">
        <f>VLOOKUP(A393,'2-Kosten per locatie'!$A$13:$C$88,3,FALSE)</f>
        <v>2</v>
      </c>
      <c r="D393" s="411" t="str">
        <f ca="1">VLOOKUP(A393,'3-Ruimtestaat'!B:D,3,FALSE)</f>
        <v>Ijtram</v>
      </c>
      <c r="E393" s="152"/>
      <c r="F393" s="153" t="s">
        <v>784</v>
      </c>
      <c r="G393" s="154"/>
      <c r="H393" s="153" t="s">
        <v>785</v>
      </c>
      <c r="I393" s="282">
        <v>6.25</v>
      </c>
    </row>
    <row r="394" spans="1:9">
      <c r="A394" s="281">
        <v>1002</v>
      </c>
      <c r="B394" s="149" t="s">
        <v>117</v>
      </c>
      <c r="C394" s="309">
        <f>VLOOKUP(A394,'2-Kosten per locatie'!$A$13:$C$88,3,FALSE)</f>
        <v>2</v>
      </c>
      <c r="D394" s="411" t="str">
        <f ca="1">VLOOKUP(A394,'3-Ruimtestaat'!B:D,3,FALSE)</f>
        <v>Ijtram</v>
      </c>
      <c r="E394" s="152"/>
      <c r="F394" s="153" t="s">
        <v>786</v>
      </c>
      <c r="G394" s="154"/>
      <c r="H394" s="153" t="s">
        <v>180</v>
      </c>
      <c r="I394" s="282">
        <v>17.5</v>
      </c>
    </row>
    <row r="395" spans="1:9">
      <c r="A395" s="281">
        <v>1002</v>
      </c>
      <c r="B395" s="149" t="s">
        <v>117</v>
      </c>
      <c r="C395" s="309">
        <f>VLOOKUP(A395,'2-Kosten per locatie'!$A$13:$C$88,3,FALSE)</f>
        <v>2</v>
      </c>
      <c r="D395" s="411" t="str">
        <f ca="1">VLOOKUP(A395,'3-Ruimtestaat'!B:D,3,FALSE)</f>
        <v>Ijtram</v>
      </c>
      <c r="E395" s="152"/>
      <c r="F395" s="153" t="s">
        <v>786</v>
      </c>
      <c r="G395" s="154"/>
      <c r="H395" s="153" t="s">
        <v>180</v>
      </c>
      <c r="I395" s="282">
        <v>25</v>
      </c>
    </row>
    <row r="396" spans="1:9">
      <c r="A396" s="281">
        <v>1002</v>
      </c>
      <c r="B396" s="149" t="s">
        <v>117</v>
      </c>
      <c r="C396" s="309">
        <f>VLOOKUP(A396,'2-Kosten per locatie'!$A$13:$C$88,3,FALSE)</f>
        <v>2</v>
      </c>
      <c r="D396" s="411" t="str">
        <f ca="1">VLOOKUP(A396,'3-Ruimtestaat'!B:D,3,FALSE)</f>
        <v>Ijtram</v>
      </c>
      <c r="E396" s="152"/>
      <c r="F396" s="153" t="s">
        <v>786</v>
      </c>
      <c r="G396" s="154"/>
      <c r="H396" s="153" t="s">
        <v>180</v>
      </c>
      <c r="I396" s="282">
        <v>25</v>
      </c>
    </row>
    <row r="397" spans="1:9">
      <c r="A397" s="281">
        <v>1002</v>
      </c>
      <c r="B397" s="149" t="s">
        <v>117</v>
      </c>
      <c r="C397" s="309">
        <f>VLOOKUP(A397,'2-Kosten per locatie'!$A$13:$C$88,3,FALSE)</f>
        <v>2</v>
      </c>
      <c r="D397" s="411" t="str">
        <f ca="1">VLOOKUP(A397,'3-Ruimtestaat'!B:D,3,FALSE)</f>
        <v>Ijtram</v>
      </c>
      <c r="E397" s="152"/>
      <c r="F397" s="153" t="s">
        <v>787</v>
      </c>
      <c r="G397" s="154"/>
      <c r="H397" s="153" t="s">
        <v>180</v>
      </c>
      <c r="I397" s="282">
        <v>18</v>
      </c>
    </row>
    <row r="398" spans="1:9">
      <c r="A398" s="281">
        <v>1002</v>
      </c>
      <c r="B398" s="149" t="s">
        <v>117</v>
      </c>
      <c r="C398" s="309">
        <f>VLOOKUP(A398,'2-Kosten per locatie'!$A$13:$C$88,3,FALSE)</f>
        <v>2</v>
      </c>
      <c r="D398" s="411" t="str">
        <f ca="1">VLOOKUP(A398,'3-Ruimtestaat'!B:D,3,FALSE)</f>
        <v>Ijtram</v>
      </c>
      <c r="E398" s="152"/>
      <c r="F398" s="153" t="s">
        <v>787</v>
      </c>
      <c r="G398" s="154"/>
      <c r="H398" s="153" t="s">
        <v>180</v>
      </c>
      <c r="I398" s="282">
        <v>1</v>
      </c>
    </row>
    <row r="399" spans="1:9">
      <c r="A399" s="281">
        <v>1002</v>
      </c>
      <c r="B399" s="149" t="s">
        <v>117</v>
      </c>
      <c r="C399" s="309">
        <f>VLOOKUP(A399,'2-Kosten per locatie'!$A$13:$C$88,3,FALSE)</f>
        <v>2</v>
      </c>
      <c r="D399" s="411" t="str">
        <f ca="1">VLOOKUP(A399,'3-Ruimtestaat'!B:D,3,FALSE)</f>
        <v>Ijtram</v>
      </c>
      <c r="E399" s="152"/>
      <c r="F399" s="153" t="s">
        <v>787</v>
      </c>
      <c r="G399" s="154"/>
      <c r="H399" s="153" t="s">
        <v>180</v>
      </c>
      <c r="I399" s="282">
        <v>1.5</v>
      </c>
    </row>
    <row r="400" spans="1:9">
      <c r="A400" s="281">
        <v>1002</v>
      </c>
      <c r="B400" s="149" t="s">
        <v>117</v>
      </c>
      <c r="C400" s="309">
        <f>VLOOKUP(A400,'2-Kosten per locatie'!$A$13:$C$88,3,FALSE)</f>
        <v>2</v>
      </c>
      <c r="D400" s="411" t="str">
        <f ca="1">VLOOKUP(A400,'3-Ruimtestaat'!B:D,3,FALSE)</f>
        <v>Ijtram</v>
      </c>
      <c r="E400" s="152"/>
      <c r="F400" s="153" t="s">
        <v>788</v>
      </c>
      <c r="G400" s="154"/>
      <c r="H400" s="153" t="s">
        <v>180</v>
      </c>
      <c r="I400" s="282">
        <v>8</v>
      </c>
    </row>
    <row r="401" spans="1:9">
      <c r="A401" s="281">
        <v>1002</v>
      </c>
      <c r="B401" s="149" t="s">
        <v>117</v>
      </c>
      <c r="C401" s="309">
        <f>VLOOKUP(A401,'2-Kosten per locatie'!$A$13:$C$88,3,FALSE)</f>
        <v>2</v>
      </c>
      <c r="D401" s="411" t="str">
        <f ca="1">VLOOKUP(A401,'3-Ruimtestaat'!B:D,3,FALSE)</f>
        <v>Ijtram</v>
      </c>
      <c r="E401" s="152"/>
      <c r="F401" s="153" t="s">
        <v>183</v>
      </c>
      <c r="G401" s="154"/>
      <c r="H401" s="153" t="s">
        <v>180</v>
      </c>
      <c r="I401" s="282">
        <v>17.5</v>
      </c>
    </row>
    <row r="402" spans="1:9">
      <c r="A402" s="281">
        <v>1002</v>
      </c>
      <c r="B402" s="149" t="s">
        <v>117</v>
      </c>
      <c r="C402" s="309">
        <f>VLOOKUP(A402,'2-Kosten per locatie'!$A$13:$C$88,3,FALSE)</f>
        <v>2</v>
      </c>
      <c r="D402" s="411" t="str">
        <f ca="1">VLOOKUP(A402,'3-Ruimtestaat'!B:D,3,FALSE)</f>
        <v>Ijtram</v>
      </c>
      <c r="E402" s="152"/>
      <c r="F402" s="153" t="s">
        <v>183</v>
      </c>
      <c r="G402" s="154"/>
      <c r="H402" s="153" t="s">
        <v>180</v>
      </c>
      <c r="I402" s="282">
        <v>17.5</v>
      </c>
    </row>
  </sheetData>
  <autoFilter ref="A55:J381" xr:uid="{6501AE5A-763B-4384-B4FB-7C14D16B2D0E}"/>
  <mergeCells count="1">
    <mergeCell ref="A12:B12"/>
  </mergeCells>
  <phoneticPr fontId="48" type="noConversion"/>
  <pageMargins left="0.7" right="0.7" top="0.75" bottom="0.75" header="0.3" footer="0.3"/>
  <pageSetup paperSize="9" scale="56" orientation="portrait" r:id="rId1"/>
  <rowBreaks count="1" manualBreakCount="1">
    <brk id="53"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3285-1981-4E92-8D8D-A49D7A499EF3}">
  <sheetPr>
    <tabColor theme="0" tint="-4.9989318521683403E-2"/>
  </sheetPr>
  <dimension ref="A1:H83"/>
  <sheetViews>
    <sheetView showGridLines="0" showZeros="0" showOutlineSymbols="0" zoomScaleNormal="100" zoomScaleSheetLayoutView="100" workbookViewId="0">
      <pane ySplit="9" topLeftCell="A10" activePane="bottomLeft" state="frozen"/>
      <selection pane="bottomLeft" activeCell="F26" sqref="F26"/>
      <selection activeCell="E28" sqref="E28"/>
    </sheetView>
  </sheetViews>
  <sheetFormatPr defaultColWidth="9.28515625" defaultRowHeight="13.15"/>
  <cols>
    <col min="1" max="1" width="45.5703125" style="43" customWidth="1"/>
    <col min="2" max="2" width="18.28515625" style="43" customWidth="1"/>
    <col min="3" max="3" width="18.42578125" style="43" customWidth="1"/>
    <col min="4" max="4" width="10.7109375" style="1" customWidth="1"/>
    <col min="5" max="5" width="11.140625" style="1" customWidth="1"/>
    <col min="6" max="6" width="2.140625" style="1" customWidth="1"/>
    <col min="7" max="7" width="7.85546875" style="1" customWidth="1"/>
    <col min="8" max="8" width="27" style="1" bestFit="1" customWidth="1"/>
    <col min="9" max="16384" width="9.28515625" style="1"/>
  </cols>
  <sheetData>
    <row r="1" spans="1:8" ht="16.149999999999999">
      <c r="A1" s="318" t="s">
        <v>0</v>
      </c>
      <c r="B1" s="4"/>
      <c r="C1" s="5"/>
      <c r="D1" s="6"/>
      <c r="E1" s="6"/>
      <c r="F1" s="6"/>
      <c r="G1" s="6"/>
    </row>
    <row r="2" spans="1:8">
      <c r="A2" s="5"/>
      <c r="B2" s="5"/>
      <c r="C2" s="5"/>
      <c r="D2" s="6"/>
      <c r="E2" s="6"/>
      <c r="F2" s="6"/>
      <c r="G2" s="6"/>
    </row>
    <row r="3" spans="1:8" ht="18.600000000000001">
      <c r="A3" s="7" t="str">
        <f>'1-Inschrijfstaat'!A3</f>
        <v>Naam opdrachtgever</v>
      </c>
      <c r="B3" s="8" t="str">
        <f>'1-Inschrijfstaat'!B3</f>
        <v>GVB Infra B.V.</v>
      </c>
      <c r="C3" s="5"/>
      <c r="D3" s="6"/>
      <c r="E3" s="9"/>
      <c r="F3" s="6"/>
      <c r="G3" s="6"/>
    </row>
    <row r="4" spans="1:8" ht="18.600000000000001">
      <c r="A4" s="7" t="str">
        <f>'1-Inschrijfstaat'!A4</f>
        <v>Calculatie onderdeel</v>
      </c>
      <c r="B4" s="8" t="e">
        <f ca="1">MID(CELL("bestandsnaam",$D$11),SEARCH("]",CELL("bestandsnaam",$D$11),1)+1,256)</f>
        <v>#VALUE!</v>
      </c>
      <c r="C4" s="10"/>
      <c r="D4" s="3"/>
      <c r="E4" s="11"/>
      <c r="F4" s="11"/>
      <c r="G4" s="11"/>
    </row>
    <row r="5" spans="1:8" ht="18.600000000000001">
      <c r="A5" s="7" t="str">
        <f>'1-Inschrijfstaat'!A5</f>
        <v>Gebouw/plaats</v>
      </c>
      <c r="B5" s="8" t="str">
        <f>'1-Inschrijfstaat'!B5</f>
        <v>Diverse</v>
      </c>
      <c r="C5" s="12"/>
      <c r="D5" s="13"/>
      <c r="E5" s="14"/>
      <c r="F5" s="15"/>
      <c r="G5" s="11"/>
    </row>
    <row r="6" spans="1:8" ht="18.600000000000001">
      <c r="A6" s="7" t="str">
        <f>'1-Inschrijfstaat'!A6</f>
        <v>Referentienummer</v>
      </c>
      <c r="B6" s="8" t="str">
        <f>'1-Inschrijfstaat'!B6</f>
        <v>2024-20</v>
      </c>
      <c r="C6" s="16"/>
      <c r="D6" s="13"/>
      <c r="E6" s="17"/>
      <c r="F6" s="18"/>
      <c r="G6" s="19"/>
      <c r="H6" s="2"/>
    </row>
    <row r="7" spans="1:8" ht="18.600000000000001">
      <c r="A7" s="7" t="str">
        <f>'1-Inschrijfstaat'!A7</f>
        <v>Naam leverancier</v>
      </c>
      <c r="B7" s="8">
        <f>'1-Inschrijfstaat'!B7</f>
        <v>0</v>
      </c>
      <c r="C7" s="16"/>
      <c r="D7" s="13"/>
      <c r="E7" s="14"/>
      <c r="F7" s="15"/>
      <c r="G7" s="11"/>
    </row>
    <row r="8" spans="1:8" ht="18.600000000000001">
      <c r="A8" s="7" t="str">
        <f>'1-Inschrijfstaat'!A8</f>
        <v>Prijspeil</v>
      </c>
      <c r="B8" s="405" t="str">
        <f>'1-Inschrijfstaat'!B8</f>
        <v>1 januari 2025</v>
      </c>
      <c r="C8" s="20"/>
      <c r="D8" s="14"/>
      <c r="E8" s="14"/>
      <c r="F8" s="15"/>
      <c r="G8" s="11"/>
    </row>
    <row r="9" spans="1:8" ht="18.600000000000001">
      <c r="A9" s="21"/>
      <c r="B9" s="20"/>
      <c r="C9" s="20"/>
      <c r="D9" s="14"/>
      <c r="E9" s="14"/>
      <c r="F9" s="15"/>
      <c r="G9" s="11"/>
    </row>
    <row r="10" spans="1:8" ht="21">
      <c r="A10" s="367" t="s">
        <v>1348</v>
      </c>
      <c r="B10" s="486"/>
      <c r="C10" s="487"/>
      <c r="D10" s="14"/>
      <c r="E10" s="14"/>
      <c r="F10" s="15"/>
      <c r="G10" s="11"/>
    </row>
    <row r="11" spans="1:8">
      <c r="A11" s="22"/>
      <c r="B11" s="23"/>
      <c r="C11" s="23"/>
      <c r="D11" s="14"/>
      <c r="E11" s="14"/>
      <c r="F11" s="11"/>
      <c r="G11" s="11"/>
    </row>
    <row r="12" spans="1:8">
      <c r="A12" s="368"/>
      <c r="B12" s="488"/>
      <c r="C12" s="489" t="s">
        <v>1349</v>
      </c>
      <c r="D12" s="14"/>
      <c r="E12" s="14"/>
      <c r="F12" s="15"/>
      <c r="G12" s="11"/>
    </row>
    <row r="13" spans="1:8">
      <c r="A13" s="290" t="s">
        <v>1350</v>
      </c>
      <c r="B13" s="488"/>
      <c r="C13" s="319"/>
      <c r="D13" s="14"/>
      <c r="E13" s="14"/>
      <c r="F13" s="24"/>
      <c r="G13" s="11"/>
    </row>
    <row r="14" spans="1:8">
      <c r="A14" s="290" t="s">
        <v>1351</v>
      </c>
      <c r="B14" s="488"/>
      <c r="C14" s="319"/>
      <c r="D14" s="14"/>
      <c r="E14" s="14"/>
      <c r="F14" s="24"/>
      <c r="G14" s="11"/>
    </row>
    <row r="15" spans="1:8">
      <c r="A15" s="290" t="s">
        <v>1352</v>
      </c>
      <c r="B15" s="488"/>
      <c r="C15" s="319"/>
      <c r="D15" s="14"/>
      <c r="E15" s="14"/>
      <c r="F15" s="24"/>
      <c r="G15" s="11"/>
    </row>
    <row r="16" spans="1:8">
      <c r="A16" s="294" t="s">
        <v>917</v>
      </c>
      <c r="B16" s="446"/>
      <c r="C16" s="320">
        <f>SUM(C13:C15)</f>
        <v>0</v>
      </c>
      <c r="D16" s="14"/>
      <c r="E16" s="14"/>
      <c r="F16" s="11"/>
    </row>
    <row r="17" spans="1:7">
      <c r="A17" s="294"/>
      <c r="B17" s="446"/>
      <c r="C17" s="320"/>
      <c r="D17" s="14"/>
      <c r="E17" s="14"/>
      <c r="F17" s="11"/>
    </row>
    <row r="18" spans="1:7">
      <c r="A18" s="575" t="s">
        <v>1353</v>
      </c>
      <c r="B18" s="576"/>
      <c r="C18" s="319"/>
      <c r="D18" s="14"/>
      <c r="E18" s="14"/>
      <c r="F18" s="11"/>
    </row>
    <row r="19" spans="1:7">
      <c r="A19" s="290" t="s">
        <v>1354</v>
      </c>
      <c r="B19" s="490"/>
      <c r="C19" s="319"/>
      <c r="D19" s="14"/>
      <c r="E19" s="14"/>
      <c r="F19" s="11"/>
    </row>
    <row r="20" spans="1:7">
      <c r="A20" s="575" t="s">
        <v>1355</v>
      </c>
      <c r="B20" s="576"/>
      <c r="C20" s="319"/>
      <c r="D20" s="14"/>
      <c r="E20" s="14"/>
      <c r="F20" s="11"/>
    </row>
    <row r="21" spans="1:7">
      <c r="A21" s="575" t="s">
        <v>1356</v>
      </c>
      <c r="B21" s="576"/>
      <c r="C21" s="321" t="e">
        <f>C34</f>
        <v>#DIV/0!</v>
      </c>
      <c r="D21" s="14"/>
      <c r="E21" s="14"/>
      <c r="F21" s="11"/>
    </row>
    <row r="22" spans="1:7">
      <c r="A22" s="575" t="s">
        <v>1357</v>
      </c>
      <c r="B22" s="576"/>
      <c r="C22" s="319"/>
      <c r="D22" s="14"/>
      <c r="E22" s="14"/>
      <c r="F22" s="11"/>
    </row>
    <row r="23" spans="1:7">
      <c r="A23" s="575" t="s">
        <v>1358</v>
      </c>
      <c r="B23" s="576"/>
      <c r="C23" s="319"/>
      <c r="D23" s="14"/>
      <c r="E23" s="14"/>
      <c r="F23" s="11"/>
    </row>
    <row r="24" spans="1:7">
      <c r="A24" s="577" t="s">
        <v>1359</v>
      </c>
      <c r="B24" s="578"/>
      <c r="C24" s="491" t="e">
        <f>SUM(C16:C23)</f>
        <v>#DIV/0!</v>
      </c>
      <c r="D24" s="14"/>
      <c r="E24" s="14"/>
      <c r="F24" s="11"/>
    </row>
    <row r="25" spans="1:7">
      <c r="A25" s="25"/>
      <c r="B25" s="26"/>
      <c r="C25" s="27"/>
      <c r="D25" s="14"/>
      <c r="E25" s="14"/>
      <c r="F25" s="28"/>
      <c r="G25" s="11"/>
    </row>
    <row r="26" spans="1:7" ht="21">
      <c r="A26" s="367" t="s">
        <v>1360</v>
      </c>
      <c r="B26" s="486"/>
      <c r="C26" s="487"/>
      <c r="D26" s="14"/>
      <c r="E26" s="14"/>
      <c r="F26" s="15"/>
      <c r="G26" s="11"/>
    </row>
    <row r="27" spans="1:7">
      <c r="A27" s="22"/>
      <c r="B27" s="23"/>
      <c r="C27" s="23"/>
      <c r="D27" s="14"/>
      <c r="E27" s="14"/>
      <c r="F27" s="11"/>
      <c r="G27" s="11"/>
    </row>
    <row r="28" spans="1:7">
      <c r="A28" s="23"/>
      <c r="B28" s="23"/>
      <c r="C28" s="322" t="s">
        <v>1361</v>
      </c>
      <c r="D28" s="14"/>
      <c r="E28" s="14"/>
      <c r="F28" s="11"/>
      <c r="G28" s="11"/>
    </row>
    <row r="29" spans="1:7">
      <c r="A29" s="290" t="s">
        <v>1362</v>
      </c>
      <c r="B29" s="488"/>
      <c r="C29" s="323">
        <f>'15-Opbouw uurtarieven'!E21</f>
        <v>0</v>
      </c>
      <c r="D29" s="14"/>
      <c r="E29" s="14"/>
      <c r="G29" s="11"/>
    </row>
    <row r="30" spans="1:7">
      <c r="A30" s="290" t="s">
        <v>1363</v>
      </c>
      <c r="B30" s="492" t="s">
        <v>1364</v>
      </c>
      <c r="C30" s="324"/>
      <c r="D30" s="14"/>
      <c r="E30" s="14"/>
      <c r="F30" s="15"/>
      <c r="G30" s="11"/>
    </row>
    <row r="31" spans="1:7">
      <c r="A31" s="290" t="s">
        <v>1365</v>
      </c>
      <c r="B31" s="488"/>
      <c r="C31" s="29">
        <f>C29+C30</f>
        <v>0</v>
      </c>
      <c r="D31" s="14"/>
      <c r="E31" s="14"/>
      <c r="F31" s="15"/>
      <c r="G31" s="11"/>
    </row>
    <row r="32" spans="1:7">
      <c r="A32" s="369" t="s">
        <v>1366</v>
      </c>
      <c r="B32" s="30"/>
      <c r="C32" s="325"/>
      <c r="E32" s="31"/>
      <c r="F32" s="15"/>
      <c r="G32" s="11"/>
    </row>
    <row r="33" spans="1:7">
      <c r="A33" s="22"/>
      <c r="B33" s="476"/>
      <c r="C33" s="32"/>
      <c r="E33" s="33"/>
      <c r="F33" s="11"/>
      <c r="G33" s="11"/>
    </row>
    <row r="34" spans="1:7">
      <c r="A34" s="370" t="s">
        <v>1367</v>
      </c>
      <c r="B34" s="434"/>
      <c r="C34" s="326" t="e">
        <f>(C31/C29)*C32</f>
        <v>#DIV/0!</v>
      </c>
      <c r="E34" s="34"/>
      <c r="F34" s="15"/>
      <c r="G34" s="35"/>
    </row>
    <row r="35" spans="1:7">
      <c r="A35" s="22"/>
      <c r="B35" s="23"/>
      <c r="C35" s="23"/>
      <c r="E35" s="34"/>
      <c r="F35" s="15"/>
      <c r="G35" s="11"/>
    </row>
    <row r="36" spans="1:7" ht="21">
      <c r="A36" s="371" t="s">
        <v>1368</v>
      </c>
      <c r="B36" s="493"/>
      <c r="C36" s="494"/>
      <c r="E36" s="34"/>
      <c r="F36" s="15"/>
      <c r="G36" s="11"/>
    </row>
    <row r="37" spans="1:7">
      <c r="A37" s="25"/>
      <c r="B37" s="26"/>
      <c r="C37" s="27"/>
      <c r="E37" s="34"/>
      <c r="F37" s="15"/>
      <c r="G37" s="11"/>
    </row>
    <row r="38" spans="1:7" ht="16.149999999999999">
      <c r="A38" s="25"/>
      <c r="B38" s="327" t="s">
        <v>1285</v>
      </c>
      <c r="C38" s="27"/>
      <c r="E38" s="34"/>
      <c r="F38" s="15"/>
      <c r="G38" s="11"/>
    </row>
    <row r="39" spans="1:7">
      <c r="A39" s="328" t="s">
        <v>1369</v>
      </c>
      <c r="B39" s="329">
        <v>365</v>
      </c>
      <c r="C39" s="27"/>
      <c r="E39" s="34"/>
      <c r="F39" s="15"/>
      <c r="G39" s="36"/>
    </row>
    <row r="40" spans="1:7">
      <c r="A40" s="328" t="s">
        <v>1370</v>
      </c>
      <c r="B40" s="329">
        <v>104</v>
      </c>
      <c r="C40" s="27"/>
      <c r="E40" s="34"/>
      <c r="F40" s="15"/>
      <c r="G40" s="36"/>
    </row>
    <row r="41" spans="1:7">
      <c r="A41" s="330" t="s">
        <v>1371</v>
      </c>
      <c r="B41" s="331">
        <f>B39-B40</f>
        <v>261</v>
      </c>
      <c r="C41" s="27"/>
      <c r="E41" s="34"/>
      <c r="F41" s="15"/>
      <c r="G41" s="37"/>
    </row>
    <row r="42" spans="1:7">
      <c r="A42" s="332"/>
      <c r="B42" s="333"/>
      <c r="C42" s="27"/>
      <c r="E42" s="34"/>
      <c r="F42" s="15"/>
      <c r="G42" s="37"/>
    </row>
    <row r="43" spans="1:7">
      <c r="A43" s="328" t="s">
        <v>1372</v>
      </c>
      <c r="B43" s="334"/>
      <c r="C43" s="27"/>
      <c r="E43" s="34"/>
      <c r="F43" s="15"/>
      <c r="G43" s="37"/>
    </row>
    <row r="44" spans="1:7">
      <c r="A44" s="328" t="s">
        <v>1373</v>
      </c>
      <c r="B44" s="334"/>
      <c r="C44" s="27"/>
      <c r="E44" s="34"/>
      <c r="F44" s="15"/>
      <c r="G44" s="37"/>
    </row>
    <row r="45" spans="1:7">
      <c r="A45" s="328" t="s">
        <v>1374</v>
      </c>
      <c r="B45" s="334"/>
      <c r="C45" s="27"/>
      <c r="E45" s="34"/>
      <c r="F45" s="15"/>
      <c r="G45" s="37"/>
    </row>
    <row r="46" spans="1:7">
      <c r="A46" s="328" t="s">
        <v>1375</v>
      </c>
      <c r="B46" s="334"/>
      <c r="C46" s="27"/>
      <c r="E46" s="34"/>
      <c r="F46" s="15"/>
      <c r="G46" s="37"/>
    </row>
    <row r="47" spans="1:7">
      <c r="A47" s="330" t="s">
        <v>1376</v>
      </c>
      <c r="B47" s="331">
        <f>B41-SUM(B43:B46)</f>
        <v>261</v>
      </c>
      <c r="C47" s="27"/>
      <c r="E47" s="34"/>
      <c r="F47" s="15"/>
      <c r="G47" s="37"/>
    </row>
    <row r="48" spans="1:7">
      <c r="A48" s="335"/>
      <c r="B48" s="333"/>
      <c r="C48" s="27"/>
      <c r="E48" s="34"/>
      <c r="F48" s="15"/>
      <c r="G48" s="37"/>
    </row>
    <row r="49" spans="1:7">
      <c r="A49" s="336" t="s">
        <v>1377</v>
      </c>
      <c r="B49" s="337">
        <f>IF(B43=0,0,B43/$B$47)</f>
        <v>0</v>
      </c>
      <c r="C49" s="27"/>
      <c r="E49" s="34"/>
      <c r="F49" s="15"/>
      <c r="G49" s="37"/>
    </row>
    <row r="50" spans="1:7">
      <c r="A50" s="336" t="s">
        <v>1373</v>
      </c>
      <c r="B50" s="337">
        <f>IF(B44=0,0,B44/$B$47)</f>
        <v>0</v>
      </c>
      <c r="C50" s="27"/>
      <c r="E50" s="34"/>
      <c r="F50" s="15"/>
      <c r="G50" s="37"/>
    </row>
    <row r="51" spans="1:7">
      <c r="A51" s="328" t="s">
        <v>1374</v>
      </c>
      <c r="B51" s="337">
        <f>IF(B45=0,0,B45/$B$47)</f>
        <v>0</v>
      </c>
      <c r="C51" s="27"/>
      <c r="E51" s="34"/>
      <c r="F51" s="15"/>
      <c r="G51" s="37"/>
    </row>
    <row r="52" spans="1:7">
      <c r="A52" s="336" t="s">
        <v>1375</v>
      </c>
      <c r="B52" s="337">
        <f>IF(B46=0,0,B46/$B$47)</f>
        <v>0</v>
      </c>
      <c r="C52" s="27"/>
      <c r="E52" s="34"/>
      <c r="F52" s="15"/>
      <c r="G52" s="38"/>
    </row>
    <row r="53" spans="1:7">
      <c r="A53" s="330" t="s">
        <v>1378</v>
      </c>
      <c r="B53" s="338">
        <f>SUM(B49:B52)</f>
        <v>0</v>
      </c>
      <c r="C53" s="27"/>
      <c r="E53" s="34"/>
      <c r="F53" s="15"/>
      <c r="G53" s="39"/>
    </row>
    <row r="54" spans="1:7">
      <c r="A54" s="40"/>
      <c r="B54" s="40"/>
      <c r="C54" s="40"/>
      <c r="E54" s="34"/>
      <c r="F54" s="15"/>
      <c r="G54" s="6"/>
    </row>
    <row r="55" spans="1:7" ht="31.15" customHeight="1">
      <c r="A55" s="572" t="s">
        <v>1379</v>
      </c>
      <c r="B55" s="573"/>
      <c r="C55" s="574"/>
      <c r="E55" s="34"/>
      <c r="F55" s="15"/>
      <c r="G55" s="6"/>
    </row>
    <row r="58" spans="1:7" ht="13.9">
      <c r="A58" s="41"/>
      <c r="B58" s="42"/>
    </row>
    <row r="59" spans="1:7" ht="13.9">
      <c r="A59" s="41"/>
      <c r="B59" s="42"/>
    </row>
    <row r="60" spans="1:7" ht="13.9">
      <c r="A60" s="41"/>
      <c r="B60" s="42"/>
    </row>
    <row r="61" spans="1:7" ht="13.9">
      <c r="A61" s="41"/>
      <c r="B61" s="42"/>
    </row>
    <row r="62" spans="1:7" ht="13.9">
      <c r="A62" s="44"/>
      <c r="B62" s="42"/>
    </row>
    <row r="63" spans="1:7" ht="13.9">
      <c r="A63" s="42"/>
      <c r="B63" s="42"/>
    </row>
    <row r="64" spans="1:7" ht="13.9">
      <c r="A64" s="42"/>
      <c r="B64" s="42"/>
    </row>
    <row r="65" spans="1:3" ht="13.9">
      <c r="A65" s="42"/>
      <c r="B65" s="42"/>
    </row>
    <row r="66" spans="1:3" ht="13.9">
      <c r="A66" s="42"/>
      <c r="B66" s="42"/>
    </row>
    <row r="67" spans="1:3" ht="13.9">
      <c r="A67" s="42"/>
      <c r="B67" s="42"/>
    </row>
    <row r="68" spans="1:3" ht="13.9">
      <c r="A68" s="42"/>
      <c r="B68" s="42"/>
    </row>
    <row r="69" spans="1:3" ht="13.9">
      <c r="A69" s="42"/>
      <c r="B69" s="42"/>
    </row>
    <row r="70" spans="1:3" ht="13.9">
      <c r="A70" s="42"/>
      <c r="B70" s="45"/>
    </row>
    <row r="71" spans="1:3" ht="13.9">
      <c r="A71" s="42"/>
      <c r="B71" s="42"/>
    </row>
    <row r="72" spans="1:3" ht="13.9">
      <c r="B72" s="42"/>
    </row>
    <row r="73" spans="1:3" ht="13.9">
      <c r="A73" s="42"/>
      <c r="B73" s="42"/>
      <c r="C73" s="42"/>
    </row>
    <row r="74" spans="1:3" ht="13.9">
      <c r="A74" s="46"/>
      <c r="B74" s="42"/>
      <c r="C74" s="46"/>
    </row>
    <row r="75" spans="1:3" ht="13.9">
      <c r="A75" s="42"/>
      <c r="B75" s="42"/>
      <c r="C75" s="42"/>
    </row>
    <row r="76" spans="1:3" ht="13.9">
      <c r="A76" s="42"/>
      <c r="B76" s="42"/>
      <c r="C76" s="42"/>
    </row>
    <row r="77" spans="1:3" ht="13.9">
      <c r="A77" s="42"/>
      <c r="B77" s="42"/>
      <c r="C77" s="42"/>
    </row>
    <row r="78" spans="1:3" ht="13.9">
      <c r="A78" s="46"/>
      <c r="B78" s="42"/>
      <c r="C78" s="46"/>
    </row>
    <row r="79" spans="1:3" ht="13.9">
      <c r="A79" s="46"/>
      <c r="B79" s="42"/>
      <c r="C79" s="46"/>
    </row>
    <row r="80" spans="1:3" ht="13.9">
      <c r="A80" s="46"/>
      <c r="B80" s="42"/>
      <c r="C80" s="46"/>
    </row>
    <row r="81" spans="1:2" ht="13.9">
      <c r="A81" s="42"/>
      <c r="B81" s="42"/>
    </row>
    <row r="82" spans="1:2" ht="13.9">
      <c r="A82" s="42"/>
      <c r="B82" s="42"/>
    </row>
    <row r="83" spans="1:2" ht="13.9">
      <c r="A83" s="42"/>
      <c r="B83" s="42"/>
    </row>
  </sheetData>
  <dataConsolidate/>
  <mergeCells count="7">
    <mergeCell ref="A55:C55"/>
    <mergeCell ref="A18:B18"/>
    <mergeCell ref="A20:B20"/>
    <mergeCell ref="A21:B21"/>
    <mergeCell ref="A22:B22"/>
    <mergeCell ref="A23:B23"/>
    <mergeCell ref="A24:B24"/>
  </mergeCells>
  <pageMargins left="0.59055118110236227" right="0.59055118110236227" top="0.59055118110236227" bottom="0.78740157480314965" header="0.39370078740157483" footer="0.19685039370078741"/>
  <pageSetup paperSize="9" scale="88" orientation="portrait" r:id="rId1"/>
  <headerFooter alignWithMargins="0">
    <oddFooter>&amp;L&amp;"Verdana,Standaard"&amp;F-&amp;A
Atir b.v. ©&amp;R&amp;"Verdana,Standaard"printversie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Q90"/>
  <sheetViews>
    <sheetView showGridLines="0" zoomScale="70" zoomScaleNormal="70" workbookViewId="0">
      <pane ySplit="12" topLeftCell="A13" activePane="bottomLeft" state="frozen"/>
      <selection pane="bottomLeft" activeCell="L29" sqref="L29"/>
      <selection activeCell="E28" sqref="E28"/>
    </sheetView>
  </sheetViews>
  <sheetFormatPr defaultColWidth="9.140625" defaultRowHeight="13.15"/>
  <cols>
    <col min="1" max="1" width="16.7109375" style="43" customWidth="1"/>
    <col min="2" max="2" width="32.28515625" style="43" customWidth="1"/>
    <col min="3" max="3" width="19.5703125" style="237" customWidth="1"/>
    <col min="4" max="4" width="21.7109375" style="43" bestFit="1" customWidth="1"/>
    <col min="5" max="5" width="13.28515625" style="182" customWidth="1"/>
    <col min="6" max="7" width="17" style="43" customWidth="1"/>
    <col min="8" max="8" width="18.85546875" style="196" customWidth="1"/>
    <col min="9" max="9" width="13.7109375" style="196" bestFit="1" customWidth="1"/>
    <col min="10" max="10" width="16.28515625" style="43" bestFit="1" customWidth="1"/>
    <col min="11" max="11" width="18.85546875" style="196" customWidth="1"/>
    <col min="12" max="12" width="16.42578125" style="196" bestFit="1" customWidth="1"/>
    <col min="13" max="14" width="16.42578125" style="196" customWidth="1"/>
    <col min="15" max="15" width="17.28515625" style="43" customWidth="1"/>
    <col min="16" max="16384" width="9.140625" style="43"/>
  </cols>
  <sheetData>
    <row r="1" spans="1:15" s="90" customFormat="1">
      <c r="A1" s="91"/>
      <c r="C1" s="91"/>
      <c r="D1" s="173"/>
      <c r="G1" s="231"/>
      <c r="H1" s="231"/>
      <c r="J1" s="231"/>
      <c r="K1" s="231"/>
      <c r="L1" s="231"/>
      <c r="M1" s="231"/>
    </row>
    <row r="2" spans="1:15" s="96" customFormat="1" ht="15.6">
      <c r="A2" s="92" t="s">
        <v>1</v>
      </c>
      <c r="B2" s="233"/>
      <c r="C2" s="93" t="str">
        <f>'1-Inschrijfstaat'!B3</f>
        <v>GVB Infra B.V.</v>
      </c>
      <c r="D2" s="175"/>
      <c r="E2" s="94"/>
      <c r="F2" s="94"/>
      <c r="G2" s="94"/>
      <c r="H2" s="94"/>
      <c r="I2" s="94"/>
      <c r="J2" s="94"/>
      <c r="K2" s="94"/>
      <c r="L2" s="94"/>
      <c r="M2" s="94"/>
    </row>
    <row r="3" spans="1:15" s="96" customFormat="1" ht="15.6">
      <c r="A3" s="92" t="s">
        <v>3</v>
      </c>
      <c r="B3" s="233"/>
      <c r="C3" s="93" t="e">
        <f ca="1">MID(CELL("bestandsnaam",$C$6),SEARCH("]",CELL("bestandsnaam",$C$6),1)+1,256)</f>
        <v>#VALUE!</v>
      </c>
      <c r="D3" s="175"/>
      <c r="E3" s="94"/>
      <c r="F3" s="94"/>
      <c r="G3" s="94"/>
      <c r="H3" s="94"/>
      <c r="I3" s="94"/>
      <c r="J3" s="234"/>
      <c r="K3" s="234"/>
      <c r="L3" s="234"/>
      <c r="M3" s="234"/>
    </row>
    <row r="4" spans="1:15" s="96" customFormat="1" ht="18.75" customHeight="1">
      <c r="A4" s="92" t="s">
        <v>4</v>
      </c>
      <c r="B4" s="233"/>
      <c r="C4" s="93" t="str">
        <f>'1-Inschrijfstaat'!B5</f>
        <v>Diverse</v>
      </c>
      <c r="D4" s="175"/>
      <c r="E4" s="94"/>
      <c r="F4" s="94"/>
      <c r="G4" s="94"/>
      <c r="H4" s="94"/>
      <c r="I4" s="94"/>
      <c r="J4" s="234"/>
      <c r="K4" s="234"/>
      <c r="L4" s="234"/>
      <c r="M4" s="234"/>
    </row>
    <row r="5" spans="1:15" s="96" customFormat="1" ht="15.6">
      <c r="A5" s="92" t="s">
        <v>47</v>
      </c>
      <c r="B5" s="233"/>
      <c r="C5" s="93" t="str">
        <f>'1-Inschrijfstaat'!B6</f>
        <v>2024-20</v>
      </c>
      <c r="D5" s="175"/>
      <c r="E5" s="94"/>
      <c r="F5" s="94"/>
      <c r="G5" s="94"/>
      <c r="H5" s="94"/>
      <c r="I5" s="94"/>
      <c r="J5" s="234"/>
      <c r="K5" s="234"/>
      <c r="L5" s="234"/>
      <c r="M5" s="234"/>
    </row>
    <row r="6" spans="1:15" s="96" customFormat="1" ht="15.6">
      <c r="A6" s="92" t="s">
        <v>8</v>
      </c>
      <c r="B6" s="233"/>
      <c r="C6" s="93">
        <f>'1-Inschrijfstaat'!B7</f>
        <v>0</v>
      </c>
      <c r="D6" s="176"/>
      <c r="E6" s="95"/>
      <c r="F6" s="95"/>
    </row>
    <row r="7" spans="1:15" s="96" customFormat="1" ht="15.6">
      <c r="A7" s="92" t="s">
        <v>9</v>
      </c>
      <c r="B7" s="233"/>
      <c r="C7" s="136" t="str">
        <f>'1-Inschrijfstaat'!B8</f>
        <v>1 januari 2025</v>
      </c>
      <c r="D7" s="175"/>
      <c r="E7" s="94"/>
      <c r="F7" s="94"/>
      <c r="G7" s="234"/>
      <c r="H7" s="234"/>
      <c r="I7" s="94"/>
      <c r="J7" s="234"/>
      <c r="K7" s="234"/>
      <c r="L7" s="234"/>
      <c r="M7" s="234"/>
    </row>
    <row r="8" spans="1:15" s="96" customFormat="1" ht="15.6">
      <c r="A8" s="115" t="s">
        <v>11</v>
      </c>
      <c r="B8" s="233"/>
      <c r="C8" s="393" t="str">
        <f>'1-Inschrijfstaat'!B9</f>
        <v>2 Specialistiche schoonmaak</v>
      </c>
      <c r="D8" s="175"/>
      <c r="E8" s="94"/>
      <c r="F8" s="94"/>
      <c r="G8" s="234"/>
      <c r="H8" s="234"/>
      <c r="I8" s="94"/>
      <c r="J8" s="234"/>
      <c r="K8" s="234"/>
      <c r="L8" s="234"/>
      <c r="M8" s="234"/>
    </row>
    <row r="9" spans="1:15" s="96" customFormat="1" ht="15.6">
      <c r="A9" s="178"/>
      <c r="C9" s="235"/>
      <c r="D9" s="178"/>
      <c r="E9" s="179"/>
      <c r="F9" s="180"/>
      <c r="G9" s="180"/>
      <c r="H9" s="236"/>
      <c r="I9" s="236"/>
      <c r="J9" s="180"/>
      <c r="K9" s="236"/>
      <c r="L9" s="236"/>
      <c r="M9" s="236"/>
      <c r="N9" s="236"/>
    </row>
    <row r="10" spans="1:15" s="96" customFormat="1" ht="15.6">
      <c r="A10" s="591" t="s">
        <v>48</v>
      </c>
      <c r="B10" s="592"/>
      <c r="C10" s="592"/>
      <c r="D10" s="592"/>
      <c r="E10" s="592"/>
      <c r="F10" s="592"/>
      <c r="G10" s="592"/>
      <c r="H10" s="592"/>
      <c r="I10" s="592"/>
      <c r="J10" s="592"/>
      <c r="K10" s="592"/>
      <c r="L10" s="592"/>
      <c r="M10" s="592"/>
      <c r="N10" s="592"/>
      <c r="O10" s="593"/>
    </row>
    <row r="11" spans="1:15" s="90" customFormat="1">
      <c r="C11" s="232"/>
      <c r="E11" s="173"/>
    </row>
    <row r="12" spans="1:15" s="181" customFormat="1" ht="78.599999999999994" customHeight="1">
      <c r="A12" s="611" t="s">
        <v>49</v>
      </c>
      <c r="B12" s="611" t="s">
        <v>50</v>
      </c>
      <c r="C12" s="612" t="s">
        <v>11</v>
      </c>
      <c r="D12" s="611" t="s">
        <v>51</v>
      </c>
      <c r="E12" s="613" t="s">
        <v>52</v>
      </c>
      <c r="F12" s="611" t="s">
        <v>53</v>
      </c>
      <c r="G12" s="611" t="s">
        <v>54</v>
      </c>
      <c r="H12" s="611" t="s">
        <v>55</v>
      </c>
      <c r="I12" s="611" t="s">
        <v>56</v>
      </c>
      <c r="J12" s="611" t="s">
        <v>57</v>
      </c>
      <c r="K12" s="611" t="s">
        <v>58</v>
      </c>
      <c r="L12" s="611" t="s">
        <v>59</v>
      </c>
      <c r="M12" s="611" t="s">
        <v>60</v>
      </c>
      <c r="N12" s="611" t="s">
        <v>61</v>
      </c>
      <c r="O12" s="611" t="s">
        <v>62</v>
      </c>
    </row>
    <row r="13" spans="1:15">
      <c r="A13" s="544">
        <v>106</v>
      </c>
      <c r="B13" s="551" t="s">
        <v>63</v>
      </c>
      <c r="C13" s="614">
        <v>2</v>
      </c>
      <c r="D13" s="540" t="str">
        <f ca="1">VLOOKUP(A13,'3-Ruimtestaat'!B:D,3,FALSE)</f>
        <v>Oostlijn bovengronds</v>
      </c>
      <c r="E13" s="615">
        <f>SUMIF('3-Ruimtestaat'!B:B,A13,'3-Ruimtestaat'!J:J)</f>
        <v>96</v>
      </c>
      <c r="F13" s="616">
        <f>SUMIF('4-Reinigen vloeren'!A:A,A13,'4-Reinigen vloeren'!O:O)</f>
        <v>0</v>
      </c>
      <c r="G13" s="616">
        <f>SUMIF('5-Aanvullend'!A:A,A13,'5-Aanvullend'!K:K)</f>
        <v>0</v>
      </c>
      <c r="H13" s="616">
        <f>SUMIF('6-Liftbodems'!A:A,A13,'6-Liftbodems'!K:K)</f>
        <v>0</v>
      </c>
      <c r="I13" s="616">
        <f>SUMIF('7-Geveldelen  en wanden'!A:A,A13,'7-Geveldelen  en wanden'!P:P)</f>
        <v>0</v>
      </c>
      <c r="J13" s="617">
        <f ca="1">SUMIF('8b-Glas kosten totaal'!A:A,A13,'8b-Glas kosten totaal'!M:M)</f>
        <v>0</v>
      </c>
      <c r="K13" s="616"/>
      <c r="L13" s="616">
        <f>SUMIF('10a-Periodieke beurt'!A:A,A13,'10a-Periodieke beurt'!Q:Q)</f>
        <v>0</v>
      </c>
      <c r="M13" s="616">
        <f>SUMIF('12-Gelijkrichter stations'!$A$14:$A$36,A13,'12-Gelijkrichter stations'!$K$14:$K$36)</f>
        <v>0</v>
      </c>
      <c r="N13" s="616" t="e">
        <f>SUMIF('13- Technischeruimten'!$A$18:$A$49,A13,'13- Technischeruimten'!$I$18:$I$49)</f>
        <v>#DIV/0!</v>
      </c>
      <c r="O13" s="618" t="e">
        <f t="shared" ref="O13:O15" ca="1" si="0">SUM(F13:N13)</f>
        <v>#DIV/0!</v>
      </c>
    </row>
    <row r="14" spans="1:15">
      <c r="A14" s="544">
        <v>107</v>
      </c>
      <c r="B14" s="551" t="s">
        <v>64</v>
      </c>
      <c r="C14" s="614">
        <v>2</v>
      </c>
      <c r="D14" s="540" t="str">
        <f ca="1">VLOOKUP(A14,'3-Ruimtestaat'!B:D,3,FALSE)</f>
        <v>Oostlijn bovengronds</v>
      </c>
      <c r="E14" s="615">
        <f>SUMIF('3-Ruimtestaat'!B:B,A14,'3-Ruimtestaat'!J:J)</f>
        <v>3261.2186440677974</v>
      </c>
      <c r="F14" s="616" t="e">
        <f>SUMIF('4-Reinigen vloeren'!A:A,A14,'4-Reinigen vloeren'!O:O)</f>
        <v>#DIV/0!</v>
      </c>
      <c r="G14" s="616">
        <f>SUMIF('5-Aanvullend'!A:A,A14,'5-Aanvullend'!K:K)</f>
        <v>0</v>
      </c>
      <c r="H14" s="616">
        <f>SUMIF('6-Liftbodems'!A:A,A14,'6-Liftbodems'!K:K)</f>
        <v>0</v>
      </c>
      <c r="I14" s="616">
        <f>SUMIF('7-Geveldelen  en wanden'!A:A,A14,'7-Geveldelen  en wanden'!P:P)</f>
        <v>0</v>
      </c>
      <c r="J14" s="617">
        <f ca="1">SUMIF('8b-Glas kosten totaal'!A:A,A14,'8b-Glas kosten totaal'!M:M)</f>
        <v>0</v>
      </c>
      <c r="K14" s="616"/>
      <c r="L14" s="616">
        <f>SUMIF('10a-Periodieke beurt'!A:A,A14,'10a-Periodieke beurt'!Q:Q)</f>
        <v>0</v>
      </c>
      <c r="M14" s="616">
        <f>SUMIF('12-Gelijkrichter stations'!$A$14:$A$36,A14,'12-Gelijkrichter stations'!$K$14:$K$36)</f>
        <v>0</v>
      </c>
      <c r="N14" s="616" t="e">
        <f>SUMIF('13- Technischeruimten'!$A$18:$A$49,A14,'13- Technischeruimten'!$I$18:$I$49)</f>
        <v>#DIV/0!</v>
      </c>
      <c r="O14" s="618" t="e">
        <f t="shared" ca="1" si="0"/>
        <v>#DIV/0!</v>
      </c>
    </row>
    <row r="15" spans="1:15">
      <c r="A15" s="544">
        <v>108</v>
      </c>
      <c r="B15" s="551" t="s">
        <v>65</v>
      </c>
      <c r="C15" s="614">
        <v>2</v>
      </c>
      <c r="D15" s="540" t="str">
        <f ca="1">VLOOKUP(A15,'3-Ruimtestaat'!B:D,3,FALSE)</f>
        <v>Oostlijn bovengronds</v>
      </c>
      <c r="E15" s="615">
        <f>SUMIF('3-Ruimtestaat'!B:B,A15,'3-Ruimtestaat'!J:J)</f>
        <v>3816.99</v>
      </c>
      <c r="F15" s="616" t="e">
        <f>SUMIF('4-Reinigen vloeren'!A:A,A15,'4-Reinigen vloeren'!O:O)</f>
        <v>#DIV/0!</v>
      </c>
      <c r="G15" s="616">
        <f>SUMIF('5-Aanvullend'!A:A,A15,'5-Aanvullend'!K:K)</f>
        <v>0</v>
      </c>
      <c r="H15" s="616">
        <f>SUMIF('6-Liftbodems'!A:A,A15,'6-Liftbodems'!K:K)</f>
        <v>0</v>
      </c>
      <c r="I15" s="616">
        <f>SUMIF('7-Geveldelen  en wanden'!A:A,A15,'7-Geveldelen  en wanden'!P:P)</f>
        <v>0</v>
      </c>
      <c r="J15" s="617">
        <f ca="1">SUMIF('8b-Glas kosten totaal'!A:A,A15,'8b-Glas kosten totaal'!M:M)</f>
        <v>0</v>
      </c>
      <c r="K15" s="616"/>
      <c r="L15" s="616">
        <f>SUMIF('10a-Periodieke beurt'!A:A,A15,'10a-Periodieke beurt'!Q:Q)</f>
        <v>0</v>
      </c>
      <c r="M15" s="616">
        <f>SUMIF('12-Gelijkrichter stations'!$A$14:$A$36,A15,'12-Gelijkrichter stations'!$K$14:$K$36)</f>
        <v>0</v>
      </c>
      <c r="N15" s="616" t="e">
        <f>SUMIF('13- Technischeruimten'!$A$18:$A$49,A15,'13- Technischeruimten'!$I$18:$I$49)</f>
        <v>#DIV/0!</v>
      </c>
      <c r="O15" s="618" t="e">
        <f t="shared" ca="1" si="0"/>
        <v>#DIV/0!</v>
      </c>
    </row>
    <row r="16" spans="1:15">
      <c r="A16" s="544">
        <v>109</v>
      </c>
      <c r="B16" s="551" t="s">
        <v>66</v>
      </c>
      <c r="C16" s="614">
        <v>2</v>
      </c>
      <c r="D16" s="540" t="str">
        <f ca="1">VLOOKUP(A16,'3-Ruimtestaat'!B:D,3,FALSE)</f>
        <v>Oostlijn bovengronds</v>
      </c>
      <c r="E16" s="615">
        <f>SUMIF('3-Ruimtestaat'!B:B,A16,'3-Ruimtestaat'!J:J)</f>
        <v>49</v>
      </c>
      <c r="F16" s="616">
        <f>SUMIF('4-Reinigen vloeren'!A:A,A16,'4-Reinigen vloeren'!O:O)</f>
        <v>0</v>
      </c>
      <c r="G16" s="616">
        <f>SUMIF('5-Aanvullend'!A:A,A16,'5-Aanvullend'!K:K)</f>
        <v>0</v>
      </c>
      <c r="H16" s="616">
        <f>SUMIF('6-Liftbodems'!A:A,A16,'6-Liftbodems'!K:K)</f>
        <v>0</v>
      </c>
      <c r="I16" s="616">
        <f>SUMIF('7-Geveldelen  en wanden'!A:A,A16,'7-Geveldelen  en wanden'!P:P)</f>
        <v>0</v>
      </c>
      <c r="J16" s="617">
        <f ca="1">SUMIF('8b-Glas kosten totaal'!A:A,A16,'8b-Glas kosten totaal'!M:M)</f>
        <v>0</v>
      </c>
      <c r="K16" s="616"/>
      <c r="L16" s="616">
        <f>SUMIF('10a-Periodieke beurt'!A:A,A16,'10a-Periodieke beurt'!Q:Q)</f>
        <v>0</v>
      </c>
      <c r="M16" s="616">
        <f>SUMIF('12-Gelijkrichter stations'!$A$14:$A$36,A16,'12-Gelijkrichter stations'!$K$14:$K$36)</f>
        <v>0</v>
      </c>
      <c r="N16" s="616" t="e">
        <f>SUMIF('13- Technischeruimten'!$A$18:$A$49,A16,'13- Technischeruimten'!$I$18:$I$49)</f>
        <v>#DIV/0!</v>
      </c>
      <c r="O16" s="618" t="e">
        <f t="shared" ref="O16:O56" ca="1" si="1">SUM(F16:N16)</f>
        <v>#DIV/0!</v>
      </c>
    </row>
    <row r="17" spans="1:15">
      <c r="A17" s="544">
        <v>110</v>
      </c>
      <c r="B17" s="551" t="s">
        <v>67</v>
      </c>
      <c r="C17" s="614">
        <v>2</v>
      </c>
      <c r="D17" s="540" t="str">
        <f ca="1">VLOOKUP(A17,'3-Ruimtestaat'!B:D,3,FALSE)</f>
        <v>Oostlijn bovengronds</v>
      </c>
      <c r="E17" s="615">
        <f>SUMIF('3-Ruimtestaat'!B:B,A17,'3-Ruimtestaat'!J:J)</f>
        <v>2608.1600000000008</v>
      </c>
      <c r="F17" s="616" t="e">
        <f>SUMIF('4-Reinigen vloeren'!A:A,A17,'4-Reinigen vloeren'!O:O)</f>
        <v>#DIV/0!</v>
      </c>
      <c r="G17" s="616">
        <f>SUMIF('5-Aanvullend'!A:A,A17,'5-Aanvullend'!K:K)</f>
        <v>0</v>
      </c>
      <c r="H17" s="616">
        <f>SUMIF('6-Liftbodems'!A:A,A17,'6-Liftbodems'!K:K)</f>
        <v>0</v>
      </c>
      <c r="I17" s="616">
        <f>SUMIF('7-Geveldelen  en wanden'!A:A,A17,'7-Geveldelen  en wanden'!P:P)</f>
        <v>0</v>
      </c>
      <c r="J17" s="617">
        <f ca="1">SUMIF('8b-Glas kosten totaal'!A:A,A17,'8b-Glas kosten totaal'!M:M)</f>
        <v>0</v>
      </c>
      <c r="K17" s="616"/>
      <c r="L17" s="616">
        <f>SUMIF('10a-Periodieke beurt'!A:A,A17,'10a-Periodieke beurt'!Q:Q)</f>
        <v>0</v>
      </c>
      <c r="M17" s="616">
        <f>SUMIF('12-Gelijkrichter stations'!$A$14:$A$36,A17,'12-Gelijkrichter stations'!$K$14:$K$36)</f>
        <v>0</v>
      </c>
      <c r="N17" s="616" t="e">
        <f>SUMIF('13- Technischeruimten'!$A$18:$A$49,A17,'13- Technischeruimten'!$I$18:$I$49)</f>
        <v>#DIV/0!</v>
      </c>
      <c r="O17" s="618" t="e">
        <f t="shared" ca="1" si="1"/>
        <v>#DIV/0!</v>
      </c>
    </row>
    <row r="18" spans="1:15">
      <c r="A18" s="544">
        <v>111</v>
      </c>
      <c r="B18" s="551" t="s">
        <v>68</v>
      </c>
      <c r="C18" s="614">
        <v>2</v>
      </c>
      <c r="D18" s="540" t="str">
        <f ca="1">VLOOKUP(A18,'3-Ruimtestaat'!B:D,3,FALSE)</f>
        <v>Oostlijn bovengronds</v>
      </c>
      <c r="E18" s="615">
        <f>SUMIF('3-Ruimtestaat'!B:B,A18,'3-Ruimtestaat'!J:J)</f>
        <v>2752.3200000000006</v>
      </c>
      <c r="F18" s="616" t="e">
        <f>SUMIF('4-Reinigen vloeren'!A:A,A18,'4-Reinigen vloeren'!O:O)</f>
        <v>#DIV/0!</v>
      </c>
      <c r="G18" s="616">
        <f>SUMIF('5-Aanvullend'!A:A,A18,'5-Aanvullend'!K:K)</f>
        <v>0</v>
      </c>
      <c r="H18" s="616">
        <f>SUMIF('6-Liftbodems'!A:A,A18,'6-Liftbodems'!K:K)</f>
        <v>0</v>
      </c>
      <c r="I18" s="616">
        <f>SUMIF('7-Geveldelen  en wanden'!A:A,A18,'7-Geveldelen  en wanden'!P:P)</f>
        <v>0</v>
      </c>
      <c r="J18" s="617">
        <f ca="1">SUMIF('8b-Glas kosten totaal'!A:A,A18,'8b-Glas kosten totaal'!M:M)</f>
        <v>0</v>
      </c>
      <c r="K18" s="616"/>
      <c r="L18" s="616">
        <f>SUMIF('10a-Periodieke beurt'!A:A,A18,'10a-Periodieke beurt'!Q:Q)</f>
        <v>0</v>
      </c>
      <c r="M18" s="616">
        <f>SUMIF('12-Gelijkrichter stations'!$A$14:$A$36,A18,'12-Gelijkrichter stations'!$K$14:$K$36)</f>
        <v>0</v>
      </c>
      <c r="N18" s="616" t="e">
        <f>SUMIF('13- Technischeruimten'!$A$18:$A$49,A18,'13- Technischeruimten'!$I$18:$I$49)</f>
        <v>#DIV/0!</v>
      </c>
      <c r="O18" s="618" t="e">
        <f t="shared" ca="1" si="1"/>
        <v>#DIV/0!</v>
      </c>
    </row>
    <row r="19" spans="1:15">
      <c r="A19" s="544">
        <v>112</v>
      </c>
      <c r="B19" s="551" t="s">
        <v>69</v>
      </c>
      <c r="C19" s="614">
        <v>2</v>
      </c>
      <c r="D19" s="540" t="str">
        <f ca="1">VLOOKUP(A19,'3-Ruimtestaat'!B:D,3,FALSE)</f>
        <v>Oostlijn bovengronds</v>
      </c>
      <c r="E19" s="615">
        <f>SUMIF('3-Ruimtestaat'!B:B,A19,'3-Ruimtestaat'!J:J)</f>
        <v>2360.2399999999998</v>
      </c>
      <c r="F19" s="616" t="e">
        <f>SUMIF('4-Reinigen vloeren'!A:A,A19,'4-Reinigen vloeren'!O:O)</f>
        <v>#DIV/0!</v>
      </c>
      <c r="G19" s="616">
        <f>SUMIF('5-Aanvullend'!A:A,A19,'5-Aanvullend'!K:K)</f>
        <v>0</v>
      </c>
      <c r="H19" s="616">
        <f>SUMIF('6-Liftbodems'!A:A,A19,'6-Liftbodems'!K:K)</f>
        <v>0</v>
      </c>
      <c r="I19" s="616">
        <f>SUMIF('7-Geveldelen  en wanden'!A:A,A19,'7-Geveldelen  en wanden'!P:P)</f>
        <v>0</v>
      </c>
      <c r="J19" s="617">
        <f ca="1">SUMIF('8b-Glas kosten totaal'!A:A,A19,'8b-Glas kosten totaal'!M:M)</f>
        <v>0</v>
      </c>
      <c r="K19" s="616"/>
      <c r="L19" s="616">
        <f>SUMIF('10a-Periodieke beurt'!A:A,A19,'10a-Periodieke beurt'!Q:Q)</f>
        <v>0</v>
      </c>
      <c r="M19" s="616">
        <f>SUMIF('12-Gelijkrichter stations'!$A$14:$A$36,A19,'12-Gelijkrichter stations'!$K$14:$K$36)</f>
        <v>0</v>
      </c>
      <c r="N19" s="616" t="e">
        <f>SUMIF('13- Technischeruimten'!$A$18:$A$49,A19,'13- Technischeruimten'!$I$18:$I$49)</f>
        <v>#DIV/0!</v>
      </c>
      <c r="O19" s="618" t="e">
        <f t="shared" ca="1" si="1"/>
        <v>#DIV/0!</v>
      </c>
    </row>
    <row r="20" spans="1:15">
      <c r="A20" s="544">
        <v>113</v>
      </c>
      <c r="B20" s="551" t="s">
        <v>70</v>
      </c>
      <c r="C20" s="614">
        <v>2</v>
      </c>
      <c r="D20" s="540" t="str">
        <f ca="1">VLOOKUP(A20,'3-Ruimtestaat'!B:D,3,FALSE)</f>
        <v>Oostlijn bovengronds</v>
      </c>
      <c r="E20" s="615">
        <f>SUMIF('3-Ruimtestaat'!B:B,A20,'3-Ruimtestaat'!J:J)</f>
        <v>2557.4100000000008</v>
      </c>
      <c r="F20" s="616" t="e">
        <f>SUMIF('4-Reinigen vloeren'!A:A,A20,'4-Reinigen vloeren'!O:O)</f>
        <v>#DIV/0!</v>
      </c>
      <c r="G20" s="616">
        <f>SUMIF('5-Aanvullend'!A:A,A20,'5-Aanvullend'!K:K)</f>
        <v>0</v>
      </c>
      <c r="H20" s="616">
        <f>SUMIF('6-Liftbodems'!A:A,A20,'6-Liftbodems'!K:K)</f>
        <v>0</v>
      </c>
      <c r="I20" s="616">
        <f>SUMIF('7-Geveldelen  en wanden'!A:A,A20,'7-Geveldelen  en wanden'!P:P)</f>
        <v>0</v>
      </c>
      <c r="J20" s="617">
        <f ca="1">SUMIF('8b-Glas kosten totaal'!A:A,A20,'8b-Glas kosten totaal'!M:M)</f>
        <v>0</v>
      </c>
      <c r="K20" s="616"/>
      <c r="L20" s="616">
        <f>SUMIF('10a-Periodieke beurt'!A:A,A20,'10a-Periodieke beurt'!Q:Q)</f>
        <v>0</v>
      </c>
      <c r="M20" s="616">
        <f>SUMIF('12-Gelijkrichter stations'!$A$14:$A$36,A20,'12-Gelijkrichter stations'!$K$14:$K$36)</f>
        <v>0</v>
      </c>
      <c r="N20" s="616" t="e">
        <f>SUMIF('13- Technischeruimten'!$A$18:$A$49,A20,'13- Technischeruimten'!$I$18:$I$49)</f>
        <v>#DIV/0!</v>
      </c>
      <c r="O20" s="618" t="e">
        <f t="shared" ca="1" si="1"/>
        <v>#DIV/0!</v>
      </c>
    </row>
    <row r="21" spans="1:15">
      <c r="A21" s="544">
        <v>114</v>
      </c>
      <c r="B21" s="551" t="s">
        <v>71</v>
      </c>
      <c r="C21" s="614">
        <v>2</v>
      </c>
      <c r="D21" s="540" t="str">
        <f ca="1">VLOOKUP(A21,'3-Ruimtestaat'!B:D,3,FALSE)</f>
        <v>Oostlijn bovengronds</v>
      </c>
      <c r="E21" s="615">
        <f>SUMIF('3-Ruimtestaat'!B:B,A21,'3-Ruimtestaat'!J:J)</f>
        <v>2505.2599999999998</v>
      </c>
      <c r="F21" s="616" t="e">
        <f>SUMIF('4-Reinigen vloeren'!A:A,A21,'4-Reinigen vloeren'!O:O)</f>
        <v>#DIV/0!</v>
      </c>
      <c r="G21" s="616">
        <f>SUMIF('5-Aanvullend'!A:A,A21,'5-Aanvullend'!K:K)</f>
        <v>0</v>
      </c>
      <c r="H21" s="616">
        <f>SUMIF('6-Liftbodems'!A:A,A21,'6-Liftbodems'!K:K)</f>
        <v>0</v>
      </c>
      <c r="I21" s="616">
        <f>SUMIF('7-Geveldelen  en wanden'!A:A,A21,'7-Geveldelen  en wanden'!P:P)</f>
        <v>0</v>
      </c>
      <c r="J21" s="617">
        <f ca="1">SUMIF('8b-Glas kosten totaal'!A:A,A21,'8b-Glas kosten totaal'!M:M)</f>
        <v>0</v>
      </c>
      <c r="K21" s="616"/>
      <c r="L21" s="616">
        <f>SUMIF('10a-Periodieke beurt'!A:A,A21,'10a-Periodieke beurt'!Q:Q)</f>
        <v>0</v>
      </c>
      <c r="M21" s="616">
        <f>SUMIF('12-Gelijkrichter stations'!$A$14:$A$36,A21,'12-Gelijkrichter stations'!$K$14:$K$36)</f>
        <v>0</v>
      </c>
      <c r="N21" s="616" t="e">
        <f>SUMIF('13- Technischeruimten'!$A$18:$A$49,A21,'13- Technischeruimten'!$I$18:$I$49)</f>
        <v>#DIV/0!</v>
      </c>
      <c r="O21" s="618" t="e">
        <f t="shared" ca="1" si="1"/>
        <v>#DIV/0!</v>
      </c>
    </row>
    <row r="22" spans="1:15">
      <c r="A22" s="544">
        <v>115</v>
      </c>
      <c r="B22" s="551" t="s">
        <v>72</v>
      </c>
      <c r="C22" s="614">
        <v>2</v>
      </c>
      <c r="D22" s="540" t="str">
        <f ca="1">VLOOKUP(A22,'3-Ruimtestaat'!B:D,3,FALSE)</f>
        <v>Oostlijn Bovengronds</v>
      </c>
      <c r="E22" s="615">
        <f>SUMIF('3-Ruimtestaat'!B:B,A22,'3-Ruimtestaat'!J:J)</f>
        <v>2627.6700000000005</v>
      </c>
      <c r="F22" s="616" t="e">
        <f>SUMIF('4-Reinigen vloeren'!A:A,A22,'4-Reinigen vloeren'!O:O)</f>
        <v>#DIV/0!</v>
      </c>
      <c r="G22" s="616">
        <f>SUMIF('5-Aanvullend'!A:A,A22,'5-Aanvullend'!K:K)</f>
        <v>0</v>
      </c>
      <c r="H22" s="616">
        <f>SUMIF('6-Liftbodems'!A:A,A22,'6-Liftbodems'!K:K)</f>
        <v>0</v>
      </c>
      <c r="I22" s="616">
        <f>SUMIF('7-Geveldelen  en wanden'!A:A,A22,'7-Geveldelen  en wanden'!P:P)</f>
        <v>0</v>
      </c>
      <c r="J22" s="617">
        <f ca="1">SUMIF('8b-Glas kosten totaal'!A:A,A22,'8b-Glas kosten totaal'!M:M)</f>
        <v>0</v>
      </c>
      <c r="K22" s="616"/>
      <c r="L22" s="616">
        <f>SUMIF('10a-Periodieke beurt'!A:A,A22,'10a-Periodieke beurt'!Q:Q)</f>
        <v>0</v>
      </c>
      <c r="M22" s="616">
        <f>SUMIF('12-Gelijkrichter stations'!$A$14:$A$36,A22,'12-Gelijkrichter stations'!$K$14:$K$36)</f>
        <v>0</v>
      </c>
      <c r="N22" s="616" t="e">
        <f>SUMIF('13- Technischeruimten'!$A$18:$A$49,A22,'13- Technischeruimten'!$I$18:$I$49)</f>
        <v>#DIV/0!</v>
      </c>
      <c r="O22" s="618" t="e">
        <f t="shared" ca="1" si="1"/>
        <v>#DIV/0!</v>
      </c>
    </row>
    <row r="23" spans="1:15">
      <c r="A23" s="544">
        <v>116</v>
      </c>
      <c r="B23" s="551" t="s">
        <v>73</v>
      </c>
      <c r="C23" s="614">
        <v>2</v>
      </c>
      <c r="D23" s="540" t="str">
        <f ca="1">VLOOKUP(A23,'3-Ruimtestaat'!B:D,3,FALSE)</f>
        <v>Oostlijn bovengronds</v>
      </c>
      <c r="E23" s="615">
        <f>SUMIF('3-Ruimtestaat'!B:B,A23,'3-Ruimtestaat'!J:J)</f>
        <v>2362</v>
      </c>
      <c r="F23" s="616" t="e">
        <f>SUMIF('4-Reinigen vloeren'!A:A,A23,'4-Reinigen vloeren'!O:O)</f>
        <v>#DIV/0!</v>
      </c>
      <c r="G23" s="616">
        <f>SUMIF('5-Aanvullend'!A:A,A23,'5-Aanvullend'!K:K)</f>
        <v>0</v>
      </c>
      <c r="H23" s="616">
        <f>SUMIF('6-Liftbodems'!A:A,A23,'6-Liftbodems'!K:K)</f>
        <v>0</v>
      </c>
      <c r="I23" s="616">
        <f>SUMIF('7-Geveldelen  en wanden'!A:A,A23,'7-Geveldelen  en wanden'!P:P)</f>
        <v>0</v>
      </c>
      <c r="J23" s="617">
        <f ca="1">SUMIF('8b-Glas kosten totaal'!A:A,A23,'8b-Glas kosten totaal'!M:M)</f>
        <v>0</v>
      </c>
      <c r="K23" s="616"/>
      <c r="L23" s="616">
        <f>SUMIF('10a-Periodieke beurt'!A:A,A23,'10a-Periodieke beurt'!Q:Q)</f>
        <v>0</v>
      </c>
      <c r="M23" s="616">
        <f>SUMIF('12-Gelijkrichter stations'!$A$14:$A$36,A23,'12-Gelijkrichter stations'!$K$14:$K$36)</f>
        <v>0</v>
      </c>
      <c r="N23" s="616" t="e">
        <f>SUMIF('13- Technischeruimten'!$A$18:$A$49,A23,'13- Technischeruimten'!$I$18:$I$49)</f>
        <v>#DIV/0!</v>
      </c>
      <c r="O23" s="618" t="e">
        <f t="shared" ref="O23:O28" ca="1" si="2">SUM(F23:N23)</f>
        <v>#DIV/0!</v>
      </c>
    </row>
    <row r="24" spans="1:15">
      <c r="A24" s="544">
        <v>117</v>
      </c>
      <c r="B24" s="551" t="s">
        <v>74</v>
      </c>
      <c r="C24" s="614">
        <v>2</v>
      </c>
      <c r="D24" s="540" t="str">
        <f ca="1">VLOOKUP(A24,'3-Ruimtestaat'!B:D,3,FALSE)</f>
        <v>Oostlijn bovengronds</v>
      </c>
      <c r="E24" s="615">
        <f>SUMIF('3-Ruimtestaat'!B:B,A24,'3-Ruimtestaat'!J:J)</f>
        <v>2462</v>
      </c>
      <c r="F24" s="616" t="e">
        <f>SUMIF('4-Reinigen vloeren'!A:A,A24,'4-Reinigen vloeren'!O:O)</f>
        <v>#DIV/0!</v>
      </c>
      <c r="G24" s="616">
        <f>SUMIF('5-Aanvullend'!A:A,A24,'5-Aanvullend'!K:K)</f>
        <v>0</v>
      </c>
      <c r="H24" s="616">
        <f>SUMIF('6-Liftbodems'!A:A,A24,'6-Liftbodems'!K:K)</f>
        <v>0</v>
      </c>
      <c r="I24" s="616">
        <f>SUMIF('7-Geveldelen  en wanden'!A:A,A24,'7-Geveldelen  en wanden'!P:P)</f>
        <v>0</v>
      </c>
      <c r="J24" s="617">
        <f ca="1">SUMIF('8b-Glas kosten totaal'!A:A,A24,'8b-Glas kosten totaal'!M:M)</f>
        <v>0</v>
      </c>
      <c r="K24" s="616"/>
      <c r="L24" s="616">
        <f>SUMIF('10a-Periodieke beurt'!A:A,A24,'10a-Periodieke beurt'!Q:Q)</f>
        <v>0</v>
      </c>
      <c r="M24" s="616">
        <f>SUMIF('12-Gelijkrichter stations'!$A$14:$A$36,A24,'12-Gelijkrichter stations'!$K$14:$K$36)</f>
        <v>0</v>
      </c>
      <c r="N24" s="616" t="e">
        <f>SUMIF('13- Technischeruimten'!$A$18:$A$49,A24,'13- Technischeruimten'!$I$18:$I$49)</f>
        <v>#DIV/0!</v>
      </c>
      <c r="O24" s="618" t="e">
        <f t="shared" ca="1" si="2"/>
        <v>#DIV/0!</v>
      </c>
    </row>
    <row r="25" spans="1:15">
      <c r="A25" s="544">
        <v>118</v>
      </c>
      <c r="B25" s="551" t="s">
        <v>75</v>
      </c>
      <c r="C25" s="614">
        <v>2</v>
      </c>
      <c r="D25" s="540" t="str">
        <f ca="1">VLOOKUP(A25,'3-Ruimtestaat'!B:D,3,FALSE)</f>
        <v>Oostlijn bovengronds</v>
      </c>
      <c r="E25" s="615">
        <f>SUMIF('3-Ruimtestaat'!B:B,A25,'3-Ruimtestaat'!J:J)</f>
        <v>1828</v>
      </c>
      <c r="F25" s="616" t="e">
        <f>SUMIF('4-Reinigen vloeren'!A:A,A25,'4-Reinigen vloeren'!O:O)</f>
        <v>#DIV/0!</v>
      </c>
      <c r="G25" s="616">
        <f>SUMIF('5-Aanvullend'!A:A,A25,'5-Aanvullend'!K:K)</f>
        <v>0</v>
      </c>
      <c r="H25" s="616">
        <f>SUMIF('6-Liftbodems'!A:A,A25,'6-Liftbodems'!K:K)</f>
        <v>0</v>
      </c>
      <c r="I25" s="616">
        <f>SUMIF('7-Geveldelen  en wanden'!A:A,A25,'7-Geveldelen  en wanden'!P:P)</f>
        <v>0</v>
      </c>
      <c r="J25" s="617">
        <f ca="1">SUMIF('8b-Glas kosten totaal'!A:A,A25,'8b-Glas kosten totaal'!M:M)</f>
        <v>0</v>
      </c>
      <c r="K25" s="616"/>
      <c r="L25" s="616">
        <f>SUMIF('10a-Periodieke beurt'!A:A,A25,'10a-Periodieke beurt'!Q:Q)</f>
        <v>0</v>
      </c>
      <c r="M25" s="616">
        <f>SUMIF('12-Gelijkrichter stations'!$A$14:$A$36,A25,'12-Gelijkrichter stations'!$K$14:$K$36)</f>
        <v>0</v>
      </c>
      <c r="N25" s="616" t="e">
        <f>SUMIF('13- Technischeruimten'!$A$18:$A$49,A25,'13- Technischeruimten'!$I$18:$I$49)</f>
        <v>#DIV/0!</v>
      </c>
      <c r="O25" s="618" t="e">
        <f t="shared" ca="1" si="2"/>
        <v>#DIV/0!</v>
      </c>
    </row>
    <row r="26" spans="1:15">
      <c r="A26" s="544">
        <v>119</v>
      </c>
      <c r="B26" s="551" t="s">
        <v>76</v>
      </c>
      <c r="C26" s="614">
        <v>2</v>
      </c>
      <c r="D26" s="540" t="str">
        <f ca="1">VLOOKUP(A26,'3-Ruimtestaat'!B:D,3,FALSE)</f>
        <v>Oostlijn bovengronds</v>
      </c>
      <c r="E26" s="615">
        <f>SUMIF('3-Ruimtestaat'!B:B,A26,'3-Ruimtestaat'!J:J)</f>
        <v>2153</v>
      </c>
      <c r="F26" s="616" t="e">
        <f>SUMIF('4-Reinigen vloeren'!A:A,A26,'4-Reinigen vloeren'!O:O)</f>
        <v>#DIV/0!</v>
      </c>
      <c r="G26" s="616">
        <f>SUMIF('5-Aanvullend'!A:A,A26,'5-Aanvullend'!K:K)</f>
        <v>0</v>
      </c>
      <c r="H26" s="616">
        <f>SUMIF('6-Liftbodems'!A:A,A26,'6-Liftbodems'!K:K)</f>
        <v>0</v>
      </c>
      <c r="I26" s="616">
        <f>SUMIF('7-Geveldelen  en wanden'!A:A,A26,'7-Geveldelen  en wanden'!P:P)</f>
        <v>0</v>
      </c>
      <c r="J26" s="617">
        <f ca="1">SUMIF('8b-Glas kosten totaal'!A:A,A26,'8b-Glas kosten totaal'!M:M)</f>
        <v>0</v>
      </c>
      <c r="K26" s="616"/>
      <c r="L26" s="616">
        <f>SUMIF('10a-Periodieke beurt'!A:A,A26,'10a-Periodieke beurt'!Q:Q)</f>
        <v>0</v>
      </c>
      <c r="M26" s="616">
        <f>SUMIF('12-Gelijkrichter stations'!$A$14:$A$36,A26,'12-Gelijkrichter stations'!$K$14:$K$36)</f>
        <v>0</v>
      </c>
      <c r="N26" s="616" t="e">
        <f>SUMIF('13- Technischeruimten'!$A$18:$A$49,A26,'13- Technischeruimten'!$I$18:$I$49)</f>
        <v>#DIV/0!</v>
      </c>
      <c r="O26" s="618" t="e">
        <f t="shared" ca="1" si="2"/>
        <v>#DIV/0!</v>
      </c>
    </row>
    <row r="27" spans="1:15">
      <c r="A27" s="544">
        <v>120</v>
      </c>
      <c r="B27" s="551" t="s">
        <v>77</v>
      </c>
      <c r="C27" s="614">
        <v>2</v>
      </c>
      <c r="D27" s="540" t="str">
        <f ca="1">VLOOKUP(A27,'3-Ruimtestaat'!B:D,3,FALSE)</f>
        <v>Oostlijn bovengronds</v>
      </c>
      <c r="E27" s="615">
        <f>SUMIF('3-Ruimtestaat'!B:B,A27,'3-Ruimtestaat'!J:J)</f>
        <v>2486</v>
      </c>
      <c r="F27" s="616" t="e">
        <f>SUMIF('4-Reinigen vloeren'!A:A,A27,'4-Reinigen vloeren'!O:O)</f>
        <v>#DIV/0!</v>
      </c>
      <c r="G27" s="616">
        <f>SUMIF('5-Aanvullend'!A:A,A27,'5-Aanvullend'!K:K)</f>
        <v>0</v>
      </c>
      <c r="H27" s="616">
        <f>SUMIF('6-Liftbodems'!A:A,A27,'6-Liftbodems'!K:K)</f>
        <v>0</v>
      </c>
      <c r="I27" s="616">
        <f>SUMIF('7-Geveldelen  en wanden'!A:A,A27,'7-Geveldelen  en wanden'!P:P)</f>
        <v>0</v>
      </c>
      <c r="J27" s="617">
        <f ca="1">SUMIF('8b-Glas kosten totaal'!A:A,A27,'8b-Glas kosten totaal'!M:M)</f>
        <v>0</v>
      </c>
      <c r="K27" s="616"/>
      <c r="L27" s="616">
        <f>SUMIF('10a-Periodieke beurt'!A:A,A27,'10a-Periodieke beurt'!Q:Q)</f>
        <v>0</v>
      </c>
      <c r="M27" s="616">
        <f>SUMIF('12-Gelijkrichter stations'!$A$14:$A$36,A27,'12-Gelijkrichter stations'!$K$14:$K$36)</f>
        <v>0</v>
      </c>
      <c r="N27" s="616" t="e">
        <f>SUMIF('13- Technischeruimten'!$A$18:$A$49,A27,'13- Technischeruimten'!$I$18:$I$49)</f>
        <v>#DIV/0!</v>
      </c>
      <c r="O27" s="618" t="e">
        <f t="shared" ca="1" si="2"/>
        <v>#DIV/0!</v>
      </c>
    </row>
    <row r="28" spans="1:15">
      <c r="A28" s="544">
        <v>121</v>
      </c>
      <c r="B28" s="551" t="s">
        <v>78</v>
      </c>
      <c r="C28" s="614">
        <v>2</v>
      </c>
      <c r="D28" s="540" t="str">
        <f ca="1">VLOOKUP(A28,'3-Ruimtestaat'!B:D,3,FALSE)</f>
        <v>Oostlijn bovengronds</v>
      </c>
      <c r="E28" s="615">
        <f>SUMIF('3-Ruimtestaat'!B:B,A28,'3-Ruimtestaat'!J:J)</f>
        <v>2055.34</v>
      </c>
      <c r="F28" s="616" t="e">
        <f>SUMIF('4-Reinigen vloeren'!A:A,A28,'4-Reinigen vloeren'!O:O)</f>
        <v>#DIV/0!</v>
      </c>
      <c r="G28" s="616">
        <f>SUMIF('5-Aanvullend'!A:A,A28,'5-Aanvullend'!K:K)</f>
        <v>0</v>
      </c>
      <c r="H28" s="616">
        <f>SUMIF('6-Liftbodems'!A:A,A28,'6-Liftbodems'!K:K)</f>
        <v>0</v>
      </c>
      <c r="I28" s="616">
        <f>SUMIF('7-Geveldelen  en wanden'!A:A,A28,'7-Geveldelen  en wanden'!P:P)</f>
        <v>0</v>
      </c>
      <c r="J28" s="617">
        <f ca="1">SUMIF('8b-Glas kosten totaal'!A:A,A28,'8b-Glas kosten totaal'!M:M)</f>
        <v>0</v>
      </c>
      <c r="K28" s="616"/>
      <c r="L28" s="616">
        <f>SUMIF('10a-Periodieke beurt'!A:A,A28,'10a-Periodieke beurt'!Q:Q)</f>
        <v>0</v>
      </c>
      <c r="M28" s="616">
        <f>SUMIF('12-Gelijkrichter stations'!$A$14:$A$36,A28,'12-Gelijkrichter stations'!$K$14:$K$36)</f>
        <v>0</v>
      </c>
      <c r="N28" s="616" t="e">
        <f>SUMIF('13- Technischeruimten'!$A$18:$A$49,A28,'13- Technischeruimten'!$I$18:$I$49)</f>
        <v>#DIV/0!</v>
      </c>
      <c r="O28" s="618" t="e">
        <f t="shared" ca="1" si="2"/>
        <v>#DIV/0!</v>
      </c>
    </row>
    <row r="29" spans="1:15">
      <c r="A29" s="544">
        <v>201</v>
      </c>
      <c r="B29" s="551" t="s">
        <v>79</v>
      </c>
      <c r="C29" s="614">
        <v>2</v>
      </c>
      <c r="D29" s="540" t="str">
        <f ca="1">VLOOKUP(A29,'3-Ruimtestaat'!B:D,3,FALSE)</f>
        <v>Amstellijn</v>
      </c>
      <c r="E29" s="615">
        <f>SUMIF('3-Ruimtestaat'!B:B,A29,'3-Ruimtestaat'!J:J)</f>
        <v>507</v>
      </c>
      <c r="F29" s="616">
        <f>SUMIF('4-Reinigen vloeren'!A:A,A29,'4-Reinigen vloeren'!O:O)</f>
        <v>0</v>
      </c>
      <c r="G29" s="616">
        <f>SUMIF('5-Aanvullend'!A:A,A29,'5-Aanvullend'!K:K)</f>
        <v>0</v>
      </c>
      <c r="H29" s="616">
        <f>SUMIF('6-Liftbodems'!A:A,A29,'6-Liftbodems'!K:K)</f>
        <v>0</v>
      </c>
      <c r="I29" s="616">
        <f>SUMIF('7-Geveldelen  en wanden'!A:A,A29,'7-Geveldelen  en wanden'!P:P)</f>
        <v>0</v>
      </c>
      <c r="J29" s="617">
        <f ca="1">SUMIF('8b-Glas kosten totaal'!A:A,A29,'8b-Glas kosten totaal'!M:M)</f>
        <v>0</v>
      </c>
      <c r="K29" s="616"/>
      <c r="L29" s="616">
        <f>SUMIF('10a-Periodieke beurt'!A:A,A29,'10a-Periodieke beurt'!Q:Q)</f>
        <v>0</v>
      </c>
      <c r="M29" s="616">
        <f>SUMIF('12-Gelijkrichter stations'!$A$14:$A$36,A29,'12-Gelijkrichter stations'!$K$14:$K$36)</f>
        <v>0</v>
      </c>
      <c r="N29" s="616">
        <f>SUMIF('13- Technischeruimten'!$A$18:$A$49,A29,'13- Technischeruimten'!$I$18:$I$49)</f>
        <v>0</v>
      </c>
      <c r="O29" s="618">
        <f t="shared" ca="1" si="1"/>
        <v>0</v>
      </c>
    </row>
    <row r="30" spans="1:15">
      <c r="A30" s="544">
        <v>202</v>
      </c>
      <c r="B30" s="551" t="s">
        <v>80</v>
      </c>
      <c r="C30" s="614">
        <v>2</v>
      </c>
      <c r="D30" s="540" t="str">
        <f ca="1">VLOOKUP(A30,'3-Ruimtestaat'!B:D,3,FALSE)</f>
        <v>Amstellijn</v>
      </c>
      <c r="E30" s="615">
        <f>SUMIF('3-Ruimtestaat'!B:B,A30,'3-Ruimtestaat'!J:J)</f>
        <v>671</v>
      </c>
      <c r="F30" s="616">
        <f>SUMIF('4-Reinigen vloeren'!A:A,A30,'4-Reinigen vloeren'!O:O)</f>
        <v>0</v>
      </c>
      <c r="G30" s="616">
        <f>SUMIF('5-Aanvullend'!A:A,A30,'5-Aanvullend'!K:K)</f>
        <v>0</v>
      </c>
      <c r="H30" s="616">
        <f>SUMIF('6-Liftbodems'!A:A,A30,'6-Liftbodems'!K:K)</f>
        <v>0</v>
      </c>
      <c r="I30" s="616">
        <f>SUMIF('7-Geveldelen  en wanden'!A:A,A30,'7-Geveldelen  en wanden'!P:P)</f>
        <v>0</v>
      </c>
      <c r="J30" s="617">
        <f ca="1">SUMIF('8b-Glas kosten totaal'!A:A,A30,'8b-Glas kosten totaal'!M:M)</f>
        <v>0</v>
      </c>
      <c r="K30" s="616"/>
      <c r="L30" s="616">
        <f>SUMIF('10a-Periodieke beurt'!A:A,A30,'10a-Periodieke beurt'!Q:Q)</f>
        <v>0</v>
      </c>
      <c r="M30" s="616">
        <f>SUMIF('12-Gelijkrichter stations'!$A$14:$A$36,A30,'12-Gelijkrichter stations'!$K$14:$K$36)</f>
        <v>0</v>
      </c>
      <c r="N30" s="616">
        <f>SUMIF('13- Technischeruimten'!$A$18:$A$49,A30,'13- Technischeruimten'!$I$18:$I$49)</f>
        <v>0</v>
      </c>
      <c r="O30" s="618">
        <f t="shared" ca="1" si="1"/>
        <v>0</v>
      </c>
    </row>
    <row r="31" spans="1:15">
      <c r="A31" s="544">
        <v>203</v>
      </c>
      <c r="B31" s="551" t="s">
        <v>81</v>
      </c>
      <c r="C31" s="614">
        <v>2</v>
      </c>
      <c r="D31" s="540" t="str">
        <f ca="1">VLOOKUP(A31,'3-Ruimtestaat'!B:D,3,FALSE)</f>
        <v>Amstellijn</v>
      </c>
      <c r="E31" s="615">
        <f>SUMIF('3-Ruimtestaat'!B:B,A31,'3-Ruimtestaat'!J:J)</f>
        <v>589</v>
      </c>
      <c r="F31" s="616">
        <f>SUMIF('4-Reinigen vloeren'!A:A,A31,'4-Reinigen vloeren'!O:O)</f>
        <v>0</v>
      </c>
      <c r="G31" s="616">
        <f>SUMIF('5-Aanvullend'!A:A,A31,'5-Aanvullend'!K:K)</f>
        <v>0</v>
      </c>
      <c r="H31" s="616">
        <f>SUMIF('6-Liftbodems'!A:A,A31,'6-Liftbodems'!K:K)</f>
        <v>0</v>
      </c>
      <c r="I31" s="616">
        <f>SUMIF('7-Geveldelen  en wanden'!A:A,A31,'7-Geveldelen  en wanden'!P:P)</f>
        <v>0</v>
      </c>
      <c r="J31" s="617">
        <f ca="1">SUMIF('8b-Glas kosten totaal'!A:A,A31,'8b-Glas kosten totaal'!M:M)</f>
        <v>0</v>
      </c>
      <c r="K31" s="616"/>
      <c r="L31" s="616">
        <f>SUMIF('10a-Periodieke beurt'!A:A,A31,'10a-Periodieke beurt'!Q:Q)</f>
        <v>0</v>
      </c>
      <c r="M31" s="616">
        <f>SUMIF('12-Gelijkrichter stations'!$A$14:$A$36,A31,'12-Gelijkrichter stations'!$K$14:$K$36)</f>
        <v>0</v>
      </c>
      <c r="N31" s="616">
        <f>SUMIF('13- Technischeruimten'!$A$18:$A$49,A31,'13- Technischeruimten'!$I$18:$I$49)</f>
        <v>0</v>
      </c>
      <c r="O31" s="618">
        <f t="shared" ca="1" si="1"/>
        <v>0</v>
      </c>
    </row>
    <row r="32" spans="1:15">
      <c r="A32" s="544">
        <v>204</v>
      </c>
      <c r="B32" s="551" t="s">
        <v>82</v>
      </c>
      <c r="C32" s="614">
        <v>2</v>
      </c>
      <c r="D32" s="540" t="str">
        <f ca="1">VLOOKUP(A32,'3-Ruimtestaat'!B:D,3,FALSE)</f>
        <v>Amstellijn</v>
      </c>
      <c r="E32" s="615">
        <f>SUMIF('3-Ruimtestaat'!B:B,A32,'3-Ruimtestaat'!J:J)</f>
        <v>662</v>
      </c>
      <c r="F32" s="616">
        <f>SUMIF('4-Reinigen vloeren'!A:A,A32,'4-Reinigen vloeren'!O:O)</f>
        <v>0</v>
      </c>
      <c r="G32" s="616">
        <f>SUMIF('5-Aanvullend'!A:A,A32,'5-Aanvullend'!K:K)</f>
        <v>0</v>
      </c>
      <c r="H32" s="616">
        <f>SUMIF('6-Liftbodems'!A:A,A32,'6-Liftbodems'!K:K)</f>
        <v>0</v>
      </c>
      <c r="I32" s="616">
        <f>SUMIF('7-Geveldelen  en wanden'!A:A,A32,'7-Geveldelen  en wanden'!P:P)</f>
        <v>0</v>
      </c>
      <c r="J32" s="617">
        <f ca="1">SUMIF('8b-Glas kosten totaal'!A:A,A32,'8b-Glas kosten totaal'!M:M)</f>
        <v>0</v>
      </c>
      <c r="K32" s="616"/>
      <c r="L32" s="616">
        <f>SUMIF('10a-Periodieke beurt'!A:A,A32,'10a-Periodieke beurt'!Q:Q)</f>
        <v>0</v>
      </c>
      <c r="M32" s="616">
        <f>SUMIF('12-Gelijkrichter stations'!$A$14:$A$36,A32,'12-Gelijkrichter stations'!$K$14:$K$36)</f>
        <v>0</v>
      </c>
      <c r="N32" s="616">
        <f>SUMIF('13- Technischeruimten'!$A$18:$A$49,A32,'13- Technischeruimten'!$I$18:$I$49)</f>
        <v>0</v>
      </c>
      <c r="O32" s="618">
        <f t="shared" ca="1" si="1"/>
        <v>0</v>
      </c>
    </row>
    <row r="33" spans="1:15">
      <c r="A33" s="544">
        <v>205</v>
      </c>
      <c r="B33" s="551" t="s">
        <v>83</v>
      </c>
      <c r="C33" s="614">
        <v>2</v>
      </c>
      <c r="D33" s="540" t="str">
        <f ca="1">VLOOKUP(A33,'3-Ruimtestaat'!B:D,3,FALSE)</f>
        <v>Amstellijn</v>
      </c>
      <c r="E33" s="615">
        <f>SUMIF('3-Ruimtestaat'!B:B,A33,'3-Ruimtestaat'!J:J)</f>
        <v>662</v>
      </c>
      <c r="F33" s="616">
        <f>SUMIF('4-Reinigen vloeren'!A:A,A33,'4-Reinigen vloeren'!O:O)</f>
        <v>0</v>
      </c>
      <c r="G33" s="616">
        <f>SUMIF('5-Aanvullend'!A:A,A33,'5-Aanvullend'!K:K)</f>
        <v>0</v>
      </c>
      <c r="H33" s="616">
        <f>SUMIF('6-Liftbodems'!A:A,A33,'6-Liftbodems'!K:K)</f>
        <v>0</v>
      </c>
      <c r="I33" s="616">
        <f>SUMIF('7-Geveldelen  en wanden'!A:A,A33,'7-Geveldelen  en wanden'!P:P)</f>
        <v>0</v>
      </c>
      <c r="J33" s="617">
        <f ca="1">SUMIF('8b-Glas kosten totaal'!A:A,A33,'8b-Glas kosten totaal'!M:M)</f>
        <v>0</v>
      </c>
      <c r="K33" s="616"/>
      <c r="L33" s="616">
        <f>SUMIF('10a-Periodieke beurt'!A:A,A33,'10a-Periodieke beurt'!Q:Q)</f>
        <v>0</v>
      </c>
      <c r="M33" s="616">
        <f>SUMIF('12-Gelijkrichter stations'!$A$14:$A$36,A33,'12-Gelijkrichter stations'!$K$14:$K$36)</f>
        <v>0</v>
      </c>
      <c r="N33" s="616">
        <f>SUMIF('13- Technischeruimten'!$A$18:$A$49,A33,'13- Technischeruimten'!$I$18:$I$49)</f>
        <v>0</v>
      </c>
      <c r="O33" s="618">
        <f t="shared" ca="1" si="1"/>
        <v>0</v>
      </c>
    </row>
    <row r="34" spans="1:15">
      <c r="A34" s="544">
        <v>206</v>
      </c>
      <c r="B34" s="551" t="s">
        <v>84</v>
      </c>
      <c r="C34" s="614">
        <v>2</v>
      </c>
      <c r="D34" s="540" t="str">
        <f ca="1">VLOOKUP(A34,'3-Ruimtestaat'!B:D,3,FALSE)</f>
        <v>Amstellijn</v>
      </c>
      <c r="E34" s="615">
        <f>SUMIF('3-Ruimtestaat'!B:B,A34,'3-Ruimtestaat'!J:J)</f>
        <v>530</v>
      </c>
      <c r="F34" s="616">
        <f>SUMIF('4-Reinigen vloeren'!A:A,A34,'4-Reinigen vloeren'!O:O)</f>
        <v>0</v>
      </c>
      <c r="G34" s="616">
        <f>SUMIF('5-Aanvullend'!A:A,A34,'5-Aanvullend'!K:K)</f>
        <v>0</v>
      </c>
      <c r="H34" s="616">
        <f>SUMIF('6-Liftbodems'!A:A,A34,'6-Liftbodems'!K:K)</f>
        <v>0</v>
      </c>
      <c r="I34" s="616">
        <f>SUMIF('7-Geveldelen  en wanden'!A:A,A34,'7-Geveldelen  en wanden'!P:P)</f>
        <v>0</v>
      </c>
      <c r="J34" s="617">
        <f ca="1">SUMIF('8b-Glas kosten totaal'!A:A,A34,'8b-Glas kosten totaal'!M:M)</f>
        <v>0</v>
      </c>
      <c r="K34" s="616"/>
      <c r="L34" s="616">
        <f>SUMIF('10a-Periodieke beurt'!A:A,A34,'10a-Periodieke beurt'!Q:Q)</f>
        <v>0</v>
      </c>
      <c r="M34" s="616">
        <f>SUMIF('12-Gelijkrichter stations'!$A$14:$A$36,A34,'12-Gelijkrichter stations'!$K$14:$K$36)</f>
        <v>0</v>
      </c>
      <c r="N34" s="616">
        <f>SUMIF('13- Technischeruimten'!$A$18:$A$49,A34,'13- Technischeruimten'!$I$18:$I$49)</f>
        <v>0</v>
      </c>
      <c r="O34" s="618">
        <f t="shared" ca="1" si="1"/>
        <v>0</v>
      </c>
    </row>
    <row r="35" spans="1:15">
      <c r="A35" s="544">
        <v>207</v>
      </c>
      <c r="B35" s="551" t="s">
        <v>85</v>
      </c>
      <c r="C35" s="614">
        <v>2</v>
      </c>
      <c r="D35" s="540" t="str">
        <f ca="1">VLOOKUP(A35,'3-Ruimtestaat'!B:D,3,FALSE)</f>
        <v>Amstellijn</v>
      </c>
      <c r="E35" s="615">
        <f>SUMIF('3-Ruimtestaat'!B:B,A35,'3-Ruimtestaat'!J:J)</f>
        <v>600</v>
      </c>
      <c r="F35" s="616">
        <f>SUMIF('4-Reinigen vloeren'!A:A,A35,'4-Reinigen vloeren'!O:O)</f>
        <v>0</v>
      </c>
      <c r="G35" s="616">
        <f>SUMIF('5-Aanvullend'!A:A,A35,'5-Aanvullend'!K:K)</f>
        <v>0</v>
      </c>
      <c r="H35" s="616">
        <f>SUMIF('6-Liftbodems'!A:A,A35,'6-Liftbodems'!K:K)</f>
        <v>0</v>
      </c>
      <c r="I35" s="616">
        <f>SUMIF('7-Geveldelen  en wanden'!A:A,A35,'7-Geveldelen  en wanden'!P:P)</f>
        <v>0</v>
      </c>
      <c r="J35" s="617">
        <f ca="1">SUMIF('8b-Glas kosten totaal'!A:A,A35,'8b-Glas kosten totaal'!M:M)</f>
        <v>0</v>
      </c>
      <c r="K35" s="616"/>
      <c r="L35" s="616">
        <f>SUMIF('10a-Periodieke beurt'!A:A,A35,'10a-Periodieke beurt'!Q:Q)</f>
        <v>0</v>
      </c>
      <c r="M35" s="616">
        <f>SUMIF('12-Gelijkrichter stations'!$A$14:$A$36,A35,'12-Gelijkrichter stations'!$K$14:$K$36)</f>
        <v>0</v>
      </c>
      <c r="N35" s="616">
        <f>SUMIF('13- Technischeruimten'!$A$18:$A$49,A35,'13- Technischeruimten'!$I$18:$I$49)</f>
        <v>0</v>
      </c>
      <c r="O35" s="618">
        <f t="shared" ca="1" si="1"/>
        <v>0</v>
      </c>
    </row>
    <row r="36" spans="1:15">
      <c r="A36" s="544">
        <v>208</v>
      </c>
      <c r="B36" s="551" t="s">
        <v>86</v>
      </c>
      <c r="C36" s="614">
        <v>2</v>
      </c>
      <c r="D36" s="540" t="str">
        <f ca="1">VLOOKUP(A36,'3-Ruimtestaat'!B:D,3,FALSE)</f>
        <v>Amstellijn</v>
      </c>
      <c r="E36" s="615">
        <f>SUMIF('3-Ruimtestaat'!B:B,A36,'3-Ruimtestaat'!J:J)</f>
        <v>609</v>
      </c>
      <c r="F36" s="616">
        <f>SUMIF('4-Reinigen vloeren'!A:A,A36,'4-Reinigen vloeren'!O:O)</f>
        <v>0</v>
      </c>
      <c r="G36" s="616">
        <f>SUMIF('5-Aanvullend'!A:A,A36,'5-Aanvullend'!K:K)</f>
        <v>0</v>
      </c>
      <c r="H36" s="616">
        <f>SUMIF('6-Liftbodems'!A:A,A36,'6-Liftbodems'!K:K)</f>
        <v>0</v>
      </c>
      <c r="I36" s="616">
        <f>SUMIF('7-Geveldelen  en wanden'!A:A,A36,'7-Geveldelen  en wanden'!P:P)</f>
        <v>0</v>
      </c>
      <c r="J36" s="617">
        <f ca="1">SUMIF('8b-Glas kosten totaal'!A:A,A36,'8b-Glas kosten totaal'!M:M)</f>
        <v>0</v>
      </c>
      <c r="K36" s="616"/>
      <c r="L36" s="616">
        <f>SUMIF('10a-Periodieke beurt'!A:A,A36,'10a-Periodieke beurt'!Q:Q)</f>
        <v>0</v>
      </c>
      <c r="M36" s="616">
        <f>SUMIF('12-Gelijkrichter stations'!$A$14:$A$36,A36,'12-Gelijkrichter stations'!$K$14:$K$36)</f>
        <v>0</v>
      </c>
      <c r="N36" s="616">
        <f>SUMIF('13- Technischeruimten'!$A$18:$A$49,A36,'13- Technischeruimten'!$I$18:$I$49)</f>
        <v>0</v>
      </c>
      <c r="O36" s="618">
        <f t="shared" ca="1" si="1"/>
        <v>0</v>
      </c>
    </row>
    <row r="37" spans="1:15">
      <c r="A37" s="544">
        <v>209</v>
      </c>
      <c r="B37" s="551" t="s">
        <v>87</v>
      </c>
      <c r="C37" s="614">
        <v>2</v>
      </c>
      <c r="D37" s="540" t="str">
        <f ca="1">VLOOKUP(A37,'3-Ruimtestaat'!B:D,3,FALSE)</f>
        <v>Amstellijn</v>
      </c>
      <c r="E37" s="615">
        <f>SUMIF('3-Ruimtestaat'!B:B,A37,'3-Ruimtestaat'!J:J)</f>
        <v>903</v>
      </c>
      <c r="F37" s="616">
        <f>SUMIF('4-Reinigen vloeren'!A:A,A37,'4-Reinigen vloeren'!O:O)</f>
        <v>0</v>
      </c>
      <c r="G37" s="616">
        <f>SUMIF('5-Aanvullend'!A:A,A37,'5-Aanvullend'!K:K)</f>
        <v>0</v>
      </c>
      <c r="H37" s="616">
        <f>SUMIF('6-Liftbodems'!A:A,A37,'6-Liftbodems'!K:K)</f>
        <v>0</v>
      </c>
      <c r="I37" s="616">
        <f>SUMIF('7-Geveldelen  en wanden'!A:A,A37,'7-Geveldelen  en wanden'!P:P)</f>
        <v>0</v>
      </c>
      <c r="J37" s="617">
        <f ca="1">SUMIF('8b-Glas kosten totaal'!A:A,A37,'8b-Glas kosten totaal'!M:M)</f>
        <v>0</v>
      </c>
      <c r="K37" s="616"/>
      <c r="L37" s="616">
        <f>SUMIF('10a-Periodieke beurt'!A:A,A37,'10a-Periodieke beurt'!Q:Q)</f>
        <v>0</v>
      </c>
      <c r="M37" s="616">
        <f>SUMIF('12-Gelijkrichter stations'!$A$14:$A$36,A37,'12-Gelijkrichter stations'!$K$14:$K$36)</f>
        <v>0</v>
      </c>
      <c r="N37" s="616">
        <f>SUMIF('13- Technischeruimten'!$A$18:$A$49,A37,'13- Technischeruimten'!$I$18:$I$49)</f>
        <v>0</v>
      </c>
      <c r="O37" s="618">
        <f t="shared" ca="1" si="1"/>
        <v>0</v>
      </c>
    </row>
    <row r="38" spans="1:15">
      <c r="A38" s="544">
        <v>210</v>
      </c>
      <c r="B38" s="551" t="s">
        <v>88</v>
      </c>
      <c r="C38" s="614">
        <v>2</v>
      </c>
      <c r="D38" s="540" t="str">
        <f ca="1">VLOOKUP(A38,'3-Ruimtestaat'!B:D,3,FALSE)</f>
        <v>Amstellijn</v>
      </c>
      <c r="E38" s="615">
        <f>SUMIF('3-Ruimtestaat'!B:B,A38,'3-Ruimtestaat'!J:J)</f>
        <v>662</v>
      </c>
      <c r="F38" s="616">
        <f>SUMIF('4-Reinigen vloeren'!A:A,A38,'4-Reinigen vloeren'!O:O)</f>
        <v>0</v>
      </c>
      <c r="G38" s="616">
        <f>SUMIF('5-Aanvullend'!A:A,A38,'5-Aanvullend'!K:K)</f>
        <v>0</v>
      </c>
      <c r="H38" s="616">
        <f>SUMIF('6-Liftbodems'!A:A,A38,'6-Liftbodems'!K:K)</f>
        <v>0</v>
      </c>
      <c r="I38" s="616">
        <f>SUMIF('7-Geveldelen  en wanden'!A:A,A38,'7-Geveldelen  en wanden'!P:P)</f>
        <v>0</v>
      </c>
      <c r="J38" s="617">
        <f ca="1">SUMIF('8b-Glas kosten totaal'!A:A,A38,'8b-Glas kosten totaal'!M:M)</f>
        <v>0</v>
      </c>
      <c r="K38" s="616"/>
      <c r="L38" s="616">
        <f>SUMIF('10a-Periodieke beurt'!A:A,A38,'10a-Periodieke beurt'!Q:Q)</f>
        <v>0</v>
      </c>
      <c r="M38" s="616">
        <f>SUMIF('12-Gelijkrichter stations'!$A$14:$A$36,A38,'12-Gelijkrichter stations'!$K$14:$K$36)</f>
        <v>0</v>
      </c>
      <c r="N38" s="616">
        <f>SUMIF('13- Technischeruimten'!$A$18:$A$49,A38,'13- Technischeruimten'!$I$18:$I$49)</f>
        <v>0</v>
      </c>
      <c r="O38" s="618">
        <f t="shared" ca="1" si="1"/>
        <v>0</v>
      </c>
    </row>
    <row r="39" spans="1:15">
      <c r="A39" s="544">
        <v>211</v>
      </c>
      <c r="B39" s="551" t="s">
        <v>89</v>
      </c>
      <c r="C39" s="614">
        <v>2</v>
      </c>
      <c r="D39" s="540" t="str">
        <f ca="1">VLOOKUP(A39,'3-Ruimtestaat'!B:D,3,FALSE)</f>
        <v>Amstellijn</v>
      </c>
      <c r="E39" s="615">
        <f>SUMIF('3-Ruimtestaat'!B:B,A39,'3-Ruimtestaat'!J:J)</f>
        <v>398</v>
      </c>
      <c r="F39" s="616">
        <f>SUMIF('4-Reinigen vloeren'!A:A,A39,'4-Reinigen vloeren'!O:O)</f>
        <v>0</v>
      </c>
      <c r="G39" s="616">
        <f>SUMIF('5-Aanvullend'!A:A,A39,'5-Aanvullend'!K:K)</f>
        <v>0</v>
      </c>
      <c r="H39" s="616">
        <f>SUMIF('6-Liftbodems'!A:A,A39,'6-Liftbodems'!K:K)</f>
        <v>0</v>
      </c>
      <c r="I39" s="616">
        <f>SUMIF('7-Geveldelen  en wanden'!A:A,A39,'7-Geveldelen  en wanden'!P:P)</f>
        <v>0</v>
      </c>
      <c r="J39" s="617">
        <f ca="1">SUMIF('8b-Glas kosten totaal'!A:A,A39,'8b-Glas kosten totaal'!M:M)</f>
        <v>0</v>
      </c>
      <c r="K39" s="616"/>
      <c r="L39" s="616">
        <f>SUMIF('10a-Periodieke beurt'!A:A,A39,'10a-Periodieke beurt'!Q:Q)</f>
        <v>0</v>
      </c>
      <c r="M39" s="616">
        <f>SUMIF('12-Gelijkrichter stations'!$A$14:$A$36,A39,'12-Gelijkrichter stations'!$K$14:$K$36)</f>
        <v>0</v>
      </c>
      <c r="N39" s="616">
        <f>SUMIF('13- Technischeruimten'!$A$18:$A$49,A39,'13- Technischeruimten'!$I$18:$I$49)</f>
        <v>0</v>
      </c>
      <c r="O39" s="618">
        <f t="shared" ca="1" si="1"/>
        <v>0</v>
      </c>
    </row>
    <row r="40" spans="1:15">
      <c r="A40" s="544">
        <v>212</v>
      </c>
      <c r="B40" s="551" t="s">
        <v>90</v>
      </c>
      <c r="C40" s="614">
        <v>2</v>
      </c>
      <c r="D40" s="540" t="str">
        <f ca="1">VLOOKUP(A40,'3-Ruimtestaat'!B:D,3,FALSE)</f>
        <v>Amstellijn</v>
      </c>
      <c r="E40" s="615">
        <f>SUMIF('3-Ruimtestaat'!B:B,A40,'3-Ruimtestaat'!J:J)</f>
        <v>378</v>
      </c>
      <c r="F40" s="616">
        <f>SUMIF('4-Reinigen vloeren'!A:A,A40,'4-Reinigen vloeren'!O:O)</f>
        <v>0</v>
      </c>
      <c r="G40" s="616">
        <f>SUMIF('5-Aanvullend'!A:A,A40,'5-Aanvullend'!K:K)</f>
        <v>0</v>
      </c>
      <c r="H40" s="616">
        <f>SUMIF('6-Liftbodems'!A:A,A40,'6-Liftbodems'!K:K)</f>
        <v>0</v>
      </c>
      <c r="I40" s="616">
        <f>SUMIF('7-Geveldelen  en wanden'!A:A,A40,'7-Geveldelen  en wanden'!P:P)</f>
        <v>0</v>
      </c>
      <c r="J40" s="617">
        <f ca="1">SUMIF('8b-Glas kosten totaal'!A:A,A40,'8b-Glas kosten totaal'!M:M)</f>
        <v>0</v>
      </c>
      <c r="K40" s="616"/>
      <c r="L40" s="616">
        <f>SUMIF('10a-Periodieke beurt'!A:A,A40,'10a-Periodieke beurt'!Q:Q)</f>
        <v>0</v>
      </c>
      <c r="M40" s="616">
        <f>SUMIF('12-Gelijkrichter stations'!$A$14:$A$36,A40,'12-Gelijkrichter stations'!$K$14:$K$36)</f>
        <v>0</v>
      </c>
      <c r="N40" s="616">
        <f>SUMIF('13- Technischeruimten'!$A$18:$A$49,A40,'13- Technischeruimten'!$I$18:$I$49)</f>
        <v>0</v>
      </c>
      <c r="O40" s="618">
        <f t="shared" ca="1" si="1"/>
        <v>0</v>
      </c>
    </row>
    <row r="41" spans="1:15">
      <c r="A41" s="544">
        <v>213</v>
      </c>
      <c r="B41" s="551" t="s">
        <v>91</v>
      </c>
      <c r="C41" s="614">
        <v>2</v>
      </c>
      <c r="D41" s="540" t="str">
        <f ca="1">VLOOKUP(A41,'3-Ruimtestaat'!B:D,3,FALSE)</f>
        <v>Amstellijn</v>
      </c>
      <c r="E41" s="615">
        <f>SUMIF('3-Ruimtestaat'!B:B,A41,'3-Ruimtestaat'!J:J)</f>
        <v>492</v>
      </c>
      <c r="F41" s="616">
        <f>SUMIF('4-Reinigen vloeren'!A:A,A41,'4-Reinigen vloeren'!O:O)</f>
        <v>0</v>
      </c>
      <c r="G41" s="616">
        <f>SUMIF('5-Aanvullend'!A:A,A41,'5-Aanvullend'!K:K)</f>
        <v>0</v>
      </c>
      <c r="H41" s="616">
        <f>SUMIF('6-Liftbodems'!A:A,A41,'6-Liftbodems'!K:K)</f>
        <v>0</v>
      </c>
      <c r="I41" s="616">
        <f>SUMIF('7-Geveldelen  en wanden'!A:A,A41,'7-Geveldelen  en wanden'!P:P)</f>
        <v>0</v>
      </c>
      <c r="J41" s="617">
        <f ca="1">SUMIF('8b-Glas kosten totaal'!A:A,A41,'8b-Glas kosten totaal'!M:M)</f>
        <v>0</v>
      </c>
      <c r="K41" s="616"/>
      <c r="L41" s="616">
        <f>SUMIF('10a-Periodieke beurt'!A:A,A41,'10a-Periodieke beurt'!Q:Q)</f>
        <v>0</v>
      </c>
      <c r="M41" s="616">
        <f>SUMIF('12-Gelijkrichter stations'!$A$14:$A$36,A41,'12-Gelijkrichter stations'!$K$14:$K$36)</f>
        <v>0</v>
      </c>
      <c r="N41" s="616">
        <f>SUMIF('13- Technischeruimten'!$A$18:$A$49,A41,'13- Technischeruimten'!$I$18:$I$49)</f>
        <v>0</v>
      </c>
      <c r="O41" s="618">
        <f t="shared" ca="1" si="1"/>
        <v>0</v>
      </c>
    </row>
    <row r="42" spans="1:15">
      <c r="A42" s="544">
        <v>214</v>
      </c>
      <c r="B42" s="551" t="s">
        <v>92</v>
      </c>
      <c r="C42" s="614">
        <v>2</v>
      </c>
      <c r="D42" s="540" t="str">
        <f ca="1">VLOOKUP(A42,'3-Ruimtestaat'!B:D,3,FALSE)</f>
        <v>Amstellijn</v>
      </c>
      <c r="E42" s="615">
        <f>SUMIF('3-Ruimtestaat'!B:B,A42,'3-Ruimtestaat'!J:J)</f>
        <v>467</v>
      </c>
      <c r="F42" s="616">
        <f>SUMIF('4-Reinigen vloeren'!A:A,A42,'4-Reinigen vloeren'!O:O)</f>
        <v>0</v>
      </c>
      <c r="G42" s="616">
        <f>SUMIF('5-Aanvullend'!A:A,A42,'5-Aanvullend'!K:K)</f>
        <v>0</v>
      </c>
      <c r="H42" s="616">
        <f>SUMIF('6-Liftbodems'!A:A,A42,'6-Liftbodems'!K:K)</f>
        <v>0</v>
      </c>
      <c r="I42" s="616">
        <f>SUMIF('7-Geveldelen  en wanden'!A:A,A42,'7-Geveldelen  en wanden'!P:P)</f>
        <v>0</v>
      </c>
      <c r="J42" s="617">
        <f ca="1">SUMIF('8b-Glas kosten totaal'!A:A,A42,'8b-Glas kosten totaal'!M:M)</f>
        <v>0</v>
      </c>
      <c r="K42" s="616"/>
      <c r="L42" s="616">
        <f>SUMIF('10a-Periodieke beurt'!A:A,A42,'10a-Periodieke beurt'!Q:Q)</f>
        <v>0</v>
      </c>
      <c r="M42" s="616">
        <f>SUMIF('12-Gelijkrichter stations'!$A$14:$A$36,A42,'12-Gelijkrichter stations'!$K$14:$K$36)</f>
        <v>0</v>
      </c>
      <c r="N42" s="616">
        <f>SUMIF('13- Technischeruimten'!$A$18:$A$49,A42,'13- Technischeruimten'!$I$18:$I$49)</f>
        <v>0</v>
      </c>
      <c r="O42" s="618">
        <f t="shared" ca="1" si="1"/>
        <v>0</v>
      </c>
    </row>
    <row r="43" spans="1:15">
      <c r="A43" s="544">
        <v>215</v>
      </c>
      <c r="B43" s="551" t="s">
        <v>93</v>
      </c>
      <c r="C43" s="614">
        <v>2</v>
      </c>
      <c r="D43" s="540" t="str">
        <f ca="1">VLOOKUP(A43,'3-Ruimtestaat'!B:D,3,FALSE)</f>
        <v>Amstellijn</v>
      </c>
      <c r="E43" s="615">
        <f>SUMIF('3-Ruimtestaat'!B:B,A43,'3-Ruimtestaat'!J:J)</f>
        <v>510</v>
      </c>
      <c r="F43" s="616">
        <f>SUMIF('4-Reinigen vloeren'!A:A,A43,'4-Reinigen vloeren'!O:O)</f>
        <v>0</v>
      </c>
      <c r="G43" s="616">
        <f>SUMIF('5-Aanvullend'!A:A,A43,'5-Aanvullend'!K:K)</f>
        <v>0</v>
      </c>
      <c r="H43" s="616">
        <f>SUMIF('6-Liftbodems'!A:A,A43,'6-Liftbodems'!K:K)</f>
        <v>0</v>
      </c>
      <c r="I43" s="616">
        <f>SUMIF('7-Geveldelen  en wanden'!A:A,A43,'7-Geveldelen  en wanden'!P:P)</f>
        <v>0</v>
      </c>
      <c r="J43" s="617">
        <f ca="1">SUMIF('8b-Glas kosten totaal'!A:A,A43,'8b-Glas kosten totaal'!M:M)</f>
        <v>0</v>
      </c>
      <c r="K43" s="616"/>
      <c r="L43" s="616">
        <f>SUMIF('10a-Periodieke beurt'!A:A,A43,'10a-Periodieke beurt'!Q:Q)</f>
        <v>0</v>
      </c>
      <c r="M43" s="616">
        <f>SUMIF('12-Gelijkrichter stations'!$A$14:$A$36,A43,'12-Gelijkrichter stations'!$K$14:$K$36)</f>
        <v>0</v>
      </c>
      <c r="N43" s="616">
        <f>SUMIF('13- Technischeruimten'!$A$18:$A$49,A43,'13- Technischeruimten'!$I$18:$I$49)</f>
        <v>0</v>
      </c>
      <c r="O43" s="618">
        <f t="shared" ca="1" si="1"/>
        <v>0</v>
      </c>
    </row>
    <row r="44" spans="1:15">
      <c r="A44" s="544" t="s">
        <v>94</v>
      </c>
      <c r="B44" s="551" t="s">
        <v>95</v>
      </c>
      <c r="C44" s="614">
        <v>2</v>
      </c>
      <c r="D44" s="540" t="str">
        <f ca="1">VLOOKUP(A44,'3-Ruimtestaat'!B:D,3,FALSE)</f>
        <v>Amstellijn</v>
      </c>
      <c r="E44" s="615">
        <f>SUMIF('3-Ruimtestaat'!B:B,A44,'3-Ruimtestaat'!J:J)</f>
        <v>348</v>
      </c>
      <c r="F44" s="616">
        <f>SUMIF('4-Reinigen vloeren'!A:A,A44,'4-Reinigen vloeren'!O:O)</f>
        <v>0</v>
      </c>
      <c r="G44" s="616">
        <f>SUMIF('5-Aanvullend'!A:A,A44,'5-Aanvullend'!K:K)</f>
        <v>0</v>
      </c>
      <c r="H44" s="616">
        <f>SUMIF('6-Liftbodems'!A:A,A44,'6-Liftbodems'!K:K)</f>
        <v>0</v>
      </c>
      <c r="I44" s="616">
        <f>SUMIF('7-Geveldelen  en wanden'!A:A,A44,'7-Geveldelen  en wanden'!P:P)</f>
        <v>0</v>
      </c>
      <c r="J44" s="617">
        <f ca="1">SUMIF('8b-Glas kosten totaal'!A:A,A44,'8b-Glas kosten totaal'!M:M)</f>
        <v>0</v>
      </c>
      <c r="K44" s="616"/>
      <c r="L44" s="616">
        <f>SUMIF('10a-Periodieke beurt'!A:A,A44,'10a-Periodieke beurt'!Q:Q)</f>
        <v>0</v>
      </c>
      <c r="M44" s="616">
        <f>SUMIF('12-Gelijkrichter stations'!$A$14:$A$36,A44,'12-Gelijkrichter stations'!$K$14:$K$36)</f>
        <v>0</v>
      </c>
      <c r="N44" s="616">
        <f>SUMIF('13- Technischeruimten'!$A$18:$A$49,A44,'13- Technischeruimten'!$I$18:$I$49)</f>
        <v>0</v>
      </c>
      <c r="O44" s="618">
        <f t="shared" ref="O44:O46" ca="1" si="3">SUM(F44:N44)</f>
        <v>0</v>
      </c>
    </row>
    <row r="45" spans="1:15">
      <c r="A45" s="544" t="s">
        <v>96</v>
      </c>
      <c r="B45" s="551" t="s">
        <v>97</v>
      </c>
      <c r="C45" s="614">
        <v>2</v>
      </c>
      <c r="D45" s="540" t="str">
        <f ca="1">VLOOKUP(A45,'3-Ruimtestaat'!B:D,3,FALSE)</f>
        <v>Amstellijn</v>
      </c>
      <c r="E45" s="615">
        <f>SUMIF('3-Ruimtestaat'!B:B,A45,'3-Ruimtestaat'!J:J)</f>
        <v>360</v>
      </c>
      <c r="F45" s="616">
        <f>SUMIF('4-Reinigen vloeren'!A:A,A45,'4-Reinigen vloeren'!O:O)</f>
        <v>0</v>
      </c>
      <c r="G45" s="616">
        <f>SUMIF('5-Aanvullend'!A:A,A45,'5-Aanvullend'!K:K)</f>
        <v>0</v>
      </c>
      <c r="H45" s="616">
        <f>SUMIF('6-Liftbodems'!A:A,A45,'6-Liftbodems'!K:K)</f>
        <v>0</v>
      </c>
      <c r="I45" s="616">
        <f>SUMIF('7-Geveldelen  en wanden'!A:A,A45,'7-Geveldelen  en wanden'!P:P)</f>
        <v>0</v>
      </c>
      <c r="J45" s="617">
        <f ca="1">SUMIF('8b-Glas kosten totaal'!A:A,A45,'8b-Glas kosten totaal'!M:M)</f>
        <v>0</v>
      </c>
      <c r="K45" s="616"/>
      <c r="L45" s="616">
        <f>SUMIF('10a-Periodieke beurt'!A:A,A45,'10a-Periodieke beurt'!Q:Q)</f>
        <v>0</v>
      </c>
      <c r="M45" s="616">
        <f>SUMIF('12-Gelijkrichter stations'!$A$14:$A$36,A45,'12-Gelijkrichter stations'!$K$14:$K$36)</f>
        <v>0</v>
      </c>
      <c r="N45" s="616">
        <f>SUMIF('13- Technischeruimten'!$A$18:$A$49,A45,'13- Technischeruimten'!$I$18:$I$49)</f>
        <v>0</v>
      </c>
      <c r="O45" s="618">
        <f t="shared" ca="1" si="3"/>
        <v>0</v>
      </c>
    </row>
    <row r="46" spans="1:15">
      <c r="A46" s="544" t="s">
        <v>98</v>
      </c>
      <c r="B46" s="551" t="s">
        <v>99</v>
      </c>
      <c r="C46" s="614">
        <v>2</v>
      </c>
      <c r="D46" s="540" t="str">
        <f ca="1">VLOOKUP(A46,'3-Ruimtestaat'!B:D,3,FALSE)</f>
        <v>Amstellijn</v>
      </c>
      <c r="E46" s="615">
        <f>SUMIF('3-Ruimtestaat'!B:B,A46,'3-Ruimtestaat'!J:J)</f>
        <v>364</v>
      </c>
      <c r="F46" s="616">
        <f>SUMIF('4-Reinigen vloeren'!A:A,A46,'4-Reinigen vloeren'!O:O)</f>
        <v>0</v>
      </c>
      <c r="G46" s="616">
        <f>SUMIF('5-Aanvullend'!A:A,A46,'5-Aanvullend'!K:K)</f>
        <v>0</v>
      </c>
      <c r="H46" s="616">
        <f>SUMIF('6-Liftbodems'!A:A,A46,'6-Liftbodems'!K:K)</f>
        <v>0</v>
      </c>
      <c r="I46" s="616">
        <f>SUMIF('7-Geveldelen  en wanden'!A:A,A46,'7-Geveldelen  en wanden'!P:P)</f>
        <v>0</v>
      </c>
      <c r="J46" s="617">
        <f ca="1">SUMIF('8b-Glas kosten totaal'!A:A,A46,'8b-Glas kosten totaal'!M:M)</f>
        <v>0</v>
      </c>
      <c r="K46" s="616"/>
      <c r="L46" s="616">
        <f>SUMIF('10a-Periodieke beurt'!A:A,A46,'10a-Periodieke beurt'!Q:Q)</f>
        <v>0</v>
      </c>
      <c r="M46" s="616">
        <f>SUMIF('12-Gelijkrichter stations'!$A$14:$A$36,A46,'12-Gelijkrichter stations'!$K$14:$K$36)</f>
        <v>0</v>
      </c>
      <c r="N46" s="616">
        <f>SUMIF('13- Technischeruimten'!$A$18:$A$49,A46,'13- Technischeruimten'!$I$18:$I$49)</f>
        <v>0</v>
      </c>
      <c r="O46" s="618">
        <f t="shared" ca="1" si="3"/>
        <v>0</v>
      </c>
    </row>
    <row r="47" spans="1:15">
      <c r="A47" s="544">
        <v>301</v>
      </c>
      <c r="B47" s="551" t="s">
        <v>100</v>
      </c>
      <c r="C47" s="614">
        <v>2</v>
      </c>
      <c r="D47" s="540" t="str">
        <f ca="1">VLOOKUP(A47,'3-Ruimtestaat'!B:D,3,FALSE)</f>
        <v>Ringlijn</v>
      </c>
      <c r="E47" s="615">
        <f>SUMIF('3-Ruimtestaat'!B:B,A47,'3-Ruimtestaat'!J:J)</f>
        <v>1893.5</v>
      </c>
      <c r="F47" s="616">
        <f>SUMIF('4-Reinigen vloeren'!A:A,A47,'4-Reinigen vloeren'!O:O)</f>
        <v>0</v>
      </c>
      <c r="G47" s="616">
        <f>SUMIF('5-Aanvullend'!A:A,A47,'5-Aanvullend'!K:K)</f>
        <v>0</v>
      </c>
      <c r="H47" s="616">
        <f>SUMIF('6-Liftbodems'!A:A,A47,'6-Liftbodems'!K:K)</f>
        <v>0</v>
      </c>
      <c r="I47" s="616">
        <f>SUMIF('7-Geveldelen  en wanden'!A:A,A47,'7-Geveldelen  en wanden'!P:P)</f>
        <v>0</v>
      </c>
      <c r="J47" s="617">
        <f ca="1">SUMIF('8b-Glas kosten totaal'!A:A,A47,'8b-Glas kosten totaal'!M:M)</f>
        <v>0</v>
      </c>
      <c r="K47" s="616"/>
      <c r="L47" s="616">
        <f>SUMIF('10a-Periodieke beurt'!A:A,A47,'10a-Periodieke beurt'!Q:Q)</f>
        <v>0</v>
      </c>
      <c r="M47" s="616">
        <f>SUMIF('12-Gelijkrichter stations'!$A$14:$A$36,A47,'12-Gelijkrichter stations'!$K$14:$K$36)</f>
        <v>0</v>
      </c>
      <c r="N47" s="616" t="e">
        <f>SUMIF('13- Technischeruimten'!$A$18:$A$49,A47,'13- Technischeruimten'!$I$18:$I$49)</f>
        <v>#DIV/0!</v>
      </c>
      <c r="O47" s="618" t="e">
        <f t="shared" ca="1" si="1"/>
        <v>#DIV/0!</v>
      </c>
    </row>
    <row r="48" spans="1:15">
      <c r="A48" s="544">
        <v>302</v>
      </c>
      <c r="B48" s="551" t="s">
        <v>101</v>
      </c>
      <c r="C48" s="614">
        <v>2</v>
      </c>
      <c r="D48" s="540" t="str">
        <f ca="1">VLOOKUP(A48,'3-Ruimtestaat'!B:D,3,FALSE)</f>
        <v>Ringlijn</v>
      </c>
      <c r="E48" s="615">
        <f>SUMIF('3-Ruimtestaat'!B:B,A48,'3-Ruimtestaat'!J:J)</f>
        <v>1561</v>
      </c>
      <c r="F48" s="616" t="e">
        <f>SUMIF('4-Reinigen vloeren'!A:A,A48,'4-Reinigen vloeren'!O:O)</f>
        <v>#DIV/0!</v>
      </c>
      <c r="G48" s="616">
        <f>SUMIF('5-Aanvullend'!A:A,A48,'5-Aanvullend'!K:K)</f>
        <v>0</v>
      </c>
      <c r="H48" s="616">
        <f>SUMIF('6-Liftbodems'!A:A,A48,'6-Liftbodems'!K:K)</f>
        <v>0</v>
      </c>
      <c r="I48" s="616">
        <f>SUMIF('7-Geveldelen  en wanden'!A:A,A48,'7-Geveldelen  en wanden'!P:P)</f>
        <v>0</v>
      </c>
      <c r="J48" s="617">
        <f ca="1">SUMIF('8b-Glas kosten totaal'!A:A,A48,'8b-Glas kosten totaal'!M:M)</f>
        <v>0</v>
      </c>
      <c r="K48" s="616"/>
      <c r="L48" s="616">
        <f>SUMIF('10a-Periodieke beurt'!A:A,A48,'10a-Periodieke beurt'!Q:Q)</f>
        <v>0</v>
      </c>
      <c r="M48" s="616">
        <f>SUMIF('12-Gelijkrichter stations'!$A$14:$A$36,A48,'12-Gelijkrichter stations'!$K$14:$K$36)</f>
        <v>0</v>
      </c>
      <c r="N48" s="616" t="e">
        <f>SUMIF('13- Technischeruimten'!$A$18:$A$49,A48,'13- Technischeruimten'!$I$18:$I$49)</f>
        <v>#DIV/0!</v>
      </c>
      <c r="O48" s="618" t="e">
        <f t="shared" ca="1" si="1"/>
        <v>#DIV/0!</v>
      </c>
    </row>
    <row r="49" spans="1:15">
      <c r="A49" s="544">
        <v>303</v>
      </c>
      <c r="B49" s="551" t="s">
        <v>102</v>
      </c>
      <c r="C49" s="614">
        <v>2</v>
      </c>
      <c r="D49" s="540" t="str">
        <f ca="1">VLOOKUP(A49,'3-Ruimtestaat'!B:D,3,FALSE)</f>
        <v>Ringlijn</v>
      </c>
      <c r="E49" s="615">
        <f>SUMIF('3-Ruimtestaat'!B:B,A49,'3-Ruimtestaat'!J:J)</f>
        <v>3126</v>
      </c>
      <c r="F49" s="616" t="e">
        <f>SUMIF('4-Reinigen vloeren'!A:A,A49,'4-Reinigen vloeren'!O:O)</f>
        <v>#DIV/0!</v>
      </c>
      <c r="G49" s="616">
        <f>SUMIF('5-Aanvullend'!A:A,A49,'5-Aanvullend'!K:K)</f>
        <v>0</v>
      </c>
      <c r="H49" s="616">
        <f>SUMIF('6-Liftbodems'!A:A,A49,'6-Liftbodems'!K:K)</f>
        <v>0</v>
      </c>
      <c r="I49" s="616">
        <f>SUMIF('7-Geveldelen  en wanden'!A:A,A49,'7-Geveldelen  en wanden'!P:P)</f>
        <v>0</v>
      </c>
      <c r="J49" s="617">
        <f ca="1">SUMIF('8b-Glas kosten totaal'!A:A,A49,'8b-Glas kosten totaal'!M:M)</f>
        <v>0</v>
      </c>
      <c r="K49" s="616"/>
      <c r="L49" s="616">
        <f>SUMIF('10a-Periodieke beurt'!A:A,A49,'10a-Periodieke beurt'!Q:Q)</f>
        <v>0</v>
      </c>
      <c r="M49" s="616">
        <f>SUMIF('12-Gelijkrichter stations'!$A$14:$A$36,A49,'12-Gelijkrichter stations'!$K$14:$K$36)</f>
        <v>0</v>
      </c>
      <c r="N49" s="616" t="e">
        <f>SUMIF('13- Technischeruimten'!$A$18:$A$49,A49,'13- Technischeruimten'!$I$18:$I$49)</f>
        <v>#DIV/0!</v>
      </c>
      <c r="O49" s="618" t="e">
        <f t="shared" ca="1" si="1"/>
        <v>#DIV/0!</v>
      </c>
    </row>
    <row r="50" spans="1:15">
      <c r="A50" s="544" t="s">
        <v>103</v>
      </c>
      <c r="B50" s="545" t="s">
        <v>104</v>
      </c>
      <c r="C50" s="614">
        <v>2</v>
      </c>
      <c r="D50" s="540" t="str">
        <f ca="1">VLOOKUP(A50,'3-Ruimtestaat'!B:D,3,FALSE)</f>
        <v>Ringlijn</v>
      </c>
      <c r="E50" s="615">
        <f>SUMIF('3-Ruimtestaat'!B:B,A50,'3-Ruimtestaat'!J:J)</f>
        <v>7</v>
      </c>
      <c r="F50" s="616">
        <f>SUMIF('4-Reinigen vloeren'!A:A,A50,'4-Reinigen vloeren'!O:O)</f>
        <v>0</v>
      </c>
      <c r="G50" s="616">
        <f>SUMIF('5-Aanvullend'!A:A,A50,'5-Aanvullend'!K:K)</f>
        <v>0</v>
      </c>
      <c r="H50" s="616">
        <f>SUMIF('6-Liftbodems'!A:A,A50,'6-Liftbodems'!K:K)</f>
        <v>0</v>
      </c>
      <c r="I50" s="616">
        <f>SUMIF('7-Geveldelen  en wanden'!A:A,A50,'7-Geveldelen  en wanden'!P:P)</f>
        <v>0</v>
      </c>
      <c r="J50" s="617">
        <f ca="1">SUMIF('8b-Glas kosten totaal'!A:A,A50,'8b-Glas kosten totaal'!M:M)</f>
        <v>0</v>
      </c>
      <c r="K50" s="616"/>
      <c r="L50" s="616">
        <f>SUMIF('10a-Periodieke beurt'!A:A,A50,'10a-Periodieke beurt'!Q:Q)</f>
        <v>0</v>
      </c>
      <c r="M50" s="616">
        <f>SUMIF('12-Gelijkrichter stations'!$A$14:$A$36,A50,'12-Gelijkrichter stations'!$K$14:$K$36)</f>
        <v>0</v>
      </c>
      <c r="N50" s="616" t="e">
        <f>SUMIF('13- Technischeruimten'!$A$18:$A$49,A50,'13- Technischeruimten'!$I$18:$I$49)</f>
        <v>#DIV/0!</v>
      </c>
      <c r="O50" s="618" t="e">
        <f t="shared" ca="1" si="1"/>
        <v>#DIV/0!</v>
      </c>
    </row>
    <row r="51" spans="1:15">
      <c r="A51" s="544">
        <v>304</v>
      </c>
      <c r="B51" s="619" t="s">
        <v>105</v>
      </c>
      <c r="C51" s="614">
        <v>2</v>
      </c>
      <c r="D51" s="540" t="str">
        <f ca="1">VLOOKUP(A51,'3-Ruimtestaat'!B:D,3,FALSE)</f>
        <v>Ringlijn</v>
      </c>
      <c r="E51" s="615">
        <f>SUMIF('3-Ruimtestaat'!B:B,A51,'3-Ruimtestaat'!J:J)</f>
        <v>2093</v>
      </c>
      <c r="F51" s="616">
        <f>SUMIF('4-Reinigen vloeren'!A:A,A51,'4-Reinigen vloeren'!O:O)</f>
        <v>0</v>
      </c>
      <c r="G51" s="616">
        <f>SUMIF('5-Aanvullend'!A:A,A51,'5-Aanvullend'!K:K)</f>
        <v>0</v>
      </c>
      <c r="H51" s="616">
        <f>SUMIF('6-Liftbodems'!A:A,A51,'6-Liftbodems'!K:K)</f>
        <v>0</v>
      </c>
      <c r="I51" s="616">
        <f>SUMIF('7-Geveldelen  en wanden'!A:A,A51,'7-Geveldelen  en wanden'!P:P)</f>
        <v>0</v>
      </c>
      <c r="J51" s="617">
        <f ca="1">SUMIF('8b-Glas kosten totaal'!A:A,A51,'8b-Glas kosten totaal'!M:M)</f>
        <v>0</v>
      </c>
      <c r="K51" s="616"/>
      <c r="L51" s="616">
        <f>SUMIF('10a-Periodieke beurt'!A:A,A51,'10a-Periodieke beurt'!Q:Q)</f>
        <v>0</v>
      </c>
      <c r="M51" s="616">
        <f>SUMIF('12-Gelijkrichter stations'!$A$14:$A$36,A51,'12-Gelijkrichter stations'!$K$14:$K$36)</f>
        <v>0</v>
      </c>
      <c r="N51" s="616" t="e">
        <f>SUMIF('13- Technischeruimten'!$A$18:$A$49,A51,'13- Technischeruimten'!$I$18:$I$49)</f>
        <v>#DIV/0!</v>
      </c>
      <c r="O51" s="618" t="e">
        <f t="shared" ca="1" si="1"/>
        <v>#DIV/0!</v>
      </c>
    </row>
    <row r="52" spans="1:15">
      <c r="A52" s="544">
        <v>305</v>
      </c>
      <c r="B52" s="551" t="s">
        <v>106</v>
      </c>
      <c r="C52" s="614">
        <v>2</v>
      </c>
      <c r="D52" s="540" t="str">
        <f ca="1">VLOOKUP(A52,'3-Ruimtestaat'!B:D,3,FALSE)</f>
        <v>Ringlijn</v>
      </c>
      <c r="E52" s="615">
        <f>SUMIF('3-Ruimtestaat'!B:B,A52,'3-Ruimtestaat'!J:J)</f>
        <v>1510</v>
      </c>
      <c r="F52" s="616">
        <f>SUMIF('4-Reinigen vloeren'!A:A,A52,'4-Reinigen vloeren'!O:O)</f>
        <v>0</v>
      </c>
      <c r="G52" s="616">
        <f>SUMIF('5-Aanvullend'!A:A,A52,'5-Aanvullend'!K:K)</f>
        <v>0</v>
      </c>
      <c r="H52" s="616">
        <f>SUMIF('6-Liftbodems'!A:A,A52,'6-Liftbodems'!K:K)</f>
        <v>0</v>
      </c>
      <c r="I52" s="616">
        <f>SUMIF('7-Geveldelen  en wanden'!A:A,A52,'7-Geveldelen  en wanden'!P:P)</f>
        <v>0</v>
      </c>
      <c r="J52" s="617">
        <f ca="1">SUMIF('8b-Glas kosten totaal'!A:A,A52,'8b-Glas kosten totaal'!M:M)</f>
        <v>0</v>
      </c>
      <c r="K52" s="616"/>
      <c r="L52" s="616">
        <f>SUMIF('10a-Periodieke beurt'!A:A,A52,'10a-Periodieke beurt'!Q:Q)</f>
        <v>0</v>
      </c>
      <c r="M52" s="616">
        <f>SUMIF('12-Gelijkrichter stations'!$A$14:$A$36,A52,'12-Gelijkrichter stations'!$K$14:$K$36)</f>
        <v>0</v>
      </c>
      <c r="N52" s="616" t="e">
        <f>SUMIF('13- Technischeruimten'!$A$18:$A$49,A52,'13- Technischeruimten'!$I$18:$I$49)</f>
        <v>#DIV/0!</v>
      </c>
      <c r="O52" s="618" t="e">
        <f t="shared" ca="1" si="1"/>
        <v>#DIV/0!</v>
      </c>
    </row>
    <row r="53" spans="1:15">
      <c r="A53" s="544">
        <v>306</v>
      </c>
      <c r="B53" s="551" t="s">
        <v>107</v>
      </c>
      <c r="C53" s="614">
        <v>2</v>
      </c>
      <c r="D53" s="540" t="str">
        <f ca="1">VLOOKUP(A53,'3-Ruimtestaat'!B:D,3,FALSE)</f>
        <v>Ringlijn</v>
      </c>
      <c r="E53" s="615">
        <f>SUMIF('3-Ruimtestaat'!B:B,A53,'3-Ruimtestaat'!J:J)</f>
        <v>1720</v>
      </c>
      <c r="F53" s="616">
        <f>SUMIF('4-Reinigen vloeren'!A:A,A53,'4-Reinigen vloeren'!O:O)</f>
        <v>0</v>
      </c>
      <c r="G53" s="616">
        <f>SUMIF('5-Aanvullend'!A:A,A53,'5-Aanvullend'!K:K)</f>
        <v>0</v>
      </c>
      <c r="H53" s="616">
        <f>SUMIF('6-Liftbodems'!A:A,A53,'6-Liftbodems'!K:K)</f>
        <v>0</v>
      </c>
      <c r="I53" s="616">
        <f>SUMIF('7-Geveldelen  en wanden'!A:A,A53,'7-Geveldelen  en wanden'!P:P)</f>
        <v>0</v>
      </c>
      <c r="J53" s="617">
        <f ca="1">SUMIF('8b-Glas kosten totaal'!A:A,A53,'8b-Glas kosten totaal'!M:M)</f>
        <v>0</v>
      </c>
      <c r="K53" s="616"/>
      <c r="L53" s="616">
        <f>SUMIF('10a-Periodieke beurt'!A:A,A53,'10a-Periodieke beurt'!Q:Q)</f>
        <v>0</v>
      </c>
      <c r="M53" s="616">
        <f>SUMIF('12-Gelijkrichter stations'!$A$14:$A$36,A53,'12-Gelijkrichter stations'!$K$14:$K$36)</f>
        <v>0</v>
      </c>
      <c r="N53" s="616" t="e">
        <f>SUMIF('13- Technischeruimten'!$A$18:$A$49,A53,'13- Technischeruimten'!$I$18:$I$49)</f>
        <v>#DIV/0!</v>
      </c>
      <c r="O53" s="618" t="e">
        <f t="shared" ca="1" si="1"/>
        <v>#DIV/0!</v>
      </c>
    </row>
    <row r="54" spans="1:15">
      <c r="A54" s="544">
        <v>307</v>
      </c>
      <c r="B54" s="551" t="s">
        <v>108</v>
      </c>
      <c r="C54" s="614">
        <v>2</v>
      </c>
      <c r="D54" s="540" t="str">
        <f ca="1">VLOOKUP(A54,'3-Ruimtestaat'!B:D,3,FALSE)</f>
        <v>Ringlijn</v>
      </c>
      <c r="E54" s="615">
        <f>SUMIF('3-Ruimtestaat'!B:B,A54,'3-Ruimtestaat'!J:J)</f>
        <v>2949.2000000000003</v>
      </c>
      <c r="F54" s="616" t="e">
        <f>SUMIF('4-Reinigen vloeren'!A:A,A54,'4-Reinigen vloeren'!O:O)</f>
        <v>#DIV/0!</v>
      </c>
      <c r="G54" s="616">
        <f>SUMIF('5-Aanvullend'!A:A,A54,'5-Aanvullend'!K:K)</f>
        <v>0</v>
      </c>
      <c r="H54" s="616">
        <f>SUMIF('6-Liftbodems'!A:A,A54,'6-Liftbodems'!K:K)</f>
        <v>0</v>
      </c>
      <c r="I54" s="616">
        <f>SUMIF('7-Geveldelen  en wanden'!A:A,A54,'7-Geveldelen  en wanden'!P:P)</f>
        <v>0</v>
      </c>
      <c r="J54" s="617">
        <f ca="1">SUMIF('8b-Glas kosten totaal'!A:A,A54,'8b-Glas kosten totaal'!M:M)</f>
        <v>0</v>
      </c>
      <c r="K54" s="616"/>
      <c r="L54" s="616">
        <f>SUMIF('10a-Periodieke beurt'!A:A,A54,'10a-Periodieke beurt'!Q:Q)</f>
        <v>0</v>
      </c>
      <c r="M54" s="616">
        <f>SUMIF('12-Gelijkrichter stations'!$A$14:$A$36,A54,'12-Gelijkrichter stations'!$K$14:$K$36)</f>
        <v>0</v>
      </c>
      <c r="N54" s="616" t="e">
        <f>SUMIF('13- Technischeruimten'!$A$18:$A$49,A54,'13- Technischeruimten'!$I$18:$I$49)</f>
        <v>#DIV/0!</v>
      </c>
      <c r="O54" s="618" t="e">
        <f t="shared" ca="1" si="1"/>
        <v>#DIV/0!</v>
      </c>
    </row>
    <row r="55" spans="1:15">
      <c r="A55" s="544">
        <v>308</v>
      </c>
      <c r="B55" s="551" t="s">
        <v>109</v>
      </c>
      <c r="C55" s="614">
        <v>2</v>
      </c>
      <c r="D55" s="540" t="str">
        <f ca="1">VLOOKUP(A55,'3-Ruimtestaat'!B:D,3,FALSE)</f>
        <v>Ringlijn</v>
      </c>
      <c r="E55" s="615">
        <f>SUMIF('3-Ruimtestaat'!B:B,A55,'3-Ruimtestaat'!J:J)</f>
        <v>1400.41</v>
      </c>
      <c r="F55" s="616">
        <f>SUMIF('4-Reinigen vloeren'!A:A,A55,'4-Reinigen vloeren'!O:O)</f>
        <v>0</v>
      </c>
      <c r="G55" s="616">
        <f>SUMIF('5-Aanvullend'!A:A,A55,'5-Aanvullend'!K:K)</f>
        <v>0</v>
      </c>
      <c r="H55" s="616">
        <f>SUMIF('6-Liftbodems'!A:A,A55,'6-Liftbodems'!K:K)</f>
        <v>0</v>
      </c>
      <c r="I55" s="616">
        <f>SUMIF('7-Geveldelen  en wanden'!A:A,A55,'7-Geveldelen  en wanden'!P:P)</f>
        <v>0</v>
      </c>
      <c r="J55" s="617">
        <f ca="1">SUMIF('8b-Glas kosten totaal'!A:A,A55,'8b-Glas kosten totaal'!M:M)</f>
        <v>0</v>
      </c>
      <c r="K55" s="616"/>
      <c r="L55" s="616">
        <f>SUMIF('10a-Periodieke beurt'!A:A,A55,'10a-Periodieke beurt'!Q:Q)</f>
        <v>0</v>
      </c>
      <c r="M55" s="616">
        <f>SUMIF('12-Gelijkrichter stations'!$A$14:$A$36,A55,'12-Gelijkrichter stations'!$K$14:$K$36)</f>
        <v>0</v>
      </c>
      <c r="N55" s="616" t="e">
        <f>SUMIF('13- Technischeruimten'!$A$18:$A$49,A55,'13- Technischeruimten'!$I$18:$I$49)</f>
        <v>#DIV/0!</v>
      </c>
      <c r="O55" s="618" t="e">
        <f t="shared" ca="1" si="1"/>
        <v>#DIV/0!</v>
      </c>
    </row>
    <row r="56" spans="1:15">
      <c r="A56" s="544">
        <v>309</v>
      </c>
      <c r="B56" s="551" t="s">
        <v>110</v>
      </c>
      <c r="C56" s="614">
        <v>2</v>
      </c>
      <c r="D56" s="540" t="str">
        <f ca="1">VLOOKUP(A56,'3-Ruimtestaat'!B:D,3,FALSE)</f>
        <v>Ringlijn</v>
      </c>
      <c r="E56" s="615">
        <f>SUMIF('3-Ruimtestaat'!B:B,A56,'3-Ruimtestaat'!J:J)</f>
        <v>1382.41</v>
      </c>
      <c r="F56" s="616">
        <f>SUMIF('4-Reinigen vloeren'!A:A,A56,'4-Reinigen vloeren'!O:O)</f>
        <v>0</v>
      </c>
      <c r="G56" s="616">
        <f>SUMIF('5-Aanvullend'!A:A,A56,'5-Aanvullend'!K:K)</f>
        <v>0</v>
      </c>
      <c r="H56" s="616">
        <f>SUMIF('6-Liftbodems'!A:A,A56,'6-Liftbodems'!K:K)</f>
        <v>0</v>
      </c>
      <c r="I56" s="616">
        <f>SUMIF('7-Geveldelen  en wanden'!A:A,A56,'7-Geveldelen  en wanden'!P:P)</f>
        <v>0</v>
      </c>
      <c r="J56" s="617">
        <f ca="1">SUMIF('8b-Glas kosten totaal'!A:A,A56,'8b-Glas kosten totaal'!M:M)</f>
        <v>0</v>
      </c>
      <c r="K56" s="616"/>
      <c r="L56" s="616">
        <f>SUMIF('10a-Periodieke beurt'!A:A,A56,'10a-Periodieke beurt'!Q:Q)</f>
        <v>0</v>
      </c>
      <c r="M56" s="616">
        <f>SUMIF('12-Gelijkrichter stations'!$A$14:$A$36,A56,'12-Gelijkrichter stations'!$K$14:$K$36)</f>
        <v>0</v>
      </c>
      <c r="N56" s="616" t="e">
        <f>SUMIF('13- Technischeruimten'!$A$18:$A$49,A56,'13- Technischeruimten'!$I$18:$I$49)</f>
        <v>#DIV/0!</v>
      </c>
      <c r="O56" s="618" t="e">
        <f t="shared" ca="1" si="1"/>
        <v>#DIV/0!</v>
      </c>
    </row>
    <row r="57" spans="1:15">
      <c r="A57" s="544">
        <v>310</v>
      </c>
      <c r="B57" s="551" t="s">
        <v>111</v>
      </c>
      <c r="C57" s="614">
        <v>2</v>
      </c>
      <c r="D57" s="540" t="str">
        <f ca="1">VLOOKUP(A57,'3-Ruimtestaat'!B:D,3,FALSE)</f>
        <v>Ringlijn</v>
      </c>
      <c r="E57" s="615">
        <f>SUMIF('3-Ruimtestaat'!B:B,A57,'3-Ruimtestaat'!J:J)</f>
        <v>1514.41</v>
      </c>
      <c r="F57" s="616">
        <f>SUMIF('4-Reinigen vloeren'!A:A,A57,'4-Reinigen vloeren'!O:O)</f>
        <v>0</v>
      </c>
      <c r="G57" s="616">
        <f>SUMIF('5-Aanvullend'!A:A,A57,'5-Aanvullend'!K:K)</f>
        <v>0</v>
      </c>
      <c r="H57" s="616">
        <f>SUMIF('6-Liftbodems'!A:A,A57,'6-Liftbodems'!K:K)</f>
        <v>0</v>
      </c>
      <c r="I57" s="616">
        <f>SUMIF('7-Geveldelen  en wanden'!A:A,A57,'7-Geveldelen  en wanden'!P:P)</f>
        <v>0</v>
      </c>
      <c r="J57" s="617">
        <f ca="1">SUMIF('8b-Glas kosten totaal'!A:A,A57,'8b-Glas kosten totaal'!M:M)</f>
        <v>0</v>
      </c>
      <c r="K57" s="616"/>
      <c r="L57" s="616">
        <f>SUMIF('10a-Periodieke beurt'!A:A,A57,'10a-Periodieke beurt'!Q:Q)</f>
        <v>0</v>
      </c>
      <c r="M57" s="616">
        <f>SUMIF('12-Gelijkrichter stations'!$A$14:$A$36,A57,'12-Gelijkrichter stations'!$K$14:$K$36)</f>
        <v>0</v>
      </c>
      <c r="N57" s="616" t="e">
        <f>SUMIF('13- Technischeruimten'!$A$18:$A$49,A57,'13- Technischeruimten'!$I$18:$I$49)</f>
        <v>#DIV/0!</v>
      </c>
      <c r="O57" s="618" t="e">
        <f t="shared" ref="O57:O86" ca="1" si="4">SUM(F57:N57)</f>
        <v>#DIV/0!</v>
      </c>
    </row>
    <row r="58" spans="1:15">
      <c r="A58" s="544">
        <v>311</v>
      </c>
      <c r="B58" s="551" t="s">
        <v>112</v>
      </c>
      <c r="C58" s="614">
        <v>2</v>
      </c>
      <c r="D58" s="540" t="str">
        <f ca="1">VLOOKUP(A58,'3-Ruimtestaat'!B:D,3,FALSE)</f>
        <v>Ringlijn</v>
      </c>
      <c r="E58" s="615">
        <f>SUMIF('3-Ruimtestaat'!B:B,A58,'3-Ruimtestaat'!J:J)</f>
        <v>2183.5</v>
      </c>
      <c r="F58" s="616" t="e">
        <f>SUMIF('4-Reinigen vloeren'!A:A,A58,'4-Reinigen vloeren'!O:O)</f>
        <v>#DIV/0!</v>
      </c>
      <c r="G58" s="616">
        <f>SUMIF('5-Aanvullend'!A:A,A58,'5-Aanvullend'!K:K)</f>
        <v>0</v>
      </c>
      <c r="H58" s="616">
        <f>SUMIF('6-Liftbodems'!A:A,A58,'6-Liftbodems'!K:K)</f>
        <v>0</v>
      </c>
      <c r="I58" s="616">
        <f>SUMIF('7-Geveldelen  en wanden'!A:A,A58,'7-Geveldelen  en wanden'!P:P)</f>
        <v>0</v>
      </c>
      <c r="J58" s="617">
        <f ca="1">SUMIF('8b-Glas kosten totaal'!A:A,A58,'8b-Glas kosten totaal'!M:M)</f>
        <v>0</v>
      </c>
      <c r="K58" s="616"/>
      <c r="L58" s="616">
        <f>SUMIF('10a-Periodieke beurt'!A:A,A58,'10a-Periodieke beurt'!Q:Q)</f>
        <v>0</v>
      </c>
      <c r="M58" s="616">
        <f>SUMIF('12-Gelijkrichter stations'!$A$14:$A$36,A58,'12-Gelijkrichter stations'!$K$14:$K$36)</f>
        <v>0</v>
      </c>
      <c r="N58" s="616" t="e">
        <f>SUMIF('13- Technischeruimten'!$A$18:$A$49,A58,'13- Technischeruimten'!$I$18:$I$49)</f>
        <v>#DIV/0!</v>
      </c>
      <c r="O58" s="618" t="e">
        <f t="shared" ca="1" si="4"/>
        <v>#DIV/0!</v>
      </c>
    </row>
    <row r="59" spans="1:15">
      <c r="A59" s="544" t="s">
        <v>113</v>
      </c>
      <c r="B59" s="545" t="s">
        <v>114</v>
      </c>
      <c r="C59" s="614">
        <v>2</v>
      </c>
      <c r="D59" s="540" t="str">
        <f ca="1">VLOOKUP(A59,'3-Ruimtestaat'!B:D,3,FALSE)</f>
        <v>Ringlijn</v>
      </c>
      <c r="E59" s="615">
        <f>SUMIF('3-Ruimtestaat'!B:B,A59,'3-Ruimtestaat'!J:J)</f>
        <v>5</v>
      </c>
      <c r="F59" s="616">
        <f>SUMIF('4-Reinigen vloeren'!A:A,A59,'4-Reinigen vloeren'!O:O)</f>
        <v>0</v>
      </c>
      <c r="G59" s="616">
        <f>SUMIF('5-Aanvullend'!A:A,A59,'5-Aanvullend'!K:K)</f>
        <v>0</v>
      </c>
      <c r="H59" s="616">
        <f>SUMIF('6-Liftbodems'!A:A,A59,'6-Liftbodems'!K:K)</f>
        <v>0</v>
      </c>
      <c r="I59" s="616">
        <f>SUMIF('7-Geveldelen  en wanden'!A:A,A59,'7-Geveldelen  en wanden'!P:P)</f>
        <v>0</v>
      </c>
      <c r="J59" s="617">
        <f ca="1">SUMIF('8b-Glas kosten totaal'!A:A,A59,'8b-Glas kosten totaal'!M:M)</f>
        <v>0</v>
      </c>
      <c r="K59" s="616"/>
      <c r="L59" s="616">
        <f>SUMIF('10a-Periodieke beurt'!A:A,A59,'10a-Periodieke beurt'!Q:Q)</f>
        <v>0</v>
      </c>
      <c r="M59" s="616">
        <f>SUMIF('12-Gelijkrichter stations'!$A$14:$A$36,A59,'12-Gelijkrichter stations'!$K$14:$K$36)</f>
        <v>0</v>
      </c>
      <c r="N59" s="616" t="e">
        <f>SUMIF('13- Technischeruimten'!$A$18:$A$49,A59,'13- Technischeruimten'!$I$18:$I$49)</f>
        <v>#DIV/0!</v>
      </c>
      <c r="O59" s="618" t="e">
        <f t="shared" ca="1" si="4"/>
        <v>#DIV/0!</v>
      </c>
    </row>
    <row r="60" spans="1:15">
      <c r="A60" s="544">
        <v>312</v>
      </c>
      <c r="B60" s="551" t="s">
        <v>115</v>
      </c>
      <c r="C60" s="614">
        <v>2</v>
      </c>
      <c r="D60" s="540" t="str">
        <f ca="1">VLOOKUP(A60,'3-Ruimtestaat'!B:D,3,FALSE)</f>
        <v>Ringlijn</v>
      </c>
      <c r="E60" s="615">
        <f>SUMIF('3-Ruimtestaat'!B:B,A60,'3-Ruimtestaat'!J:J)</f>
        <v>1511.41</v>
      </c>
      <c r="F60" s="616">
        <f>SUMIF('4-Reinigen vloeren'!A:A,A60,'4-Reinigen vloeren'!O:O)</f>
        <v>0</v>
      </c>
      <c r="G60" s="616">
        <f>SUMIF('5-Aanvullend'!A:A,A60,'5-Aanvullend'!K:K)</f>
        <v>0</v>
      </c>
      <c r="H60" s="616">
        <f>SUMIF('6-Liftbodems'!A:A,A60,'6-Liftbodems'!K:K)</f>
        <v>0</v>
      </c>
      <c r="I60" s="616">
        <f>SUMIF('7-Geveldelen  en wanden'!A:A,A60,'7-Geveldelen  en wanden'!P:P)</f>
        <v>0</v>
      </c>
      <c r="J60" s="617">
        <f ca="1">SUMIF('8b-Glas kosten totaal'!A:A,A60,'8b-Glas kosten totaal'!M:M)</f>
        <v>0</v>
      </c>
      <c r="K60" s="616"/>
      <c r="L60" s="616">
        <f>SUMIF('10a-Periodieke beurt'!A:A,A60,'10a-Periodieke beurt'!Q:Q)</f>
        <v>0</v>
      </c>
      <c r="M60" s="616">
        <f>SUMIF('12-Gelijkrichter stations'!$A$14:$A$36,A60,'12-Gelijkrichter stations'!$K$14:$K$36)</f>
        <v>0</v>
      </c>
      <c r="N60" s="616" t="e">
        <f>SUMIF('13- Technischeruimten'!$A$18:$A$49,A60,'13- Technischeruimten'!$I$18:$I$49)</f>
        <v>#DIV/0!</v>
      </c>
      <c r="O60" s="618" t="e">
        <f t="shared" ca="1" si="4"/>
        <v>#DIV/0!</v>
      </c>
    </row>
    <row r="61" spans="1:15">
      <c r="A61" s="544">
        <v>1001</v>
      </c>
      <c r="B61" s="551" t="s">
        <v>116</v>
      </c>
      <c r="C61" s="614">
        <v>2</v>
      </c>
      <c r="D61" s="540" t="str">
        <f ca="1">VLOOKUP(A61,'3-Ruimtestaat'!B:D,3,FALSE)</f>
        <v>Ijtram</v>
      </c>
      <c r="E61" s="615">
        <f>SUMIF('3-Ruimtestaat'!B:B,A61,'3-Ruimtestaat'!J:J)</f>
        <v>458</v>
      </c>
      <c r="F61" s="616">
        <f>SUMIF('4-Reinigen vloeren'!A:A,A61,'4-Reinigen vloeren'!O:O)</f>
        <v>0</v>
      </c>
      <c r="G61" s="616">
        <f>SUMIF('5-Aanvullend'!A:A,A61,'5-Aanvullend'!K:K)</f>
        <v>0</v>
      </c>
      <c r="H61" s="616">
        <f>SUMIF('6-Liftbodems'!A:A,A61,'6-Liftbodems'!K:K)</f>
        <v>0</v>
      </c>
      <c r="I61" s="616">
        <f>SUMIF('7-Geveldelen  en wanden'!A:A,A61,'7-Geveldelen  en wanden'!P:P)</f>
        <v>0</v>
      </c>
      <c r="J61" s="617">
        <f ca="1">SUMIF('8b-Glas kosten totaal'!A:A,A61,'8b-Glas kosten totaal'!M:M)</f>
        <v>0</v>
      </c>
      <c r="K61" s="616"/>
      <c r="L61" s="616">
        <f>SUMIF('10a-Periodieke beurt'!A:A,A61,'10a-Periodieke beurt'!Q:Q)</f>
        <v>0</v>
      </c>
      <c r="M61" s="616">
        <f>SUMIF('12-Gelijkrichter stations'!$A$14:$A$36,A61,'12-Gelijkrichter stations'!$K$14:$K$36)</f>
        <v>0</v>
      </c>
      <c r="N61" s="616" t="e">
        <f>SUMIF('13- Technischeruimten'!$A$18:$A$49,A61,'13- Technischeruimten'!$I$18:$I$49)</f>
        <v>#DIV/0!</v>
      </c>
      <c r="O61" s="618" t="e">
        <f t="shared" ca="1" si="4"/>
        <v>#DIV/0!</v>
      </c>
    </row>
    <row r="62" spans="1:15">
      <c r="A62" s="544">
        <v>1002</v>
      </c>
      <c r="B62" s="551" t="s">
        <v>117</v>
      </c>
      <c r="C62" s="614">
        <v>2</v>
      </c>
      <c r="D62" s="540" t="str">
        <f ca="1">VLOOKUP(A62,'3-Ruimtestaat'!B:D,3,FALSE)</f>
        <v>Ijtram</v>
      </c>
      <c r="E62" s="615">
        <f>SUMIF('3-Ruimtestaat'!B:B,A62,'3-Ruimtestaat'!J:J)</f>
        <v>2304.3000000000002</v>
      </c>
      <c r="F62" s="616">
        <f>SUMIF('4-Reinigen vloeren'!A:A,A62,'4-Reinigen vloeren'!O:O)</f>
        <v>0</v>
      </c>
      <c r="G62" s="616">
        <f>SUMIF('5-Aanvullend'!A:A,A62,'5-Aanvullend'!K:K)</f>
        <v>0</v>
      </c>
      <c r="H62" s="616">
        <f>SUMIF('6-Liftbodems'!A:A,A62,'6-Liftbodems'!K:K)</f>
        <v>0</v>
      </c>
      <c r="I62" s="616">
        <f>SUMIF('7-Geveldelen  en wanden'!A:A,A62,'7-Geveldelen  en wanden'!P:P)</f>
        <v>0</v>
      </c>
      <c r="J62" s="617">
        <f ca="1">SUMIF('8b-Glas kosten totaal'!A:A,A62,'8b-Glas kosten totaal'!M:M)</f>
        <v>0</v>
      </c>
      <c r="K62" s="616"/>
      <c r="L62" s="616">
        <f>SUMIF('10a-Periodieke beurt'!A:A,A62,'10a-Periodieke beurt'!Q:Q)</f>
        <v>0</v>
      </c>
      <c r="M62" s="616">
        <f>SUMIF('12-Gelijkrichter stations'!$A$14:$A$36,A62,'12-Gelijkrichter stations'!$K$14:$K$36)</f>
        <v>0</v>
      </c>
      <c r="N62" s="616" t="e">
        <f>SUMIF('13- Technischeruimten'!$A$18:$A$49,A62,'13- Technischeruimten'!$I$18:$I$49)</f>
        <v>#DIV/0!</v>
      </c>
      <c r="O62" s="618" t="e">
        <f t="shared" ca="1" si="4"/>
        <v>#DIV/0!</v>
      </c>
    </row>
    <row r="63" spans="1:15">
      <c r="A63" s="544">
        <v>401</v>
      </c>
      <c r="B63" s="551" t="s">
        <v>118</v>
      </c>
      <c r="C63" s="614">
        <v>2</v>
      </c>
      <c r="D63" s="540" t="str">
        <f ca="1">VLOOKUP(A63,'3-Ruimtestaat'!B:D,3,FALSE)</f>
        <v>Gelijkrichter station</v>
      </c>
      <c r="E63" s="615">
        <f>SUMIF('3-Ruimtestaat'!B:B,A63,'3-Ruimtestaat'!J:J)</f>
        <v>237</v>
      </c>
      <c r="F63" s="616">
        <f>SUMIF('4-Reinigen vloeren'!A:A,A63,'4-Reinigen vloeren'!O:O)</f>
        <v>0</v>
      </c>
      <c r="G63" s="616">
        <f>SUMIF('5-Aanvullend'!A:A,A63,'5-Aanvullend'!K:K)</f>
        <v>0</v>
      </c>
      <c r="H63" s="616">
        <f>SUMIF('6-Liftbodems'!A:A,A63,'6-Liftbodems'!K:K)</f>
        <v>0</v>
      </c>
      <c r="I63" s="616">
        <f>SUMIF('7-Geveldelen  en wanden'!A:A,A63,'7-Geveldelen  en wanden'!P:P)</f>
        <v>0</v>
      </c>
      <c r="J63" s="617">
        <f ca="1">SUMIF('8b-Glas kosten totaal'!A:A,A63,'8b-Glas kosten totaal'!M:M)</f>
        <v>0</v>
      </c>
      <c r="K63" s="616"/>
      <c r="L63" s="616">
        <f>SUMIF('10a-Periodieke beurt'!A:A,A63,'10a-Periodieke beurt'!Q:Q)</f>
        <v>0</v>
      </c>
      <c r="M63" s="616">
        <f>SUMIF('12-Gelijkrichter stations'!$A$14:$A$36,A63,'12-Gelijkrichter stations'!$K$14:$K$36)</f>
        <v>0</v>
      </c>
      <c r="N63" s="616">
        <f>SUMIF('13- Technischeruimten'!$A$18:$A$49,A63,'13- Technischeruimten'!$I$18:$I$49)</f>
        <v>0</v>
      </c>
      <c r="O63" s="618">
        <f t="shared" ref="O63:O64" ca="1" si="5">SUM(F63:N63)</f>
        <v>0</v>
      </c>
    </row>
    <row r="64" spans="1:15">
      <c r="A64" s="544">
        <v>402</v>
      </c>
      <c r="B64" s="551" t="s">
        <v>119</v>
      </c>
      <c r="C64" s="614">
        <v>2</v>
      </c>
      <c r="D64" s="540" t="str">
        <f ca="1">VLOOKUP(A64,'3-Ruimtestaat'!B:D,3,FALSE)</f>
        <v>Gelijkrichter station</v>
      </c>
      <c r="E64" s="615">
        <f>SUMIF('3-Ruimtestaat'!B:B,A64,'3-Ruimtestaat'!J:J)</f>
        <v>265</v>
      </c>
      <c r="F64" s="616">
        <f>SUMIF('4-Reinigen vloeren'!A:A,A64,'4-Reinigen vloeren'!O:O)</f>
        <v>0</v>
      </c>
      <c r="G64" s="616">
        <f>SUMIF('5-Aanvullend'!A:A,A64,'5-Aanvullend'!K:K)</f>
        <v>0</v>
      </c>
      <c r="H64" s="616">
        <f>SUMIF('6-Liftbodems'!A:A,A64,'6-Liftbodems'!K:K)</f>
        <v>0</v>
      </c>
      <c r="I64" s="616">
        <f>SUMIF('7-Geveldelen  en wanden'!A:A,A64,'7-Geveldelen  en wanden'!P:P)</f>
        <v>0</v>
      </c>
      <c r="J64" s="617">
        <f ca="1">SUMIF('8b-Glas kosten totaal'!A:A,A64,'8b-Glas kosten totaal'!M:M)</f>
        <v>0</v>
      </c>
      <c r="K64" s="616"/>
      <c r="L64" s="616">
        <f>SUMIF('10a-Periodieke beurt'!A:A,A64,'10a-Periodieke beurt'!Q:Q)</f>
        <v>0</v>
      </c>
      <c r="M64" s="616">
        <f>SUMIF('12-Gelijkrichter stations'!$A$14:$A$36,A64,'12-Gelijkrichter stations'!$K$14:$K$36)</f>
        <v>0</v>
      </c>
      <c r="N64" s="616">
        <f>SUMIF('13- Technischeruimten'!$A$18:$A$49,A64,'13- Technischeruimten'!$I$18:$I$49)</f>
        <v>0</v>
      </c>
      <c r="O64" s="618">
        <f t="shared" ca="1" si="5"/>
        <v>0</v>
      </c>
    </row>
    <row r="65" spans="1:15">
      <c r="A65" s="544">
        <v>403</v>
      </c>
      <c r="B65" s="551" t="s">
        <v>67</v>
      </c>
      <c r="C65" s="614">
        <v>2</v>
      </c>
      <c r="D65" s="540" t="str">
        <f ca="1">VLOOKUP(A65,'3-Ruimtestaat'!B:D,3,FALSE)</f>
        <v>Gelijkrichter station</v>
      </c>
      <c r="E65" s="615">
        <f>SUMIF('3-Ruimtestaat'!B:B,A65,'3-Ruimtestaat'!J:J)</f>
        <v>486</v>
      </c>
      <c r="F65" s="616">
        <f>SUMIF('4-Reinigen vloeren'!A:A,A65,'4-Reinigen vloeren'!O:O)</f>
        <v>0</v>
      </c>
      <c r="G65" s="616">
        <f>SUMIF('5-Aanvullend'!A:A,A65,'5-Aanvullend'!K:K)</f>
        <v>0</v>
      </c>
      <c r="H65" s="616">
        <f>SUMIF('6-Liftbodems'!A:A,A65,'6-Liftbodems'!K:K)</f>
        <v>0</v>
      </c>
      <c r="I65" s="616">
        <f>SUMIF('7-Geveldelen  en wanden'!A:A,A65,'7-Geveldelen  en wanden'!P:P)</f>
        <v>0</v>
      </c>
      <c r="J65" s="617">
        <f ca="1">SUMIF('8b-Glas kosten totaal'!A:A,A65,'8b-Glas kosten totaal'!M:M)</f>
        <v>0</v>
      </c>
      <c r="K65" s="616"/>
      <c r="L65" s="616">
        <f>SUMIF('10a-Periodieke beurt'!A:A,A65,'10a-Periodieke beurt'!Q:Q)</f>
        <v>0</v>
      </c>
      <c r="M65" s="616">
        <f>SUMIF('12-Gelijkrichter stations'!$A$14:$A$36,A65,'12-Gelijkrichter stations'!$K$14:$K$36)</f>
        <v>0</v>
      </c>
      <c r="N65" s="616">
        <f>SUMIF('13- Technischeruimten'!$A$18:$A$49,A65,'13- Technischeruimten'!$I$18:$I$49)</f>
        <v>0</v>
      </c>
      <c r="O65" s="618">
        <f t="shared" ca="1" si="4"/>
        <v>0</v>
      </c>
    </row>
    <row r="66" spans="1:15">
      <c r="A66" s="544">
        <v>404</v>
      </c>
      <c r="B66" s="551" t="s">
        <v>69</v>
      </c>
      <c r="C66" s="614">
        <v>2</v>
      </c>
      <c r="D66" s="540" t="str">
        <f ca="1">VLOOKUP(A66,'3-Ruimtestaat'!B:D,3,FALSE)</f>
        <v>Gelijkrichter station</v>
      </c>
      <c r="E66" s="615">
        <f>SUMIF('3-Ruimtestaat'!B:B,A66,'3-Ruimtestaat'!J:J)</f>
        <v>141</v>
      </c>
      <c r="F66" s="616">
        <f>SUMIF('4-Reinigen vloeren'!A:A,A66,'4-Reinigen vloeren'!O:O)</f>
        <v>0</v>
      </c>
      <c r="G66" s="616">
        <f>SUMIF('5-Aanvullend'!A:A,A66,'5-Aanvullend'!K:K)</f>
        <v>0</v>
      </c>
      <c r="H66" s="616">
        <f>SUMIF('6-Liftbodems'!A:A,A66,'6-Liftbodems'!K:K)</f>
        <v>0</v>
      </c>
      <c r="I66" s="616">
        <f>SUMIF('7-Geveldelen  en wanden'!A:A,A66,'7-Geveldelen  en wanden'!P:P)</f>
        <v>0</v>
      </c>
      <c r="J66" s="617">
        <f ca="1">SUMIF('8b-Glas kosten totaal'!A:A,A66,'8b-Glas kosten totaal'!M:M)</f>
        <v>0</v>
      </c>
      <c r="K66" s="616"/>
      <c r="L66" s="616">
        <f>SUMIF('10a-Periodieke beurt'!A:A,A66,'10a-Periodieke beurt'!Q:Q)</f>
        <v>0</v>
      </c>
      <c r="M66" s="616">
        <f>SUMIF('12-Gelijkrichter stations'!$A$14:$A$36,A66,'12-Gelijkrichter stations'!$K$14:$K$36)</f>
        <v>0</v>
      </c>
      <c r="N66" s="616">
        <f>SUMIF('13- Technischeruimten'!$A$18:$A$49,A66,'13- Technischeruimten'!$I$18:$I$49)</f>
        <v>0</v>
      </c>
      <c r="O66" s="618">
        <f t="shared" ca="1" si="4"/>
        <v>0</v>
      </c>
    </row>
    <row r="67" spans="1:15">
      <c r="A67" s="544">
        <v>405</v>
      </c>
      <c r="B67" s="551" t="s">
        <v>120</v>
      </c>
      <c r="C67" s="614">
        <v>2</v>
      </c>
      <c r="D67" s="540" t="str">
        <f ca="1">VLOOKUP(A67,'3-Ruimtestaat'!B:D,3,FALSE)</f>
        <v>Gelijkrichter station</v>
      </c>
      <c r="E67" s="615">
        <f>SUMIF('3-Ruimtestaat'!B:B,A67,'3-Ruimtestaat'!J:J)</f>
        <v>237</v>
      </c>
      <c r="F67" s="616">
        <f>SUMIF('4-Reinigen vloeren'!A:A,A67,'4-Reinigen vloeren'!O:O)</f>
        <v>0</v>
      </c>
      <c r="G67" s="616">
        <f>SUMIF('5-Aanvullend'!A:A,A67,'5-Aanvullend'!K:K)</f>
        <v>0</v>
      </c>
      <c r="H67" s="616">
        <f>SUMIF('6-Liftbodems'!A:A,A67,'6-Liftbodems'!K:K)</f>
        <v>0</v>
      </c>
      <c r="I67" s="616">
        <f>SUMIF('7-Geveldelen  en wanden'!A:A,A67,'7-Geveldelen  en wanden'!P:P)</f>
        <v>0</v>
      </c>
      <c r="J67" s="617">
        <f ca="1">SUMIF('8b-Glas kosten totaal'!A:A,A67,'8b-Glas kosten totaal'!M:M)</f>
        <v>0</v>
      </c>
      <c r="K67" s="616"/>
      <c r="L67" s="616">
        <f>SUMIF('10a-Periodieke beurt'!A:A,A67,'10a-Periodieke beurt'!Q:Q)</f>
        <v>0</v>
      </c>
      <c r="M67" s="616">
        <f>SUMIF('12-Gelijkrichter stations'!$A$14:$A$36,A67,'12-Gelijkrichter stations'!$K$14:$K$36)</f>
        <v>0</v>
      </c>
      <c r="N67" s="616">
        <f>SUMIF('13- Technischeruimten'!$A$18:$A$49,A67,'13- Technischeruimten'!$I$18:$I$49)</f>
        <v>0</v>
      </c>
      <c r="O67" s="618">
        <f t="shared" ca="1" si="4"/>
        <v>0</v>
      </c>
    </row>
    <row r="68" spans="1:15">
      <c r="A68" s="544">
        <v>406</v>
      </c>
      <c r="B68" s="551" t="s">
        <v>121</v>
      </c>
      <c r="C68" s="614">
        <v>2</v>
      </c>
      <c r="D68" s="540" t="str">
        <f ca="1">VLOOKUP(A68,'3-Ruimtestaat'!B:D,3,FALSE)</f>
        <v>Gelijkrichter station</v>
      </c>
      <c r="E68" s="615">
        <f>SUMIF('3-Ruimtestaat'!B:B,A68,'3-Ruimtestaat'!J:J)</f>
        <v>237</v>
      </c>
      <c r="F68" s="616">
        <f>SUMIF('4-Reinigen vloeren'!A:A,A68,'4-Reinigen vloeren'!O:O)</f>
        <v>0</v>
      </c>
      <c r="G68" s="616">
        <f>SUMIF('5-Aanvullend'!A:A,A68,'5-Aanvullend'!K:K)</f>
        <v>0</v>
      </c>
      <c r="H68" s="616">
        <f>SUMIF('6-Liftbodems'!A:A,A68,'6-Liftbodems'!K:K)</f>
        <v>0</v>
      </c>
      <c r="I68" s="616">
        <f>SUMIF('7-Geveldelen  en wanden'!A:A,A68,'7-Geveldelen  en wanden'!P:P)</f>
        <v>0</v>
      </c>
      <c r="J68" s="617">
        <f ca="1">SUMIF('8b-Glas kosten totaal'!A:A,A68,'8b-Glas kosten totaal'!M:M)</f>
        <v>0</v>
      </c>
      <c r="K68" s="616"/>
      <c r="L68" s="616">
        <f>SUMIF('10a-Periodieke beurt'!A:A,A68,'10a-Periodieke beurt'!Q:Q)</f>
        <v>0</v>
      </c>
      <c r="M68" s="616">
        <f>SUMIF('12-Gelijkrichter stations'!$A$14:$A$36,A68,'12-Gelijkrichter stations'!$K$14:$K$36)</f>
        <v>0</v>
      </c>
      <c r="N68" s="616">
        <f>SUMIF('13- Technischeruimten'!$A$18:$A$49,A68,'13- Technischeruimten'!$I$18:$I$49)</f>
        <v>0</v>
      </c>
      <c r="O68" s="618">
        <f t="shared" ref="O68:O70" ca="1" si="6">SUM(F68:N68)</f>
        <v>0</v>
      </c>
    </row>
    <row r="69" spans="1:15">
      <c r="A69" s="620">
        <v>407</v>
      </c>
      <c r="B69" s="551" t="s">
        <v>122</v>
      </c>
      <c r="C69" s="614">
        <v>2</v>
      </c>
      <c r="D69" s="540" t="str">
        <f ca="1">VLOOKUP(A69,'3-Ruimtestaat'!B:D,3,FALSE)</f>
        <v>Gelijkrichter station</v>
      </c>
      <c r="E69" s="615">
        <f>SUMIF('3-Ruimtestaat'!B:B,A69,'3-Ruimtestaat'!J:J)</f>
        <v>265</v>
      </c>
      <c r="F69" s="616">
        <f>SUMIF('4-Reinigen vloeren'!A:A,A69,'4-Reinigen vloeren'!O:O)</f>
        <v>0</v>
      </c>
      <c r="G69" s="616">
        <f>SUMIF('5-Aanvullend'!A:A,A69,'5-Aanvullend'!K:K)</f>
        <v>0</v>
      </c>
      <c r="H69" s="616">
        <f>SUMIF('6-Liftbodems'!A:A,A69,'6-Liftbodems'!K:K)</f>
        <v>0</v>
      </c>
      <c r="I69" s="616">
        <f>SUMIF('7-Geveldelen  en wanden'!A:A,A69,'7-Geveldelen  en wanden'!P:P)</f>
        <v>0</v>
      </c>
      <c r="J69" s="617">
        <f ca="1">SUMIF('8b-Glas kosten totaal'!A:A,A69,'8b-Glas kosten totaal'!M:M)</f>
        <v>0</v>
      </c>
      <c r="K69" s="616"/>
      <c r="L69" s="616">
        <f>SUMIF('10a-Periodieke beurt'!A:A,A69,'10a-Periodieke beurt'!Q:Q)</f>
        <v>0</v>
      </c>
      <c r="M69" s="616">
        <f>SUMIF('12-Gelijkrichter stations'!$A$14:$A$36,A69,'12-Gelijkrichter stations'!$K$14:$K$36)</f>
        <v>0</v>
      </c>
      <c r="N69" s="616">
        <f>SUMIF('13- Technischeruimten'!$A$18:$A$49,A69,'13- Technischeruimten'!$I$18:$I$49)</f>
        <v>0</v>
      </c>
      <c r="O69" s="618">
        <f t="shared" ca="1" si="6"/>
        <v>0</v>
      </c>
    </row>
    <row r="70" spans="1:15">
      <c r="A70" s="620">
        <v>408</v>
      </c>
      <c r="B70" s="551" t="s">
        <v>123</v>
      </c>
      <c r="C70" s="614">
        <v>2</v>
      </c>
      <c r="D70" s="540" t="str">
        <f ca="1">VLOOKUP(A70,'3-Ruimtestaat'!B:D,3,FALSE)</f>
        <v>Gelijkrichter station</v>
      </c>
      <c r="E70" s="615">
        <f>SUMIF('3-Ruimtestaat'!B:B,A70,'3-Ruimtestaat'!J:J)</f>
        <v>234</v>
      </c>
      <c r="F70" s="616">
        <f>SUMIF('4-Reinigen vloeren'!A:A,A70,'4-Reinigen vloeren'!O:O)</f>
        <v>0</v>
      </c>
      <c r="G70" s="616">
        <f>SUMIF('5-Aanvullend'!A:A,A70,'5-Aanvullend'!K:K)</f>
        <v>0</v>
      </c>
      <c r="H70" s="616">
        <f>SUMIF('6-Liftbodems'!A:A,A70,'6-Liftbodems'!K:K)</f>
        <v>0</v>
      </c>
      <c r="I70" s="616">
        <f>SUMIF('7-Geveldelen  en wanden'!A:A,A70,'7-Geveldelen  en wanden'!P:P)</f>
        <v>0</v>
      </c>
      <c r="J70" s="617">
        <f ca="1">SUMIF('8b-Glas kosten totaal'!A:A,A70,'8b-Glas kosten totaal'!M:M)</f>
        <v>0</v>
      </c>
      <c r="K70" s="616"/>
      <c r="L70" s="616">
        <f>SUMIF('10a-Periodieke beurt'!A:A,A70,'10a-Periodieke beurt'!Q:Q)</f>
        <v>0</v>
      </c>
      <c r="M70" s="616">
        <f>SUMIF('12-Gelijkrichter stations'!$A$14:$A$36,A70,'12-Gelijkrichter stations'!$K$14:$K$36)</f>
        <v>0</v>
      </c>
      <c r="N70" s="616">
        <f>SUMIF('13- Technischeruimten'!$A$18:$A$49,A70,'13- Technischeruimten'!$I$18:$I$49)</f>
        <v>0</v>
      </c>
      <c r="O70" s="618">
        <f t="shared" ca="1" si="6"/>
        <v>0</v>
      </c>
    </row>
    <row r="71" spans="1:15">
      <c r="A71" s="620">
        <v>409</v>
      </c>
      <c r="B71" s="551" t="s">
        <v>124</v>
      </c>
      <c r="C71" s="614">
        <v>2</v>
      </c>
      <c r="D71" s="540" t="str">
        <f ca="1">VLOOKUP(A71,'3-Ruimtestaat'!B:D,3,FALSE)</f>
        <v>Gelijkrichter station</v>
      </c>
      <c r="E71" s="615">
        <f>SUMIF('3-Ruimtestaat'!B:B,A71,'3-Ruimtestaat'!J:J)</f>
        <v>105</v>
      </c>
      <c r="F71" s="616">
        <f>SUMIF('4-Reinigen vloeren'!A:A,A71,'4-Reinigen vloeren'!O:O)</f>
        <v>0</v>
      </c>
      <c r="G71" s="616">
        <f>SUMIF('5-Aanvullend'!A:A,A71,'5-Aanvullend'!K:K)</f>
        <v>0</v>
      </c>
      <c r="H71" s="616">
        <f>SUMIF('6-Liftbodems'!A:A,A71,'6-Liftbodems'!K:K)</f>
        <v>0</v>
      </c>
      <c r="I71" s="616">
        <f>SUMIF('7-Geveldelen  en wanden'!A:A,A71,'7-Geveldelen  en wanden'!P:P)</f>
        <v>0</v>
      </c>
      <c r="J71" s="617">
        <f ca="1">SUMIF('8b-Glas kosten totaal'!A:A,A71,'8b-Glas kosten totaal'!M:M)</f>
        <v>0</v>
      </c>
      <c r="K71" s="616"/>
      <c r="L71" s="616">
        <f>SUMIF('10a-Periodieke beurt'!A:A,A71,'10a-Periodieke beurt'!Q:Q)</f>
        <v>0</v>
      </c>
      <c r="M71" s="616">
        <f>SUMIF('12-Gelijkrichter stations'!$A$14:$A$36,A71,'12-Gelijkrichter stations'!$K$14:$K$36)</f>
        <v>0</v>
      </c>
      <c r="N71" s="616">
        <f>SUMIF('13- Technischeruimten'!$A$18:$A$49,A71,'13- Technischeruimten'!$I$18:$I$49)</f>
        <v>0</v>
      </c>
      <c r="O71" s="618">
        <f t="shared" ca="1" si="4"/>
        <v>0</v>
      </c>
    </row>
    <row r="72" spans="1:15">
      <c r="A72" s="620">
        <v>410</v>
      </c>
      <c r="B72" s="551" t="s">
        <v>125</v>
      </c>
      <c r="C72" s="614">
        <v>2</v>
      </c>
      <c r="D72" s="540" t="str">
        <f ca="1">VLOOKUP(A72,'3-Ruimtestaat'!B:D,3,FALSE)</f>
        <v>Gelijkrichter station</v>
      </c>
      <c r="E72" s="615">
        <f>SUMIF('3-Ruimtestaat'!B:B,A72,'3-Ruimtestaat'!J:J)</f>
        <v>155</v>
      </c>
      <c r="F72" s="616">
        <f>SUMIF('4-Reinigen vloeren'!A:A,A72,'4-Reinigen vloeren'!O:O)</f>
        <v>0</v>
      </c>
      <c r="G72" s="616">
        <f>SUMIF('5-Aanvullend'!A:A,A72,'5-Aanvullend'!K:K)</f>
        <v>0</v>
      </c>
      <c r="H72" s="616">
        <f>SUMIF('6-Liftbodems'!A:A,A72,'6-Liftbodems'!K:K)</f>
        <v>0</v>
      </c>
      <c r="I72" s="616">
        <f>SUMIF('7-Geveldelen  en wanden'!A:A,A72,'7-Geveldelen  en wanden'!P:P)</f>
        <v>0</v>
      </c>
      <c r="J72" s="617">
        <f ca="1">SUMIF('8b-Glas kosten totaal'!A:A,A72,'8b-Glas kosten totaal'!M:M)</f>
        <v>0</v>
      </c>
      <c r="K72" s="616"/>
      <c r="L72" s="616">
        <f>SUMIF('10a-Periodieke beurt'!A:A,A72,'10a-Periodieke beurt'!Q:Q)</f>
        <v>0</v>
      </c>
      <c r="M72" s="616">
        <f>SUMIF('12-Gelijkrichter stations'!$A$14:$A$36,A72,'12-Gelijkrichter stations'!$K$14:$K$36)</f>
        <v>0</v>
      </c>
      <c r="N72" s="616">
        <f>SUMIF('13- Technischeruimten'!$A$18:$A$49,A72,'13- Technischeruimten'!$I$18:$I$49)</f>
        <v>0</v>
      </c>
      <c r="O72" s="618">
        <f t="shared" ca="1" si="4"/>
        <v>0</v>
      </c>
    </row>
    <row r="73" spans="1:15">
      <c r="A73" s="620">
        <v>411</v>
      </c>
      <c r="B73" s="551" t="s">
        <v>126</v>
      </c>
      <c r="C73" s="614">
        <v>2</v>
      </c>
      <c r="D73" s="540" t="str">
        <f ca="1">VLOOKUP(A73,'3-Ruimtestaat'!B:D,3,FALSE)</f>
        <v>Gelijkrichter station</v>
      </c>
      <c r="E73" s="615">
        <f>SUMIF('3-Ruimtestaat'!B:B,A73,'3-Ruimtestaat'!J:J)</f>
        <v>129</v>
      </c>
      <c r="F73" s="616">
        <f>SUMIF('4-Reinigen vloeren'!A:A,A73,'4-Reinigen vloeren'!O:O)</f>
        <v>0</v>
      </c>
      <c r="G73" s="616">
        <f>SUMIF('5-Aanvullend'!A:A,A73,'5-Aanvullend'!K:K)</f>
        <v>0</v>
      </c>
      <c r="H73" s="616">
        <f>SUMIF('6-Liftbodems'!A:A,A73,'6-Liftbodems'!K:K)</f>
        <v>0</v>
      </c>
      <c r="I73" s="616">
        <f>SUMIF('7-Geveldelen  en wanden'!A:A,A73,'7-Geveldelen  en wanden'!P:P)</f>
        <v>0</v>
      </c>
      <c r="J73" s="617">
        <f ca="1">SUMIF('8b-Glas kosten totaal'!A:A,A73,'8b-Glas kosten totaal'!M:M)</f>
        <v>0</v>
      </c>
      <c r="K73" s="616"/>
      <c r="L73" s="616">
        <f>SUMIF('10a-Periodieke beurt'!A:A,A73,'10a-Periodieke beurt'!Q:Q)</f>
        <v>0</v>
      </c>
      <c r="M73" s="616">
        <f>SUMIF('12-Gelijkrichter stations'!$A$14:$A$36,A73,'12-Gelijkrichter stations'!$K$14:$K$36)</f>
        <v>0</v>
      </c>
      <c r="N73" s="616">
        <f>SUMIF('13- Technischeruimten'!$A$18:$A$49,A73,'13- Technischeruimten'!$I$18:$I$49)</f>
        <v>0</v>
      </c>
      <c r="O73" s="618">
        <f t="shared" ca="1" si="4"/>
        <v>0</v>
      </c>
    </row>
    <row r="74" spans="1:15">
      <c r="A74" s="620" t="s">
        <v>127</v>
      </c>
      <c r="B74" s="551" t="s">
        <v>107</v>
      </c>
      <c r="C74" s="614">
        <v>2</v>
      </c>
      <c r="D74" s="540" t="str">
        <f ca="1">VLOOKUP(A74,'3-Ruimtestaat'!B:D,3,FALSE)</f>
        <v>Gelijkrichter station</v>
      </c>
      <c r="E74" s="615">
        <f>SUMIF('3-Ruimtestaat'!B:B,A74,'3-Ruimtestaat'!J:J)</f>
        <v>42</v>
      </c>
      <c r="F74" s="616">
        <f>SUMIF('4-Reinigen vloeren'!A:A,A74,'4-Reinigen vloeren'!O:O)</f>
        <v>0</v>
      </c>
      <c r="G74" s="616">
        <f>SUMIF('5-Aanvullend'!A:A,A74,'5-Aanvullend'!K:K)</f>
        <v>0</v>
      </c>
      <c r="H74" s="616">
        <f>SUMIF('6-Liftbodems'!A:A,A74,'6-Liftbodems'!K:K)</f>
        <v>0</v>
      </c>
      <c r="I74" s="616">
        <f>SUMIF('7-Geveldelen  en wanden'!A:A,A74,'7-Geveldelen  en wanden'!P:P)</f>
        <v>0</v>
      </c>
      <c r="J74" s="617">
        <f ca="1">SUMIF('8b-Glas kosten totaal'!A:A,A74,'8b-Glas kosten totaal'!M:M)</f>
        <v>0</v>
      </c>
      <c r="K74" s="616"/>
      <c r="L74" s="616">
        <f>SUMIF('10a-Periodieke beurt'!A:A,A74,'10a-Periodieke beurt'!Q:Q)</f>
        <v>0</v>
      </c>
      <c r="M74" s="616">
        <f>SUMIF('12-Gelijkrichter stations'!$A$14:$A$36,A74,'12-Gelijkrichter stations'!$K$14:$K$36)</f>
        <v>0</v>
      </c>
      <c r="N74" s="616">
        <f>SUMIF('13- Technischeruimten'!$A$18:$A$49,A74,'13- Technischeruimten'!$I$18:$I$49)</f>
        <v>0</v>
      </c>
      <c r="O74" s="618">
        <f t="shared" ca="1" si="4"/>
        <v>0</v>
      </c>
    </row>
    <row r="75" spans="1:15">
      <c r="A75" s="620" t="s">
        <v>128</v>
      </c>
      <c r="B75" s="551" t="s">
        <v>109</v>
      </c>
      <c r="C75" s="614">
        <v>2</v>
      </c>
      <c r="D75" s="540" t="str">
        <f ca="1">VLOOKUP(A75,'3-Ruimtestaat'!B:D,3,FALSE)</f>
        <v>Gelijkrichter station</v>
      </c>
      <c r="E75" s="615">
        <f>SUMIF('3-Ruimtestaat'!B:B,A75,'3-Ruimtestaat'!J:J)</f>
        <v>41</v>
      </c>
      <c r="F75" s="616">
        <f>SUMIF('4-Reinigen vloeren'!A:A,A75,'4-Reinigen vloeren'!O:O)</f>
        <v>0</v>
      </c>
      <c r="G75" s="616">
        <f>SUMIF('5-Aanvullend'!A:A,A75,'5-Aanvullend'!K:K)</f>
        <v>0</v>
      </c>
      <c r="H75" s="616">
        <f>SUMIF('6-Liftbodems'!A:A,A75,'6-Liftbodems'!K:K)</f>
        <v>0</v>
      </c>
      <c r="I75" s="616">
        <f>SUMIF('7-Geveldelen  en wanden'!A:A,A75,'7-Geveldelen  en wanden'!P:P)</f>
        <v>0</v>
      </c>
      <c r="J75" s="617">
        <f ca="1">SUMIF('8b-Glas kosten totaal'!A:A,A75,'8b-Glas kosten totaal'!M:M)</f>
        <v>0</v>
      </c>
      <c r="K75" s="616"/>
      <c r="L75" s="616">
        <f>SUMIF('10a-Periodieke beurt'!A:A,A75,'10a-Periodieke beurt'!Q:Q)</f>
        <v>0</v>
      </c>
      <c r="M75" s="616">
        <f>SUMIF('12-Gelijkrichter stations'!$A$14:$A$36,A75,'12-Gelijkrichter stations'!$K$14:$K$36)</f>
        <v>0</v>
      </c>
      <c r="N75" s="616">
        <f>SUMIF('13- Technischeruimten'!$A$18:$A$49,A75,'13- Technischeruimten'!$I$18:$I$49)</f>
        <v>0</v>
      </c>
      <c r="O75" s="618">
        <f t="shared" ca="1" si="4"/>
        <v>0</v>
      </c>
    </row>
    <row r="76" spans="1:15">
      <c r="A76" s="620" t="s">
        <v>129</v>
      </c>
      <c r="B76" s="551" t="s">
        <v>115</v>
      </c>
      <c r="C76" s="614">
        <v>2</v>
      </c>
      <c r="D76" s="540" t="str">
        <f ca="1">VLOOKUP(A76,'3-Ruimtestaat'!B:D,3,FALSE)</f>
        <v>Gelijkrichter station</v>
      </c>
      <c r="E76" s="615">
        <f>SUMIF('3-Ruimtestaat'!B:B,A76,'3-Ruimtestaat'!J:J)</f>
        <v>42</v>
      </c>
      <c r="F76" s="616">
        <f>SUMIF('4-Reinigen vloeren'!A:A,A76,'4-Reinigen vloeren'!O:O)</f>
        <v>0</v>
      </c>
      <c r="G76" s="616">
        <f>SUMIF('5-Aanvullend'!A:A,A76,'5-Aanvullend'!K:K)</f>
        <v>0</v>
      </c>
      <c r="H76" s="616">
        <f>SUMIF('6-Liftbodems'!A:A,A76,'6-Liftbodems'!K:K)</f>
        <v>0</v>
      </c>
      <c r="I76" s="616">
        <f>SUMIF('7-Geveldelen  en wanden'!A:A,A76,'7-Geveldelen  en wanden'!P:P)</f>
        <v>0</v>
      </c>
      <c r="J76" s="617">
        <f ca="1">SUMIF('8b-Glas kosten totaal'!A:A,A76,'8b-Glas kosten totaal'!M:M)</f>
        <v>0</v>
      </c>
      <c r="K76" s="616"/>
      <c r="L76" s="616">
        <f>SUMIF('10a-Periodieke beurt'!A:A,A76,'10a-Periodieke beurt'!Q:Q)</f>
        <v>0</v>
      </c>
      <c r="M76" s="616">
        <f>SUMIF('12-Gelijkrichter stations'!$A$14:$A$36,A76,'12-Gelijkrichter stations'!$K$14:$K$36)</f>
        <v>0</v>
      </c>
      <c r="N76" s="616">
        <f>SUMIF('13- Technischeruimten'!$A$18:$A$49,A76,'13- Technischeruimten'!$I$18:$I$49)</f>
        <v>0</v>
      </c>
      <c r="O76" s="618">
        <f t="shared" ca="1" si="4"/>
        <v>0</v>
      </c>
    </row>
    <row r="77" spans="1:15">
      <c r="A77" s="620">
        <v>414</v>
      </c>
      <c r="B77" s="551" t="s">
        <v>72</v>
      </c>
      <c r="C77" s="614">
        <v>2</v>
      </c>
      <c r="D77" s="540" t="str">
        <f ca="1">VLOOKUP(A77,'3-Ruimtestaat'!B:D,3,FALSE)</f>
        <v>Gelijkrichter station</v>
      </c>
      <c r="E77" s="615">
        <f>SUMIF('3-Ruimtestaat'!B:B,A77,'3-Ruimtestaat'!J:J)</f>
        <v>80</v>
      </c>
      <c r="F77" s="616">
        <f>SUMIF('4-Reinigen vloeren'!A:A,A77,'4-Reinigen vloeren'!O:O)</f>
        <v>0</v>
      </c>
      <c r="G77" s="616">
        <f>SUMIF('5-Aanvullend'!A:A,A77,'5-Aanvullend'!K:K)</f>
        <v>0</v>
      </c>
      <c r="H77" s="616">
        <f>SUMIF('6-Liftbodems'!A:A,A77,'6-Liftbodems'!K:K)</f>
        <v>0</v>
      </c>
      <c r="I77" s="616">
        <f>SUMIF('7-Geveldelen  en wanden'!A:A,A77,'7-Geveldelen  en wanden'!P:P)</f>
        <v>0</v>
      </c>
      <c r="J77" s="617">
        <f ca="1">SUMIF('8b-Glas kosten totaal'!A:A,A77,'8b-Glas kosten totaal'!M:M)</f>
        <v>0</v>
      </c>
      <c r="K77" s="616"/>
      <c r="L77" s="616">
        <f>SUMIF('10a-Periodieke beurt'!A:A,A77,'10a-Periodieke beurt'!Q:Q)</f>
        <v>0</v>
      </c>
      <c r="M77" s="616">
        <f>SUMIF('12-Gelijkrichter stations'!$A$14:$A$36,A77,'12-Gelijkrichter stations'!$K$14:$K$36)</f>
        <v>0</v>
      </c>
      <c r="N77" s="616">
        <f>SUMIF('13- Technischeruimten'!$A$18:$A$49,A77,'13- Technischeruimten'!$I$18:$I$49)</f>
        <v>0</v>
      </c>
      <c r="O77" s="618">
        <f t="shared" ref="O77:O80" ca="1" si="7">SUM(F77:N77)</f>
        <v>0</v>
      </c>
    </row>
    <row r="78" spans="1:15">
      <c r="A78" s="620">
        <v>415</v>
      </c>
      <c r="B78" s="551" t="s">
        <v>93</v>
      </c>
      <c r="C78" s="614">
        <v>2</v>
      </c>
      <c r="D78" s="540" t="str">
        <f ca="1">VLOOKUP(A78,'3-Ruimtestaat'!B:D,3,FALSE)</f>
        <v>Gelijkrichter station</v>
      </c>
      <c r="E78" s="615">
        <f>SUMIF('3-Ruimtestaat'!B:B,A78,'3-Ruimtestaat'!J:J)</f>
        <v>60</v>
      </c>
      <c r="F78" s="616">
        <f>SUMIF('4-Reinigen vloeren'!A:A,A78,'4-Reinigen vloeren'!O:O)</f>
        <v>0</v>
      </c>
      <c r="G78" s="616">
        <f>SUMIF('5-Aanvullend'!A:A,A78,'5-Aanvullend'!K:K)</f>
        <v>0</v>
      </c>
      <c r="H78" s="616">
        <f>SUMIF('6-Liftbodems'!A:A,A78,'6-Liftbodems'!K:K)</f>
        <v>0</v>
      </c>
      <c r="I78" s="616">
        <f>SUMIF('7-Geveldelen  en wanden'!A:A,A78,'7-Geveldelen  en wanden'!P:P)</f>
        <v>0</v>
      </c>
      <c r="J78" s="617">
        <f ca="1">SUMIF('8b-Glas kosten totaal'!A:A,A78,'8b-Glas kosten totaal'!M:M)</f>
        <v>0</v>
      </c>
      <c r="K78" s="616"/>
      <c r="L78" s="616">
        <f>SUMIF('10a-Periodieke beurt'!A:A,A78,'10a-Periodieke beurt'!Q:Q)</f>
        <v>0</v>
      </c>
      <c r="M78" s="616">
        <f>SUMIF('12-Gelijkrichter stations'!$A$14:$A$36,A78,'12-Gelijkrichter stations'!$K$14:$K$36)</f>
        <v>0</v>
      </c>
      <c r="N78" s="616">
        <f>SUMIF('13- Technischeruimten'!$A$18:$A$49,A78,'13- Technischeruimten'!$I$18:$I$49)</f>
        <v>0</v>
      </c>
      <c r="O78" s="618">
        <f t="shared" ca="1" si="7"/>
        <v>0</v>
      </c>
    </row>
    <row r="79" spans="1:15">
      <c r="A79" s="620">
        <v>418</v>
      </c>
      <c r="B79" s="551" t="s">
        <v>130</v>
      </c>
      <c r="C79" s="614">
        <v>2</v>
      </c>
      <c r="D79" s="540" t="str">
        <f ca="1">VLOOKUP(A79,'3-Ruimtestaat'!B:D,3,FALSE)</f>
        <v>Gelijkrichter station</v>
      </c>
      <c r="E79" s="615">
        <f>SUMIF('3-Ruimtestaat'!B:B,A79,'3-Ruimtestaat'!J:J)</f>
        <v>108</v>
      </c>
      <c r="F79" s="616">
        <f>SUMIF('4-Reinigen vloeren'!A:A,A79,'4-Reinigen vloeren'!O:O)</f>
        <v>0</v>
      </c>
      <c r="G79" s="616">
        <f>SUMIF('5-Aanvullend'!A:A,A79,'5-Aanvullend'!K:K)</f>
        <v>0</v>
      </c>
      <c r="H79" s="616">
        <f>SUMIF('6-Liftbodems'!A:A,A79,'6-Liftbodems'!K:K)</f>
        <v>0</v>
      </c>
      <c r="I79" s="616">
        <f>SUMIF('7-Geveldelen  en wanden'!A:A,A79,'7-Geveldelen  en wanden'!P:P)</f>
        <v>0</v>
      </c>
      <c r="J79" s="617">
        <f ca="1">SUMIF('8b-Glas kosten totaal'!A:A,A79,'8b-Glas kosten totaal'!M:M)</f>
        <v>0</v>
      </c>
      <c r="K79" s="616"/>
      <c r="L79" s="616">
        <f>SUMIF('10a-Periodieke beurt'!A:A,A79,'10a-Periodieke beurt'!Q:Q)</f>
        <v>0</v>
      </c>
      <c r="M79" s="616">
        <f>SUMIF('12-Gelijkrichter stations'!$A$14:$A$36,A79,'12-Gelijkrichter stations'!$K$14:$K$36)</f>
        <v>0</v>
      </c>
      <c r="N79" s="616">
        <f>SUMIF('13- Technischeruimten'!$A$18:$A$49,A79,'13- Technischeruimten'!$I$18:$I$49)</f>
        <v>0</v>
      </c>
      <c r="O79" s="618">
        <f t="shared" ca="1" si="7"/>
        <v>0</v>
      </c>
    </row>
    <row r="80" spans="1:15">
      <c r="A80" s="620">
        <v>419</v>
      </c>
      <c r="B80" s="551" t="s">
        <v>131</v>
      </c>
      <c r="C80" s="614">
        <v>2</v>
      </c>
      <c r="D80" s="540" t="str">
        <f ca="1">VLOOKUP(A80,'3-Ruimtestaat'!B:D,3,FALSE)</f>
        <v>Gelijkrichter station</v>
      </c>
      <c r="E80" s="615">
        <f>SUMIF('3-Ruimtestaat'!B:B,A80,'3-Ruimtestaat'!J:J)</f>
        <v>110</v>
      </c>
      <c r="F80" s="616">
        <f>SUMIF('4-Reinigen vloeren'!A:A,A80,'4-Reinigen vloeren'!O:O)</f>
        <v>0</v>
      </c>
      <c r="G80" s="616">
        <f>SUMIF('5-Aanvullend'!A:A,A80,'5-Aanvullend'!K:K)</f>
        <v>0</v>
      </c>
      <c r="H80" s="616">
        <f>SUMIF('6-Liftbodems'!A:A,A80,'6-Liftbodems'!K:K)</f>
        <v>0</v>
      </c>
      <c r="I80" s="616">
        <f>SUMIF('7-Geveldelen  en wanden'!A:A,A80,'7-Geveldelen  en wanden'!P:P)</f>
        <v>0</v>
      </c>
      <c r="J80" s="617">
        <f ca="1">SUMIF('8b-Glas kosten totaal'!A:A,A80,'8b-Glas kosten totaal'!M:M)</f>
        <v>0</v>
      </c>
      <c r="K80" s="616"/>
      <c r="L80" s="616">
        <f>SUMIF('10a-Periodieke beurt'!A:A,A80,'10a-Periodieke beurt'!Q:Q)</f>
        <v>0</v>
      </c>
      <c r="M80" s="616">
        <f>SUMIF('12-Gelijkrichter stations'!$A$14:$A$36,A80,'12-Gelijkrichter stations'!$K$14:$K$36)</f>
        <v>0</v>
      </c>
      <c r="N80" s="616">
        <f>SUMIF('13- Technischeruimten'!$A$18:$A$49,A80,'13- Technischeruimten'!$I$18:$I$49)</f>
        <v>0</v>
      </c>
      <c r="O80" s="618">
        <f t="shared" ca="1" si="7"/>
        <v>0</v>
      </c>
    </row>
    <row r="81" spans="1:17">
      <c r="A81" s="620">
        <v>413</v>
      </c>
      <c r="B81" s="477" t="s">
        <v>132</v>
      </c>
      <c r="C81" s="621">
        <v>2</v>
      </c>
      <c r="D81" s="540" t="str">
        <f ca="1">VLOOKUP(A81,'3-Ruimtestaat'!B:D,3,FALSE)</f>
        <v>Gelijkrichter station</v>
      </c>
      <c r="E81" s="615">
        <f>SUMIF('3-Ruimtestaat'!B:B,A81,'3-Ruimtestaat'!J:J)</f>
        <v>224</v>
      </c>
      <c r="F81" s="616">
        <f>SUMIF('4-Reinigen vloeren'!A:A,A81,'4-Reinigen vloeren'!O:O)</f>
        <v>0</v>
      </c>
      <c r="G81" s="616">
        <f>SUMIF('5-Aanvullend'!A:A,A81,'5-Aanvullend'!K:K)</f>
        <v>0</v>
      </c>
      <c r="H81" s="616">
        <f>SUMIF('6-Liftbodems'!A:A,A81,'6-Liftbodems'!K:K)</f>
        <v>0</v>
      </c>
      <c r="I81" s="616">
        <f>SUMIF('7-Geveldelen  en wanden'!A:A,A81,'7-Geveldelen  en wanden'!P:P)</f>
        <v>0</v>
      </c>
      <c r="J81" s="617">
        <f ca="1">SUMIF('8b-Glas kosten totaal'!A:A,A81,'8b-Glas kosten totaal'!M:M)</f>
        <v>0</v>
      </c>
      <c r="K81" s="616"/>
      <c r="L81" s="616">
        <f>SUMIF('10a-Periodieke beurt'!A:A,A81,'10a-Periodieke beurt'!Q:Q)</f>
        <v>0</v>
      </c>
      <c r="M81" s="616">
        <f>SUMIF('12-Gelijkrichter stations'!$A$14:$A$36,A81,'12-Gelijkrichter stations'!$K$14:$K$36)</f>
        <v>0</v>
      </c>
      <c r="N81" s="616">
        <f>SUMIF('13- Technischeruimten'!$A$18:$A$49,A81,'13- Technischeruimten'!$I$18:$I$49)</f>
        <v>0</v>
      </c>
      <c r="O81" s="618">
        <f t="shared" ca="1" si="4"/>
        <v>0</v>
      </c>
    </row>
    <row r="82" spans="1:17">
      <c r="A82" s="620">
        <v>416</v>
      </c>
      <c r="B82" s="477" t="s">
        <v>133</v>
      </c>
      <c r="C82" s="621">
        <v>2</v>
      </c>
      <c r="D82" s="540" t="str">
        <f ca="1">VLOOKUP(A82,'3-Ruimtestaat'!B:D,3,FALSE)</f>
        <v>Gelijkrichter station</v>
      </c>
      <c r="E82" s="615">
        <f>SUMIF('3-Ruimtestaat'!B:B,A82,'3-Ruimtestaat'!J:J)</f>
        <v>128</v>
      </c>
      <c r="F82" s="616">
        <f>SUMIF('4-Reinigen vloeren'!A:A,A82,'4-Reinigen vloeren'!O:O)</f>
        <v>0</v>
      </c>
      <c r="G82" s="616">
        <f>SUMIF('5-Aanvullend'!A:A,A82,'5-Aanvullend'!K:K)</f>
        <v>0</v>
      </c>
      <c r="H82" s="616">
        <f>SUMIF('6-Liftbodems'!A:A,A82,'6-Liftbodems'!K:K)</f>
        <v>0</v>
      </c>
      <c r="I82" s="616">
        <f>SUMIF('7-Geveldelen  en wanden'!A:A,A82,'7-Geveldelen  en wanden'!P:P)</f>
        <v>0</v>
      </c>
      <c r="J82" s="617">
        <f ca="1">SUMIF('8b-Glas kosten totaal'!A:A,A82,'8b-Glas kosten totaal'!M:M)</f>
        <v>0</v>
      </c>
      <c r="K82" s="616"/>
      <c r="L82" s="616">
        <f>SUMIF('10a-Periodieke beurt'!A:A,A82,'10a-Periodieke beurt'!Q:Q)</f>
        <v>0</v>
      </c>
      <c r="M82" s="616">
        <f>SUMIF('12-Gelijkrichter stations'!$A$14:$A$36,A82,'12-Gelijkrichter stations'!$K$14:$K$36)</f>
        <v>0</v>
      </c>
      <c r="N82" s="616">
        <f>SUMIF('13- Technischeruimten'!$A$18:$A$49,A82,'13- Technischeruimten'!$I$18:$I$49)</f>
        <v>0</v>
      </c>
      <c r="O82" s="618">
        <f t="shared" ref="O82:O84" ca="1" si="8">SUM(F82:N82)</f>
        <v>0</v>
      </c>
    </row>
    <row r="83" spans="1:17">
      <c r="A83" s="620">
        <v>417</v>
      </c>
      <c r="B83" s="477" t="s">
        <v>134</v>
      </c>
      <c r="C83" s="621">
        <v>2</v>
      </c>
      <c r="D83" s="540" t="str">
        <f ca="1">VLOOKUP(A83,'3-Ruimtestaat'!B:D,3,FALSE)</f>
        <v>Gelijkrichter station</v>
      </c>
      <c r="E83" s="615">
        <f>SUMIF('3-Ruimtestaat'!B:B,A83,'3-Ruimtestaat'!J:J)</f>
        <v>56</v>
      </c>
      <c r="F83" s="616">
        <f>SUMIF('4-Reinigen vloeren'!A:A,A83,'4-Reinigen vloeren'!O:O)</f>
        <v>0</v>
      </c>
      <c r="G83" s="616">
        <f>SUMIF('5-Aanvullend'!A:A,A83,'5-Aanvullend'!K:K)</f>
        <v>0</v>
      </c>
      <c r="H83" s="616">
        <f>SUMIF('6-Liftbodems'!A:A,A83,'6-Liftbodems'!K:K)</f>
        <v>0</v>
      </c>
      <c r="I83" s="616">
        <f>SUMIF('7-Geveldelen  en wanden'!A:A,A83,'7-Geveldelen  en wanden'!P:P)</f>
        <v>0</v>
      </c>
      <c r="J83" s="617">
        <f ca="1">SUMIF('8b-Glas kosten totaal'!A:A,A83,'8b-Glas kosten totaal'!M:M)</f>
        <v>0</v>
      </c>
      <c r="K83" s="616"/>
      <c r="L83" s="616">
        <f>SUMIF('10a-Periodieke beurt'!A:A,A83,'10a-Periodieke beurt'!Q:Q)</f>
        <v>0</v>
      </c>
      <c r="M83" s="616">
        <f>SUMIF('12-Gelijkrichter stations'!$A$14:$A$36,A83,'12-Gelijkrichter stations'!$K$14:$K$36)</f>
        <v>0</v>
      </c>
      <c r="N83" s="616">
        <f>SUMIF('13- Technischeruimten'!$A$18:$A$49,A83,'13- Technischeruimten'!$I$18:$I$49)</f>
        <v>0</v>
      </c>
      <c r="O83" s="618">
        <f t="shared" ca="1" si="8"/>
        <v>0</v>
      </c>
    </row>
    <row r="84" spans="1:17">
      <c r="A84" s="620" t="s">
        <v>135</v>
      </c>
      <c r="B84" s="545" t="s">
        <v>136</v>
      </c>
      <c r="C84" s="621">
        <v>2</v>
      </c>
      <c r="D84" s="540" t="str">
        <f ca="1">VLOOKUP(A84,'3-Ruimtestaat'!B:D,3,FALSE)</f>
        <v>Gelijkrichter station</v>
      </c>
      <c r="E84" s="615">
        <f>SUMIF('3-Ruimtestaat'!B:B,A84,'3-Ruimtestaat'!J:J)</f>
        <v>48</v>
      </c>
      <c r="F84" s="616">
        <f>SUMIF('4-Reinigen vloeren'!A:A,A84,'4-Reinigen vloeren'!O:O)</f>
        <v>0</v>
      </c>
      <c r="G84" s="616">
        <f>SUMIF('5-Aanvullend'!A:A,A84,'5-Aanvullend'!K:K)</f>
        <v>0</v>
      </c>
      <c r="H84" s="616">
        <f>SUMIF('6-Liftbodems'!A:A,A84,'6-Liftbodems'!K:K)</f>
        <v>0</v>
      </c>
      <c r="I84" s="616">
        <f>SUMIF('7-Geveldelen  en wanden'!A:A,A84,'7-Geveldelen  en wanden'!P:P)</f>
        <v>0</v>
      </c>
      <c r="J84" s="617">
        <f ca="1">SUMIF('8b-Glas kosten totaal'!A:A,A84,'8b-Glas kosten totaal'!M:M)</f>
        <v>0</v>
      </c>
      <c r="K84" s="616"/>
      <c r="L84" s="616">
        <f>SUMIF('10a-Periodieke beurt'!A:A,A84,'10a-Periodieke beurt'!Q:Q)</f>
        <v>0</v>
      </c>
      <c r="M84" s="616">
        <f>SUMIF('12-Gelijkrichter stations'!$A$14:$A$36,A84,'12-Gelijkrichter stations'!$K$14:$K$36)</f>
        <v>0</v>
      </c>
      <c r="N84" s="616">
        <f>SUMIF('13- Technischeruimten'!$A$18:$A$49,A84,'13- Technischeruimten'!$I$18:$I$49)</f>
        <v>0</v>
      </c>
      <c r="O84" s="618">
        <f t="shared" ca="1" si="8"/>
        <v>0</v>
      </c>
    </row>
    <row r="85" spans="1:17">
      <c r="A85" s="622" t="s">
        <v>137</v>
      </c>
      <c r="B85" s="215" t="s">
        <v>5</v>
      </c>
      <c r="C85" s="532">
        <v>2</v>
      </c>
      <c r="D85" s="551" t="s">
        <v>5</v>
      </c>
      <c r="E85" s="615">
        <f>SUMIF('3-Ruimtestaat'!B:B,A85,'3-Ruimtestaat'!J:J)</f>
        <v>0</v>
      </c>
      <c r="F85" s="616">
        <f>SUMIF('4-Reinigen vloeren'!A:A,A85,'4-Reinigen vloeren'!O:O)</f>
        <v>0</v>
      </c>
      <c r="G85" s="616">
        <f>SUMIF('5-Aanvullend'!A:A,A85,'5-Aanvullend'!K:K)</f>
        <v>0</v>
      </c>
      <c r="H85" s="616">
        <f>SUMIF('6-Liftbodems'!A:A,A85,'6-Liftbodems'!K:K)</f>
        <v>0</v>
      </c>
      <c r="I85" s="616">
        <f>SUMIF('7-Geveldelen  en wanden'!A:A,A85,'7-Geveldelen  en wanden'!P:P)</f>
        <v>0</v>
      </c>
      <c r="J85" s="617">
        <f ca="1">SUMIF('8b-Glas kosten totaal'!A:A,A85,'8b-Glas kosten totaal'!M:M)</f>
        <v>0</v>
      </c>
      <c r="K85" s="616"/>
      <c r="L85" s="616">
        <f>SUMIF('10a-Periodieke beurt'!A:A,A85,'10a-Periodieke beurt'!Q:Q)</f>
        <v>0</v>
      </c>
      <c r="M85" s="616">
        <f>SUMIF('12-Gelijkrichter stations'!$A$14:$A$36,A85,'12-Gelijkrichter stations'!$K$14:$K$36)</f>
        <v>0</v>
      </c>
      <c r="N85" s="616">
        <f>SUMIF('13- Technischeruimten'!$A$18:$A$49,A85,'13- Technischeruimten'!$I$18:$I$49)</f>
        <v>0</v>
      </c>
      <c r="O85" s="618">
        <f t="shared" ca="1" si="4"/>
        <v>0</v>
      </c>
    </row>
    <row r="86" spans="1:17">
      <c r="A86" s="551" t="s">
        <v>138</v>
      </c>
      <c r="B86" s="551" t="s">
        <v>5</v>
      </c>
      <c r="C86" s="614">
        <v>2</v>
      </c>
      <c r="D86" s="551" t="s">
        <v>5</v>
      </c>
      <c r="E86" s="615"/>
      <c r="F86" s="616"/>
      <c r="G86" s="616"/>
      <c r="H86" s="616"/>
      <c r="I86" s="616"/>
      <c r="J86" s="617"/>
      <c r="K86" s="616">
        <f>'9-Machinekosten'!P39</f>
        <v>0</v>
      </c>
      <c r="L86" s="616"/>
      <c r="M86" s="616"/>
      <c r="N86" s="616">
        <f>SUMIF('13- Technischeruimten'!$A$18:$A$49,A86,'13- Technischeruimten'!$I$18:$I$49)</f>
        <v>0</v>
      </c>
      <c r="O86" s="618">
        <f t="shared" si="4"/>
        <v>0</v>
      </c>
    </row>
    <row r="87" spans="1:17" ht="13.9" thickBot="1">
      <c r="E87" s="275"/>
      <c r="F87" s="73"/>
      <c r="G87" s="616"/>
      <c r="H87" s="527"/>
      <c r="I87" s="527"/>
      <c r="J87" s="73"/>
      <c r="K87" s="616"/>
      <c r="L87" s="616"/>
      <c r="M87" s="528"/>
      <c r="N87" s="528"/>
      <c r="O87" s="73"/>
    </row>
    <row r="88" spans="1:17" s="132" customFormat="1" ht="13.9" thickBot="1">
      <c r="A88" s="183"/>
      <c r="B88" s="184" t="s">
        <v>139</v>
      </c>
      <c r="C88" s="238"/>
      <c r="D88" s="184"/>
      <c r="E88" s="529">
        <f t="shared" ref="E88:O88" si="9">SUM(E13:E87)</f>
        <v>74741.748644067819</v>
      </c>
      <c r="F88" s="530" t="e">
        <f t="shared" si="9"/>
        <v>#DIV/0!</v>
      </c>
      <c r="G88" s="530">
        <f t="shared" si="9"/>
        <v>0</v>
      </c>
      <c r="H88" s="530">
        <f t="shared" si="9"/>
        <v>0</v>
      </c>
      <c r="I88" s="530">
        <f t="shared" si="9"/>
        <v>0</v>
      </c>
      <c r="J88" s="530">
        <f t="shared" ca="1" si="9"/>
        <v>0</v>
      </c>
      <c r="K88" s="530">
        <f t="shared" si="9"/>
        <v>0</v>
      </c>
      <c r="L88" s="530">
        <f t="shared" si="9"/>
        <v>0</v>
      </c>
      <c r="M88" s="530">
        <f t="shared" si="9"/>
        <v>0</v>
      </c>
      <c r="N88" s="530" t="e">
        <f t="shared" si="9"/>
        <v>#DIV/0!</v>
      </c>
      <c r="O88" s="531" t="e">
        <f t="shared" ca="1" si="9"/>
        <v>#DIV/0!</v>
      </c>
    </row>
    <row r="89" spans="1:17">
      <c r="J89" s="156"/>
    </row>
    <row r="90" spans="1:17">
      <c r="O90" s="196"/>
      <c r="P90" s="196"/>
      <c r="Q90" s="196"/>
    </row>
  </sheetData>
  <autoFilter ref="A12:O88" xr:uid="{E7F9568E-A4F1-428F-9CA5-9F24B7932071}"/>
  <mergeCells count="1">
    <mergeCell ref="A10:O10"/>
  </mergeCells>
  <pageMargins left="0.70866141732283472" right="0.70866141732283472" top="0.74803149606299213" bottom="0.74803149606299213" header="0.31496062992125984" footer="0.31496062992125984"/>
  <pageSetup paperSize="9" scale="4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72B6-D3C0-4FC7-88A2-D31551B26B94}">
  <sheetPr>
    <tabColor theme="0" tint="-4.9989318521683403E-2"/>
    <pageSetUpPr fitToPage="1"/>
  </sheetPr>
  <dimension ref="A1:AP67"/>
  <sheetViews>
    <sheetView showGridLines="0" showZeros="0" showOutlineSymbols="0" zoomScale="90" zoomScaleNormal="90" zoomScalePageLayoutView="50" workbookViewId="0">
      <pane xSplit="3" ySplit="10" topLeftCell="D11" activePane="bottomRight" state="frozen"/>
      <selection pane="bottomRight" activeCell="A33" sqref="A33"/>
      <selection pane="bottomLeft" activeCell="E28" sqref="E28"/>
      <selection pane="topRight" activeCell="E28" sqref="E28"/>
    </sheetView>
  </sheetViews>
  <sheetFormatPr defaultColWidth="11.42578125" defaultRowHeight="13.15"/>
  <cols>
    <col min="1" max="1" width="35.85546875" style="43" customWidth="1"/>
    <col min="2" max="2" width="21.7109375" style="43" customWidth="1"/>
    <col min="3" max="3" width="19.28515625" style="43" bestFit="1" customWidth="1"/>
    <col min="4" max="4" width="2" style="43" customWidth="1"/>
    <col min="5" max="5" width="14.42578125" style="43" customWidth="1"/>
    <col min="6" max="6" width="12.28515625" style="43" customWidth="1"/>
    <col min="7" max="7" width="14.42578125" style="43" customWidth="1"/>
    <col min="8" max="8" width="12.28515625" style="43" customWidth="1"/>
    <col min="9" max="9" width="14.42578125" style="43" customWidth="1"/>
    <col min="10" max="10" width="12.28515625" style="43" customWidth="1"/>
    <col min="11" max="11" width="2" style="43" customWidth="1"/>
    <col min="12" max="12" width="14.42578125" style="43" customWidth="1"/>
    <col min="13" max="13" width="12.28515625" style="43" customWidth="1"/>
    <col min="14" max="14" width="14.42578125" style="43" customWidth="1"/>
    <col min="15" max="15" width="12.28515625" style="43" customWidth="1"/>
    <col min="16" max="16" width="14.42578125" style="43" customWidth="1"/>
    <col min="17" max="17" width="12.28515625" style="43" customWidth="1"/>
    <col min="18" max="18" width="2.28515625" style="43" customWidth="1"/>
    <col min="19" max="19" width="14.42578125" style="43" customWidth="1"/>
    <col min="20" max="20" width="12.28515625" style="43" customWidth="1"/>
    <col min="21" max="21" width="14.42578125" style="43" customWidth="1"/>
    <col min="22" max="22" width="12.28515625" style="43" customWidth="1"/>
    <col min="23" max="23" width="14.42578125" style="43" customWidth="1"/>
    <col min="24" max="25" width="12.28515625" style="43" customWidth="1"/>
    <col min="26" max="26" width="27.5703125" style="43" customWidth="1"/>
    <col min="27" max="33" width="11.42578125" style="43"/>
    <col min="34" max="34" width="10.5703125" style="43" customWidth="1"/>
    <col min="35" max="39" width="11.42578125" style="43"/>
    <col min="40" max="16384" width="11.42578125" style="1"/>
  </cols>
  <sheetData>
    <row r="1" spans="1:40" ht="12.75" customHeight="1">
      <c r="A1" s="318" t="s">
        <v>0</v>
      </c>
      <c r="B1" s="4"/>
      <c r="C1" s="5"/>
      <c r="D1" s="5"/>
      <c r="E1" s="5"/>
      <c r="F1" s="5"/>
      <c r="G1" s="5"/>
      <c r="H1" s="5"/>
      <c r="I1" s="5"/>
      <c r="J1" s="5"/>
      <c r="L1" s="5"/>
      <c r="M1" s="51"/>
      <c r="N1" s="51"/>
      <c r="O1" s="51"/>
      <c r="P1" s="51"/>
      <c r="Q1" s="5"/>
      <c r="R1" s="5"/>
      <c r="S1" s="5"/>
      <c r="T1" s="5"/>
      <c r="U1" s="5"/>
      <c r="V1" s="5"/>
      <c r="W1" s="5"/>
      <c r="X1" s="5"/>
      <c r="Y1" s="5"/>
      <c r="Z1" s="579"/>
      <c r="AA1" s="579"/>
      <c r="AB1" s="579"/>
      <c r="AC1" s="579"/>
      <c r="AD1" s="579"/>
      <c r="AE1" s="579"/>
      <c r="AF1" s="579"/>
    </row>
    <row r="2" spans="1:40" ht="18">
      <c r="A2" s="47"/>
      <c r="B2" s="48"/>
      <c r="C2" s="49"/>
      <c r="D2" s="48"/>
      <c r="E2" s="50"/>
      <c r="F2" s="51"/>
      <c r="G2" s="50"/>
      <c r="H2" s="51"/>
      <c r="I2" s="50"/>
      <c r="J2" s="51"/>
      <c r="L2" s="50"/>
      <c r="M2" s="54"/>
      <c r="N2" s="54"/>
      <c r="O2" s="54"/>
      <c r="P2" s="54"/>
      <c r="Q2" s="51"/>
      <c r="R2" s="51"/>
      <c r="S2" s="50"/>
      <c r="T2" s="51"/>
      <c r="U2" s="50"/>
      <c r="V2" s="51"/>
      <c r="W2" s="50"/>
      <c r="X2" s="51"/>
      <c r="Y2" s="51"/>
      <c r="Z2" s="579"/>
      <c r="AA2" s="579"/>
      <c r="AB2" s="579"/>
      <c r="AC2" s="579"/>
      <c r="AD2" s="579"/>
      <c r="AE2" s="579"/>
      <c r="AF2" s="579"/>
    </row>
    <row r="3" spans="1:40" ht="14.25" customHeight="1">
      <c r="A3" s="7" t="str">
        <f>'1-Inschrijfstaat'!A3</f>
        <v>Naam opdrachtgever</v>
      </c>
      <c r="B3" s="8" t="str">
        <f>'1-Inschrijfstaat'!B3</f>
        <v>GVB Infra B.V.</v>
      </c>
      <c r="C3" s="52"/>
      <c r="D3" s="48"/>
      <c r="E3" s="53"/>
      <c r="F3" s="54"/>
      <c r="G3" s="53"/>
      <c r="H3" s="54"/>
      <c r="I3" s="53"/>
      <c r="J3" s="54"/>
      <c r="L3" s="53"/>
      <c r="M3" s="51"/>
      <c r="N3" s="51"/>
      <c r="O3" s="51"/>
      <c r="P3" s="51"/>
      <c r="Q3" s="54"/>
      <c r="R3" s="54"/>
      <c r="S3" s="5"/>
      <c r="T3" s="5"/>
      <c r="U3" s="5"/>
      <c r="V3" s="5"/>
      <c r="W3" s="53"/>
      <c r="X3" s="54"/>
      <c r="Y3" s="54"/>
      <c r="Z3" s="579"/>
      <c r="AA3" s="579"/>
      <c r="AB3" s="579"/>
      <c r="AC3" s="579"/>
      <c r="AD3" s="579"/>
      <c r="AE3" s="579"/>
      <c r="AF3" s="579"/>
    </row>
    <row r="4" spans="1:40" ht="15.75" customHeight="1">
      <c r="A4" s="7" t="str">
        <f>'1-Inschrijfstaat'!A4</f>
        <v>Calculatie onderdeel</v>
      </c>
      <c r="B4" s="8" t="e">
        <f ca="1">MID(CELL("bestandsnaam",$D$11),SEARCH("]",CELL("bestandsnaam",$D$11),1)+1,256)</f>
        <v>#VALUE!</v>
      </c>
      <c r="C4" s="55"/>
      <c r="D4" s="56"/>
      <c r="Q4" s="51"/>
      <c r="R4" s="51"/>
      <c r="S4" s="50"/>
      <c r="T4" s="51"/>
      <c r="U4" s="50"/>
      <c r="V4" s="51"/>
      <c r="Z4" s="579"/>
      <c r="AA4" s="579"/>
      <c r="AB4" s="579"/>
      <c r="AC4" s="579"/>
      <c r="AD4" s="579"/>
      <c r="AE4" s="579"/>
      <c r="AF4" s="579"/>
    </row>
    <row r="5" spans="1:40" ht="18.600000000000001">
      <c r="A5" s="7" t="str">
        <f>'1-Inschrijfstaat'!A5</f>
        <v>Gebouw/plaats</v>
      </c>
      <c r="B5" s="8" t="str">
        <f>'1-Inschrijfstaat'!B5</f>
        <v>Diverse</v>
      </c>
      <c r="C5" s="55"/>
      <c r="D5" s="56"/>
      <c r="M5" s="54"/>
      <c r="N5" s="53"/>
      <c r="O5" s="54"/>
      <c r="P5" s="53"/>
      <c r="Q5" s="54"/>
      <c r="R5" s="54"/>
      <c r="S5" s="5"/>
      <c r="T5" s="5"/>
      <c r="U5" s="5"/>
      <c r="V5" s="5"/>
      <c r="Z5" s="579"/>
      <c r="AA5" s="579"/>
      <c r="AB5" s="579"/>
      <c r="AC5" s="579"/>
      <c r="AD5" s="579"/>
      <c r="AE5" s="579"/>
      <c r="AF5" s="579"/>
    </row>
    <row r="6" spans="1:40" ht="18.600000000000001">
      <c r="A6" s="7" t="str">
        <f>'1-Inschrijfstaat'!A6</f>
        <v>Referentienummer</v>
      </c>
      <c r="B6" s="8" t="str">
        <f>'1-Inschrijfstaat'!B6</f>
        <v>2024-20</v>
      </c>
      <c r="C6" s="55"/>
      <c r="D6" s="56"/>
      <c r="M6" s="51"/>
      <c r="N6" s="50"/>
      <c r="O6" s="51"/>
      <c r="P6" s="50"/>
      <c r="Q6" s="51"/>
      <c r="R6" s="51"/>
      <c r="S6" s="50"/>
      <c r="T6" s="51"/>
      <c r="U6" s="50"/>
      <c r="V6" s="51"/>
      <c r="Z6" s="57"/>
      <c r="AA6" s="57"/>
      <c r="AB6" s="57"/>
      <c r="AC6" s="57"/>
      <c r="AD6" s="57"/>
      <c r="AE6" s="57"/>
      <c r="AF6" s="57"/>
    </row>
    <row r="7" spans="1:40" ht="18.600000000000001">
      <c r="A7" s="7" t="str">
        <f>'1-Inschrijfstaat'!A7</f>
        <v>Naam leverancier</v>
      </c>
      <c r="B7" s="8">
        <f>'1-Inschrijfstaat'!B7</f>
        <v>0</v>
      </c>
      <c r="C7" s="55"/>
      <c r="D7" s="56"/>
      <c r="M7" s="54"/>
      <c r="N7" s="53"/>
      <c r="O7" s="54"/>
      <c r="P7" s="53"/>
      <c r="Q7" s="54"/>
      <c r="R7" s="54"/>
      <c r="S7" s="5"/>
      <c r="T7" s="5"/>
      <c r="U7" s="5"/>
      <c r="V7" s="5"/>
      <c r="Z7" s="57"/>
      <c r="AA7" s="57"/>
      <c r="AB7" s="57"/>
      <c r="AC7" s="57"/>
      <c r="AD7" s="57"/>
      <c r="AE7" s="57"/>
      <c r="AF7" s="57"/>
    </row>
    <row r="8" spans="1:40" ht="18.600000000000001">
      <c r="A8" s="7" t="str">
        <f>'1-Inschrijfstaat'!A8</f>
        <v>Prijspeil</v>
      </c>
      <c r="B8" s="406" t="str">
        <f>'1-Inschrijfstaat'!B8</f>
        <v>1 januari 2025</v>
      </c>
      <c r="C8" s="55"/>
      <c r="D8" s="56"/>
      <c r="S8" s="5"/>
      <c r="AB8" s="57"/>
      <c r="AC8" s="57"/>
      <c r="AD8" s="57"/>
      <c r="AE8" s="57"/>
      <c r="AF8" s="57"/>
      <c r="AG8" s="58"/>
    </row>
    <row r="9" spans="1:40" ht="18.600000000000001" customHeight="1">
      <c r="A9" s="59"/>
      <c r="B9" s="60"/>
      <c r="C9" s="61"/>
      <c r="D9" s="56"/>
      <c r="E9" s="62"/>
      <c r="F9" s="63"/>
      <c r="G9" s="62"/>
      <c r="H9" s="63"/>
      <c r="I9" s="62"/>
      <c r="J9" s="63"/>
      <c r="L9" s="62"/>
      <c r="M9" s="63"/>
      <c r="N9" s="62"/>
      <c r="O9" s="63"/>
      <c r="P9" s="62"/>
      <c r="Q9" s="63"/>
      <c r="S9" s="62"/>
      <c r="T9" s="63"/>
      <c r="U9" s="62"/>
      <c r="V9" s="63"/>
      <c r="W9" s="62"/>
      <c r="X9" s="63"/>
      <c r="AB9" s="57"/>
      <c r="AC9" s="57"/>
      <c r="AD9" s="57"/>
      <c r="AE9" s="57"/>
      <c r="AF9" s="57"/>
    </row>
    <row r="10" spans="1:40" s="66" customFormat="1" ht="30.75" customHeight="1">
      <c r="A10" s="372" t="s">
        <v>1380</v>
      </c>
      <c r="B10" s="495"/>
      <c r="C10" s="496"/>
      <c r="D10" s="64"/>
      <c r="E10" s="580" t="s">
        <v>1381</v>
      </c>
      <c r="F10" s="581"/>
      <c r="G10" s="580" t="s">
        <v>1382</v>
      </c>
      <c r="H10" s="581"/>
      <c r="I10" s="580" t="s">
        <v>1383</v>
      </c>
      <c r="J10" s="581"/>
      <c r="K10" s="65"/>
      <c r="L10" s="580" t="s">
        <v>1384</v>
      </c>
      <c r="M10" s="581"/>
      <c r="N10" s="580" t="s">
        <v>1385</v>
      </c>
      <c r="O10" s="581"/>
      <c r="P10" s="580" t="s">
        <v>1386</v>
      </c>
      <c r="Q10" s="581"/>
      <c r="R10" s="43"/>
      <c r="S10" s="580" t="s">
        <v>1387</v>
      </c>
      <c r="T10" s="581"/>
      <c r="U10" s="580" t="s">
        <v>1388</v>
      </c>
      <c r="V10" s="581"/>
      <c r="W10" s="580" t="s">
        <v>1389</v>
      </c>
      <c r="X10" s="581"/>
      <c r="Y10" s="43"/>
      <c r="Z10" s="43"/>
      <c r="AA10" s="43"/>
      <c r="AB10" s="57"/>
      <c r="AC10" s="57"/>
      <c r="AD10" s="57"/>
      <c r="AE10" s="57"/>
      <c r="AF10" s="57"/>
      <c r="AG10" s="58"/>
      <c r="AH10" s="43"/>
      <c r="AI10" s="43"/>
      <c r="AJ10" s="43"/>
      <c r="AK10" s="43"/>
      <c r="AL10" s="43"/>
      <c r="AM10" s="43"/>
      <c r="AN10" s="1"/>
    </row>
    <row r="11" spans="1:40" ht="14.45" customHeight="1">
      <c r="A11" s="373"/>
      <c r="B11" s="497" t="s">
        <v>1390</v>
      </c>
      <c r="C11" s="498" t="s">
        <v>1390</v>
      </c>
      <c r="D11" s="56"/>
      <c r="E11" s="339"/>
      <c r="F11" s="499"/>
      <c r="G11" s="339"/>
      <c r="H11" s="499"/>
      <c r="I11" s="339"/>
      <c r="J11" s="499"/>
      <c r="L11" s="339"/>
      <c r="M11" s="499"/>
      <c r="N11" s="339"/>
      <c r="O11" s="499"/>
      <c r="P11" s="339"/>
      <c r="Q11" s="499"/>
      <c r="S11" s="339"/>
      <c r="T11" s="499"/>
      <c r="U11" s="339"/>
      <c r="V11" s="499"/>
      <c r="W11" s="339"/>
      <c r="X11" s="499"/>
      <c r="Y11" s="500"/>
      <c r="AB11" s="57"/>
      <c r="AC11" s="57"/>
      <c r="AD11" s="57"/>
      <c r="AE11" s="57"/>
      <c r="AF11" s="57"/>
    </row>
    <row r="12" spans="1:40">
      <c r="A12" s="373" t="s">
        <v>1391</v>
      </c>
      <c r="B12" s="501" t="s">
        <v>1392</v>
      </c>
      <c r="C12" s="502"/>
      <c r="D12" s="56"/>
      <c r="E12" s="340">
        <v>0</v>
      </c>
      <c r="F12" s="67"/>
      <c r="G12" s="340">
        <v>0</v>
      </c>
      <c r="H12" s="67"/>
      <c r="I12" s="340">
        <v>0</v>
      </c>
      <c r="J12" s="67"/>
      <c r="L12" s="341">
        <v>0</v>
      </c>
      <c r="M12" s="67"/>
      <c r="N12" s="340">
        <v>0</v>
      </c>
      <c r="O12" s="67"/>
      <c r="P12" s="340">
        <v>0</v>
      </c>
      <c r="Q12" s="67"/>
      <c r="R12" s="84"/>
      <c r="S12" s="341">
        <v>0</v>
      </c>
      <c r="T12" s="67"/>
      <c r="U12" s="340">
        <v>0</v>
      </c>
      <c r="V12" s="67"/>
      <c r="W12" s="340">
        <v>0</v>
      </c>
      <c r="X12" s="67"/>
      <c r="Y12" s="84"/>
      <c r="AB12" s="57"/>
      <c r="AC12" s="57"/>
      <c r="AD12" s="57"/>
      <c r="AE12" s="57"/>
      <c r="AF12" s="57"/>
    </row>
    <row r="13" spans="1:40">
      <c r="A13" s="373" t="s">
        <v>1393</v>
      </c>
      <c r="B13" s="501" t="s">
        <v>1392</v>
      </c>
      <c r="C13" s="503"/>
      <c r="D13" s="56"/>
      <c r="E13" s="340">
        <v>0</v>
      </c>
      <c r="F13" s="67"/>
      <c r="G13" s="340">
        <v>0</v>
      </c>
      <c r="H13" s="67"/>
      <c r="I13" s="340">
        <v>0</v>
      </c>
      <c r="J13" s="67"/>
      <c r="L13" s="340">
        <v>0</v>
      </c>
      <c r="M13" s="67"/>
      <c r="N13" s="340">
        <v>0</v>
      </c>
      <c r="O13" s="67"/>
      <c r="P13" s="340">
        <v>0</v>
      </c>
      <c r="Q13" s="67"/>
      <c r="R13" s="84"/>
      <c r="S13" s="340">
        <v>0</v>
      </c>
      <c r="T13" s="67"/>
      <c r="U13" s="340">
        <v>0</v>
      </c>
      <c r="V13" s="67"/>
      <c r="W13" s="340">
        <v>0</v>
      </c>
      <c r="X13" s="67"/>
      <c r="Y13" s="84"/>
      <c r="AB13" s="57"/>
      <c r="AC13" s="57"/>
      <c r="AD13" s="57"/>
      <c r="AE13" s="57"/>
      <c r="AF13" s="57"/>
    </row>
    <row r="14" spans="1:40">
      <c r="A14" s="447" t="s">
        <v>1394</v>
      </c>
      <c r="B14" s="504" t="s">
        <v>1392</v>
      </c>
      <c r="C14" s="505"/>
      <c r="D14" s="448"/>
      <c r="E14" s="340">
        <v>0</v>
      </c>
      <c r="F14" s="67"/>
      <c r="G14" s="340">
        <v>0</v>
      </c>
      <c r="H14" s="67"/>
      <c r="I14" s="340">
        <v>0</v>
      </c>
      <c r="J14" s="449"/>
      <c r="L14" s="342"/>
      <c r="M14" s="67"/>
      <c r="N14" s="342"/>
      <c r="O14" s="67"/>
      <c r="P14" s="342"/>
      <c r="Q14" s="67"/>
      <c r="R14" s="84"/>
      <c r="S14" s="342"/>
      <c r="T14" s="67"/>
      <c r="U14" s="342"/>
      <c r="V14" s="67"/>
      <c r="W14" s="342"/>
      <c r="X14" s="67"/>
      <c r="Y14" s="84"/>
      <c r="AB14" s="57"/>
      <c r="AC14" s="57"/>
      <c r="AD14" s="57"/>
      <c r="AE14" s="57"/>
      <c r="AF14" s="57"/>
    </row>
    <row r="15" spans="1:40">
      <c r="A15" s="374" t="s">
        <v>1395</v>
      </c>
      <c r="B15" s="506"/>
      <c r="C15" s="507"/>
      <c r="D15" s="68"/>
      <c r="E15" s="343">
        <f>SUM(E12:E14)</f>
        <v>0</v>
      </c>
      <c r="F15" s="67"/>
      <c r="G15" s="343">
        <f>SUM(G12:G14)</f>
        <v>0</v>
      </c>
      <c r="H15" s="67"/>
      <c r="I15" s="343">
        <f>SUM(I12:I14)</f>
        <v>0</v>
      </c>
      <c r="J15" s="67"/>
      <c r="L15" s="343">
        <f>SUM(L12:L14)</f>
        <v>0</v>
      </c>
      <c r="M15" s="67"/>
      <c r="N15" s="343">
        <f>SUM(N12:N14)</f>
        <v>0</v>
      </c>
      <c r="O15" s="67"/>
      <c r="P15" s="343">
        <f>SUM(P12:P14)</f>
        <v>0</v>
      </c>
      <c r="Q15" s="67"/>
      <c r="R15" s="84"/>
      <c r="S15" s="343">
        <f>SUM(S12:S14)</f>
        <v>0</v>
      </c>
      <c r="T15" s="67"/>
      <c r="U15" s="343">
        <f>SUM(U12:U14)</f>
        <v>0</v>
      </c>
      <c r="V15" s="67"/>
      <c r="W15" s="343">
        <f>SUM(W12:W14)</f>
        <v>0</v>
      </c>
      <c r="X15" s="67"/>
      <c r="Y15" s="84"/>
      <c r="AB15" s="57"/>
      <c r="AC15" s="57"/>
      <c r="AD15" s="57"/>
      <c r="AE15" s="57"/>
      <c r="AF15" s="57"/>
    </row>
    <row r="16" spans="1:40">
      <c r="A16" s="375"/>
      <c r="B16" s="508"/>
      <c r="C16" s="509"/>
      <c r="D16" s="56"/>
      <c r="E16" s="344"/>
      <c r="F16" s="67"/>
      <c r="G16" s="344"/>
      <c r="H16" s="67"/>
      <c r="I16" s="344"/>
      <c r="J16" s="67"/>
      <c r="L16" s="344"/>
      <c r="M16" s="67"/>
      <c r="N16" s="344"/>
      <c r="O16" s="67"/>
      <c r="P16" s="344"/>
      <c r="Q16" s="67"/>
      <c r="R16" s="84"/>
      <c r="S16" s="344"/>
      <c r="T16" s="67"/>
      <c r="U16" s="344"/>
      <c r="V16" s="67"/>
      <c r="W16" s="344"/>
      <c r="X16" s="67"/>
      <c r="Y16" s="84"/>
      <c r="AB16" s="57"/>
      <c r="AC16" s="57"/>
      <c r="AD16" s="57"/>
      <c r="AE16" s="57"/>
      <c r="AF16" s="57"/>
    </row>
    <row r="17" spans="1:42">
      <c r="A17" s="376" t="s">
        <v>1396</v>
      </c>
      <c r="B17" s="501" t="s">
        <v>1392</v>
      </c>
      <c r="C17" s="345">
        <v>0</v>
      </c>
      <c r="D17" s="56"/>
      <c r="E17" s="346">
        <f>$C17*E15</f>
        <v>0</v>
      </c>
      <c r="F17" s="67"/>
      <c r="G17" s="346">
        <f>$C17*G15</f>
        <v>0</v>
      </c>
      <c r="H17" s="67"/>
      <c r="I17" s="346">
        <f>$C17*I15</f>
        <v>0</v>
      </c>
      <c r="J17" s="67"/>
      <c r="L17" s="346">
        <f>$C17*L15</f>
        <v>0</v>
      </c>
      <c r="M17" s="67"/>
      <c r="N17" s="346">
        <f>$C17*N15</f>
        <v>0</v>
      </c>
      <c r="O17" s="67"/>
      <c r="P17" s="346">
        <f>$C17*P15</f>
        <v>0</v>
      </c>
      <c r="Q17" s="67"/>
      <c r="R17" s="84"/>
      <c r="S17" s="346">
        <f>$C17*S15</f>
        <v>0</v>
      </c>
      <c r="T17" s="67"/>
      <c r="U17" s="346">
        <f>$C17*U15</f>
        <v>0</v>
      </c>
      <c r="V17" s="67"/>
      <c r="W17" s="346">
        <f>$C17*W15</f>
        <v>0</v>
      </c>
      <c r="X17" s="67"/>
      <c r="Y17" s="84"/>
      <c r="AB17" s="57"/>
      <c r="AC17" s="57"/>
      <c r="AD17" s="57"/>
      <c r="AE17" s="57"/>
      <c r="AF17" s="57"/>
    </row>
    <row r="18" spans="1:42">
      <c r="A18" s="376" t="s">
        <v>1397</v>
      </c>
      <c r="B18" s="501" t="s">
        <v>1392</v>
      </c>
      <c r="C18" s="345">
        <v>0</v>
      </c>
      <c r="D18" s="56"/>
      <c r="E18" s="347">
        <f>$C18*E15</f>
        <v>0</v>
      </c>
      <c r="F18" s="67"/>
      <c r="G18" s="347">
        <f>$C18*G15</f>
        <v>0</v>
      </c>
      <c r="H18" s="67"/>
      <c r="I18" s="347">
        <f>$C18*I15</f>
        <v>0</v>
      </c>
      <c r="J18" s="67"/>
      <c r="L18" s="347">
        <f>$C18*L15</f>
        <v>0</v>
      </c>
      <c r="M18" s="67"/>
      <c r="N18" s="347">
        <f>$C18*N15</f>
        <v>0</v>
      </c>
      <c r="O18" s="67"/>
      <c r="P18" s="347">
        <f>$C18*P15</f>
        <v>0</v>
      </c>
      <c r="Q18" s="67"/>
      <c r="R18" s="84"/>
      <c r="S18" s="347">
        <f>$C18*S15</f>
        <v>0</v>
      </c>
      <c r="T18" s="67"/>
      <c r="U18" s="347">
        <f>$C18*U15</f>
        <v>0</v>
      </c>
      <c r="V18" s="67"/>
      <c r="W18" s="347">
        <f>$C18*W15</f>
        <v>0</v>
      </c>
      <c r="X18" s="67"/>
      <c r="Y18" s="84"/>
      <c r="AB18" s="57"/>
      <c r="AC18" s="57"/>
      <c r="AD18" s="57"/>
      <c r="AE18" s="57"/>
      <c r="AF18" s="57"/>
    </row>
    <row r="19" spans="1:42">
      <c r="A19" s="374" t="s">
        <v>1398</v>
      </c>
      <c r="B19" s="510"/>
      <c r="C19" s="511"/>
      <c r="D19" s="56"/>
      <c r="E19" s="343">
        <f>SUM(E15:E18)</f>
        <v>0</v>
      </c>
      <c r="F19" s="348">
        <f>IF(E19=0,0,E19/E$47)</f>
        <v>0</v>
      </c>
      <c r="G19" s="343">
        <f>SUM(G15:G18)</f>
        <v>0</v>
      </c>
      <c r="H19" s="348">
        <f>IF(G19=0,0,G19/G$47)</f>
        <v>0</v>
      </c>
      <c r="I19" s="343">
        <f>SUM(I15:I18)</f>
        <v>0</v>
      </c>
      <c r="J19" s="348">
        <f>IF(I19=0,0,I19/I$47)</f>
        <v>0</v>
      </c>
      <c r="L19" s="343">
        <f>SUM(L15:L18)</f>
        <v>0</v>
      </c>
      <c r="M19" s="348">
        <f>IF(L19=0,0,L19/L$47)</f>
        <v>0</v>
      </c>
      <c r="N19" s="343">
        <f>SUM(N15:N18)</f>
        <v>0</v>
      </c>
      <c r="O19" s="348">
        <f>IF(N19=0,0,N19/N$47)</f>
        <v>0</v>
      </c>
      <c r="P19" s="343">
        <f>SUM(P15:P18)</f>
        <v>0</v>
      </c>
      <c r="Q19" s="348">
        <f>IF(P19=0,0,P19/P$47)</f>
        <v>0</v>
      </c>
      <c r="R19" s="85"/>
      <c r="S19" s="343">
        <f>SUM(S15:S18)</f>
        <v>0</v>
      </c>
      <c r="T19" s="348">
        <f>IF(S19=0,0,S19/S$47)</f>
        <v>0</v>
      </c>
      <c r="U19" s="343">
        <f>SUM(U15:U18)</f>
        <v>0</v>
      </c>
      <c r="V19" s="348">
        <f>IF(U19=0,0,U19/U$47)</f>
        <v>0</v>
      </c>
      <c r="W19" s="343">
        <f>SUM(W15:W18)</f>
        <v>0</v>
      </c>
      <c r="X19" s="348">
        <f>IF(W19=0,0,W19/W$47)</f>
        <v>0</v>
      </c>
      <c r="Y19" s="85"/>
      <c r="AB19" s="57"/>
      <c r="AC19" s="57"/>
      <c r="AD19" s="57"/>
      <c r="AE19" s="57"/>
      <c r="AF19" s="57"/>
    </row>
    <row r="20" spans="1:42" ht="15" customHeight="1">
      <c r="A20" s="375"/>
      <c r="B20" s="508"/>
      <c r="C20" s="509"/>
      <c r="D20" s="56"/>
      <c r="E20" s="344"/>
      <c r="F20" s="67"/>
      <c r="G20" s="344"/>
      <c r="H20" s="67"/>
      <c r="I20" s="344"/>
      <c r="J20" s="67"/>
      <c r="L20" s="344"/>
      <c r="M20" s="67"/>
      <c r="N20" s="344"/>
      <c r="O20" s="67"/>
      <c r="P20" s="344"/>
      <c r="Q20" s="67"/>
      <c r="R20" s="84"/>
      <c r="S20" s="344"/>
      <c r="T20" s="67"/>
      <c r="U20" s="344"/>
      <c r="V20" s="67"/>
      <c r="W20" s="344"/>
      <c r="X20" s="67"/>
      <c r="Y20" s="84"/>
      <c r="AB20" s="57"/>
      <c r="AC20" s="57"/>
      <c r="AD20" s="57"/>
      <c r="AE20" s="57"/>
      <c r="AF20" s="57"/>
    </row>
    <row r="21" spans="1:42">
      <c r="A21" s="377" t="s">
        <v>1399</v>
      </c>
      <c r="B21" s="512"/>
      <c r="C21" s="509"/>
      <c r="D21" s="69"/>
      <c r="E21" s="349">
        <f>E19*0.96</f>
        <v>0</v>
      </c>
      <c r="F21" s="70"/>
      <c r="G21" s="349">
        <f>G19*0.96</f>
        <v>0</v>
      </c>
      <c r="H21" s="70"/>
      <c r="I21" s="349">
        <f>I19*0.96</f>
        <v>0</v>
      </c>
      <c r="J21" s="70"/>
      <c r="K21" s="71"/>
      <c r="L21" s="349">
        <f>L19*0.96</f>
        <v>0</v>
      </c>
      <c r="M21" s="70"/>
      <c r="N21" s="349">
        <f>N19*0.96</f>
        <v>0</v>
      </c>
      <c r="O21" s="70"/>
      <c r="P21" s="349">
        <f>P19*0.96</f>
        <v>0</v>
      </c>
      <c r="Q21" s="70"/>
      <c r="R21" s="86"/>
      <c r="S21" s="349">
        <f>S19*0.96</f>
        <v>0</v>
      </c>
      <c r="T21" s="70"/>
      <c r="U21" s="349">
        <f>U19*0.96</f>
        <v>0</v>
      </c>
      <c r="V21" s="70"/>
      <c r="W21" s="349">
        <f>W19*0.96</f>
        <v>0</v>
      </c>
      <c r="X21" s="70"/>
      <c r="Y21" s="86"/>
      <c r="AB21" s="57"/>
      <c r="AC21" s="57"/>
      <c r="AD21" s="57"/>
      <c r="AE21" s="57"/>
      <c r="AF21" s="57"/>
      <c r="AH21" s="71"/>
      <c r="AI21" s="71"/>
      <c r="AJ21" s="71"/>
      <c r="AK21" s="71"/>
      <c r="AL21" s="71"/>
      <c r="AM21" s="71"/>
      <c r="AN21" s="72"/>
    </row>
    <row r="22" spans="1:42" s="72" customFormat="1">
      <c r="A22" s="376" t="s">
        <v>1400</v>
      </c>
      <c r="B22" s="512"/>
      <c r="C22" s="513" t="s">
        <v>1401</v>
      </c>
      <c r="D22" s="56"/>
      <c r="E22" s="346" t="e">
        <f>E21*'14-Premies en opslagen'!$C24</f>
        <v>#DIV/0!</v>
      </c>
      <c r="F22" s="67"/>
      <c r="G22" s="346" t="e">
        <f>G21*'14-Premies en opslagen'!$C24</f>
        <v>#DIV/0!</v>
      </c>
      <c r="H22" s="67"/>
      <c r="I22" s="346" t="e">
        <f>I21*'14-Premies en opslagen'!$C24</f>
        <v>#DIV/0!</v>
      </c>
      <c r="J22" s="67"/>
      <c r="K22" s="43"/>
      <c r="L22" s="346" t="e">
        <f>L21*'14-Premies en opslagen'!$C24</f>
        <v>#DIV/0!</v>
      </c>
      <c r="M22" s="67"/>
      <c r="N22" s="346" t="e">
        <f>N21*'14-Premies en opslagen'!$C24</f>
        <v>#DIV/0!</v>
      </c>
      <c r="O22" s="67"/>
      <c r="P22" s="346" t="e">
        <f>P21*'14-Premies en opslagen'!$C24</f>
        <v>#DIV/0!</v>
      </c>
      <c r="Q22" s="67"/>
      <c r="R22" s="84"/>
      <c r="S22" s="346" t="e">
        <f>S21*'14-Premies en opslagen'!$C24</f>
        <v>#DIV/0!</v>
      </c>
      <c r="T22" s="67"/>
      <c r="U22" s="346" t="e">
        <f>U21*'14-Premies en opslagen'!$C24</f>
        <v>#DIV/0!</v>
      </c>
      <c r="V22" s="67"/>
      <c r="W22" s="346" t="e">
        <f>W21*'14-Premies en opslagen'!$C24</f>
        <v>#DIV/0!</v>
      </c>
      <c r="X22" s="67"/>
      <c r="Y22" s="84"/>
      <c r="Z22" s="43"/>
      <c r="AA22" s="43"/>
      <c r="AB22" s="57"/>
      <c r="AC22" s="57"/>
      <c r="AD22" s="57"/>
      <c r="AE22" s="57"/>
      <c r="AF22" s="57"/>
      <c r="AG22" s="43"/>
      <c r="AH22" s="43"/>
      <c r="AI22" s="43"/>
      <c r="AJ22" s="43"/>
      <c r="AK22" s="43"/>
      <c r="AL22" s="43"/>
      <c r="AM22" s="43"/>
      <c r="AN22" s="1"/>
    </row>
    <row r="23" spans="1:42" ht="14.25" customHeight="1">
      <c r="A23" s="374" t="s">
        <v>1402</v>
      </c>
      <c r="B23" s="514"/>
      <c r="C23" s="511"/>
      <c r="D23" s="56"/>
      <c r="E23" s="343" t="e">
        <f>E22+E19</f>
        <v>#DIV/0!</v>
      </c>
      <c r="F23" s="348" t="e">
        <f>IF(E23=0,0,E23/E$47)</f>
        <v>#DIV/0!</v>
      </c>
      <c r="G23" s="343" t="e">
        <f>G22+G19</f>
        <v>#DIV/0!</v>
      </c>
      <c r="H23" s="348" t="e">
        <f>IF(G23=0,0,G23/G$47)</f>
        <v>#DIV/0!</v>
      </c>
      <c r="I23" s="343" t="e">
        <f>I22+I19</f>
        <v>#DIV/0!</v>
      </c>
      <c r="J23" s="348" t="e">
        <f>IF(I23=0,0,I23/I$47)</f>
        <v>#DIV/0!</v>
      </c>
      <c r="L23" s="343" t="e">
        <f>L22+L19</f>
        <v>#DIV/0!</v>
      </c>
      <c r="M23" s="348" t="e">
        <f>IF(L23=0,0,L23/L$47)</f>
        <v>#DIV/0!</v>
      </c>
      <c r="N23" s="343" t="e">
        <f>N22+N19</f>
        <v>#DIV/0!</v>
      </c>
      <c r="O23" s="348" t="e">
        <f>IF(N23=0,0,N23/N$47)</f>
        <v>#DIV/0!</v>
      </c>
      <c r="P23" s="343" t="e">
        <f>P22+P19</f>
        <v>#DIV/0!</v>
      </c>
      <c r="Q23" s="348" t="e">
        <f>IF(P23=0,0,P23/P$47)</f>
        <v>#DIV/0!</v>
      </c>
      <c r="R23" s="85"/>
      <c r="S23" s="343" t="e">
        <f>S22+S19</f>
        <v>#DIV/0!</v>
      </c>
      <c r="T23" s="348" t="e">
        <f>IF(S23=0,0,S23/S$47)</f>
        <v>#DIV/0!</v>
      </c>
      <c r="U23" s="343" t="e">
        <f>U22+U19</f>
        <v>#DIV/0!</v>
      </c>
      <c r="V23" s="348" t="e">
        <f>IF(U23=0,0,U23/U$47)</f>
        <v>#DIV/0!</v>
      </c>
      <c r="W23" s="343" t="e">
        <f>W22+W19</f>
        <v>#DIV/0!</v>
      </c>
      <c r="X23" s="348" t="e">
        <f>IF(W23=0,0,W23/W$47)</f>
        <v>#DIV/0!</v>
      </c>
      <c r="Y23" s="85"/>
      <c r="AB23" s="57"/>
      <c r="AC23" s="57"/>
      <c r="AD23" s="57"/>
      <c r="AE23" s="57"/>
      <c r="AF23" s="57"/>
    </row>
    <row r="24" spans="1:42" ht="12.75" customHeight="1">
      <c r="A24" s="375"/>
      <c r="B24" s="510"/>
      <c r="C24" s="511"/>
      <c r="D24" s="56"/>
      <c r="E24" s="339"/>
      <c r="F24" s="67"/>
      <c r="G24" s="339"/>
      <c r="H24" s="67"/>
      <c r="I24" s="339"/>
      <c r="J24" s="67"/>
      <c r="L24" s="339"/>
      <c r="M24" s="67"/>
      <c r="N24" s="339"/>
      <c r="O24" s="67"/>
      <c r="P24" s="339"/>
      <c r="Q24" s="67"/>
      <c r="R24" s="84"/>
      <c r="S24" s="339"/>
      <c r="T24" s="67"/>
      <c r="U24" s="339"/>
      <c r="V24" s="67"/>
      <c r="W24" s="339"/>
      <c r="X24" s="67"/>
      <c r="Y24" s="84"/>
    </row>
    <row r="25" spans="1:42" ht="12.75" customHeight="1">
      <c r="A25" s="376" t="s">
        <v>1403</v>
      </c>
      <c r="B25" s="512"/>
      <c r="C25" s="513" t="s">
        <v>1401</v>
      </c>
      <c r="D25" s="56"/>
      <c r="E25" s="346" t="e">
        <f>E23*'14-Premies en opslagen'!$B53</f>
        <v>#DIV/0!</v>
      </c>
      <c r="F25" s="67"/>
      <c r="G25" s="346" t="e">
        <f>G23*'14-Premies en opslagen'!$B53</f>
        <v>#DIV/0!</v>
      </c>
      <c r="H25" s="67"/>
      <c r="I25" s="346" t="e">
        <f>I23*'14-Premies en opslagen'!$B53</f>
        <v>#DIV/0!</v>
      </c>
      <c r="J25" s="67"/>
      <c r="L25" s="346" t="e">
        <f>L23*'14-Premies en opslagen'!$B53</f>
        <v>#DIV/0!</v>
      </c>
      <c r="M25" s="67"/>
      <c r="N25" s="346" t="e">
        <f>N23*'14-Premies en opslagen'!$B53</f>
        <v>#DIV/0!</v>
      </c>
      <c r="O25" s="67"/>
      <c r="P25" s="346" t="e">
        <f>P23*'14-Premies en opslagen'!$B53</f>
        <v>#DIV/0!</v>
      </c>
      <c r="Q25" s="67"/>
      <c r="R25" s="84"/>
      <c r="S25" s="346" t="e">
        <f>S23*'14-Premies en opslagen'!$B53</f>
        <v>#DIV/0!</v>
      </c>
      <c r="T25" s="67"/>
      <c r="U25" s="346" t="e">
        <f>U23*'14-Premies en opslagen'!$B53</f>
        <v>#DIV/0!</v>
      </c>
      <c r="V25" s="67"/>
      <c r="W25" s="346" t="e">
        <f>W23*'14-Premies en opslagen'!$B53</f>
        <v>#DIV/0!</v>
      </c>
      <c r="X25" s="67"/>
      <c r="Y25" s="84"/>
    </row>
    <row r="26" spans="1:42">
      <c r="A26" s="374" t="s">
        <v>1404</v>
      </c>
      <c r="B26" s="510"/>
      <c r="C26" s="511"/>
      <c r="D26" s="56"/>
      <c r="E26" s="343" t="e">
        <f>SUM(E23:E25)</f>
        <v>#DIV/0!</v>
      </c>
      <c r="F26" s="348" t="e">
        <f>IF(E26=0,0,E26/E$47)</f>
        <v>#DIV/0!</v>
      </c>
      <c r="G26" s="343" t="e">
        <f>SUM(G23:G25)</f>
        <v>#DIV/0!</v>
      </c>
      <c r="H26" s="348" t="e">
        <f>IF(G26=0,0,G26/G$47)</f>
        <v>#DIV/0!</v>
      </c>
      <c r="I26" s="343" t="e">
        <f>SUM(I23:I25)</f>
        <v>#DIV/0!</v>
      </c>
      <c r="J26" s="348" t="e">
        <f>IF(I26=0,0,I26/I$47)</f>
        <v>#DIV/0!</v>
      </c>
      <c r="L26" s="343" t="e">
        <f>SUM(L23:L25)</f>
        <v>#DIV/0!</v>
      </c>
      <c r="M26" s="348" t="e">
        <f>IF(L26=0,0,L26/L$47)</f>
        <v>#DIV/0!</v>
      </c>
      <c r="N26" s="343" t="e">
        <f>SUM(N23:N25)</f>
        <v>#DIV/0!</v>
      </c>
      <c r="O26" s="348" t="e">
        <f>IF(N26=0,0,N26/N$47)</f>
        <v>#DIV/0!</v>
      </c>
      <c r="P26" s="343" t="e">
        <f>SUM(P23:P25)</f>
        <v>#DIV/0!</v>
      </c>
      <c r="Q26" s="348" t="e">
        <f>IF(P26=0,0,P26/P$47)</f>
        <v>#DIV/0!</v>
      </c>
      <c r="R26" s="85"/>
      <c r="S26" s="343" t="e">
        <f>SUM(S23:S25)</f>
        <v>#DIV/0!</v>
      </c>
      <c r="T26" s="348" t="e">
        <f>IF(S26=0,0,S26/S$47)</f>
        <v>#DIV/0!</v>
      </c>
      <c r="U26" s="343" t="e">
        <f>SUM(U23:U25)</f>
        <v>#DIV/0!</v>
      </c>
      <c r="V26" s="348" t="e">
        <f>IF(U26=0,0,U26/U$47)</f>
        <v>#DIV/0!</v>
      </c>
      <c r="W26" s="343" t="e">
        <f>SUM(W23:W25)</f>
        <v>#DIV/0!</v>
      </c>
      <c r="X26" s="348" t="e">
        <f>IF(W26=0,0,W26/W$47)</f>
        <v>#DIV/0!</v>
      </c>
      <c r="Y26" s="85"/>
    </row>
    <row r="27" spans="1:42">
      <c r="A27" s="375"/>
      <c r="B27" s="510"/>
      <c r="C27" s="511"/>
      <c r="D27" s="56"/>
      <c r="E27" s="339"/>
      <c r="F27" s="67"/>
      <c r="G27" s="339"/>
      <c r="H27" s="67"/>
      <c r="I27" s="339"/>
      <c r="J27" s="67"/>
      <c r="L27" s="339"/>
      <c r="M27" s="67"/>
      <c r="N27" s="339"/>
      <c r="O27" s="67"/>
      <c r="P27" s="339"/>
      <c r="Q27" s="67"/>
      <c r="R27" s="84"/>
      <c r="S27" s="339"/>
      <c r="T27" s="67"/>
      <c r="U27" s="339"/>
      <c r="V27" s="67"/>
      <c r="W27" s="339"/>
      <c r="X27" s="67"/>
      <c r="Y27" s="84"/>
    </row>
    <row r="28" spans="1:42">
      <c r="A28" s="375" t="s">
        <v>1405</v>
      </c>
      <c r="B28" s="515"/>
      <c r="C28" s="503" t="s">
        <v>1406</v>
      </c>
      <c r="D28" s="56"/>
      <c r="E28" s="340">
        <v>0</v>
      </c>
      <c r="F28" s="67">
        <v>0</v>
      </c>
      <c r="G28" s="340">
        <v>0</v>
      </c>
      <c r="H28" s="67">
        <v>0</v>
      </c>
      <c r="I28" s="340">
        <v>0</v>
      </c>
      <c r="J28" s="67">
        <v>0</v>
      </c>
      <c r="L28" s="342"/>
      <c r="M28" s="67">
        <v>0</v>
      </c>
      <c r="N28" s="342"/>
      <c r="O28" s="67">
        <v>0</v>
      </c>
      <c r="P28" s="342"/>
      <c r="Q28" s="67">
        <v>0</v>
      </c>
      <c r="R28" s="84"/>
      <c r="S28" s="342"/>
      <c r="T28" s="67">
        <v>0</v>
      </c>
      <c r="U28" s="342"/>
      <c r="V28" s="67">
        <v>0</v>
      </c>
      <c r="W28" s="342"/>
      <c r="X28" s="67">
        <v>0</v>
      </c>
      <c r="Y28" s="84"/>
    </row>
    <row r="29" spans="1:42">
      <c r="A29" s="375" t="s">
        <v>1407</v>
      </c>
      <c r="B29" s="516"/>
      <c r="C29" s="503" t="s">
        <v>1406</v>
      </c>
      <c r="D29" s="56"/>
      <c r="E29" s="340">
        <v>0</v>
      </c>
      <c r="F29" s="67">
        <v>0</v>
      </c>
      <c r="G29" s="340">
        <v>0</v>
      </c>
      <c r="H29" s="67">
        <v>0</v>
      </c>
      <c r="I29" s="340">
        <v>0</v>
      </c>
      <c r="J29" s="67">
        <v>0</v>
      </c>
      <c r="L29" s="340">
        <v>0</v>
      </c>
      <c r="M29" s="67">
        <v>0</v>
      </c>
      <c r="N29" s="340">
        <v>0</v>
      </c>
      <c r="O29" s="67">
        <v>0</v>
      </c>
      <c r="P29" s="340">
        <v>0</v>
      </c>
      <c r="Q29" s="67">
        <v>0</v>
      </c>
      <c r="R29" s="84"/>
      <c r="S29" s="340">
        <v>0</v>
      </c>
      <c r="T29" s="67">
        <v>0</v>
      </c>
      <c r="U29" s="340">
        <v>0</v>
      </c>
      <c r="V29" s="67">
        <v>0</v>
      </c>
      <c r="W29" s="340">
        <v>0</v>
      </c>
      <c r="X29" s="67">
        <v>0</v>
      </c>
      <c r="Y29" s="84"/>
    </row>
    <row r="30" spans="1:42" ht="12.75" customHeight="1">
      <c r="A30" s="378"/>
      <c r="B30" s="517"/>
      <c r="C30" s="518" t="s">
        <v>1390</v>
      </c>
      <c r="D30" s="56"/>
      <c r="E30" s="340"/>
      <c r="F30" s="67"/>
      <c r="G30" s="340"/>
      <c r="H30" s="67"/>
      <c r="I30" s="340"/>
      <c r="J30" s="67"/>
      <c r="L30" s="340"/>
      <c r="M30" s="67"/>
      <c r="N30" s="340"/>
      <c r="O30" s="67"/>
      <c r="P30" s="340"/>
      <c r="Q30" s="67"/>
      <c r="R30" s="84"/>
      <c r="S30" s="340"/>
      <c r="T30" s="67"/>
      <c r="U30" s="340"/>
      <c r="V30" s="67"/>
      <c r="W30" s="340"/>
      <c r="X30" s="67"/>
      <c r="Y30" s="84"/>
    </row>
    <row r="31" spans="1:42" ht="12.75" customHeight="1">
      <c r="A31" s="374" t="s">
        <v>1408</v>
      </c>
      <c r="B31" s="510"/>
      <c r="C31" s="511"/>
      <c r="D31" s="56"/>
      <c r="E31" s="343" t="e">
        <f>SUM(E26:E30)</f>
        <v>#DIV/0!</v>
      </c>
      <c r="F31" s="348" t="e">
        <f>IF(E31=0,0,E31/E$47)</f>
        <v>#DIV/0!</v>
      </c>
      <c r="G31" s="343" t="e">
        <f>SUM(G26:G30)</f>
        <v>#DIV/0!</v>
      </c>
      <c r="H31" s="348" t="e">
        <f>IF(G31=0,0,G31/G$47)</f>
        <v>#DIV/0!</v>
      </c>
      <c r="I31" s="343" t="e">
        <f>SUM(I26:I30)</f>
        <v>#DIV/0!</v>
      </c>
      <c r="J31" s="348" t="e">
        <f>IF(I31=0,0,I31/I$47)</f>
        <v>#DIV/0!</v>
      </c>
      <c r="L31" s="343" t="e">
        <f>SUM(L26:L30)</f>
        <v>#DIV/0!</v>
      </c>
      <c r="M31" s="348" t="e">
        <f>IF(L31=0,0,L31/L$47)</f>
        <v>#DIV/0!</v>
      </c>
      <c r="N31" s="343" t="e">
        <f>SUM(N26:N30)</f>
        <v>#DIV/0!</v>
      </c>
      <c r="O31" s="348" t="e">
        <f>IF(N31=0,0,N31/N$47)</f>
        <v>#DIV/0!</v>
      </c>
      <c r="P31" s="343" t="e">
        <f>SUM(P26:P30)</f>
        <v>#DIV/0!</v>
      </c>
      <c r="Q31" s="348" t="e">
        <f>IF(P31=0,0,P31/P$47)</f>
        <v>#DIV/0!</v>
      </c>
      <c r="R31" s="85"/>
      <c r="S31" s="343" t="e">
        <f>SUM(S26:S30)</f>
        <v>#DIV/0!</v>
      </c>
      <c r="T31" s="348" t="e">
        <f>IF(S31=0,0,S31/S$47)</f>
        <v>#DIV/0!</v>
      </c>
      <c r="U31" s="343" t="e">
        <f>SUM(U26:U30)</f>
        <v>#DIV/0!</v>
      </c>
      <c r="V31" s="348" t="e">
        <f>IF(U31=0,0,U31/U$47)</f>
        <v>#DIV/0!</v>
      </c>
      <c r="W31" s="343" t="e">
        <f>SUM(W26:W30)</f>
        <v>#DIV/0!</v>
      </c>
      <c r="X31" s="348" t="e">
        <f>IF(W31=0,0,W31/W$47)</f>
        <v>#DIV/0!</v>
      </c>
      <c r="Y31" s="85"/>
    </row>
    <row r="32" spans="1:42" s="43" customFormat="1" ht="12.75" customHeight="1">
      <c r="A32" s="375"/>
      <c r="B32" s="510"/>
      <c r="C32" s="511"/>
      <c r="D32" s="56"/>
      <c r="E32" s="339"/>
      <c r="F32" s="67"/>
      <c r="G32" s="339"/>
      <c r="H32" s="67"/>
      <c r="I32" s="339"/>
      <c r="J32" s="67"/>
      <c r="L32" s="339"/>
      <c r="M32" s="67"/>
      <c r="N32" s="339"/>
      <c r="O32" s="67"/>
      <c r="P32" s="339"/>
      <c r="Q32" s="67"/>
      <c r="R32" s="84"/>
      <c r="S32" s="339"/>
      <c r="T32" s="67"/>
      <c r="U32" s="339"/>
      <c r="V32" s="67"/>
      <c r="W32" s="339"/>
      <c r="X32" s="67"/>
      <c r="Y32" s="84"/>
      <c r="AN32" s="1"/>
      <c r="AO32" s="1"/>
      <c r="AP32" s="1"/>
    </row>
    <row r="33" spans="1:42" s="43" customFormat="1" ht="12.75" customHeight="1">
      <c r="A33" s="375" t="s">
        <v>1409</v>
      </c>
      <c r="B33" s="510"/>
      <c r="C33" s="519"/>
      <c r="D33" s="56"/>
      <c r="E33" s="340">
        <v>0</v>
      </c>
      <c r="F33" s="74" t="e">
        <f t="shared" ref="F33" si="0">E33/$E$47</f>
        <v>#DIV/0!</v>
      </c>
      <c r="G33" s="340">
        <v>0</v>
      </c>
      <c r="H33" s="74" t="e">
        <f t="shared" ref="H33" si="1">G33/$E$47</f>
        <v>#DIV/0!</v>
      </c>
      <c r="I33" s="340">
        <v>0</v>
      </c>
      <c r="J33" s="74" t="e">
        <f t="shared" ref="J33" si="2">I33/$E$47</f>
        <v>#DIV/0!</v>
      </c>
      <c r="L33" s="342"/>
      <c r="M33" s="67">
        <v>0</v>
      </c>
      <c r="N33" s="342"/>
      <c r="O33" s="67">
        <v>0</v>
      </c>
      <c r="P33" s="342"/>
      <c r="Q33" s="74" t="e">
        <f t="shared" ref="Q33" si="3">P33/$E$47</f>
        <v>#DIV/0!</v>
      </c>
      <c r="R33" s="87"/>
      <c r="S33" s="342"/>
      <c r="T33" s="67">
        <v>0</v>
      </c>
      <c r="U33" s="342"/>
      <c r="V33" s="67">
        <v>0</v>
      </c>
      <c r="W33" s="342"/>
      <c r="X33" s="67"/>
      <c r="Y33" s="87"/>
      <c r="AN33" s="1"/>
      <c r="AO33" s="1"/>
      <c r="AP33" s="1"/>
    </row>
    <row r="34" spans="1:42" s="43" customFormat="1" ht="12.75" customHeight="1">
      <c r="A34" s="375" t="s">
        <v>1410</v>
      </c>
      <c r="B34" s="510"/>
      <c r="C34" s="519"/>
      <c r="D34" s="56"/>
      <c r="E34" s="340">
        <v>0</v>
      </c>
      <c r="F34" s="74" t="e">
        <f t="shared" ref="F34:F42" si="4">E34/$E$47</f>
        <v>#DIV/0!</v>
      </c>
      <c r="G34" s="340">
        <v>0</v>
      </c>
      <c r="H34" s="74" t="e">
        <f t="shared" ref="H34:H42" si="5">G34/$E$47</f>
        <v>#DIV/0!</v>
      </c>
      <c r="I34" s="340">
        <v>0</v>
      </c>
      <c r="J34" s="74" t="e">
        <f t="shared" ref="J34:J42" si="6">I34/$E$47</f>
        <v>#DIV/0!</v>
      </c>
      <c r="L34" s="340">
        <v>0</v>
      </c>
      <c r="M34" s="74" t="e">
        <f t="shared" ref="M34:M42" si="7">L34/$E$47</f>
        <v>#DIV/0!</v>
      </c>
      <c r="N34" s="340">
        <v>0</v>
      </c>
      <c r="O34" s="74" t="e">
        <f t="shared" ref="O34:O42" si="8">N34/$E$47</f>
        <v>#DIV/0!</v>
      </c>
      <c r="P34" s="340">
        <v>0</v>
      </c>
      <c r="Q34" s="74" t="e">
        <f t="shared" ref="Q34:Q42" si="9">P34/$E$47</f>
        <v>#DIV/0!</v>
      </c>
      <c r="R34" s="87"/>
      <c r="S34" s="340">
        <v>0</v>
      </c>
      <c r="T34" s="74" t="e">
        <f t="shared" ref="T34:T42" si="10">S34/$E$47</f>
        <v>#DIV/0!</v>
      </c>
      <c r="U34" s="340">
        <v>0</v>
      </c>
      <c r="V34" s="74" t="e">
        <f t="shared" ref="V34:V42" si="11">U34/$E$47</f>
        <v>#DIV/0!</v>
      </c>
      <c r="W34" s="340">
        <v>0</v>
      </c>
      <c r="X34" s="74" t="e">
        <f t="shared" ref="X34:X42" si="12">W34/$E$47</f>
        <v>#DIV/0!</v>
      </c>
      <c r="Y34" s="87"/>
      <c r="AN34" s="1"/>
      <c r="AO34" s="1"/>
      <c r="AP34" s="1"/>
    </row>
    <row r="35" spans="1:42" s="43" customFormat="1" ht="12.75" customHeight="1">
      <c r="A35" s="375" t="s">
        <v>1411</v>
      </c>
      <c r="B35" s="510"/>
      <c r="C35" s="519"/>
      <c r="D35" s="56"/>
      <c r="E35" s="340">
        <v>0</v>
      </c>
      <c r="F35" s="74" t="e">
        <f t="shared" si="4"/>
        <v>#DIV/0!</v>
      </c>
      <c r="G35" s="340">
        <v>0</v>
      </c>
      <c r="H35" s="74" t="e">
        <f t="shared" si="5"/>
        <v>#DIV/0!</v>
      </c>
      <c r="I35" s="340">
        <v>0</v>
      </c>
      <c r="J35" s="74" t="e">
        <f t="shared" si="6"/>
        <v>#DIV/0!</v>
      </c>
      <c r="L35" s="340">
        <v>0</v>
      </c>
      <c r="M35" s="74" t="e">
        <f t="shared" si="7"/>
        <v>#DIV/0!</v>
      </c>
      <c r="N35" s="340">
        <v>0</v>
      </c>
      <c r="O35" s="74" t="e">
        <f t="shared" si="8"/>
        <v>#DIV/0!</v>
      </c>
      <c r="P35" s="340">
        <v>0</v>
      </c>
      <c r="Q35" s="74" t="e">
        <f t="shared" si="9"/>
        <v>#DIV/0!</v>
      </c>
      <c r="R35" s="87"/>
      <c r="S35" s="340">
        <v>0</v>
      </c>
      <c r="T35" s="74" t="e">
        <f t="shared" si="10"/>
        <v>#DIV/0!</v>
      </c>
      <c r="U35" s="340">
        <v>0</v>
      </c>
      <c r="V35" s="74" t="e">
        <f t="shared" si="11"/>
        <v>#DIV/0!</v>
      </c>
      <c r="W35" s="340">
        <v>0</v>
      </c>
      <c r="X35" s="74" t="e">
        <f t="shared" si="12"/>
        <v>#DIV/0!</v>
      </c>
      <c r="Y35" s="87"/>
      <c r="AN35" s="1"/>
      <c r="AO35" s="1"/>
      <c r="AP35" s="1"/>
    </row>
    <row r="36" spans="1:42" s="43" customFormat="1" ht="14.25" customHeight="1">
      <c r="A36" s="375" t="s">
        <v>1412</v>
      </c>
      <c r="B36" s="510"/>
      <c r="C36" s="519"/>
      <c r="D36" s="56"/>
      <c r="E36" s="340">
        <v>0</v>
      </c>
      <c r="F36" s="74" t="e">
        <f t="shared" si="4"/>
        <v>#DIV/0!</v>
      </c>
      <c r="G36" s="340">
        <v>0</v>
      </c>
      <c r="H36" s="74" t="e">
        <f t="shared" si="5"/>
        <v>#DIV/0!</v>
      </c>
      <c r="I36" s="340">
        <v>0</v>
      </c>
      <c r="J36" s="74" t="e">
        <f t="shared" si="6"/>
        <v>#DIV/0!</v>
      </c>
      <c r="L36" s="340">
        <v>0</v>
      </c>
      <c r="M36" s="74" t="e">
        <f t="shared" si="7"/>
        <v>#DIV/0!</v>
      </c>
      <c r="N36" s="340">
        <v>0</v>
      </c>
      <c r="O36" s="74" t="e">
        <f t="shared" si="8"/>
        <v>#DIV/0!</v>
      </c>
      <c r="P36" s="340">
        <v>0</v>
      </c>
      <c r="Q36" s="74" t="e">
        <f t="shared" si="9"/>
        <v>#DIV/0!</v>
      </c>
      <c r="R36" s="87"/>
      <c r="S36" s="340">
        <v>0</v>
      </c>
      <c r="T36" s="74" t="e">
        <f t="shared" si="10"/>
        <v>#DIV/0!</v>
      </c>
      <c r="U36" s="340">
        <v>0</v>
      </c>
      <c r="V36" s="74" t="e">
        <f t="shared" si="11"/>
        <v>#DIV/0!</v>
      </c>
      <c r="W36" s="340">
        <v>0</v>
      </c>
      <c r="X36" s="74" t="e">
        <f t="shared" si="12"/>
        <v>#DIV/0!</v>
      </c>
      <c r="Y36" s="87"/>
      <c r="AN36" s="1"/>
      <c r="AO36" s="1"/>
      <c r="AP36" s="1"/>
    </row>
    <row r="37" spans="1:42" s="43" customFormat="1">
      <c r="A37" s="375" t="s">
        <v>1413</v>
      </c>
      <c r="B37" s="510"/>
      <c r="C37" s="520"/>
      <c r="D37" s="56"/>
      <c r="E37" s="340">
        <v>0</v>
      </c>
      <c r="F37" s="74" t="e">
        <f t="shared" si="4"/>
        <v>#DIV/0!</v>
      </c>
      <c r="G37" s="340">
        <v>0</v>
      </c>
      <c r="H37" s="74" t="e">
        <f t="shared" si="5"/>
        <v>#DIV/0!</v>
      </c>
      <c r="I37" s="340">
        <v>0</v>
      </c>
      <c r="J37" s="74" t="e">
        <f t="shared" si="6"/>
        <v>#DIV/0!</v>
      </c>
      <c r="L37" s="340">
        <v>0</v>
      </c>
      <c r="M37" s="74" t="e">
        <f t="shared" si="7"/>
        <v>#DIV/0!</v>
      </c>
      <c r="N37" s="340">
        <v>0</v>
      </c>
      <c r="O37" s="74" t="e">
        <f t="shared" si="8"/>
        <v>#DIV/0!</v>
      </c>
      <c r="P37" s="340">
        <v>0</v>
      </c>
      <c r="Q37" s="74" t="e">
        <f t="shared" si="9"/>
        <v>#DIV/0!</v>
      </c>
      <c r="R37" s="87"/>
      <c r="S37" s="340">
        <v>0</v>
      </c>
      <c r="T37" s="74" t="e">
        <f t="shared" si="10"/>
        <v>#DIV/0!</v>
      </c>
      <c r="U37" s="340">
        <v>0</v>
      </c>
      <c r="V37" s="74" t="e">
        <f t="shared" si="11"/>
        <v>#DIV/0!</v>
      </c>
      <c r="W37" s="340">
        <v>0</v>
      </c>
      <c r="X37" s="74" t="e">
        <f t="shared" si="12"/>
        <v>#DIV/0!</v>
      </c>
      <c r="Y37" s="87"/>
      <c r="AN37" s="1"/>
      <c r="AO37" s="1"/>
      <c r="AP37" s="1"/>
    </row>
    <row r="38" spans="1:42" s="43" customFormat="1">
      <c r="A38" s="375" t="s">
        <v>1414</v>
      </c>
      <c r="B38" s="510"/>
      <c r="C38" s="519"/>
      <c r="D38" s="56"/>
      <c r="E38" s="340">
        <v>0</v>
      </c>
      <c r="F38" s="74" t="e">
        <f t="shared" si="4"/>
        <v>#DIV/0!</v>
      </c>
      <c r="G38" s="340">
        <v>0</v>
      </c>
      <c r="H38" s="74" t="e">
        <f t="shared" si="5"/>
        <v>#DIV/0!</v>
      </c>
      <c r="I38" s="340">
        <v>0</v>
      </c>
      <c r="J38" s="74" t="e">
        <f t="shared" si="6"/>
        <v>#DIV/0!</v>
      </c>
      <c r="L38" s="340">
        <v>0</v>
      </c>
      <c r="M38" s="74" t="e">
        <f t="shared" si="7"/>
        <v>#DIV/0!</v>
      </c>
      <c r="N38" s="340">
        <v>0</v>
      </c>
      <c r="O38" s="74" t="e">
        <f t="shared" si="8"/>
        <v>#DIV/0!</v>
      </c>
      <c r="P38" s="340">
        <v>0</v>
      </c>
      <c r="Q38" s="74" t="e">
        <f t="shared" si="9"/>
        <v>#DIV/0!</v>
      </c>
      <c r="R38" s="87"/>
      <c r="S38" s="340">
        <v>0</v>
      </c>
      <c r="T38" s="74" t="e">
        <f t="shared" si="10"/>
        <v>#DIV/0!</v>
      </c>
      <c r="U38" s="340">
        <v>0</v>
      </c>
      <c r="V38" s="74" t="e">
        <f t="shared" si="11"/>
        <v>#DIV/0!</v>
      </c>
      <c r="W38" s="340">
        <v>0</v>
      </c>
      <c r="X38" s="74" t="e">
        <f t="shared" si="12"/>
        <v>#DIV/0!</v>
      </c>
      <c r="Y38" s="87"/>
      <c r="AN38" s="1"/>
      <c r="AO38" s="1"/>
      <c r="AP38" s="1"/>
    </row>
    <row r="39" spans="1:42" s="43" customFormat="1">
      <c r="A39" s="375" t="s">
        <v>1415</v>
      </c>
      <c r="B39" s="510"/>
      <c r="C39" s="520"/>
      <c r="D39" s="56"/>
      <c r="E39" s="340">
        <v>0</v>
      </c>
      <c r="F39" s="74" t="e">
        <f t="shared" si="4"/>
        <v>#DIV/0!</v>
      </c>
      <c r="G39" s="340">
        <v>0</v>
      </c>
      <c r="H39" s="74" t="e">
        <f t="shared" si="5"/>
        <v>#DIV/0!</v>
      </c>
      <c r="I39" s="340">
        <v>0</v>
      </c>
      <c r="J39" s="74" t="e">
        <f t="shared" si="6"/>
        <v>#DIV/0!</v>
      </c>
      <c r="L39" s="340">
        <v>0</v>
      </c>
      <c r="M39" s="74" t="e">
        <f t="shared" si="7"/>
        <v>#DIV/0!</v>
      </c>
      <c r="N39" s="340">
        <v>0</v>
      </c>
      <c r="O39" s="74" t="e">
        <f t="shared" si="8"/>
        <v>#DIV/0!</v>
      </c>
      <c r="P39" s="340">
        <v>0</v>
      </c>
      <c r="Q39" s="74" t="e">
        <f t="shared" si="9"/>
        <v>#DIV/0!</v>
      </c>
      <c r="R39" s="87"/>
      <c r="S39" s="340">
        <v>0</v>
      </c>
      <c r="T39" s="74" t="e">
        <f t="shared" si="10"/>
        <v>#DIV/0!</v>
      </c>
      <c r="U39" s="340">
        <v>0</v>
      </c>
      <c r="V39" s="74" t="e">
        <f t="shared" si="11"/>
        <v>#DIV/0!</v>
      </c>
      <c r="W39" s="340">
        <v>0</v>
      </c>
      <c r="X39" s="74" t="e">
        <f t="shared" si="12"/>
        <v>#DIV/0!</v>
      </c>
      <c r="Y39" s="87"/>
      <c r="AN39" s="1"/>
      <c r="AO39" s="1"/>
      <c r="AP39" s="1"/>
    </row>
    <row r="40" spans="1:42" s="43" customFormat="1">
      <c r="A40" s="375" t="s">
        <v>1416</v>
      </c>
      <c r="B40" s="510"/>
      <c r="C40" s="503" t="s">
        <v>1406</v>
      </c>
      <c r="D40" s="56"/>
      <c r="E40" s="340">
        <v>0</v>
      </c>
      <c r="F40" s="74" t="e">
        <f t="shared" si="4"/>
        <v>#DIV/0!</v>
      </c>
      <c r="G40" s="340">
        <v>0</v>
      </c>
      <c r="H40" s="74" t="e">
        <f t="shared" si="5"/>
        <v>#DIV/0!</v>
      </c>
      <c r="I40" s="340">
        <v>0</v>
      </c>
      <c r="J40" s="74" t="e">
        <f t="shared" si="6"/>
        <v>#DIV/0!</v>
      </c>
      <c r="L40" s="340">
        <v>0</v>
      </c>
      <c r="M40" s="74" t="e">
        <f t="shared" si="7"/>
        <v>#DIV/0!</v>
      </c>
      <c r="N40" s="340">
        <v>0</v>
      </c>
      <c r="O40" s="74" t="e">
        <f t="shared" si="8"/>
        <v>#DIV/0!</v>
      </c>
      <c r="P40" s="340">
        <v>0</v>
      </c>
      <c r="Q40" s="74" t="e">
        <f t="shared" si="9"/>
        <v>#DIV/0!</v>
      </c>
      <c r="R40" s="87"/>
      <c r="S40" s="340">
        <v>0</v>
      </c>
      <c r="T40" s="74" t="e">
        <f t="shared" si="10"/>
        <v>#DIV/0!</v>
      </c>
      <c r="U40" s="340">
        <v>0</v>
      </c>
      <c r="V40" s="74" t="e">
        <f t="shared" si="11"/>
        <v>#DIV/0!</v>
      </c>
      <c r="W40" s="340">
        <v>0</v>
      </c>
      <c r="X40" s="74" t="e">
        <f t="shared" si="12"/>
        <v>#DIV/0!</v>
      </c>
      <c r="Y40" s="87"/>
      <c r="AN40" s="1"/>
      <c r="AO40" s="1"/>
      <c r="AP40" s="1"/>
    </row>
    <row r="41" spans="1:42" s="43" customFormat="1">
      <c r="A41" s="375" t="s">
        <v>1417</v>
      </c>
      <c r="B41" s="510"/>
      <c r="C41" s="503"/>
      <c r="D41" s="56"/>
      <c r="E41" s="340">
        <v>0</v>
      </c>
      <c r="F41" s="74" t="e">
        <f t="shared" si="4"/>
        <v>#DIV/0!</v>
      </c>
      <c r="G41" s="340">
        <v>0</v>
      </c>
      <c r="H41" s="74" t="e">
        <f t="shared" si="5"/>
        <v>#DIV/0!</v>
      </c>
      <c r="I41" s="340">
        <v>0</v>
      </c>
      <c r="J41" s="74" t="e">
        <f t="shared" si="6"/>
        <v>#DIV/0!</v>
      </c>
      <c r="L41" s="340">
        <v>0</v>
      </c>
      <c r="M41" s="74" t="e">
        <f t="shared" si="7"/>
        <v>#DIV/0!</v>
      </c>
      <c r="N41" s="340">
        <v>0</v>
      </c>
      <c r="O41" s="74" t="e">
        <f t="shared" si="8"/>
        <v>#DIV/0!</v>
      </c>
      <c r="P41" s="340">
        <v>0</v>
      </c>
      <c r="Q41" s="74" t="e">
        <f t="shared" si="9"/>
        <v>#DIV/0!</v>
      </c>
      <c r="R41" s="87"/>
      <c r="S41" s="340">
        <v>0</v>
      </c>
      <c r="T41" s="74" t="e">
        <f t="shared" si="10"/>
        <v>#DIV/0!</v>
      </c>
      <c r="U41" s="340">
        <v>0</v>
      </c>
      <c r="V41" s="74" t="e">
        <f t="shared" si="11"/>
        <v>#DIV/0!</v>
      </c>
      <c r="W41" s="340">
        <v>0</v>
      </c>
      <c r="X41" s="74" t="e">
        <f t="shared" si="12"/>
        <v>#DIV/0!</v>
      </c>
      <c r="Y41" s="87"/>
      <c r="AN41" s="1"/>
      <c r="AO41" s="1"/>
      <c r="AP41" s="1"/>
    </row>
    <row r="42" spans="1:42" s="43" customFormat="1">
      <c r="A42" s="378"/>
      <c r="B42" s="517"/>
      <c r="C42" s="521"/>
      <c r="D42" s="56"/>
      <c r="E42" s="340">
        <v>0</v>
      </c>
      <c r="F42" s="67" t="e">
        <f t="shared" si="4"/>
        <v>#DIV/0!</v>
      </c>
      <c r="G42" s="340">
        <v>0</v>
      </c>
      <c r="H42" s="67" t="e">
        <f t="shared" si="5"/>
        <v>#DIV/0!</v>
      </c>
      <c r="I42" s="340">
        <v>0</v>
      </c>
      <c r="J42" s="67" t="e">
        <f t="shared" si="6"/>
        <v>#DIV/0!</v>
      </c>
      <c r="L42" s="340">
        <v>0</v>
      </c>
      <c r="M42" s="67" t="e">
        <f t="shared" si="7"/>
        <v>#DIV/0!</v>
      </c>
      <c r="N42" s="340">
        <v>0</v>
      </c>
      <c r="O42" s="67" t="e">
        <f t="shared" si="8"/>
        <v>#DIV/0!</v>
      </c>
      <c r="P42" s="340">
        <v>0</v>
      </c>
      <c r="Q42" s="67" t="e">
        <f t="shared" si="9"/>
        <v>#DIV/0!</v>
      </c>
      <c r="R42" s="84"/>
      <c r="S42" s="340">
        <v>0</v>
      </c>
      <c r="T42" s="67" t="e">
        <f t="shared" si="10"/>
        <v>#DIV/0!</v>
      </c>
      <c r="U42" s="340">
        <v>0</v>
      </c>
      <c r="V42" s="67" t="e">
        <f t="shared" si="11"/>
        <v>#DIV/0!</v>
      </c>
      <c r="W42" s="340">
        <v>0</v>
      </c>
      <c r="X42" s="67" t="e">
        <f t="shared" si="12"/>
        <v>#DIV/0!</v>
      </c>
      <c r="Y42" s="84"/>
      <c r="AN42" s="1"/>
      <c r="AO42" s="1"/>
      <c r="AP42" s="1"/>
    </row>
    <row r="43" spans="1:42" s="43" customFormat="1">
      <c r="A43" s="374" t="s">
        <v>1418</v>
      </c>
      <c r="B43" s="510"/>
      <c r="C43" s="511"/>
      <c r="D43" s="56"/>
      <c r="E43" s="343" t="e">
        <f>SUM(E31:E42)</f>
        <v>#DIV/0!</v>
      </c>
      <c r="F43" s="348" t="e">
        <f>IF(E43=0,0,E43/E$47)</f>
        <v>#DIV/0!</v>
      </c>
      <c r="G43" s="343" t="e">
        <f>SUM(G31:G42)</f>
        <v>#DIV/0!</v>
      </c>
      <c r="H43" s="348" t="e">
        <f>IF(G43=0,0,G43/G$47)</f>
        <v>#DIV/0!</v>
      </c>
      <c r="I43" s="343" t="e">
        <f>SUM(I31:I42)</f>
        <v>#DIV/0!</v>
      </c>
      <c r="J43" s="348" t="e">
        <f>IF(I43=0,0,I43/I$47)</f>
        <v>#DIV/0!</v>
      </c>
      <c r="L43" s="343" t="e">
        <f>SUM(L31:L42)</f>
        <v>#DIV/0!</v>
      </c>
      <c r="M43" s="348" t="e">
        <f>IF(L43=0,0,L43/L$47)</f>
        <v>#DIV/0!</v>
      </c>
      <c r="N43" s="343" t="e">
        <f>SUM(N31:N42)</f>
        <v>#DIV/0!</v>
      </c>
      <c r="O43" s="348" t="e">
        <f>IF(N43=0,0,N43/N$47)</f>
        <v>#DIV/0!</v>
      </c>
      <c r="P43" s="343" t="e">
        <f>SUM(P31:P42)</f>
        <v>#DIV/0!</v>
      </c>
      <c r="Q43" s="348" t="e">
        <f>IF(P43=0,0,P43/P$47)</f>
        <v>#DIV/0!</v>
      </c>
      <c r="R43" s="85"/>
      <c r="S43" s="343" t="e">
        <f>SUM(S31:S42)</f>
        <v>#DIV/0!</v>
      </c>
      <c r="T43" s="348" t="e">
        <f>IF(S43=0,0,S43/S$47)</f>
        <v>#DIV/0!</v>
      </c>
      <c r="U43" s="343" t="e">
        <f>SUM(U31:U42)</f>
        <v>#DIV/0!</v>
      </c>
      <c r="V43" s="348" t="e">
        <f>IF(U43=0,0,U43/U$47)</f>
        <v>#DIV/0!</v>
      </c>
      <c r="W43" s="343" t="e">
        <f>SUM(W31:W42)</f>
        <v>#DIV/0!</v>
      </c>
      <c r="X43" s="348" t="e">
        <f>IF(W43=0,0,W43/W$47)</f>
        <v>#DIV/0!</v>
      </c>
      <c r="Y43" s="85"/>
      <c r="AN43" s="1"/>
      <c r="AO43" s="1"/>
      <c r="AP43" s="1"/>
    </row>
    <row r="44" spans="1:42" s="43" customFormat="1">
      <c r="A44" s="375"/>
      <c r="B44" s="510"/>
      <c r="C44" s="511"/>
      <c r="D44" s="56"/>
      <c r="E44" s="339"/>
      <c r="F44" s="75"/>
      <c r="G44" s="339"/>
      <c r="H44" s="75"/>
      <c r="I44" s="339"/>
      <c r="J44" s="75"/>
      <c r="L44" s="339"/>
      <c r="M44" s="75"/>
      <c r="N44" s="339"/>
      <c r="O44" s="75"/>
      <c r="P44" s="339"/>
      <c r="Q44" s="75"/>
      <c r="R44" s="79"/>
      <c r="S44" s="339"/>
      <c r="T44" s="75"/>
      <c r="U44" s="339"/>
      <c r="V44" s="75"/>
      <c r="W44" s="339"/>
      <c r="X44" s="75"/>
      <c r="Y44" s="79"/>
      <c r="AN44" s="1"/>
      <c r="AO44" s="1"/>
      <c r="AP44" s="1"/>
    </row>
    <row r="45" spans="1:42" s="43" customFormat="1">
      <c r="A45" s="375" t="s">
        <v>1419</v>
      </c>
      <c r="B45" s="510"/>
      <c r="C45" s="520"/>
      <c r="D45" s="56"/>
      <c r="E45" s="340">
        <v>0</v>
      </c>
      <c r="F45" s="348">
        <f>(IF(E45=0,0,E45/E$47))</f>
        <v>0</v>
      </c>
      <c r="G45" s="340"/>
      <c r="H45" s="348">
        <f>(IF(G45=0,0,G45/G$47))</f>
        <v>0</v>
      </c>
      <c r="I45" s="340"/>
      <c r="J45" s="348">
        <f>(IF(I45=0,0,I45/I$47))</f>
        <v>0</v>
      </c>
      <c r="L45" s="340">
        <v>0</v>
      </c>
      <c r="M45" s="348">
        <f>(IF(L45=0,0,L45/L$47))</f>
        <v>0</v>
      </c>
      <c r="N45" s="340">
        <v>0</v>
      </c>
      <c r="O45" s="348">
        <f>(IF(N45=0,0,N45/N$47))</f>
        <v>0</v>
      </c>
      <c r="P45" s="340">
        <v>0</v>
      </c>
      <c r="Q45" s="348">
        <f>(IF(P45=0,0,P45/P$47))</f>
        <v>0</v>
      </c>
      <c r="R45" s="85"/>
      <c r="S45" s="340">
        <v>0</v>
      </c>
      <c r="T45" s="348">
        <f>(IF(S45=0,0,S45/S$47))</f>
        <v>0</v>
      </c>
      <c r="U45" s="340">
        <v>0</v>
      </c>
      <c r="V45" s="348">
        <f>(IF(U45=0,0,U45/U$47))</f>
        <v>0</v>
      </c>
      <c r="W45" s="340">
        <v>0</v>
      </c>
      <c r="X45" s="348">
        <f>(IF(W45=0,0,W45/W$47))</f>
        <v>0</v>
      </c>
      <c r="Y45" s="85"/>
      <c r="AN45" s="1"/>
      <c r="AO45" s="1"/>
      <c r="AP45" s="1"/>
    </row>
    <row r="46" spans="1:42" s="43" customFormat="1" ht="30" customHeight="1">
      <c r="A46" s="375"/>
      <c r="B46" s="522"/>
      <c r="C46" s="511"/>
      <c r="D46" s="56"/>
      <c r="E46" s="339"/>
      <c r="F46" s="67"/>
      <c r="G46" s="339"/>
      <c r="H46" s="67"/>
      <c r="I46" s="339"/>
      <c r="J46" s="67"/>
      <c r="L46" s="339"/>
      <c r="M46" s="67"/>
      <c r="N46" s="339"/>
      <c r="O46" s="67"/>
      <c r="P46" s="339"/>
      <c r="Q46" s="67"/>
      <c r="R46" s="84"/>
      <c r="S46" s="339"/>
      <c r="T46" s="67"/>
      <c r="U46" s="339"/>
      <c r="V46" s="67"/>
      <c r="W46" s="339"/>
      <c r="X46" s="67"/>
      <c r="Y46" s="84"/>
      <c r="Z46" s="71"/>
      <c r="AA46" s="71"/>
      <c r="AB46" s="71"/>
      <c r="AC46" s="71"/>
      <c r="AD46" s="71"/>
      <c r="AE46" s="71"/>
      <c r="AF46" s="71"/>
      <c r="AN46" s="1"/>
      <c r="AO46" s="1"/>
      <c r="AP46" s="1"/>
    </row>
    <row r="47" spans="1:42" s="43" customFormat="1">
      <c r="A47" s="374" t="s">
        <v>1420</v>
      </c>
      <c r="B47" s="523"/>
      <c r="C47" s="524"/>
      <c r="D47" s="56"/>
      <c r="E47" s="76" t="e">
        <f t="shared" ref="E47:J47" si="13">SUM(E43:E46)</f>
        <v>#DIV/0!</v>
      </c>
      <c r="F47" s="77" t="e">
        <f t="shared" si="13"/>
        <v>#DIV/0!</v>
      </c>
      <c r="G47" s="76" t="e">
        <f t="shared" si="13"/>
        <v>#DIV/0!</v>
      </c>
      <c r="H47" s="77" t="e">
        <f t="shared" si="13"/>
        <v>#DIV/0!</v>
      </c>
      <c r="I47" s="76" t="e">
        <f t="shared" si="13"/>
        <v>#DIV/0!</v>
      </c>
      <c r="J47" s="77" t="e">
        <f t="shared" si="13"/>
        <v>#DIV/0!</v>
      </c>
      <c r="L47" s="76" t="e">
        <f t="shared" ref="L47:Q47" si="14">SUM(L43:L46)</f>
        <v>#DIV/0!</v>
      </c>
      <c r="M47" s="77" t="e">
        <f t="shared" si="14"/>
        <v>#DIV/0!</v>
      </c>
      <c r="N47" s="76" t="e">
        <f t="shared" si="14"/>
        <v>#DIV/0!</v>
      </c>
      <c r="O47" s="77" t="e">
        <f t="shared" si="14"/>
        <v>#DIV/0!</v>
      </c>
      <c r="P47" s="76" t="e">
        <f t="shared" si="14"/>
        <v>#DIV/0!</v>
      </c>
      <c r="Q47" s="77" t="e">
        <f t="shared" si="14"/>
        <v>#DIV/0!</v>
      </c>
      <c r="R47" s="88"/>
      <c r="S47" s="76" t="e">
        <f t="shared" ref="S47:X47" si="15">SUM(S43:S46)</f>
        <v>#DIV/0!</v>
      </c>
      <c r="T47" s="77" t="e">
        <f t="shared" si="15"/>
        <v>#DIV/0!</v>
      </c>
      <c r="U47" s="76" t="e">
        <f t="shared" si="15"/>
        <v>#DIV/0!</v>
      </c>
      <c r="V47" s="77" t="e">
        <f t="shared" si="15"/>
        <v>#DIV/0!</v>
      </c>
      <c r="W47" s="76" t="e">
        <f t="shared" si="15"/>
        <v>#DIV/0!</v>
      </c>
      <c r="X47" s="77" t="e">
        <f t="shared" si="15"/>
        <v>#DIV/0!</v>
      </c>
      <c r="Y47" s="88"/>
      <c r="Z47" s="71"/>
      <c r="AA47" s="71"/>
      <c r="AB47" s="71"/>
      <c r="AC47" s="71"/>
      <c r="AD47" s="71"/>
      <c r="AE47" s="71"/>
      <c r="AF47" s="71"/>
      <c r="AG47" s="71"/>
      <c r="AN47" s="1"/>
      <c r="AO47" s="1"/>
      <c r="AP47" s="1"/>
    </row>
    <row r="48" spans="1:42" s="43" customFormat="1">
      <c r="B48" s="78"/>
      <c r="C48" s="525"/>
      <c r="D48" s="56"/>
      <c r="E48" s="73"/>
      <c r="F48" s="79"/>
      <c r="G48" s="73"/>
      <c r="H48" s="79"/>
      <c r="I48" s="73"/>
      <c r="J48" s="79"/>
      <c r="L48" s="73"/>
      <c r="M48" s="79"/>
      <c r="N48" s="73"/>
      <c r="O48" s="79"/>
      <c r="P48" s="73"/>
      <c r="Q48" s="79"/>
      <c r="R48" s="79"/>
      <c r="S48" s="73"/>
      <c r="T48" s="79"/>
      <c r="U48" s="73"/>
      <c r="V48" s="79"/>
      <c r="W48" s="73"/>
      <c r="X48" s="79"/>
      <c r="Y48" s="79"/>
      <c r="Z48" s="71"/>
      <c r="AA48" s="71"/>
      <c r="AB48" s="71"/>
      <c r="AC48" s="71"/>
      <c r="AD48" s="71"/>
      <c r="AE48" s="71"/>
      <c r="AF48" s="71"/>
      <c r="AG48" s="71"/>
      <c r="AH48" s="71"/>
      <c r="AN48" s="1"/>
      <c r="AO48" s="1"/>
      <c r="AP48" s="1"/>
    </row>
    <row r="49" spans="1:40" s="72" customFormat="1">
      <c r="A49" s="71"/>
      <c r="B49" s="80"/>
      <c r="C49" s="81"/>
      <c r="D49" s="71"/>
      <c r="E49" s="71"/>
      <c r="F49" s="82"/>
      <c r="G49" s="71"/>
      <c r="H49" s="82"/>
      <c r="I49" s="71"/>
      <c r="J49" s="82"/>
      <c r="K49" s="71"/>
      <c r="L49" s="71"/>
      <c r="M49" s="82"/>
      <c r="N49" s="71"/>
      <c r="O49" s="82"/>
      <c r="P49" s="71"/>
      <c r="Q49" s="82"/>
      <c r="R49" s="82"/>
      <c r="S49" s="71"/>
      <c r="T49" s="82"/>
      <c r="U49" s="71"/>
      <c r="V49" s="82"/>
      <c r="W49" s="71"/>
      <c r="X49" s="82"/>
      <c r="Y49" s="82"/>
      <c r="Z49" s="71"/>
      <c r="AA49" s="71"/>
      <c r="AB49" s="71"/>
      <c r="AC49" s="71"/>
      <c r="AD49" s="71"/>
      <c r="AE49" s="43"/>
      <c r="AF49" s="71"/>
      <c r="AG49" s="71"/>
      <c r="AH49" s="71"/>
      <c r="AI49" s="71"/>
      <c r="AJ49" s="71"/>
      <c r="AK49" s="71"/>
      <c r="AL49" s="71"/>
      <c r="AM49" s="71"/>
    </row>
    <row r="50" spans="1:40" s="72" customFormat="1">
      <c r="A50" s="71"/>
      <c r="B50" s="80"/>
      <c r="C50" s="81"/>
      <c r="D50" s="71"/>
      <c r="E50" s="71"/>
      <c r="F50" s="82"/>
      <c r="G50" s="71"/>
      <c r="H50" s="82"/>
      <c r="I50" s="71"/>
      <c r="J50" s="82"/>
      <c r="K50" s="71"/>
      <c r="L50" s="71"/>
      <c r="M50" s="82"/>
      <c r="N50" s="71"/>
      <c r="O50" s="82"/>
      <c r="P50" s="71"/>
      <c r="Q50" s="82"/>
      <c r="R50" s="82"/>
      <c r="S50" s="71"/>
      <c r="T50" s="82"/>
      <c r="U50" s="71"/>
      <c r="V50" s="82"/>
      <c r="W50" s="71"/>
      <c r="X50" s="82"/>
      <c r="Y50" s="82"/>
      <c r="Z50" s="71"/>
      <c r="AA50" s="71"/>
      <c r="AB50" s="71"/>
      <c r="AC50" s="71"/>
      <c r="AD50" s="71"/>
      <c r="AE50" s="43"/>
      <c r="AF50" s="71"/>
      <c r="AG50" s="71"/>
      <c r="AH50" s="71"/>
      <c r="AI50" s="71"/>
      <c r="AJ50" s="71"/>
      <c r="AK50" s="71"/>
      <c r="AL50" s="71"/>
      <c r="AM50" s="71"/>
    </row>
    <row r="51" spans="1:40" s="72" customFormat="1">
      <c r="A51" s="71"/>
      <c r="B51" s="71"/>
      <c r="C51" s="83"/>
      <c r="D51" s="71"/>
      <c r="E51" s="71"/>
      <c r="F51" s="82"/>
      <c r="G51" s="71"/>
      <c r="H51" s="82"/>
      <c r="I51" s="71"/>
      <c r="J51" s="82"/>
      <c r="K51" s="71"/>
      <c r="L51" s="71"/>
      <c r="M51" s="82"/>
      <c r="N51" s="71"/>
      <c r="O51" s="82"/>
      <c r="P51" s="71"/>
      <c r="Q51" s="82"/>
      <c r="R51" s="82"/>
      <c r="S51" s="71"/>
      <c r="T51" s="82"/>
      <c r="U51" s="71"/>
      <c r="V51" s="82"/>
      <c r="W51" s="71"/>
      <c r="X51" s="82"/>
      <c r="Y51" s="82"/>
      <c r="Z51" s="71"/>
      <c r="AA51" s="71"/>
      <c r="AB51" s="71"/>
      <c r="AC51" s="71"/>
      <c r="AD51" s="71"/>
      <c r="AE51" s="43"/>
      <c r="AF51" s="71"/>
      <c r="AG51" s="71"/>
      <c r="AH51" s="71"/>
      <c r="AI51" s="71"/>
      <c r="AJ51" s="71"/>
      <c r="AK51" s="71"/>
      <c r="AL51" s="71"/>
      <c r="AM51" s="71"/>
    </row>
    <row r="52" spans="1:40" s="72" customFormat="1">
      <c r="A52" s="71"/>
      <c r="B52" s="71"/>
      <c r="C52" s="83"/>
      <c r="D52" s="71"/>
      <c r="E52" s="71"/>
      <c r="F52" s="82"/>
      <c r="G52" s="71"/>
      <c r="H52" s="82"/>
      <c r="I52" s="71"/>
      <c r="J52" s="82"/>
      <c r="K52" s="71"/>
      <c r="L52" s="71"/>
      <c r="M52" s="82"/>
      <c r="N52" s="71"/>
      <c r="O52" s="82"/>
      <c r="P52" s="71"/>
      <c r="Q52" s="82"/>
      <c r="R52" s="82"/>
      <c r="S52" s="71"/>
      <c r="T52" s="82"/>
      <c r="U52" s="71"/>
      <c r="V52" s="82"/>
      <c r="W52" s="71"/>
      <c r="X52" s="82"/>
      <c r="Y52" s="82"/>
      <c r="Z52" s="71"/>
      <c r="AA52" s="71"/>
      <c r="AB52" s="71"/>
      <c r="AC52" s="71"/>
      <c r="AD52" s="71"/>
      <c r="AE52" s="43"/>
      <c r="AF52" s="71"/>
      <c r="AG52" s="71"/>
      <c r="AH52" s="71"/>
      <c r="AI52" s="71"/>
      <c r="AJ52" s="71"/>
      <c r="AK52" s="71"/>
      <c r="AL52" s="71"/>
      <c r="AM52" s="71"/>
    </row>
    <row r="53" spans="1:40" s="72" customFormat="1">
      <c r="A53" s="43"/>
      <c r="B53" s="71"/>
      <c r="C53" s="83"/>
      <c r="D53" s="71"/>
      <c r="E53" s="71"/>
      <c r="F53" s="82"/>
      <c r="G53" s="71"/>
      <c r="H53" s="82"/>
      <c r="I53" s="71"/>
      <c r="J53" s="82"/>
      <c r="K53" s="71"/>
      <c r="L53" s="71"/>
      <c r="M53" s="82"/>
      <c r="N53" s="71"/>
      <c r="O53" s="82"/>
      <c r="P53" s="71"/>
      <c r="Q53" s="82"/>
      <c r="R53" s="82"/>
      <c r="S53" s="71"/>
      <c r="T53" s="82"/>
      <c r="U53" s="71"/>
      <c r="V53" s="82"/>
      <c r="W53" s="71"/>
      <c r="X53" s="82"/>
      <c r="Y53" s="82"/>
      <c r="Z53" s="71"/>
      <c r="AA53" s="71"/>
      <c r="AB53" s="71"/>
      <c r="AC53" s="71"/>
      <c r="AD53" s="71"/>
      <c r="AE53" s="43"/>
      <c r="AF53" s="43"/>
      <c r="AG53" s="71"/>
      <c r="AH53" s="71"/>
      <c r="AI53" s="71"/>
      <c r="AJ53" s="71"/>
      <c r="AK53" s="71"/>
      <c r="AL53" s="71"/>
      <c r="AM53" s="71"/>
    </row>
    <row r="54" spans="1:40" s="72" customFormat="1">
      <c r="A54" s="71"/>
      <c r="B54" s="71"/>
      <c r="C54" s="83"/>
      <c r="D54" s="71"/>
      <c r="E54" s="71"/>
      <c r="F54" s="82"/>
      <c r="G54" s="71"/>
      <c r="H54" s="82"/>
      <c r="I54" s="71"/>
      <c r="J54" s="82"/>
      <c r="K54" s="71"/>
      <c r="L54" s="71"/>
      <c r="M54" s="82"/>
      <c r="N54" s="71"/>
      <c r="O54" s="82"/>
      <c r="P54" s="71"/>
      <c r="Q54" s="82"/>
      <c r="R54" s="82"/>
      <c r="S54" s="71"/>
      <c r="T54" s="82"/>
      <c r="U54" s="71"/>
      <c r="V54" s="82"/>
      <c r="W54" s="71"/>
      <c r="X54" s="82"/>
      <c r="Y54" s="82"/>
      <c r="Z54" s="71"/>
      <c r="AA54" s="71"/>
      <c r="AB54" s="71"/>
      <c r="AC54" s="71"/>
      <c r="AD54" s="71"/>
      <c r="AE54" s="43"/>
      <c r="AF54" s="43"/>
      <c r="AG54" s="71"/>
      <c r="AH54" s="71"/>
      <c r="AI54" s="71"/>
      <c r="AJ54" s="71"/>
      <c r="AK54" s="71"/>
      <c r="AL54" s="71"/>
      <c r="AM54" s="71"/>
    </row>
    <row r="55" spans="1:40" s="72" customFormat="1">
      <c r="A55" s="71"/>
      <c r="B55" s="71"/>
      <c r="C55" s="83"/>
      <c r="D55" s="71"/>
      <c r="E55" s="71"/>
      <c r="F55" s="82"/>
      <c r="G55" s="71"/>
      <c r="H55" s="82"/>
      <c r="I55" s="71"/>
      <c r="J55" s="82"/>
      <c r="K55" s="71"/>
      <c r="L55" s="71"/>
      <c r="M55" s="82"/>
      <c r="N55" s="71"/>
      <c r="O55" s="82"/>
      <c r="P55" s="71"/>
      <c r="Q55" s="82"/>
      <c r="R55" s="82"/>
      <c r="S55" s="71"/>
      <c r="T55" s="82"/>
      <c r="U55" s="71"/>
      <c r="V55" s="82"/>
      <c r="W55" s="71"/>
      <c r="X55" s="82"/>
      <c r="Y55" s="82"/>
      <c r="Z55" s="71"/>
      <c r="AA55" s="71"/>
      <c r="AB55" s="71"/>
      <c r="AC55" s="71"/>
      <c r="AD55" s="71"/>
      <c r="AE55" s="43"/>
      <c r="AF55" s="43"/>
      <c r="AG55" s="71"/>
      <c r="AH55" s="71"/>
      <c r="AI55" s="71"/>
      <c r="AJ55" s="71"/>
      <c r="AK55" s="71"/>
      <c r="AL55" s="71"/>
      <c r="AM55" s="71"/>
    </row>
    <row r="56" spans="1:40" s="72" customFormat="1">
      <c r="A56" s="71"/>
      <c r="B56" s="71"/>
      <c r="C56" s="83"/>
      <c r="D56" s="71"/>
      <c r="E56" s="71"/>
      <c r="F56" s="82"/>
      <c r="G56" s="71"/>
      <c r="H56" s="82"/>
      <c r="I56" s="71"/>
      <c r="J56" s="82"/>
      <c r="K56" s="71"/>
      <c r="L56" s="71"/>
      <c r="M56" s="82"/>
      <c r="N56" s="71"/>
      <c r="O56" s="82"/>
      <c r="P56" s="71"/>
      <c r="Q56" s="82"/>
      <c r="R56" s="82"/>
      <c r="S56" s="71"/>
      <c r="T56" s="82"/>
      <c r="U56" s="71"/>
      <c r="V56" s="82"/>
      <c r="W56" s="71"/>
      <c r="X56" s="82"/>
      <c r="Y56" s="82"/>
      <c r="Z56" s="71"/>
      <c r="AA56" s="71"/>
      <c r="AB56" s="71"/>
      <c r="AC56" s="71"/>
      <c r="AD56" s="71"/>
      <c r="AE56" s="43"/>
      <c r="AF56" s="43"/>
      <c r="AG56" s="71"/>
      <c r="AH56" s="71"/>
      <c r="AI56" s="71"/>
      <c r="AJ56" s="71"/>
      <c r="AK56" s="71"/>
      <c r="AL56" s="71"/>
      <c r="AM56" s="71"/>
    </row>
    <row r="57" spans="1:40" s="72" customFormat="1">
      <c r="A57" s="71"/>
      <c r="B57" s="71"/>
      <c r="C57" s="83"/>
      <c r="D57" s="71"/>
      <c r="E57" s="71"/>
      <c r="F57" s="82"/>
      <c r="G57" s="71"/>
      <c r="H57" s="82"/>
      <c r="I57" s="71"/>
      <c r="J57" s="82"/>
      <c r="K57" s="71"/>
      <c r="L57" s="71"/>
      <c r="M57" s="82"/>
      <c r="N57" s="71"/>
      <c r="O57" s="82"/>
      <c r="P57" s="71"/>
      <c r="Q57" s="82"/>
      <c r="R57" s="82"/>
      <c r="S57" s="71"/>
      <c r="T57" s="82"/>
      <c r="U57" s="71"/>
      <c r="V57" s="82"/>
      <c r="W57" s="71"/>
      <c r="X57" s="82"/>
      <c r="Y57" s="82"/>
      <c r="Z57" s="71"/>
      <c r="AA57" s="71"/>
      <c r="AB57" s="71"/>
      <c r="AC57" s="71"/>
      <c r="AD57" s="71"/>
      <c r="AE57" s="43"/>
      <c r="AF57" s="43"/>
      <c r="AG57" s="71"/>
      <c r="AH57" s="71"/>
      <c r="AI57" s="71"/>
      <c r="AJ57" s="71"/>
      <c r="AK57" s="71"/>
      <c r="AL57" s="71"/>
      <c r="AM57" s="71"/>
    </row>
    <row r="58" spans="1:40" s="72" customFormat="1">
      <c r="A58" s="71"/>
      <c r="B58" s="71"/>
      <c r="C58" s="83"/>
      <c r="D58" s="71"/>
      <c r="E58" s="71"/>
      <c r="F58" s="82"/>
      <c r="G58" s="71"/>
      <c r="H58" s="82"/>
      <c r="I58" s="71"/>
      <c r="J58" s="82"/>
      <c r="K58" s="71"/>
      <c r="L58" s="71"/>
      <c r="M58" s="82"/>
      <c r="N58" s="71"/>
      <c r="O58" s="82"/>
      <c r="P58" s="71"/>
      <c r="Q58" s="82"/>
      <c r="R58" s="82"/>
      <c r="S58" s="71"/>
      <c r="T58" s="82"/>
      <c r="U58" s="71"/>
      <c r="V58" s="82"/>
      <c r="W58" s="71"/>
      <c r="X58" s="82"/>
      <c r="Y58" s="82"/>
      <c r="Z58" s="71"/>
      <c r="AA58" s="71"/>
      <c r="AB58" s="71"/>
      <c r="AC58" s="71"/>
      <c r="AD58" s="71"/>
      <c r="AE58" s="43"/>
      <c r="AF58" s="43"/>
      <c r="AG58" s="71"/>
      <c r="AH58" s="71"/>
      <c r="AI58" s="71"/>
      <c r="AJ58" s="71"/>
      <c r="AK58" s="71"/>
      <c r="AL58" s="71"/>
      <c r="AM58" s="71"/>
    </row>
    <row r="59" spans="1:40" s="72" customFormat="1">
      <c r="A59" s="71"/>
      <c r="B59" s="71"/>
      <c r="C59" s="83"/>
      <c r="D59" s="71"/>
      <c r="E59" s="71"/>
      <c r="F59" s="82"/>
      <c r="G59" s="71"/>
      <c r="H59" s="82"/>
      <c r="I59" s="71"/>
      <c r="J59" s="82"/>
      <c r="K59" s="71"/>
      <c r="L59" s="71"/>
      <c r="M59" s="82"/>
      <c r="N59" s="71"/>
      <c r="O59" s="82"/>
      <c r="P59" s="71"/>
      <c r="Q59" s="82"/>
      <c r="R59" s="82"/>
      <c r="S59" s="71"/>
      <c r="T59" s="82"/>
      <c r="U59" s="71"/>
      <c r="V59" s="82"/>
      <c r="W59" s="71"/>
      <c r="X59" s="82"/>
      <c r="Y59" s="82"/>
      <c r="Z59" s="71"/>
      <c r="AA59" s="71"/>
      <c r="AB59" s="71"/>
      <c r="AC59" s="71"/>
      <c r="AD59" s="71"/>
      <c r="AE59" s="43"/>
      <c r="AF59" s="43"/>
      <c r="AG59" s="43"/>
      <c r="AH59" s="71"/>
      <c r="AI59" s="71"/>
      <c r="AJ59" s="71"/>
      <c r="AK59" s="71"/>
      <c r="AL59" s="71"/>
      <c r="AM59" s="71"/>
    </row>
    <row r="60" spans="1:40" s="72" customFormat="1">
      <c r="A60" s="71"/>
      <c r="B60" s="71"/>
      <c r="C60" s="83"/>
      <c r="D60" s="71"/>
      <c r="E60" s="43"/>
      <c r="F60" s="82"/>
      <c r="G60" s="43"/>
      <c r="H60" s="82"/>
      <c r="I60" s="43"/>
      <c r="J60" s="82"/>
      <c r="K60" s="71"/>
      <c r="L60" s="43"/>
      <c r="M60" s="82"/>
      <c r="N60" s="43"/>
      <c r="O60" s="82"/>
      <c r="P60" s="43"/>
      <c r="Q60" s="82"/>
      <c r="R60" s="82"/>
      <c r="S60" s="43"/>
      <c r="T60" s="82"/>
      <c r="U60" s="43"/>
      <c r="V60" s="82"/>
      <c r="W60" s="43"/>
      <c r="X60" s="82"/>
      <c r="Y60" s="82"/>
      <c r="Z60" s="71"/>
      <c r="AA60" s="71"/>
      <c r="AB60" s="71"/>
      <c r="AC60" s="71"/>
      <c r="AD60" s="71"/>
      <c r="AE60" s="43"/>
      <c r="AF60" s="43"/>
      <c r="AG60" s="43"/>
      <c r="AH60" s="43"/>
      <c r="AI60" s="71"/>
      <c r="AJ60" s="71"/>
      <c r="AK60" s="71"/>
      <c r="AL60" s="71"/>
      <c r="AM60" s="71"/>
    </row>
    <row r="61" spans="1:40" s="72" customForma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71"/>
      <c r="AA61" s="71"/>
      <c r="AB61" s="71"/>
      <c r="AC61" s="71"/>
      <c r="AD61" s="71"/>
      <c r="AE61" s="43"/>
      <c r="AF61" s="43"/>
      <c r="AG61" s="43"/>
      <c r="AH61" s="43"/>
      <c r="AI61" s="43"/>
      <c r="AJ61" s="43"/>
      <c r="AK61" s="43"/>
      <c r="AL61" s="43"/>
      <c r="AM61" s="43"/>
      <c r="AN61" s="1"/>
    </row>
    <row r="62" spans="1:40">
      <c r="Z62" s="71"/>
      <c r="AA62" s="71"/>
      <c r="AB62" s="71"/>
      <c r="AC62" s="71"/>
      <c r="AD62" s="71"/>
    </row>
    <row r="63" spans="1:40">
      <c r="Z63" s="71"/>
      <c r="AA63" s="71"/>
      <c r="AB63" s="71"/>
      <c r="AC63" s="71"/>
      <c r="AD63" s="71"/>
    </row>
    <row r="64" spans="1:40">
      <c r="Z64" s="71"/>
      <c r="AA64" s="71"/>
      <c r="AB64" s="71"/>
      <c r="AC64" s="71"/>
      <c r="AD64" s="71"/>
    </row>
    <row r="65" spans="26:30">
      <c r="Z65" s="71"/>
      <c r="AA65" s="71"/>
      <c r="AB65" s="71"/>
      <c r="AC65" s="71"/>
      <c r="AD65" s="71"/>
    </row>
    <row r="66" spans="26:30">
      <c r="Z66" s="71"/>
      <c r="AA66" s="71"/>
      <c r="AB66" s="71"/>
      <c r="AC66" s="71"/>
      <c r="AD66" s="71"/>
    </row>
    <row r="67" spans="26:30">
      <c r="AD67" s="71"/>
    </row>
  </sheetData>
  <dataConsolidate/>
  <mergeCells count="12">
    <mergeCell ref="Z1:AF2"/>
    <mergeCell ref="Z3:AF3"/>
    <mergeCell ref="Z4:AF5"/>
    <mergeCell ref="E10:F10"/>
    <mergeCell ref="S10:T10"/>
    <mergeCell ref="U10:V10"/>
    <mergeCell ref="W10:X10"/>
    <mergeCell ref="G10:H10"/>
    <mergeCell ref="I10:J10"/>
    <mergeCell ref="L10:M10"/>
    <mergeCell ref="N10:O10"/>
    <mergeCell ref="P10:Q10"/>
  </mergeCells>
  <pageMargins left="0.19685039370078741" right="0.19685039370078741" top="0.59055118110236227" bottom="0.78740157480314965" header="0.39370078740157483" footer="0.19685039370078741"/>
  <pageSetup paperSize="9" scale="55" fitToWidth="0" orientation="landscape" horizontalDpi="4294967292" verticalDpi="4294967292" r:id="rId1"/>
  <headerFooter alignWithMargins="0">
    <oddFooter>&amp;L&amp;"Verdana,Standaard"&amp;F-&amp;A
Atir b.v. ©&amp;R&amp;"Verdana,Standaard"printversie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DC44-67BB-4EDC-A684-7FC3DB4B4ADE}">
  <dimension ref="A1:AM41"/>
  <sheetViews>
    <sheetView showGridLines="0" workbookViewId="0">
      <selection activeCell="F24" sqref="F24"/>
    </sheetView>
  </sheetViews>
  <sheetFormatPr defaultColWidth="11.42578125" defaultRowHeight="13.15"/>
  <cols>
    <col min="1" max="1" width="35.85546875" style="43" customWidth="1"/>
    <col min="2" max="7" width="7.5703125" style="43" customWidth="1"/>
    <col min="8" max="8" width="3.28515625" style="43" customWidth="1"/>
    <col min="9" max="9" width="35.85546875" style="43" customWidth="1"/>
    <col min="10" max="15" width="7.5703125" style="43" customWidth="1"/>
    <col min="16" max="16" width="3.5703125" style="43" customWidth="1"/>
    <col min="17" max="17" width="35.85546875" style="43" customWidth="1"/>
    <col min="18" max="23" width="7.5703125" style="43" customWidth="1"/>
    <col min="24" max="25" width="12.28515625" style="43" customWidth="1"/>
    <col min="26" max="26" width="27.5703125" style="43" customWidth="1"/>
    <col min="27" max="33" width="11.42578125" style="43"/>
    <col min="34" max="34" width="10.5703125" style="43" customWidth="1"/>
    <col min="35" max="39" width="11.42578125" style="43"/>
    <col min="40" max="16384" width="11.42578125" style="1"/>
  </cols>
  <sheetData>
    <row r="1" spans="1:36" ht="16.149999999999999">
      <c r="A1" s="318" t="s">
        <v>0</v>
      </c>
      <c r="B1" s="4"/>
      <c r="C1" s="5"/>
      <c r="D1" s="5"/>
      <c r="E1" s="5"/>
      <c r="F1" s="5"/>
      <c r="G1" s="5"/>
      <c r="H1" s="5"/>
      <c r="I1" s="5"/>
      <c r="J1" s="5"/>
      <c r="K1" s="5"/>
      <c r="L1" s="5"/>
      <c r="M1" s="5"/>
      <c r="N1" s="5"/>
      <c r="O1" s="5"/>
      <c r="P1" s="5"/>
      <c r="Q1" s="5"/>
      <c r="R1" s="5"/>
      <c r="S1" s="5"/>
      <c r="T1" s="5"/>
      <c r="U1" s="5"/>
      <c r="V1" s="5"/>
      <c r="W1" s="5"/>
      <c r="X1" s="5"/>
      <c r="Y1" s="5"/>
      <c r="Z1" s="579"/>
      <c r="AA1" s="579"/>
      <c r="AB1" s="579"/>
      <c r="AC1" s="579"/>
      <c r="AD1" s="579"/>
      <c r="AE1" s="579"/>
      <c r="AF1" s="579"/>
    </row>
    <row r="2" spans="1:36" ht="15">
      <c r="A2" s="47"/>
      <c r="B2" s="48"/>
      <c r="C2" s="49"/>
      <c r="D2" s="48"/>
      <c r="E2" s="50"/>
      <c r="F2" s="51"/>
      <c r="G2" s="50"/>
      <c r="H2" s="51"/>
      <c r="I2" s="47"/>
      <c r="J2" s="48"/>
      <c r="K2" s="49"/>
      <c r="L2" s="48"/>
      <c r="M2" s="50"/>
      <c r="N2" s="51"/>
      <c r="O2" s="50"/>
      <c r="P2" s="50"/>
      <c r="Q2" s="47"/>
      <c r="R2" s="48"/>
      <c r="S2" s="49"/>
      <c r="T2" s="48"/>
      <c r="U2" s="50"/>
      <c r="V2" s="51"/>
      <c r="W2" s="50"/>
      <c r="X2" s="51"/>
      <c r="Y2" s="51"/>
      <c r="Z2" s="579"/>
      <c r="AA2" s="579"/>
      <c r="AB2" s="579"/>
      <c r="AC2" s="579"/>
      <c r="AD2" s="579"/>
      <c r="AE2" s="579"/>
      <c r="AF2" s="579"/>
    </row>
    <row r="3" spans="1:36" ht="18.600000000000001">
      <c r="A3" s="7" t="str">
        <f>'[92]1-Inschrijfstaat'!A3</f>
        <v>Naam opdrachtgever</v>
      </c>
      <c r="B3" s="8" t="str">
        <f>'[92]1-Inschrijfstaat'!B3</f>
        <v>GVB Infra B.V.</v>
      </c>
      <c r="C3" s="52"/>
      <c r="D3" s="48"/>
      <c r="E3" s="53"/>
      <c r="F3" s="54"/>
      <c r="G3" s="53"/>
      <c r="H3" s="54"/>
      <c r="I3" s="7"/>
      <c r="J3" s="8"/>
      <c r="K3" s="52"/>
      <c r="L3" s="48"/>
      <c r="M3" s="53"/>
      <c r="N3" s="54"/>
      <c r="O3" s="53"/>
      <c r="P3" s="53"/>
      <c r="Q3" s="7"/>
      <c r="R3" s="8"/>
      <c r="S3" s="52"/>
      <c r="T3" s="48"/>
      <c r="U3" s="53"/>
      <c r="V3" s="54"/>
      <c r="W3" s="53"/>
      <c r="X3" s="54"/>
      <c r="Y3" s="54"/>
      <c r="Z3" s="579"/>
      <c r="AA3" s="579"/>
      <c r="AB3" s="579"/>
      <c r="AC3" s="579"/>
      <c r="AD3" s="579"/>
      <c r="AE3" s="579"/>
      <c r="AF3" s="579"/>
    </row>
    <row r="4" spans="1:36" ht="18.600000000000001">
      <c r="A4" s="7" t="str">
        <f>'[92]1-Inschrijfstaat'!A4</f>
        <v>Calculatie onderdeel</v>
      </c>
      <c r="B4" s="8" t="e">
        <f ca="1">MID(CELL("bestandsnaam",$D$11),SEARCH("]",CELL("bestandsnaam",$D$11),1)+1,256)</f>
        <v>#VALUE!</v>
      </c>
      <c r="C4" s="55"/>
      <c r="D4" s="56"/>
      <c r="I4" s="7"/>
      <c r="J4" s="8"/>
      <c r="K4" s="55"/>
      <c r="L4" s="56"/>
      <c r="Q4" s="7"/>
      <c r="R4" s="8"/>
      <c r="S4" s="55"/>
      <c r="T4" s="56"/>
      <c r="Z4" s="579"/>
      <c r="AA4" s="579"/>
      <c r="AB4" s="579"/>
      <c r="AC4" s="579"/>
      <c r="AD4" s="579"/>
      <c r="AE4" s="579"/>
      <c r="AF4" s="579"/>
    </row>
    <row r="5" spans="1:36" ht="18.600000000000001">
      <c r="A5" s="7" t="str">
        <f>'[92]1-Inschrijfstaat'!A5</f>
        <v>Gebouw/plaats</v>
      </c>
      <c r="B5" s="8" t="str">
        <f>'[92]1-Inschrijfstaat'!B5</f>
        <v>Diverse</v>
      </c>
      <c r="C5" s="55"/>
      <c r="D5" s="56"/>
      <c r="I5" s="7"/>
      <c r="J5" s="8"/>
      <c r="K5" s="55"/>
      <c r="L5" s="56"/>
      <c r="Q5" s="7"/>
      <c r="R5" s="8"/>
      <c r="S5" s="55"/>
      <c r="T5" s="56"/>
      <c r="Z5" s="579"/>
      <c r="AA5" s="579"/>
      <c r="AB5" s="579"/>
      <c r="AC5" s="579"/>
      <c r="AD5" s="579"/>
      <c r="AE5" s="579"/>
      <c r="AF5" s="579"/>
    </row>
    <row r="6" spans="1:36" ht="18.600000000000001">
      <c r="A6" s="7" t="str">
        <f>'[92]1-Inschrijfstaat'!A6</f>
        <v>Referentienummer</v>
      </c>
      <c r="B6" s="8" t="str">
        <f>'[92]1-Inschrijfstaat'!B6</f>
        <v>2024-20</v>
      </c>
      <c r="C6" s="55"/>
      <c r="D6" s="56"/>
      <c r="I6" s="7"/>
      <c r="J6" s="8"/>
      <c r="K6" s="55"/>
      <c r="L6" s="56"/>
      <c r="Q6" s="7"/>
      <c r="R6" s="8"/>
      <c r="S6" s="55"/>
      <c r="T6" s="56"/>
      <c r="Z6" s="57"/>
      <c r="AA6" s="57"/>
      <c r="AB6" s="57"/>
      <c r="AC6" s="57"/>
      <c r="AD6" s="57"/>
      <c r="AE6" s="57"/>
      <c r="AF6" s="57"/>
    </row>
    <row r="7" spans="1:36" ht="18.600000000000001">
      <c r="A7" s="7" t="str">
        <f>'[92]1-Inschrijfstaat'!A7</f>
        <v>Naam leverancier</v>
      </c>
      <c r="B7" s="8" t="str">
        <f>'[92]1-Inschrijfstaat'!B7</f>
        <v>Voorcalculatie</v>
      </c>
      <c r="C7" s="55"/>
      <c r="D7" s="56"/>
      <c r="I7" s="7"/>
      <c r="J7" s="8"/>
      <c r="K7" s="55"/>
      <c r="L7" s="56"/>
      <c r="Q7" s="7"/>
      <c r="R7" s="8"/>
      <c r="S7" s="55"/>
      <c r="T7" s="56"/>
      <c r="Z7" s="57"/>
      <c r="AA7" s="57"/>
      <c r="AB7" s="57"/>
      <c r="AC7" s="57"/>
      <c r="AD7" s="57"/>
      <c r="AE7" s="57"/>
      <c r="AF7" s="57"/>
    </row>
    <row r="8" spans="1:36" ht="18.600000000000001">
      <c r="A8" s="7" t="str">
        <f>'[92]1-Inschrijfstaat'!A8</f>
        <v>Prijspeil</v>
      </c>
      <c r="B8" s="405" t="str">
        <f>'[92]1-Inschrijfstaat'!B8</f>
        <v>1 januari 2025</v>
      </c>
      <c r="C8" s="55"/>
      <c r="D8" s="56"/>
      <c r="I8" s="7"/>
      <c r="J8" s="405"/>
      <c r="K8" s="55"/>
      <c r="L8" s="56"/>
      <c r="Q8" s="7"/>
      <c r="R8" s="405"/>
      <c r="S8" s="55"/>
      <c r="T8" s="56"/>
      <c r="AB8" s="57"/>
      <c r="AC8" s="57"/>
      <c r="AD8" s="57"/>
      <c r="AE8" s="57"/>
      <c r="AF8" s="57"/>
      <c r="AG8" s="58"/>
    </row>
    <row r="9" spans="1:36" s="72" customFormat="1">
      <c r="A9" s="71"/>
      <c r="B9" s="71"/>
      <c r="C9" s="83"/>
      <c r="D9" s="71"/>
      <c r="E9" s="71"/>
      <c r="F9" s="82"/>
      <c r="G9" s="71"/>
      <c r="H9" s="82"/>
      <c r="I9" s="71"/>
      <c r="J9" s="71"/>
      <c r="K9" s="83"/>
      <c r="L9" s="71"/>
      <c r="M9" s="71"/>
      <c r="N9" s="82"/>
      <c r="O9" s="71"/>
      <c r="P9" s="71"/>
      <c r="Q9" s="71"/>
      <c r="R9" s="71"/>
      <c r="S9" s="83"/>
      <c r="T9" s="71"/>
      <c r="U9" s="71"/>
      <c r="V9" s="82"/>
      <c r="W9" s="71"/>
      <c r="X9" s="82"/>
      <c r="Y9" s="82"/>
      <c r="Z9" s="71"/>
      <c r="AA9" s="71"/>
      <c r="AB9" s="71"/>
      <c r="AC9" s="71"/>
      <c r="AD9" s="71"/>
      <c r="AE9" s="43"/>
      <c r="AF9" s="43"/>
      <c r="AG9" s="71"/>
      <c r="AH9" s="71"/>
      <c r="AI9" s="71"/>
      <c r="AJ9" s="71"/>
    </row>
    <row r="10" spans="1:36" s="72" customFormat="1" ht="30">
      <c r="A10" s="372" t="s">
        <v>1381</v>
      </c>
      <c r="B10" s="585" t="s">
        <v>1421</v>
      </c>
      <c r="C10" s="586"/>
      <c r="D10" s="586"/>
      <c r="E10" s="586"/>
      <c r="F10" s="586"/>
      <c r="G10" s="586"/>
      <c r="H10" s="82"/>
      <c r="I10" s="372" t="s">
        <v>1382</v>
      </c>
      <c r="J10" s="585" t="s">
        <v>1421</v>
      </c>
      <c r="K10" s="586"/>
      <c r="L10" s="586"/>
      <c r="M10" s="586"/>
      <c r="N10" s="586"/>
      <c r="O10" s="586"/>
      <c r="P10" s="71"/>
      <c r="Q10" s="372" t="s">
        <v>1383</v>
      </c>
      <c r="R10" s="585" t="s">
        <v>1421</v>
      </c>
      <c r="S10" s="586"/>
      <c r="T10" s="586"/>
      <c r="U10" s="586"/>
      <c r="V10" s="586"/>
      <c r="W10" s="586"/>
      <c r="X10" s="82"/>
      <c r="Y10" s="82"/>
      <c r="Z10" s="71"/>
      <c r="AA10" s="71"/>
      <c r="AB10" s="71"/>
      <c r="AC10" s="71"/>
      <c r="AD10" s="71"/>
      <c r="AE10" s="43"/>
      <c r="AF10" s="43"/>
      <c r="AG10" s="71"/>
      <c r="AH10" s="71"/>
      <c r="AI10" s="71"/>
      <c r="AJ10" s="71"/>
    </row>
    <row r="11" spans="1:36" s="72" customFormat="1">
      <c r="A11" s="373"/>
      <c r="B11" s="439">
        <v>1</v>
      </c>
      <c r="C11" s="439">
        <v>2</v>
      </c>
      <c r="D11" s="439">
        <v>3</v>
      </c>
      <c r="E11" s="439">
        <v>4</v>
      </c>
      <c r="F11" s="439">
        <v>5</v>
      </c>
      <c r="G11" s="439">
        <v>6</v>
      </c>
      <c r="H11" s="82"/>
      <c r="I11" s="373"/>
      <c r="J11" s="439">
        <v>1</v>
      </c>
      <c r="K11" s="439">
        <v>2</v>
      </c>
      <c r="L11" s="439">
        <v>3</v>
      </c>
      <c r="M11" s="439">
        <v>4</v>
      </c>
      <c r="N11" s="439">
        <v>5</v>
      </c>
      <c r="O11" s="439">
        <v>6</v>
      </c>
      <c r="P11" s="71"/>
      <c r="Q11" s="373"/>
      <c r="R11" s="439">
        <v>1</v>
      </c>
      <c r="S11" s="439">
        <v>2</v>
      </c>
      <c r="T11" s="439">
        <v>3</v>
      </c>
      <c r="U11" s="439">
        <v>4</v>
      </c>
      <c r="V11" s="439">
        <v>5</v>
      </c>
      <c r="W11" s="439">
        <v>6</v>
      </c>
      <c r="X11" s="82"/>
      <c r="Y11" s="82"/>
      <c r="Z11" s="71"/>
      <c r="AA11" s="71"/>
      <c r="AB11" s="71"/>
      <c r="AC11" s="71"/>
      <c r="AD11" s="71"/>
      <c r="AE11" s="43"/>
      <c r="AF11" s="43"/>
      <c r="AG11" s="71"/>
      <c r="AH11" s="71"/>
      <c r="AI11" s="71"/>
      <c r="AJ11" s="71"/>
    </row>
    <row r="12" spans="1:36" s="72" customFormat="1">
      <c r="A12" s="373" t="s">
        <v>1422</v>
      </c>
      <c r="B12" s="341">
        <v>0</v>
      </c>
      <c r="C12" s="341">
        <v>0</v>
      </c>
      <c r="D12" s="341">
        <v>0</v>
      </c>
      <c r="E12" s="341">
        <v>0</v>
      </c>
      <c r="F12" s="341">
        <v>0</v>
      </c>
      <c r="G12" s="341">
        <v>0</v>
      </c>
      <c r="H12" s="82"/>
      <c r="I12" s="373" t="s">
        <v>1422</v>
      </c>
      <c r="J12" s="341">
        <v>0</v>
      </c>
      <c r="K12" s="341">
        <v>0</v>
      </c>
      <c r="L12" s="341">
        <v>0</v>
      </c>
      <c r="M12" s="341">
        <v>0</v>
      </c>
      <c r="N12" s="341">
        <v>0</v>
      </c>
      <c r="O12" s="341">
        <v>0</v>
      </c>
      <c r="P12" s="71"/>
      <c r="Q12" s="373" t="s">
        <v>1422</v>
      </c>
      <c r="R12" s="341">
        <v>0</v>
      </c>
      <c r="S12" s="341">
        <v>0</v>
      </c>
      <c r="T12" s="341">
        <v>0</v>
      </c>
      <c r="U12" s="341">
        <v>0</v>
      </c>
      <c r="V12" s="341">
        <v>0</v>
      </c>
      <c r="W12" s="341">
        <v>0</v>
      </c>
      <c r="X12" s="82"/>
      <c r="Y12" s="82"/>
      <c r="Z12" s="71"/>
      <c r="AA12" s="71"/>
      <c r="AB12" s="71"/>
      <c r="AC12" s="71"/>
      <c r="AD12" s="71"/>
      <c r="AE12" s="43"/>
      <c r="AF12" s="43"/>
      <c r="AG12" s="71"/>
      <c r="AH12" s="71"/>
      <c r="AI12" s="71"/>
      <c r="AJ12" s="71"/>
    </row>
    <row r="13" spans="1:36" s="72" customFormat="1">
      <c r="A13" s="373" t="s">
        <v>1423</v>
      </c>
      <c r="B13" s="341">
        <v>0</v>
      </c>
      <c r="C13" s="341">
        <v>0</v>
      </c>
      <c r="D13" s="341">
        <v>0</v>
      </c>
      <c r="E13" s="341">
        <v>0</v>
      </c>
      <c r="F13" s="341">
        <v>0</v>
      </c>
      <c r="G13" s="341">
        <v>0</v>
      </c>
      <c r="H13" s="82"/>
      <c r="I13" s="373" t="s">
        <v>1423</v>
      </c>
      <c r="J13" s="341">
        <v>0</v>
      </c>
      <c r="K13" s="341">
        <v>0</v>
      </c>
      <c r="L13" s="341">
        <v>0</v>
      </c>
      <c r="M13" s="341">
        <v>0</v>
      </c>
      <c r="N13" s="341">
        <v>0</v>
      </c>
      <c r="O13" s="341">
        <v>0</v>
      </c>
      <c r="P13" s="71"/>
      <c r="Q13" s="373" t="s">
        <v>1423</v>
      </c>
      <c r="R13" s="341">
        <v>0</v>
      </c>
      <c r="S13" s="341">
        <v>0</v>
      </c>
      <c r="T13" s="341">
        <v>0</v>
      </c>
      <c r="U13" s="341">
        <v>0</v>
      </c>
      <c r="V13" s="341">
        <v>0</v>
      </c>
      <c r="W13" s="341">
        <v>0</v>
      </c>
      <c r="X13" s="82"/>
      <c r="Y13" s="82"/>
      <c r="Z13" s="71"/>
      <c r="AA13" s="71"/>
      <c r="AB13" s="71"/>
      <c r="AC13" s="71"/>
      <c r="AD13" s="71"/>
      <c r="AE13" s="43"/>
      <c r="AF13" s="43"/>
      <c r="AG13" s="71"/>
      <c r="AH13" s="71"/>
      <c r="AI13" s="71"/>
      <c r="AJ13" s="71"/>
    </row>
    <row r="14" spans="1:36" s="72" customFormat="1">
      <c r="A14" s="373" t="s">
        <v>1424</v>
      </c>
      <c r="B14" s="341">
        <v>0</v>
      </c>
      <c r="C14" s="341">
        <v>0</v>
      </c>
      <c r="D14" s="341">
        <v>0</v>
      </c>
      <c r="E14" s="341">
        <v>0</v>
      </c>
      <c r="F14" s="341">
        <v>0</v>
      </c>
      <c r="G14" s="341">
        <v>0</v>
      </c>
      <c r="H14" s="82"/>
      <c r="I14" s="373" t="s">
        <v>1424</v>
      </c>
      <c r="J14" s="341">
        <v>0</v>
      </c>
      <c r="K14" s="341">
        <v>0</v>
      </c>
      <c r="L14" s="341">
        <v>0</v>
      </c>
      <c r="M14" s="341">
        <v>0</v>
      </c>
      <c r="N14" s="341">
        <v>0</v>
      </c>
      <c r="O14" s="341">
        <v>0</v>
      </c>
      <c r="P14" s="71"/>
      <c r="Q14" s="373" t="s">
        <v>1424</v>
      </c>
      <c r="R14" s="341">
        <v>0</v>
      </c>
      <c r="S14" s="341">
        <v>0</v>
      </c>
      <c r="T14" s="341">
        <v>0</v>
      </c>
      <c r="U14" s="341">
        <v>0</v>
      </c>
      <c r="V14" s="341">
        <v>0</v>
      </c>
      <c r="W14" s="341">
        <v>0</v>
      </c>
      <c r="X14" s="82"/>
      <c r="Y14" s="82"/>
      <c r="Z14" s="71"/>
      <c r="AA14" s="71"/>
      <c r="AB14" s="71"/>
      <c r="AC14" s="71"/>
      <c r="AD14" s="71"/>
      <c r="AE14" s="43"/>
      <c r="AF14" s="43"/>
      <c r="AG14" s="43"/>
      <c r="AH14" s="71"/>
      <c r="AI14" s="71"/>
      <c r="AJ14" s="71"/>
    </row>
    <row r="15" spans="1:36" s="72" customFormat="1">
      <c r="A15" s="373" t="s">
        <v>1425</v>
      </c>
      <c r="B15" s="341">
        <v>0</v>
      </c>
      <c r="C15" s="341">
        <v>0</v>
      </c>
      <c r="D15" s="341">
        <v>0</v>
      </c>
      <c r="E15" s="341">
        <v>0</v>
      </c>
      <c r="F15" s="341">
        <v>0</v>
      </c>
      <c r="G15" s="341">
        <v>0</v>
      </c>
      <c r="H15" s="82"/>
      <c r="I15" s="373" t="s">
        <v>1425</v>
      </c>
      <c r="J15" s="341">
        <v>0</v>
      </c>
      <c r="K15" s="341">
        <v>0</v>
      </c>
      <c r="L15" s="341">
        <v>0</v>
      </c>
      <c r="M15" s="341">
        <v>0</v>
      </c>
      <c r="N15" s="341">
        <v>0</v>
      </c>
      <c r="O15" s="341">
        <v>0</v>
      </c>
      <c r="P15" s="43"/>
      <c r="Q15" s="373" t="s">
        <v>1425</v>
      </c>
      <c r="R15" s="341">
        <v>0</v>
      </c>
      <c r="S15" s="341">
        <v>0</v>
      </c>
      <c r="T15" s="341">
        <v>0</v>
      </c>
      <c r="U15" s="341">
        <v>0</v>
      </c>
      <c r="V15" s="341">
        <v>0</v>
      </c>
      <c r="W15" s="341">
        <v>0</v>
      </c>
      <c r="X15" s="82"/>
      <c r="Y15" s="82"/>
      <c r="Z15" s="71"/>
      <c r="AA15" s="71"/>
      <c r="AB15" s="71"/>
      <c r="AC15" s="71"/>
      <c r="AD15" s="71"/>
      <c r="AE15" s="43"/>
      <c r="AF15" s="43"/>
      <c r="AG15" s="43"/>
      <c r="AH15" s="43"/>
      <c r="AI15" s="71"/>
      <c r="AJ15" s="71"/>
    </row>
    <row r="16" spans="1:36" s="72" customFormat="1">
      <c r="A16" s="373" t="s">
        <v>1426</v>
      </c>
      <c r="B16" s="341">
        <v>0</v>
      </c>
      <c r="C16" s="341">
        <v>0</v>
      </c>
      <c r="D16" s="341">
        <v>0</v>
      </c>
      <c r="E16" s="341">
        <v>0</v>
      </c>
      <c r="F16" s="341">
        <v>0</v>
      </c>
      <c r="G16" s="341">
        <v>0</v>
      </c>
      <c r="H16" s="43"/>
      <c r="I16" s="373" t="s">
        <v>1426</v>
      </c>
      <c r="J16" s="341">
        <v>0</v>
      </c>
      <c r="K16" s="341">
        <v>0</v>
      </c>
      <c r="L16" s="341">
        <v>0</v>
      </c>
      <c r="M16" s="341">
        <v>0</v>
      </c>
      <c r="N16" s="341">
        <v>0</v>
      </c>
      <c r="O16" s="341">
        <v>0</v>
      </c>
      <c r="P16" s="43"/>
      <c r="Q16" s="373" t="s">
        <v>1426</v>
      </c>
      <c r="R16" s="341">
        <v>0</v>
      </c>
      <c r="S16" s="341">
        <v>0</v>
      </c>
      <c r="T16" s="341">
        <v>0</v>
      </c>
      <c r="U16" s="341">
        <v>0</v>
      </c>
      <c r="V16" s="341">
        <v>0</v>
      </c>
      <c r="W16" s="341">
        <v>0</v>
      </c>
      <c r="X16" s="43"/>
      <c r="Y16" s="43"/>
      <c r="Z16" s="71"/>
      <c r="AA16" s="71"/>
      <c r="AB16" s="71"/>
      <c r="AC16" s="71"/>
      <c r="AD16" s="71"/>
      <c r="AE16" s="43"/>
      <c r="AF16" s="43"/>
      <c r="AG16" s="43"/>
      <c r="AH16" s="43"/>
      <c r="AI16" s="43"/>
      <c r="AJ16" s="43"/>
    </row>
    <row r="17" spans="1:36">
      <c r="A17" s="373" t="s">
        <v>1427</v>
      </c>
      <c r="B17" s="341">
        <v>0</v>
      </c>
      <c r="C17" s="341">
        <v>0</v>
      </c>
      <c r="D17" s="341">
        <v>0</v>
      </c>
      <c r="E17" s="341">
        <v>0</v>
      </c>
      <c r="F17" s="341">
        <v>0</v>
      </c>
      <c r="G17" s="341">
        <v>0</v>
      </c>
      <c r="I17" s="373" t="s">
        <v>1427</v>
      </c>
      <c r="J17" s="341">
        <v>0</v>
      </c>
      <c r="K17" s="341">
        <v>0</v>
      </c>
      <c r="L17" s="341">
        <v>0</v>
      </c>
      <c r="M17" s="341">
        <v>0</v>
      </c>
      <c r="N17" s="341">
        <v>0</v>
      </c>
      <c r="O17" s="341">
        <v>0</v>
      </c>
      <c r="Q17" s="373" t="s">
        <v>1427</v>
      </c>
      <c r="R17" s="341">
        <v>0</v>
      </c>
      <c r="S17" s="341">
        <v>0</v>
      </c>
      <c r="T17" s="341">
        <v>0</v>
      </c>
      <c r="U17" s="341">
        <v>0</v>
      </c>
      <c r="V17" s="341">
        <v>0</v>
      </c>
      <c r="W17" s="341">
        <v>0</v>
      </c>
      <c r="Z17" s="71"/>
      <c r="AA17" s="71"/>
      <c r="AB17" s="71"/>
      <c r="AC17" s="71"/>
      <c r="AD17" s="71"/>
    </row>
    <row r="18" spans="1:36">
      <c r="A18" s="373" t="s">
        <v>1428</v>
      </c>
      <c r="B18" s="341">
        <v>0</v>
      </c>
      <c r="C18" s="341">
        <v>0</v>
      </c>
      <c r="D18" s="341">
        <v>0</v>
      </c>
      <c r="E18" s="341">
        <v>0</v>
      </c>
      <c r="F18" s="341">
        <v>0</v>
      </c>
      <c r="G18" s="341">
        <v>0</v>
      </c>
      <c r="I18" s="373" t="s">
        <v>1428</v>
      </c>
      <c r="J18" s="341">
        <v>0</v>
      </c>
      <c r="K18" s="341">
        <v>0</v>
      </c>
      <c r="L18" s="341">
        <v>0</v>
      </c>
      <c r="M18" s="341">
        <v>0</v>
      </c>
      <c r="N18" s="341">
        <v>0</v>
      </c>
      <c r="O18" s="341">
        <v>0</v>
      </c>
      <c r="Q18" s="373" t="s">
        <v>1428</v>
      </c>
      <c r="R18" s="341">
        <v>0</v>
      </c>
      <c r="S18" s="341">
        <v>0</v>
      </c>
      <c r="T18" s="341">
        <v>0</v>
      </c>
      <c r="U18" s="341">
        <v>0</v>
      </c>
      <c r="V18" s="341">
        <v>0</v>
      </c>
      <c r="W18" s="341">
        <v>0</v>
      </c>
      <c r="Z18" s="71"/>
      <c r="AA18" s="71"/>
      <c r="AB18" s="71"/>
      <c r="AC18" s="71"/>
      <c r="AD18" s="71"/>
    </row>
    <row r="19" spans="1:36">
      <c r="Z19" s="71"/>
      <c r="AA19" s="71"/>
      <c r="AB19" s="71"/>
      <c r="AC19" s="71"/>
      <c r="AD19" s="71"/>
    </row>
    <row r="20" spans="1:36" ht="15">
      <c r="A20" s="372" t="s">
        <v>1270</v>
      </c>
      <c r="B20" s="582" t="s">
        <v>1429</v>
      </c>
      <c r="C20" s="583"/>
      <c r="D20" s="583"/>
      <c r="E20" s="583"/>
      <c r="F20" s="583"/>
      <c r="G20" s="584"/>
      <c r="I20" s="372" t="s">
        <v>1270</v>
      </c>
      <c r="J20" s="582" t="s">
        <v>1429</v>
      </c>
      <c r="K20" s="583"/>
      <c r="L20" s="583"/>
      <c r="M20" s="583"/>
      <c r="N20" s="583"/>
      <c r="O20" s="584"/>
      <c r="Q20" s="372" t="s">
        <v>1270</v>
      </c>
      <c r="R20" s="582" t="s">
        <v>1429</v>
      </c>
      <c r="S20" s="583"/>
      <c r="T20" s="583"/>
      <c r="U20" s="583"/>
      <c r="V20" s="583"/>
      <c r="W20" s="584"/>
      <c r="Z20" s="71"/>
      <c r="AA20" s="71"/>
      <c r="AB20" s="71"/>
      <c r="AC20" s="71"/>
      <c r="AD20" s="71"/>
    </row>
    <row r="21" spans="1:36" s="72" customFormat="1">
      <c r="A21" s="373"/>
      <c r="B21" s="439">
        <v>1</v>
      </c>
      <c r="C21" s="439">
        <v>2</v>
      </c>
      <c r="D21" s="439">
        <v>3</v>
      </c>
      <c r="E21" s="439">
        <v>4</v>
      </c>
      <c r="F21" s="439">
        <v>5</v>
      </c>
      <c r="G21" s="439">
        <v>6</v>
      </c>
      <c r="H21" s="82"/>
      <c r="I21" s="373"/>
      <c r="J21" s="439">
        <v>1</v>
      </c>
      <c r="K21" s="439">
        <v>2</v>
      </c>
      <c r="L21" s="439">
        <v>3</v>
      </c>
      <c r="M21" s="439">
        <v>4</v>
      </c>
      <c r="N21" s="439">
        <v>5</v>
      </c>
      <c r="O21" s="439">
        <v>6</v>
      </c>
      <c r="P21" s="71"/>
      <c r="Q21" s="373"/>
      <c r="R21" s="439">
        <v>1</v>
      </c>
      <c r="S21" s="439">
        <v>2</v>
      </c>
      <c r="T21" s="439">
        <v>3</v>
      </c>
      <c r="U21" s="439">
        <v>4</v>
      </c>
      <c r="V21" s="439">
        <v>5</v>
      </c>
      <c r="W21" s="439">
        <v>6</v>
      </c>
      <c r="X21" s="82"/>
      <c r="Y21" s="82"/>
      <c r="Z21" s="71"/>
      <c r="AA21" s="71"/>
      <c r="AB21" s="71"/>
      <c r="AC21" s="71"/>
      <c r="AD21" s="71"/>
      <c r="AE21" s="43"/>
      <c r="AF21" s="43"/>
      <c r="AG21" s="71"/>
      <c r="AH21" s="71"/>
      <c r="AI21" s="71"/>
      <c r="AJ21" s="71"/>
    </row>
    <row r="22" spans="1:36">
      <c r="A22" s="373" t="s">
        <v>1422</v>
      </c>
      <c r="B22" s="440"/>
      <c r="C22" s="440"/>
      <c r="D22" s="440"/>
      <c r="E22" s="440"/>
      <c r="F22" s="440"/>
      <c r="G22" s="440"/>
      <c r="I22" s="373" t="s">
        <v>1422</v>
      </c>
      <c r="J22" s="440"/>
      <c r="K22" s="440"/>
      <c r="L22" s="440"/>
      <c r="M22" s="440"/>
      <c r="N22" s="440"/>
      <c r="O22" s="440"/>
      <c r="Q22" s="373" t="s">
        <v>1422</v>
      </c>
      <c r="R22" s="440"/>
      <c r="S22" s="440"/>
      <c r="T22" s="440"/>
      <c r="U22" s="440"/>
      <c r="V22" s="440"/>
      <c r="W22" s="440"/>
    </row>
    <row r="23" spans="1:36">
      <c r="A23" s="373" t="s">
        <v>1423</v>
      </c>
      <c r="B23" s="440"/>
      <c r="C23" s="440"/>
      <c r="D23" s="440"/>
      <c r="E23" s="440"/>
      <c r="F23" s="440"/>
      <c r="G23" s="440"/>
      <c r="I23" s="373" t="s">
        <v>1423</v>
      </c>
      <c r="J23" s="440"/>
      <c r="K23" s="440"/>
      <c r="L23" s="440"/>
      <c r="M23" s="440"/>
      <c r="N23" s="440"/>
      <c r="O23" s="440"/>
      <c r="Q23" s="373" t="s">
        <v>1423</v>
      </c>
      <c r="R23" s="440"/>
      <c r="S23" s="440"/>
      <c r="T23" s="440"/>
      <c r="U23" s="440"/>
      <c r="V23" s="440"/>
      <c r="W23" s="440"/>
    </row>
    <row r="24" spans="1:36">
      <c r="A24" s="373" t="s">
        <v>1424</v>
      </c>
      <c r="B24" s="440"/>
      <c r="C24" s="440"/>
      <c r="D24" s="440"/>
      <c r="E24" s="440"/>
      <c r="F24" s="440"/>
      <c r="G24" s="440"/>
      <c r="I24" s="373" t="s">
        <v>1424</v>
      </c>
      <c r="J24" s="440"/>
      <c r="K24" s="440"/>
      <c r="L24" s="440"/>
      <c r="M24" s="440"/>
      <c r="N24" s="440"/>
      <c r="O24" s="440"/>
      <c r="Q24" s="373" t="s">
        <v>1424</v>
      </c>
      <c r="R24" s="440"/>
      <c r="S24" s="440"/>
      <c r="T24" s="440"/>
      <c r="U24" s="440"/>
      <c r="V24" s="440"/>
      <c r="W24" s="440"/>
    </row>
    <row r="25" spans="1:36">
      <c r="A25" s="373" t="s">
        <v>1425</v>
      </c>
      <c r="B25" s="440"/>
      <c r="C25" s="440"/>
      <c r="D25" s="440"/>
      <c r="E25" s="440"/>
      <c r="F25" s="440"/>
      <c r="G25" s="440"/>
      <c r="I25" s="373" t="s">
        <v>1425</v>
      </c>
      <c r="J25" s="440"/>
      <c r="K25" s="440"/>
      <c r="L25" s="440"/>
      <c r="M25" s="440"/>
      <c r="N25" s="440"/>
      <c r="O25" s="440"/>
      <c r="Q25" s="373" t="s">
        <v>1425</v>
      </c>
      <c r="R25" s="440"/>
      <c r="S25" s="440"/>
      <c r="T25" s="440"/>
      <c r="U25" s="440"/>
      <c r="V25" s="440"/>
      <c r="W25" s="440"/>
    </row>
    <row r="26" spans="1:36">
      <c r="A26" s="373" t="s">
        <v>1426</v>
      </c>
      <c r="B26" s="440"/>
      <c r="C26" s="440"/>
      <c r="D26" s="440"/>
      <c r="E26" s="440"/>
      <c r="F26" s="440"/>
      <c r="G26" s="440"/>
      <c r="I26" s="373" t="s">
        <v>1426</v>
      </c>
      <c r="J26" s="440"/>
      <c r="K26" s="440"/>
      <c r="L26" s="440"/>
      <c r="M26" s="440"/>
      <c r="N26" s="440"/>
      <c r="O26" s="440"/>
      <c r="Q26" s="373" t="s">
        <v>1426</v>
      </c>
      <c r="R26" s="440"/>
      <c r="S26" s="440"/>
      <c r="T26" s="440"/>
      <c r="U26" s="440"/>
      <c r="V26" s="440"/>
      <c r="W26" s="440"/>
    </row>
    <row r="27" spans="1:36">
      <c r="A27" s="373" t="s">
        <v>1427</v>
      </c>
      <c r="B27" s="440"/>
      <c r="C27" s="440"/>
      <c r="D27" s="440"/>
      <c r="E27" s="440"/>
      <c r="F27" s="440"/>
      <c r="G27" s="440"/>
      <c r="I27" s="373" t="s">
        <v>1427</v>
      </c>
      <c r="J27" s="440"/>
      <c r="K27" s="440"/>
      <c r="L27" s="440"/>
      <c r="M27" s="440"/>
      <c r="N27" s="440"/>
      <c r="O27" s="440"/>
      <c r="Q27" s="373" t="s">
        <v>1427</v>
      </c>
      <c r="R27" s="440"/>
      <c r="S27" s="440"/>
      <c r="T27" s="440"/>
      <c r="U27" s="440"/>
      <c r="V27" s="440"/>
      <c r="W27" s="440"/>
    </row>
    <row r="28" spans="1:36">
      <c r="A28" s="373" t="s">
        <v>1428</v>
      </c>
      <c r="B28" s="440"/>
      <c r="C28" s="440"/>
      <c r="D28" s="440"/>
      <c r="E28" s="440"/>
      <c r="F28" s="440"/>
      <c r="G28" s="440"/>
      <c r="I28" s="373" t="s">
        <v>1428</v>
      </c>
      <c r="J28" s="440"/>
      <c r="K28" s="440"/>
      <c r="L28" s="440"/>
      <c r="M28" s="440"/>
      <c r="N28" s="440"/>
      <c r="O28" s="440"/>
      <c r="Q28" s="373" t="s">
        <v>1428</v>
      </c>
      <c r="R28" s="440"/>
      <c r="S28" s="440"/>
      <c r="T28" s="440"/>
      <c r="U28" s="440"/>
      <c r="V28" s="440"/>
      <c r="W28" s="440"/>
    </row>
    <row r="29" spans="1:36">
      <c r="A29" s="441" t="s">
        <v>1430</v>
      </c>
      <c r="B29" s="442">
        <f t="shared" ref="B29:G29" si="0">SUM(B22:B28)</f>
        <v>0</v>
      </c>
      <c r="C29" s="442">
        <f t="shared" si="0"/>
        <v>0</v>
      </c>
      <c r="D29" s="442">
        <f t="shared" si="0"/>
        <v>0</v>
      </c>
      <c r="E29" s="442">
        <f t="shared" si="0"/>
        <v>0</v>
      </c>
      <c r="F29" s="442">
        <f t="shared" si="0"/>
        <v>0</v>
      </c>
      <c r="G29" s="442">
        <f t="shared" si="0"/>
        <v>0</v>
      </c>
      <c r="I29" s="441" t="s">
        <v>1430</v>
      </c>
      <c r="J29" s="442">
        <f t="shared" ref="J29:O29" si="1">SUM(J22:J28)</f>
        <v>0</v>
      </c>
      <c r="K29" s="442">
        <f t="shared" si="1"/>
        <v>0</v>
      </c>
      <c r="L29" s="442">
        <f t="shared" si="1"/>
        <v>0</v>
      </c>
      <c r="M29" s="442">
        <f t="shared" si="1"/>
        <v>0</v>
      </c>
      <c r="N29" s="442">
        <f t="shared" si="1"/>
        <v>0</v>
      </c>
      <c r="O29" s="442">
        <f t="shared" si="1"/>
        <v>0</v>
      </c>
      <c r="Q29" s="441" t="s">
        <v>1430</v>
      </c>
      <c r="R29" s="442">
        <f t="shared" ref="R29:W29" si="2">SUM(R22:R28)</f>
        <v>0</v>
      </c>
      <c r="S29" s="442">
        <f t="shared" si="2"/>
        <v>0</v>
      </c>
      <c r="T29" s="442">
        <f t="shared" si="2"/>
        <v>0</v>
      </c>
      <c r="U29" s="442">
        <f t="shared" si="2"/>
        <v>0</v>
      </c>
      <c r="V29" s="442">
        <f t="shared" si="2"/>
        <v>0</v>
      </c>
      <c r="W29" s="442">
        <f t="shared" si="2"/>
        <v>0</v>
      </c>
    </row>
    <row r="30" spans="1:36">
      <c r="A30" s="71"/>
      <c r="B30" s="71"/>
      <c r="C30" s="71"/>
      <c r="D30" s="71"/>
      <c r="E30" s="71"/>
      <c r="F30" s="71"/>
      <c r="G30" s="71"/>
      <c r="I30" s="71"/>
      <c r="J30" s="71"/>
      <c r="K30" s="71"/>
      <c r="L30" s="71"/>
      <c r="M30" s="71"/>
      <c r="N30" s="71"/>
      <c r="O30" s="71"/>
      <c r="Q30" s="71"/>
      <c r="R30" s="71"/>
      <c r="S30" s="71"/>
      <c r="T30" s="71"/>
      <c r="U30" s="71"/>
      <c r="V30" s="71"/>
      <c r="W30" s="71"/>
    </row>
    <row r="31" spans="1:36" ht="15">
      <c r="A31" s="372" t="s">
        <v>1270</v>
      </c>
      <c r="B31" s="585" t="s">
        <v>1431</v>
      </c>
      <c r="C31" s="586"/>
      <c r="D31" s="586"/>
      <c r="E31" s="586"/>
      <c r="F31" s="586"/>
      <c r="G31" s="586"/>
      <c r="I31" s="372" t="s">
        <v>1270</v>
      </c>
      <c r="J31" s="585" t="s">
        <v>1431</v>
      </c>
      <c r="K31" s="586"/>
      <c r="L31" s="586"/>
      <c r="M31" s="586"/>
      <c r="N31" s="586"/>
      <c r="O31" s="586"/>
      <c r="Q31" s="372" t="s">
        <v>1270</v>
      </c>
      <c r="R31" s="585" t="s">
        <v>1431</v>
      </c>
      <c r="S31" s="586"/>
      <c r="T31" s="586"/>
      <c r="U31" s="586"/>
      <c r="V31" s="586"/>
      <c r="W31" s="586"/>
    </row>
    <row r="32" spans="1:36" s="72" customFormat="1">
      <c r="A32" s="373"/>
      <c r="B32" s="439">
        <v>1</v>
      </c>
      <c r="C32" s="439">
        <v>2</v>
      </c>
      <c r="D32" s="439">
        <v>3</v>
      </c>
      <c r="E32" s="439">
        <v>4</v>
      </c>
      <c r="F32" s="439">
        <v>5</v>
      </c>
      <c r="G32" s="439">
        <v>6</v>
      </c>
      <c r="H32" s="82"/>
      <c r="I32" s="373"/>
      <c r="J32" s="439">
        <v>1</v>
      </c>
      <c r="K32" s="439">
        <v>2</v>
      </c>
      <c r="L32" s="439">
        <v>3</v>
      </c>
      <c r="M32" s="439">
        <v>4</v>
      </c>
      <c r="N32" s="439">
        <v>5</v>
      </c>
      <c r="O32" s="439">
        <v>6</v>
      </c>
      <c r="P32" s="71"/>
      <c r="Q32" s="373"/>
      <c r="R32" s="439">
        <v>1</v>
      </c>
      <c r="S32" s="439">
        <v>2</v>
      </c>
      <c r="T32" s="439">
        <v>3</v>
      </c>
      <c r="U32" s="439">
        <v>4</v>
      </c>
      <c r="V32" s="439">
        <v>5</v>
      </c>
      <c r="W32" s="439">
        <v>6</v>
      </c>
      <c r="X32" s="82"/>
      <c r="Y32" s="82"/>
      <c r="Z32" s="71"/>
      <c r="AA32" s="71"/>
      <c r="AB32" s="71"/>
      <c r="AC32" s="71"/>
      <c r="AD32" s="71"/>
      <c r="AE32" s="43"/>
      <c r="AF32" s="43"/>
      <c r="AG32" s="71"/>
      <c r="AH32" s="71"/>
      <c r="AI32" s="71"/>
      <c r="AJ32" s="71"/>
    </row>
    <row r="33" spans="1:23">
      <c r="A33" s="373" t="s">
        <v>1422</v>
      </c>
      <c r="B33" s="443">
        <f t="shared" ref="B33:G39" si="3">B22*B12</f>
        <v>0</v>
      </c>
      <c r="C33" s="443">
        <f t="shared" si="3"/>
        <v>0</v>
      </c>
      <c r="D33" s="443">
        <f t="shared" si="3"/>
        <v>0</v>
      </c>
      <c r="E33" s="443">
        <f t="shared" si="3"/>
        <v>0</v>
      </c>
      <c r="F33" s="443">
        <f t="shared" si="3"/>
        <v>0</v>
      </c>
      <c r="G33" s="444">
        <f t="shared" si="3"/>
        <v>0</v>
      </c>
      <c r="I33" s="373" t="s">
        <v>1422</v>
      </c>
      <c r="J33" s="443">
        <f t="shared" ref="J33:O39" si="4">J22*J12</f>
        <v>0</v>
      </c>
      <c r="K33" s="443">
        <f t="shared" si="4"/>
        <v>0</v>
      </c>
      <c r="L33" s="443">
        <f t="shared" si="4"/>
        <v>0</v>
      </c>
      <c r="M33" s="443">
        <f t="shared" si="4"/>
        <v>0</v>
      </c>
      <c r="N33" s="443">
        <f t="shared" si="4"/>
        <v>0</v>
      </c>
      <c r="O33" s="444">
        <f t="shared" si="4"/>
        <v>0</v>
      </c>
      <c r="Q33" s="373" t="s">
        <v>1422</v>
      </c>
      <c r="R33" s="443">
        <f t="shared" ref="R33:W39" si="5">R22*R12</f>
        <v>0</v>
      </c>
      <c r="S33" s="443">
        <f t="shared" si="5"/>
        <v>0</v>
      </c>
      <c r="T33" s="443">
        <f t="shared" si="5"/>
        <v>0</v>
      </c>
      <c r="U33" s="443">
        <f t="shared" si="5"/>
        <v>0</v>
      </c>
      <c r="V33" s="443">
        <f t="shared" si="5"/>
        <v>0</v>
      </c>
      <c r="W33" s="444">
        <f t="shared" si="5"/>
        <v>0</v>
      </c>
    </row>
    <row r="34" spans="1:23">
      <c r="A34" s="373" t="s">
        <v>1423</v>
      </c>
      <c r="B34" s="443">
        <f t="shared" si="3"/>
        <v>0</v>
      </c>
      <c r="C34" s="443">
        <f t="shared" si="3"/>
        <v>0</v>
      </c>
      <c r="D34" s="443">
        <f t="shared" si="3"/>
        <v>0</v>
      </c>
      <c r="E34" s="443">
        <f t="shared" si="3"/>
        <v>0</v>
      </c>
      <c r="F34" s="443">
        <f t="shared" si="3"/>
        <v>0</v>
      </c>
      <c r="G34" s="444">
        <f t="shared" si="3"/>
        <v>0</v>
      </c>
      <c r="I34" s="373" t="s">
        <v>1423</v>
      </c>
      <c r="J34" s="443">
        <f t="shared" si="4"/>
        <v>0</v>
      </c>
      <c r="K34" s="443">
        <f t="shared" si="4"/>
        <v>0</v>
      </c>
      <c r="L34" s="443">
        <f t="shared" si="4"/>
        <v>0</v>
      </c>
      <c r="M34" s="443">
        <f t="shared" si="4"/>
        <v>0</v>
      </c>
      <c r="N34" s="443">
        <f t="shared" si="4"/>
        <v>0</v>
      </c>
      <c r="O34" s="444">
        <f t="shared" si="4"/>
        <v>0</v>
      </c>
      <c r="Q34" s="373" t="s">
        <v>1423</v>
      </c>
      <c r="R34" s="443">
        <f t="shared" si="5"/>
        <v>0</v>
      </c>
      <c r="S34" s="443">
        <f t="shared" si="5"/>
        <v>0</v>
      </c>
      <c r="T34" s="443">
        <f t="shared" si="5"/>
        <v>0</v>
      </c>
      <c r="U34" s="443">
        <f t="shared" si="5"/>
        <v>0</v>
      </c>
      <c r="V34" s="443">
        <f t="shared" si="5"/>
        <v>0</v>
      </c>
      <c r="W34" s="444">
        <f t="shared" si="5"/>
        <v>0</v>
      </c>
    </row>
    <row r="35" spans="1:23">
      <c r="A35" s="373" t="s">
        <v>1424</v>
      </c>
      <c r="B35" s="443">
        <f t="shared" si="3"/>
        <v>0</v>
      </c>
      <c r="C35" s="443">
        <f t="shared" si="3"/>
        <v>0</v>
      </c>
      <c r="D35" s="443">
        <f t="shared" si="3"/>
        <v>0</v>
      </c>
      <c r="E35" s="443">
        <f t="shared" si="3"/>
        <v>0</v>
      </c>
      <c r="F35" s="443">
        <f t="shared" si="3"/>
        <v>0</v>
      </c>
      <c r="G35" s="444">
        <f t="shared" si="3"/>
        <v>0</v>
      </c>
      <c r="I35" s="373" t="s">
        <v>1424</v>
      </c>
      <c r="J35" s="443">
        <f t="shared" si="4"/>
        <v>0</v>
      </c>
      <c r="K35" s="443">
        <f t="shared" si="4"/>
        <v>0</v>
      </c>
      <c r="L35" s="443">
        <f t="shared" si="4"/>
        <v>0</v>
      </c>
      <c r="M35" s="443">
        <f t="shared" si="4"/>
        <v>0</v>
      </c>
      <c r="N35" s="443">
        <f t="shared" si="4"/>
        <v>0</v>
      </c>
      <c r="O35" s="444">
        <f t="shared" si="4"/>
        <v>0</v>
      </c>
      <c r="Q35" s="373" t="s">
        <v>1424</v>
      </c>
      <c r="R35" s="443">
        <f t="shared" si="5"/>
        <v>0</v>
      </c>
      <c r="S35" s="443">
        <f t="shared" si="5"/>
        <v>0</v>
      </c>
      <c r="T35" s="443">
        <f t="shared" si="5"/>
        <v>0</v>
      </c>
      <c r="U35" s="443">
        <f t="shared" si="5"/>
        <v>0</v>
      </c>
      <c r="V35" s="443">
        <f t="shared" si="5"/>
        <v>0</v>
      </c>
      <c r="W35" s="444">
        <f t="shared" si="5"/>
        <v>0</v>
      </c>
    </row>
    <row r="36" spans="1:23">
      <c r="A36" s="373" t="s">
        <v>1425</v>
      </c>
      <c r="B36" s="443">
        <f t="shared" si="3"/>
        <v>0</v>
      </c>
      <c r="C36" s="443">
        <f t="shared" si="3"/>
        <v>0</v>
      </c>
      <c r="D36" s="443">
        <f t="shared" si="3"/>
        <v>0</v>
      </c>
      <c r="E36" s="443">
        <f t="shared" si="3"/>
        <v>0</v>
      </c>
      <c r="F36" s="443">
        <f t="shared" si="3"/>
        <v>0</v>
      </c>
      <c r="G36" s="444">
        <f t="shared" si="3"/>
        <v>0</v>
      </c>
      <c r="I36" s="373" t="s">
        <v>1425</v>
      </c>
      <c r="J36" s="443">
        <f t="shared" si="4"/>
        <v>0</v>
      </c>
      <c r="K36" s="443">
        <f t="shared" si="4"/>
        <v>0</v>
      </c>
      <c r="L36" s="443">
        <f t="shared" si="4"/>
        <v>0</v>
      </c>
      <c r="M36" s="443">
        <f t="shared" si="4"/>
        <v>0</v>
      </c>
      <c r="N36" s="443">
        <f t="shared" si="4"/>
        <v>0</v>
      </c>
      <c r="O36" s="444">
        <f t="shared" si="4"/>
        <v>0</v>
      </c>
      <c r="Q36" s="373" t="s">
        <v>1425</v>
      </c>
      <c r="R36" s="443">
        <f t="shared" si="5"/>
        <v>0</v>
      </c>
      <c r="S36" s="443">
        <f t="shared" si="5"/>
        <v>0</v>
      </c>
      <c r="T36" s="443">
        <f t="shared" si="5"/>
        <v>0</v>
      </c>
      <c r="U36" s="443">
        <f t="shared" si="5"/>
        <v>0</v>
      </c>
      <c r="V36" s="443">
        <f t="shared" si="5"/>
        <v>0</v>
      </c>
      <c r="W36" s="444">
        <f t="shared" si="5"/>
        <v>0</v>
      </c>
    </row>
    <row r="37" spans="1:23">
      <c r="A37" s="373" t="s">
        <v>1426</v>
      </c>
      <c r="B37" s="443">
        <f t="shared" si="3"/>
        <v>0</v>
      </c>
      <c r="C37" s="443">
        <f t="shared" si="3"/>
        <v>0</v>
      </c>
      <c r="D37" s="443">
        <f t="shared" si="3"/>
        <v>0</v>
      </c>
      <c r="E37" s="443">
        <f t="shared" si="3"/>
        <v>0</v>
      </c>
      <c r="F37" s="443">
        <f t="shared" si="3"/>
        <v>0</v>
      </c>
      <c r="G37" s="444">
        <f t="shared" si="3"/>
        <v>0</v>
      </c>
      <c r="I37" s="373" t="s">
        <v>1426</v>
      </c>
      <c r="J37" s="443">
        <f t="shared" si="4"/>
        <v>0</v>
      </c>
      <c r="K37" s="443">
        <f t="shared" si="4"/>
        <v>0</v>
      </c>
      <c r="L37" s="443">
        <f t="shared" si="4"/>
        <v>0</v>
      </c>
      <c r="M37" s="443">
        <f t="shared" si="4"/>
        <v>0</v>
      </c>
      <c r="N37" s="443">
        <f t="shared" si="4"/>
        <v>0</v>
      </c>
      <c r="O37" s="444">
        <f t="shared" si="4"/>
        <v>0</v>
      </c>
      <c r="Q37" s="373" t="s">
        <v>1426</v>
      </c>
      <c r="R37" s="443">
        <f t="shared" si="5"/>
        <v>0</v>
      </c>
      <c r="S37" s="443">
        <f t="shared" si="5"/>
        <v>0</v>
      </c>
      <c r="T37" s="443">
        <f t="shared" si="5"/>
        <v>0</v>
      </c>
      <c r="U37" s="443">
        <f t="shared" si="5"/>
        <v>0</v>
      </c>
      <c r="V37" s="443">
        <f t="shared" si="5"/>
        <v>0</v>
      </c>
      <c r="W37" s="444">
        <f t="shared" si="5"/>
        <v>0</v>
      </c>
    </row>
    <row r="38" spans="1:23">
      <c r="A38" s="373" t="s">
        <v>1427</v>
      </c>
      <c r="B38" s="443">
        <f t="shared" si="3"/>
        <v>0</v>
      </c>
      <c r="C38" s="443">
        <f t="shared" si="3"/>
        <v>0</v>
      </c>
      <c r="D38" s="443">
        <f t="shared" si="3"/>
        <v>0</v>
      </c>
      <c r="E38" s="443">
        <f t="shared" si="3"/>
        <v>0</v>
      </c>
      <c r="F38" s="443">
        <f t="shared" si="3"/>
        <v>0</v>
      </c>
      <c r="G38" s="444">
        <f t="shared" si="3"/>
        <v>0</v>
      </c>
      <c r="I38" s="373" t="s">
        <v>1427</v>
      </c>
      <c r="J38" s="443">
        <f t="shared" si="4"/>
        <v>0</v>
      </c>
      <c r="K38" s="443">
        <f t="shared" si="4"/>
        <v>0</v>
      </c>
      <c r="L38" s="443">
        <f t="shared" si="4"/>
        <v>0</v>
      </c>
      <c r="M38" s="443">
        <f t="shared" si="4"/>
        <v>0</v>
      </c>
      <c r="N38" s="443">
        <f t="shared" si="4"/>
        <v>0</v>
      </c>
      <c r="O38" s="444">
        <f t="shared" si="4"/>
        <v>0</v>
      </c>
      <c r="Q38" s="373" t="s">
        <v>1427</v>
      </c>
      <c r="R38" s="443">
        <f t="shared" si="5"/>
        <v>0</v>
      </c>
      <c r="S38" s="443">
        <f t="shared" si="5"/>
        <v>0</v>
      </c>
      <c r="T38" s="443">
        <f t="shared" si="5"/>
        <v>0</v>
      </c>
      <c r="U38" s="443">
        <f t="shared" si="5"/>
        <v>0</v>
      </c>
      <c r="V38" s="443">
        <f t="shared" si="5"/>
        <v>0</v>
      </c>
      <c r="W38" s="444">
        <f t="shared" si="5"/>
        <v>0</v>
      </c>
    </row>
    <row r="39" spans="1:23">
      <c r="A39" s="373" t="s">
        <v>1428</v>
      </c>
      <c r="B39" s="443">
        <f t="shared" si="3"/>
        <v>0</v>
      </c>
      <c r="C39" s="443">
        <f t="shared" si="3"/>
        <v>0</v>
      </c>
      <c r="D39" s="443">
        <f t="shared" si="3"/>
        <v>0</v>
      </c>
      <c r="E39" s="443">
        <f t="shared" si="3"/>
        <v>0</v>
      </c>
      <c r="F39" s="443">
        <f t="shared" si="3"/>
        <v>0</v>
      </c>
      <c r="G39" s="444">
        <f t="shared" si="3"/>
        <v>0</v>
      </c>
      <c r="I39" s="373" t="s">
        <v>1428</v>
      </c>
      <c r="J39" s="443">
        <f t="shared" si="4"/>
        <v>0</v>
      </c>
      <c r="K39" s="443">
        <f t="shared" si="4"/>
        <v>0</v>
      </c>
      <c r="L39" s="443">
        <f t="shared" si="4"/>
        <v>0</v>
      </c>
      <c r="M39" s="443">
        <f t="shared" si="4"/>
        <v>0</v>
      </c>
      <c r="N39" s="443">
        <f t="shared" si="4"/>
        <v>0</v>
      </c>
      <c r="O39" s="444">
        <f t="shared" si="4"/>
        <v>0</v>
      </c>
      <c r="Q39" s="373" t="s">
        <v>1428</v>
      </c>
      <c r="R39" s="443">
        <f t="shared" si="5"/>
        <v>0</v>
      </c>
      <c r="S39" s="443">
        <f t="shared" si="5"/>
        <v>0</v>
      </c>
      <c r="T39" s="443">
        <f t="shared" si="5"/>
        <v>0</v>
      </c>
      <c r="U39" s="443">
        <f t="shared" si="5"/>
        <v>0</v>
      </c>
      <c r="V39" s="443">
        <f t="shared" si="5"/>
        <v>0</v>
      </c>
      <c r="W39" s="444">
        <f t="shared" si="5"/>
        <v>0</v>
      </c>
    </row>
    <row r="40" spans="1:23">
      <c r="A40" s="441" t="s">
        <v>1430</v>
      </c>
      <c r="B40" s="445">
        <f t="shared" ref="B40:G40" si="6">SUM(B33:B39)</f>
        <v>0</v>
      </c>
      <c r="C40" s="445">
        <f t="shared" si="6"/>
        <v>0</v>
      </c>
      <c r="D40" s="445">
        <f t="shared" si="6"/>
        <v>0</v>
      </c>
      <c r="E40" s="445">
        <f t="shared" si="6"/>
        <v>0</v>
      </c>
      <c r="F40" s="445">
        <f t="shared" si="6"/>
        <v>0</v>
      </c>
      <c r="G40" s="445">
        <f t="shared" si="6"/>
        <v>0</v>
      </c>
      <c r="I40" s="441" t="s">
        <v>1430</v>
      </c>
      <c r="J40" s="445">
        <f t="shared" ref="J40:O40" si="7">SUM(J33:J39)</f>
        <v>0</v>
      </c>
      <c r="K40" s="445">
        <f t="shared" si="7"/>
        <v>0</v>
      </c>
      <c r="L40" s="445">
        <f t="shared" si="7"/>
        <v>0</v>
      </c>
      <c r="M40" s="445">
        <f t="shared" si="7"/>
        <v>0</v>
      </c>
      <c r="N40" s="445">
        <f t="shared" si="7"/>
        <v>0</v>
      </c>
      <c r="O40" s="445">
        <f t="shared" si="7"/>
        <v>0</v>
      </c>
      <c r="Q40" s="441" t="s">
        <v>1430</v>
      </c>
      <c r="R40" s="445">
        <f t="shared" ref="R40:W40" si="8">SUM(R33:R39)</f>
        <v>0</v>
      </c>
      <c r="S40" s="445">
        <f t="shared" si="8"/>
        <v>0</v>
      </c>
      <c r="T40" s="445">
        <f t="shared" si="8"/>
        <v>0</v>
      </c>
      <c r="U40" s="445">
        <f t="shared" si="8"/>
        <v>0</v>
      </c>
      <c r="V40" s="445">
        <f t="shared" si="8"/>
        <v>0</v>
      </c>
      <c r="W40" s="445">
        <f t="shared" si="8"/>
        <v>0</v>
      </c>
    </row>
    <row r="41" spans="1:23">
      <c r="E41" s="294" t="s">
        <v>1432</v>
      </c>
      <c r="F41" s="446"/>
      <c r="G41" s="362">
        <f>SUM(B40:G40)</f>
        <v>0</v>
      </c>
      <c r="M41" s="294" t="s">
        <v>1432</v>
      </c>
      <c r="N41" s="446"/>
      <c r="O41" s="362">
        <f>SUM(J40:O40)</f>
        <v>0</v>
      </c>
      <c r="U41" s="294" t="s">
        <v>1432</v>
      </c>
      <c r="V41" s="446"/>
      <c r="W41" s="362">
        <f>SUM(R40:W40)</f>
        <v>0</v>
      </c>
    </row>
  </sheetData>
  <mergeCells count="12">
    <mergeCell ref="Z1:AF2"/>
    <mergeCell ref="Z3:AF3"/>
    <mergeCell ref="Z4:AF5"/>
    <mergeCell ref="B10:G10"/>
    <mergeCell ref="J10:O10"/>
    <mergeCell ref="R10:W10"/>
    <mergeCell ref="B20:G20"/>
    <mergeCell ref="J20:O20"/>
    <mergeCell ref="R20:W20"/>
    <mergeCell ref="B31:G31"/>
    <mergeCell ref="J31:O31"/>
    <mergeCell ref="R31:W3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3230-3340-49B2-BA3F-3658F06763DA}">
  <sheetPr>
    <tabColor theme="0" tint="-4.9989318521683403E-2"/>
    <pageSetUpPr fitToPage="1"/>
  </sheetPr>
  <dimension ref="A1:L20"/>
  <sheetViews>
    <sheetView showGridLines="0" zoomScaleNormal="100" workbookViewId="0">
      <pane ySplit="10" topLeftCell="A11" activePane="bottomLeft" state="frozen"/>
      <selection pane="bottomLeft"/>
      <selection activeCell="E28" sqref="E28"/>
    </sheetView>
  </sheetViews>
  <sheetFormatPr defaultColWidth="9.140625" defaultRowHeight="13.15"/>
  <cols>
    <col min="1" max="1" width="31.5703125" style="43" customWidth="1"/>
    <col min="2" max="2" width="80.7109375" style="43" customWidth="1"/>
    <col min="3" max="4" width="36.28515625" style="43" customWidth="1"/>
    <col min="5" max="5" width="20.7109375" style="43" customWidth="1"/>
    <col min="6" max="6" width="16.140625" style="43" bestFit="1" customWidth="1"/>
    <col min="7" max="7" width="12.42578125" style="43" bestFit="1" customWidth="1"/>
    <col min="8" max="16384" width="9.140625" style="43"/>
  </cols>
  <sheetData>
    <row r="1" spans="1:12">
      <c r="A1" s="538" t="s">
        <v>0</v>
      </c>
      <c r="B1" s="108"/>
      <c r="C1" s="108"/>
      <c r="D1" s="108"/>
      <c r="E1" s="108"/>
      <c r="F1" s="108"/>
      <c r="G1" s="108"/>
      <c r="H1" s="108"/>
      <c r="I1" s="108"/>
      <c r="J1" s="108"/>
    </row>
    <row r="2" spans="1:12" ht="15.6">
      <c r="A2" s="109"/>
      <c r="B2" s="108"/>
      <c r="C2" s="108"/>
      <c r="D2" s="108"/>
      <c r="E2" s="110"/>
      <c r="F2" s="110"/>
      <c r="G2" s="110"/>
      <c r="H2" s="110"/>
      <c r="I2" s="108"/>
      <c r="J2" s="108"/>
    </row>
    <row r="3" spans="1:12" ht="15.6">
      <c r="A3" s="111" t="s">
        <v>1</v>
      </c>
      <c r="B3" s="93" t="str">
        <f>'1-Inschrijfstaat'!B3</f>
        <v>GVB Infra B.V.</v>
      </c>
      <c r="C3" s="110"/>
      <c r="D3" s="108"/>
      <c r="E3" s="108"/>
      <c r="F3" s="108"/>
      <c r="G3" s="110"/>
      <c r="H3" s="110"/>
      <c r="I3" s="112"/>
      <c r="J3" s="108"/>
    </row>
    <row r="4" spans="1:12" ht="15.6">
      <c r="A4" s="111" t="s">
        <v>918</v>
      </c>
      <c r="B4" s="93" t="e">
        <f ca="1">MID(CELL("bestandsnaam",$B$9),SEARCH("]",CELL("bestandsnaam",$B$9),1)+1,256)</f>
        <v>#VALUE!</v>
      </c>
      <c r="C4" s="110"/>
      <c r="D4" s="108"/>
      <c r="E4" s="110"/>
      <c r="F4" s="110"/>
      <c r="G4" s="110"/>
      <c r="H4" s="110"/>
      <c r="I4" s="110"/>
      <c r="J4" s="110"/>
    </row>
    <row r="5" spans="1:12" ht="15.6">
      <c r="A5" s="111" t="s">
        <v>4</v>
      </c>
      <c r="B5" s="93" t="str">
        <f>'1-Inschrijfstaat'!B5</f>
        <v>Diverse</v>
      </c>
      <c r="C5" s="110"/>
      <c r="D5" s="108"/>
      <c r="E5" s="108"/>
      <c r="F5" s="108"/>
      <c r="G5" s="110"/>
      <c r="H5" s="110"/>
      <c r="I5" s="110"/>
      <c r="J5" s="110"/>
    </row>
    <row r="6" spans="1:12" ht="15.6">
      <c r="A6" s="12" t="s">
        <v>47</v>
      </c>
      <c r="B6" s="93" t="str">
        <f>'1-Inschrijfstaat'!B6</f>
        <v>2024-20</v>
      </c>
      <c r="C6" s="110"/>
      <c r="D6" s="108"/>
      <c r="E6" s="110"/>
      <c r="F6" s="110"/>
      <c r="G6" s="110"/>
      <c r="H6" s="110"/>
      <c r="I6" s="110"/>
      <c r="J6" s="110"/>
    </row>
    <row r="7" spans="1:12" ht="15.6">
      <c r="A7" s="111" t="s">
        <v>8</v>
      </c>
      <c r="B7" s="93">
        <f>'1-Inschrijfstaat'!B7</f>
        <v>0</v>
      </c>
      <c r="C7" s="110"/>
      <c r="D7" s="108"/>
      <c r="E7" s="108"/>
      <c r="F7" s="108"/>
      <c r="G7" s="113"/>
      <c r="H7" s="113"/>
      <c r="I7" s="113"/>
      <c r="J7" s="108"/>
    </row>
    <row r="8" spans="1:12" ht="15.6">
      <c r="A8" s="111" t="s">
        <v>9</v>
      </c>
      <c r="B8" s="114" t="str">
        <f>'1-Inschrijfstaat'!B8</f>
        <v>1 januari 2025</v>
      </c>
      <c r="C8" s="110"/>
      <c r="D8" s="110"/>
      <c r="E8" s="110"/>
      <c r="F8" s="113"/>
      <c r="G8" s="113"/>
      <c r="H8" s="113"/>
      <c r="I8" s="113"/>
      <c r="J8" s="108"/>
    </row>
    <row r="9" spans="1:12" ht="15.6">
      <c r="A9" s="115" t="s">
        <v>11</v>
      </c>
      <c r="B9" s="93" t="str">
        <f>'1-Inschrijfstaat'!B9</f>
        <v>2 Specialistiche schoonmaak</v>
      </c>
      <c r="C9" s="110"/>
      <c r="D9" s="110"/>
      <c r="E9" s="110"/>
      <c r="F9" s="113"/>
      <c r="G9" s="113"/>
      <c r="H9" s="113"/>
      <c r="I9" s="113"/>
      <c r="J9" s="108"/>
    </row>
    <row r="10" spans="1:12" ht="15.6">
      <c r="A10" s="111" t="s">
        <v>892</v>
      </c>
      <c r="B10" s="116" t="s">
        <v>1433</v>
      </c>
      <c r="C10" s="117"/>
      <c r="D10" s="117"/>
      <c r="E10" s="117"/>
      <c r="F10" s="113"/>
      <c r="G10" s="113"/>
      <c r="H10" s="113"/>
      <c r="I10" s="113"/>
      <c r="J10" s="108"/>
    </row>
    <row r="11" spans="1:12" ht="15.6">
      <c r="A11" s="118"/>
      <c r="B11" s="119"/>
      <c r="C11" s="117"/>
      <c r="D11" s="117"/>
      <c r="E11" s="117"/>
      <c r="F11" s="113"/>
      <c r="G11" s="113"/>
      <c r="H11" s="113"/>
      <c r="I11" s="113"/>
      <c r="J11" s="108"/>
    </row>
    <row r="12" spans="1:12" ht="25.5" customHeight="1">
      <c r="A12" s="249" t="s">
        <v>1434</v>
      </c>
      <c r="B12" s="250" t="s">
        <v>1435</v>
      </c>
      <c r="C12" s="250" t="s">
        <v>956</v>
      </c>
      <c r="D12" s="250" t="s">
        <v>1436</v>
      </c>
      <c r="E12" s="250" t="s">
        <v>1437</v>
      </c>
      <c r="F12" s="113"/>
      <c r="G12" s="113"/>
      <c r="H12" s="113"/>
      <c r="I12" s="113"/>
      <c r="J12" s="119"/>
      <c r="K12" s="119"/>
      <c r="L12" s="120"/>
    </row>
    <row r="13" spans="1:12" ht="15.6">
      <c r="A13" s="350" t="s">
        <v>1438</v>
      </c>
      <c r="B13" s="440"/>
      <c r="C13" s="351" t="s">
        <v>1439</v>
      </c>
      <c r="D13" s="352" t="s">
        <v>1440</v>
      </c>
      <c r="E13" s="537"/>
      <c r="F13" s="113"/>
      <c r="G13" s="113"/>
      <c r="H13" s="113"/>
      <c r="I13" s="113"/>
      <c r="J13" s="119"/>
      <c r="K13" s="119"/>
      <c r="L13" s="120"/>
    </row>
    <row r="14" spans="1:12" ht="18" customHeight="1">
      <c r="A14" s="353" t="s">
        <v>1441</v>
      </c>
      <c r="B14" s="440"/>
      <c r="C14" s="354" t="s">
        <v>1442</v>
      </c>
      <c r="D14" s="352" t="s">
        <v>1443</v>
      </c>
      <c r="E14" s="537"/>
      <c r="F14" s="113"/>
      <c r="G14" s="113"/>
      <c r="H14" s="113"/>
      <c r="I14" s="113"/>
      <c r="J14" s="119"/>
      <c r="K14" s="119"/>
      <c r="L14" s="120"/>
    </row>
    <row r="15" spans="1:12" ht="26.45">
      <c r="A15" s="355" t="s">
        <v>1444</v>
      </c>
      <c r="B15" s="440"/>
      <c r="C15" s="351" t="s">
        <v>1445</v>
      </c>
      <c r="D15" s="352" t="s">
        <v>1446</v>
      </c>
      <c r="E15" s="537"/>
      <c r="F15" s="113"/>
      <c r="G15" s="113"/>
      <c r="H15" s="113"/>
      <c r="I15" s="113"/>
      <c r="J15" s="119"/>
      <c r="K15" s="119"/>
      <c r="L15" s="120"/>
    </row>
    <row r="16" spans="1:12" ht="18" customHeight="1">
      <c r="A16" s="355" t="s">
        <v>1447</v>
      </c>
      <c r="B16" s="440"/>
      <c r="C16" s="351" t="s">
        <v>1448</v>
      </c>
      <c r="D16" s="352" t="s">
        <v>1446</v>
      </c>
      <c r="E16" s="537"/>
      <c r="F16" s="113"/>
      <c r="G16" s="113"/>
      <c r="H16" s="113"/>
      <c r="I16" s="113"/>
      <c r="J16" s="119"/>
      <c r="K16" s="119"/>
      <c r="L16" s="120"/>
    </row>
    <row r="17" spans="1:12" ht="18" customHeight="1">
      <c r="A17" s="355" t="s">
        <v>1449</v>
      </c>
      <c r="B17" s="440"/>
      <c r="C17" s="351" t="s">
        <v>1450</v>
      </c>
      <c r="D17" s="356" t="s">
        <v>1451</v>
      </c>
      <c r="E17" s="537"/>
      <c r="F17" s="113"/>
      <c r="G17" s="113"/>
      <c r="H17" s="113"/>
      <c r="I17" s="113"/>
      <c r="J17" s="120"/>
      <c r="K17" s="120"/>
      <c r="L17" s="120"/>
    </row>
    <row r="18" spans="1:12" ht="26.45">
      <c r="A18" s="355" t="s">
        <v>1452</v>
      </c>
      <c r="B18" s="440"/>
      <c r="C18" s="351" t="s">
        <v>1453</v>
      </c>
      <c r="D18" s="356" t="s">
        <v>1454</v>
      </c>
      <c r="E18" s="537"/>
      <c r="F18" s="113"/>
      <c r="G18" s="113"/>
      <c r="H18" s="113"/>
      <c r="I18" s="113"/>
      <c r="J18" s="108"/>
    </row>
    <row r="19" spans="1:12" ht="15.6">
      <c r="A19" s="121"/>
      <c r="B19" s="109"/>
      <c r="C19" s="122"/>
      <c r="D19" s="123"/>
      <c r="E19" s="108"/>
      <c r="F19" s="113"/>
      <c r="G19" s="113"/>
      <c r="H19" s="108"/>
      <c r="I19" s="108"/>
      <c r="J19" s="108"/>
    </row>
    <row r="20" spans="1:12" ht="30.6" customHeight="1">
      <c r="A20" s="587" t="s">
        <v>1455</v>
      </c>
      <c r="B20" s="587"/>
      <c r="C20" s="587"/>
      <c r="D20" s="587"/>
      <c r="E20" s="108"/>
      <c r="F20" s="108"/>
      <c r="G20" s="108"/>
    </row>
  </sheetData>
  <mergeCells count="1">
    <mergeCell ref="A20:D20"/>
  </mergeCells>
  <pageMargins left="0.70866141732283472" right="0.70866141732283472" top="0.74803149606299213"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T902"/>
  <sheetViews>
    <sheetView showGridLines="0" zoomScale="91" zoomScaleNormal="91" workbookViewId="0">
      <pane xSplit="2" ySplit="10" topLeftCell="C11" activePane="bottomRight" state="frozen"/>
      <selection pane="bottomRight" activeCell="A15" sqref="A15:A902"/>
      <selection pane="bottomLeft" activeCell="A872" sqref="A872"/>
      <selection pane="topRight" activeCell="A872" sqref="A872"/>
    </sheetView>
  </sheetViews>
  <sheetFormatPr defaultColWidth="9.140625" defaultRowHeight="15" customHeight="1"/>
  <cols>
    <col min="1" max="1" width="9" style="182" customWidth="1"/>
    <col min="2" max="2" width="13.7109375" style="230" customWidth="1"/>
    <col min="3" max="3" width="31.28515625" style="124" bestFit="1" customWidth="1"/>
    <col min="4" max="5" width="21.5703125" style="43" customWidth="1"/>
    <col min="6" max="6" width="21.5703125" style="125" customWidth="1"/>
    <col min="7" max="7" width="55.5703125" style="43" bestFit="1" customWidth="1"/>
    <col min="8" max="8" width="15.28515625" style="43" customWidth="1"/>
    <col min="9" max="9" width="24.7109375" style="43" customWidth="1"/>
    <col min="10" max="10" width="12.140625" style="135" customWidth="1"/>
    <col min="11" max="12" width="9.5703125" style="182" customWidth="1"/>
    <col min="13" max="13" width="15.28515625" style="182" customWidth="1"/>
    <col min="14" max="17" width="9.5703125" style="182" customWidth="1"/>
    <col min="18" max="18" width="13.28515625" style="182" customWidth="1"/>
    <col min="19" max="19" width="9.5703125" style="182" customWidth="1"/>
    <col min="20" max="20" width="77.28515625" style="225" customWidth="1"/>
    <col min="21" max="16384" width="9.140625" style="43"/>
  </cols>
  <sheetData>
    <row r="1" spans="1:20" ht="12.75" customHeight="1">
      <c r="A1" s="286">
        <v>1</v>
      </c>
      <c r="B1" s="226"/>
      <c r="D1" s="129"/>
      <c r="E1" s="129"/>
      <c r="F1" s="130"/>
      <c r="J1" s="127"/>
      <c r="K1" s="224"/>
      <c r="L1" s="224"/>
      <c r="M1" s="224"/>
      <c r="N1" s="224"/>
      <c r="O1" s="224"/>
      <c r="P1" s="132"/>
      <c r="Q1" s="132"/>
      <c r="R1" s="132"/>
      <c r="S1" s="132"/>
      <c r="T1" s="227"/>
    </row>
    <row r="2" spans="1:20" ht="15.6">
      <c r="A2" s="285">
        <v>2</v>
      </c>
      <c r="B2" s="115" t="s">
        <v>1</v>
      </c>
      <c r="D2" s="93" t="str">
        <f>'1-Inschrijfstaat'!B3</f>
        <v>GVB Infra B.V.</v>
      </c>
      <c r="E2" s="93"/>
      <c r="F2" s="130"/>
      <c r="J2" s="127"/>
      <c r="K2" s="224"/>
      <c r="L2" s="224"/>
      <c r="M2" s="224"/>
      <c r="N2" s="224"/>
      <c r="O2" s="224"/>
      <c r="P2" s="228"/>
      <c r="Q2" s="228"/>
      <c r="R2" s="228"/>
      <c r="S2" s="228"/>
      <c r="T2" s="227"/>
    </row>
    <row r="3" spans="1:20" ht="15.6">
      <c r="A3" s="286">
        <v>3</v>
      </c>
      <c r="B3" s="115" t="s">
        <v>3</v>
      </c>
      <c r="D3" s="93" t="e">
        <f ca="1">MID(CELL("bestandsnaam",$C$8),SEARCH("]",CELL("bestandsnaam",$C$8),1)+1,256)</f>
        <v>#VALUE!</v>
      </c>
      <c r="E3" s="93"/>
      <c r="F3" s="130"/>
      <c r="J3" s="127"/>
      <c r="K3" s="224"/>
      <c r="L3" s="224"/>
      <c r="M3" s="224"/>
      <c r="N3" s="224"/>
      <c r="O3" s="224"/>
      <c r="T3" s="227"/>
    </row>
    <row r="4" spans="1:20" ht="15.6">
      <c r="A4" s="285">
        <v>4</v>
      </c>
      <c r="B4" s="115" t="s">
        <v>4</v>
      </c>
      <c r="D4" s="93" t="str">
        <f>'1-Inschrijfstaat'!B5</f>
        <v>Diverse</v>
      </c>
      <c r="E4" s="93"/>
      <c r="F4" s="130"/>
      <c r="J4" s="127"/>
      <c r="K4" s="224"/>
      <c r="L4" s="224"/>
      <c r="M4" s="224"/>
      <c r="N4" s="224"/>
      <c r="O4" s="224"/>
      <c r="T4" s="227"/>
    </row>
    <row r="5" spans="1:20" ht="15.6">
      <c r="A5" s="286">
        <v>5</v>
      </c>
      <c r="B5" s="115" t="s">
        <v>47</v>
      </c>
      <c r="D5" s="93" t="str">
        <f>'1-Inschrijfstaat'!B6</f>
        <v>2024-20</v>
      </c>
      <c r="E5" s="93"/>
      <c r="F5" s="130"/>
      <c r="J5" s="127"/>
      <c r="K5" s="224"/>
      <c r="L5" s="224"/>
      <c r="M5" s="224"/>
      <c r="N5" s="224"/>
      <c r="O5" s="224"/>
      <c r="T5" s="227"/>
    </row>
    <row r="6" spans="1:20" ht="15.6">
      <c r="A6" s="285">
        <v>6</v>
      </c>
      <c r="B6" s="115" t="s">
        <v>8</v>
      </c>
      <c r="D6" s="93">
        <f>'1-Inschrijfstaat'!B7</f>
        <v>0</v>
      </c>
      <c r="E6" s="93"/>
      <c r="F6" s="130"/>
      <c r="J6" s="127"/>
      <c r="K6" s="224"/>
      <c r="L6" s="224"/>
      <c r="M6" s="224"/>
      <c r="N6" s="224"/>
      <c r="O6" s="224"/>
      <c r="T6" s="227"/>
    </row>
    <row r="7" spans="1:20" ht="15.6">
      <c r="A7" s="286">
        <v>7</v>
      </c>
      <c r="B7" s="115" t="s">
        <v>9</v>
      </c>
      <c r="D7" s="136" t="str">
        <f>'1-Inschrijfstaat'!B8</f>
        <v>1 januari 2025</v>
      </c>
      <c r="E7" s="136"/>
      <c r="F7" s="130"/>
      <c r="J7" s="127"/>
      <c r="K7" s="224"/>
      <c r="L7" s="224"/>
      <c r="M7" s="224"/>
      <c r="N7" s="224"/>
      <c r="O7" s="224"/>
      <c r="T7" s="227"/>
    </row>
    <row r="8" spans="1:20" ht="15.6">
      <c r="A8" s="285">
        <v>8</v>
      </c>
      <c r="B8" s="137" t="s">
        <v>11</v>
      </c>
      <c r="D8" s="392" t="str">
        <f>'1-Inschrijfstaat'!B9</f>
        <v>2 Specialistiche schoonmaak</v>
      </c>
      <c r="E8" s="138"/>
      <c r="F8" s="139"/>
      <c r="J8" s="127"/>
      <c r="K8" s="224"/>
      <c r="L8" s="224"/>
      <c r="M8" s="224"/>
      <c r="N8" s="224"/>
      <c r="O8" s="224"/>
      <c r="T8" s="227"/>
    </row>
    <row r="9" spans="1:20" s="57" customFormat="1" ht="13.15">
      <c r="A9" s="286">
        <v>9</v>
      </c>
      <c r="B9" s="140"/>
      <c r="C9" s="141"/>
      <c r="D9" s="43"/>
      <c r="E9" s="43"/>
      <c r="F9" s="142"/>
      <c r="G9" s="43"/>
      <c r="H9" s="141"/>
      <c r="I9" s="144"/>
      <c r="J9" s="143"/>
      <c r="K9" s="623" t="s">
        <v>140</v>
      </c>
      <c r="L9" s="624"/>
      <c r="M9" s="624"/>
      <c r="N9" s="624"/>
      <c r="O9" s="624"/>
      <c r="P9" s="624"/>
      <c r="Q9" s="624"/>
      <c r="R9" s="624"/>
      <c r="S9" s="625"/>
      <c r="T9" s="229"/>
    </row>
    <row r="10" spans="1:20" ht="50.25" customHeight="1">
      <c r="A10" s="285">
        <v>10</v>
      </c>
      <c r="B10" s="249" t="s">
        <v>49</v>
      </c>
      <c r="C10" s="249" t="s">
        <v>50</v>
      </c>
      <c r="D10" s="249" t="s">
        <v>51</v>
      </c>
      <c r="E10" s="249" t="s">
        <v>11</v>
      </c>
      <c r="F10" s="249" t="s">
        <v>141</v>
      </c>
      <c r="G10" s="249" t="s">
        <v>142</v>
      </c>
      <c r="H10" s="249" t="s">
        <v>143</v>
      </c>
      <c r="I10" s="249" t="s">
        <v>144</v>
      </c>
      <c r="J10" s="250" t="s">
        <v>145</v>
      </c>
      <c r="K10" s="250" t="s">
        <v>146</v>
      </c>
      <c r="L10" s="250" t="s">
        <v>147</v>
      </c>
      <c r="M10" s="250" t="s">
        <v>148</v>
      </c>
      <c r="N10" s="250" t="s">
        <v>149</v>
      </c>
      <c r="O10" s="250" t="s">
        <v>150</v>
      </c>
      <c r="P10" s="250" t="s">
        <v>151</v>
      </c>
      <c r="Q10" s="250" t="s">
        <v>152</v>
      </c>
      <c r="R10" s="250" t="s">
        <v>153</v>
      </c>
      <c r="S10" s="250" t="s">
        <v>154</v>
      </c>
      <c r="T10" s="249" t="s">
        <v>155</v>
      </c>
    </row>
    <row r="11" spans="1:20" ht="15" customHeight="1">
      <c r="A11" s="286">
        <v>11</v>
      </c>
      <c r="B11" s="544">
        <v>106</v>
      </c>
      <c r="C11" s="545" t="s">
        <v>63</v>
      </c>
      <c r="D11" s="549" t="s">
        <v>156</v>
      </c>
      <c r="E11" s="539">
        <f>VLOOKUP(B11,'2-Kosten per locatie'!$A$13:$C$87,3,FALSE)</f>
        <v>2</v>
      </c>
      <c r="F11" s="550"/>
      <c r="G11" s="551" t="s">
        <v>157</v>
      </c>
      <c r="H11" s="552" t="s">
        <v>158</v>
      </c>
      <c r="I11" s="551" t="s">
        <v>159</v>
      </c>
      <c r="J11" s="553">
        <v>39</v>
      </c>
      <c r="K11" s="554"/>
      <c r="L11" s="554"/>
      <c r="M11" s="554"/>
      <c r="N11" s="554"/>
      <c r="O11" s="554">
        <v>140</v>
      </c>
      <c r="P11" s="555"/>
      <c r="Q11" s="555"/>
      <c r="R11" s="555">
        <v>20</v>
      </c>
      <c r="S11" s="555">
        <v>3</v>
      </c>
      <c r="T11" s="556"/>
    </row>
    <row r="12" spans="1:20" ht="15" customHeight="1">
      <c r="A12" s="285">
        <v>12</v>
      </c>
      <c r="B12" s="544">
        <v>106</v>
      </c>
      <c r="C12" s="545" t="s">
        <v>63</v>
      </c>
      <c r="D12" s="549" t="s">
        <v>156</v>
      </c>
      <c r="E12" s="539">
        <f>VLOOKUP(B12,'2-Kosten per locatie'!$A$13:$C$87,3,FALSE)</f>
        <v>2</v>
      </c>
      <c r="F12" s="550"/>
      <c r="G12" s="551" t="s">
        <v>160</v>
      </c>
      <c r="H12" s="552" t="s">
        <v>161</v>
      </c>
      <c r="I12" s="551" t="s">
        <v>162</v>
      </c>
      <c r="J12" s="553">
        <v>15</v>
      </c>
      <c r="K12" s="554"/>
      <c r="L12" s="554"/>
      <c r="M12" s="554"/>
      <c r="N12" s="554"/>
      <c r="O12" s="554">
        <v>43</v>
      </c>
      <c r="P12" s="555"/>
      <c r="Q12" s="555"/>
      <c r="R12" s="555">
        <v>15</v>
      </c>
      <c r="S12" s="555"/>
      <c r="T12" s="556"/>
    </row>
    <row r="13" spans="1:20" ht="15" customHeight="1">
      <c r="A13" s="286">
        <v>13</v>
      </c>
      <c r="B13" s="544">
        <v>106</v>
      </c>
      <c r="C13" s="545" t="s">
        <v>63</v>
      </c>
      <c r="D13" s="549" t="s">
        <v>156</v>
      </c>
      <c r="E13" s="539">
        <f>VLOOKUP(B13,'2-Kosten per locatie'!$A$13:$C$87,3,FALSE)</f>
        <v>2</v>
      </c>
      <c r="F13" s="550"/>
      <c r="G13" s="551" t="s">
        <v>163</v>
      </c>
      <c r="H13" s="552" t="s">
        <v>164</v>
      </c>
      <c r="I13" s="551" t="s">
        <v>163</v>
      </c>
      <c r="J13" s="553">
        <v>22</v>
      </c>
      <c r="K13" s="554"/>
      <c r="L13" s="554"/>
      <c r="M13" s="554"/>
      <c r="N13" s="554"/>
      <c r="O13" s="554">
        <v>58</v>
      </c>
      <c r="P13" s="555"/>
      <c r="Q13" s="555"/>
      <c r="R13" s="555">
        <v>22</v>
      </c>
      <c r="S13" s="555"/>
      <c r="T13" s="556"/>
    </row>
    <row r="14" spans="1:20" ht="15" customHeight="1">
      <c r="A14" s="285">
        <v>14</v>
      </c>
      <c r="B14" s="544">
        <v>106</v>
      </c>
      <c r="C14" s="545" t="s">
        <v>63</v>
      </c>
      <c r="D14" s="549" t="s">
        <v>156</v>
      </c>
      <c r="E14" s="539">
        <f>VLOOKUP(B14,'2-Kosten per locatie'!$A$13:$C$87,3,FALSE)</f>
        <v>2</v>
      </c>
      <c r="F14" s="550"/>
      <c r="G14" s="551" t="s">
        <v>165</v>
      </c>
      <c r="H14" s="552" t="s">
        <v>166</v>
      </c>
      <c r="I14" s="551" t="s">
        <v>165</v>
      </c>
      <c r="J14" s="553">
        <v>4</v>
      </c>
      <c r="K14" s="554"/>
      <c r="L14" s="554"/>
      <c r="M14" s="554"/>
      <c r="N14" s="554"/>
      <c r="O14" s="554">
        <v>24</v>
      </c>
      <c r="P14" s="555"/>
      <c r="Q14" s="555"/>
      <c r="R14" s="555">
        <v>4</v>
      </c>
      <c r="S14" s="555"/>
      <c r="T14" s="556"/>
    </row>
    <row r="15" spans="1:20" ht="15" customHeight="1">
      <c r="A15" s="286">
        <v>15</v>
      </c>
      <c r="B15" s="544">
        <v>106</v>
      </c>
      <c r="C15" s="545" t="s">
        <v>63</v>
      </c>
      <c r="D15" s="549" t="s">
        <v>156</v>
      </c>
      <c r="E15" s="539">
        <f>VLOOKUP(B15,'2-Kosten per locatie'!$A$13:$C$87,3,FALSE)</f>
        <v>2</v>
      </c>
      <c r="F15" s="550"/>
      <c r="G15" s="551" t="s">
        <v>167</v>
      </c>
      <c r="H15" s="552" t="s">
        <v>168</v>
      </c>
      <c r="I15" s="551" t="s">
        <v>167</v>
      </c>
      <c r="J15" s="553">
        <v>16</v>
      </c>
      <c r="K15" s="554"/>
      <c r="L15" s="554"/>
      <c r="M15" s="554"/>
      <c r="N15" s="554"/>
      <c r="O15" s="554">
        <v>70</v>
      </c>
      <c r="P15" s="555"/>
      <c r="Q15" s="555">
        <v>15</v>
      </c>
      <c r="R15" s="555"/>
      <c r="S15" s="555"/>
      <c r="T15" s="556"/>
    </row>
    <row r="16" spans="1:20" ht="15" customHeight="1">
      <c r="A16" s="285">
        <v>16</v>
      </c>
      <c r="B16" s="544">
        <v>107</v>
      </c>
      <c r="C16" s="545" t="s">
        <v>64</v>
      </c>
      <c r="D16" s="549" t="s">
        <v>156</v>
      </c>
      <c r="E16" s="539">
        <f>VLOOKUP(B16,'2-Kosten per locatie'!$A$13:$C$87,3,FALSE)</f>
        <v>2</v>
      </c>
      <c r="F16" s="550"/>
      <c r="G16" s="551" t="s">
        <v>169</v>
      </c>
      <c r="H16" s="552" t="s">
        <v>170</v>
      </c>
      <c r="I16" s="551" t="s">
        <v>171</v>
      </c>
      <c r="J16" s="553">
        <v>1200.48</v>
      </c>
      <c r="K16" s="554"/>
      <c r="L16" s="554"/>
      <c r="M16" s="554"/>
      <c r="N16" s="554"/>
      <c r="O16" s="554"/>
      <c r="P16" s="626">
        <f>(34.84*10.13)+600</f>
        <v>952.92920000000004</v>
      </c>
      <c r="Q16" s="555"/>
      <c r="R16" s="555"/>
      <c r="S16" s="555"/>
      <c r="T16" s="556"/>
    </row>
    <row r="17" spans="1:20" ht="15" customHeight="1">
      <c r="A17" s="286">
        <v>17</v>
      </c>
      <c r="B17" s="544">
        <v>107</v>
      </c>
      <c r="C17" s="545" t="s">
        <v>64</v>
      </c>
      <c r="D17" s="549" t="s">
        <v>156</v>
      </c>
      <c r="E17" s="539">
        <f>VLOOKUP(B17,'2-Kosten per locatie'!$A$13:$C$87,3,FALSE)</f>
        <v>2</v>
      </c>
      <c r="F17" s="550"/>
      <c r="G17" s="551" t="s">
        <v>172</v>
      </c>
      <c r="H17" s="552" t="s">
        <v>173</v>
      </c>
      <c r="I17" s="551" t="s">
        <v>171</v>
      </c>
      <c r="J17" s="553">
        <v>1345.42</v>
      </c>
      <c r="K17" s="554"/>
      <c r="L17" s="554"/>
      <c r="M17" s="554"/>
      <c r="N17" s="554"/>
      <c r="O17" s="554"/>
      <c r="P17" s="626">
        <f>(34.84*10.13)+600</f>
        <v>952.92920000000004</v>
      </c>
      <c r="Q17" s="555"/>
      <c r="R17" s="555"/>
      <c r="S17" s="555"/>
      <c r="T17" s="556"/>
    </row>
    <row r="18" spans="1:20" ht="15" customHeight="1">
      <c r="A18" s="285">
        <v>18</v>
      </c>
      <c r="B18" s="544">
        <v>107</v>
      </c>
      <c r="C18" s="545" t="s">
        <v>64</v>
      </c>
      <c r="D18" s="549" t="s">
        <v>156</v>
      </c>
      <c r="E18" s="539">
        <f>VLOOKUP(B18,'2-Kosten per locatie'!$A$13:$C$87,3,FALSE)</f>
        <v>2</v>
      </c>
      <c r="F18" s="550"/>
      <c r="G18" s="551" t="s">
        <v>174</v>
      </c>
      <c r="H18" s="552" t="s">
        <v>175</v>
      </c>
      <c r="I18" s="551" t="s">
        <v>176</v>
      </c>
      <c r="J18" s="553">
        <v>27.6</v>
      </c>
      <c r="K18" s="554"/>
      <c r="L18" s="554"/>
      <c r="M18" s="554"/>
      <c r="N18" s="554"/>
      <c r="O18" s="554"/>
      <c r="P18" s="555"/>
      <c r="Q18" s="555"/>
      <c r="R18" s="555"/>
      <c r="S18" s="555"/>
      <c r="T18" s="556"/>
    </row>
    <row r="19" spans="1:20" ht="15" customHeight="1">
      <c r="A19" s="286">
        <v>19</v>
      </c>
      <c r="B19" s="544">
        <v>107</v>
      </c>
      <c r="C19" s="545" t="s">
        <v>64</v>
      </c>
      <c r="D19" s="549" t="s">
        <v>156</v>
      </c>
      <c r="E19" s="539">
        <f>VLOOKUP(B19,'2-Kosten per locatie'!$A$13:$C$87,3,FALSE)</f>
        <v>2</v>
      </c>
      <c r="F19" s="550"/>
      <c r="G19" s="551" t="s">
        <v>177</v>
      </c>
      <c r="H19" s="552" t="s">
        <v>175</v>
      </c>
      <c r="I19" s="551" t="s">
        <v>176</v>
      </c>
      <c r="J19" s="553">
        <v>27.68</v>
      </c>
      <c r="K19" s="554"/>
      <c r="L19" s="554"/>
      <c r="M19" s="554"/>
      <c r="N19" s="554"/>
      <c r="O19" s="554"/>
      <c r="P19" s="555"/>
      <c r="Q19" s="555"/>
      <c r="R19" s="555"/>
      <c r="S19" s="555"/>
      <c r="T19" s="556"/>
    </row>
    <row r="20" spans="1:20" ht="15" customHeight="1">
      <c r="A20" s="285">
        <v>20</v>
      </c>
      <c r="B20" s="544">
        <v>107</v>
      </c>
      <c r="C20" s="545" t="s">
        <v>64</v>
      </c>
      <c r="D20" s="549" t="s">
        <v>156</v>
      </c>
      <c r="E20" s="539">
        <f>VLOOKUP(B20,'2-Kosten per locatie'!$A$13:$C$87,3,FALSE)</f>
        <v>2</v>
      </c>
      <c r="F20" s="550"/>
      <c r="G20" s="551" t="s">
        <v>178</v>
      </c>
      <c r="H20" s="552" t="s">
        <v>179</v>
      </c>
      <c r="I20" s="551" t="s">
        <v>180</v>
      </c>
      <c r="J20" s="553">
        <v>61.9</v>
      </c>
      <c r="K20" s="554" t="s">
        <v>181</v>
      </c>
      <c r="L20" s="554"/>
      <c r="M20" s="554"/>
      <c r="N20" s="554"/>
      <c r="O20" s="554"/>
      <c r="P20" s="555"/>
      <c r="Q20" s="555"/>
      <c r="R20" s="555"/>
      <c r="S20" s="555"/>
      <c r="T20" s="556"/>
    </row>
    <row r="21" spans="1:20" ht="15" customHeight="1">
      <c r="A21" s="286">
        <v>21</v>
      </c>
      <c r="B21" s="544">
        <v>107</v>
      </c>
      <c r="C21" s="545" t="s">
        <v>64</v>
      </c>
      <c r="D21" s="549" t="s">
        <v>156</v>
      </c>
      <c r="E21" s="539">
        <f>VLOOKUP(B21,'2-Kosten per locatie'!$A$13:$C$87,3,FALSE)</f>
        <v>2</v>
      </c>
      <c r="F21" s="550"/>
      <c r="G21" s="551" t="s">
        <v>178</v>
      </c>
      <c r="H21" s="552" t="s">
        <v>182</v>
      </c>
      <c r="I21" s="551" t="s">
        <v>180</v>
      </c>
      <c r="J21" s="553">
        <v>61.9</v>
      </c>
      <c r="K21" s="554" t="s">
        <v>181</v>
      </c>
      <c r="L21" s="554"/>
      <c r="M21" s="554"/>
      <c r="N21" s="554"/>
      <c r="O21" s="554"/>
      <c r="P21" s="555"/>
      <c r="Q21" s="555"/>
      <c r="R21" s="555"/>
      <c r="S21" s="555"/>
      <c r="T21" s="556"/>
    </row>
    <row r="22" spans="1:20" ht="15" customHeight="1">
      <c r="A22" s="286">
        <v>22</v>
      </c>
      <c r="B22" s="544">
        <v>107</v>
      </c>
      <c r="C22" s="545" t="s">
        <v>64</v>
      </c>
      <c r="D22" s="549" t="s">
        <v>156</v>
      </c>
      <c r="E22" s="539">
        <f>VLOOKUP(B22,'2-Kosten per locatie'!$A$13:$C$87,3,FALSE)</f>
        <v>2</v>
      </c>
      <c r="F22" s="550"/>
      <c r="G22" s="551" t="s">
        <v>183</v>
      </c>
      <c r="H22" s="552" t="s">
        <v>184</v>
      </c>
      <c r="I22" s="551" t="s">
        <v>180</v>
      </c>
      <c r="J22" s="553">
        <v>5.51</v>
      </c>
      <c r="K22" s="554"/>
      <c r="L22" s="554"/>
      <c r="M22" s="554"/>
      <c r="N22" s="554"/>
      <c r="O22" s="554"/>
      <c r="P22" s="555"/>
      <c r="Q22" s="555"/>
      <c r="R22" s="555"/>
      <c r="S22" s="555"/>
      <c r="T22" s="556" t="s">
        <v>185</v>
      </c>
    </row>
    <row r="23" spans="1:20" ht="15" customHeight="1">
      <c r="A23" s="285">
        <v>23</v>
      </c>
      <c r="B23" s="544">
        <v>107</v>
      </c>
      <c r="C23" s="545" t="s">
        <v>64</v>
      </c>
      <c r="D23" s="549" t="s">
        <v>156</v>
      </c>
      <c r="E23" s="539">
        <f>VLOOKUP(B23,'2-Kosten per locatie'!$A$13:$C$87,3,FALSE)</f>
        <v>2</v>
      </c>
      <c r="F23" s="550"/>
      <c r="G23" s="551" t="s">
        <v>183</v>
      </c>
      <c r="H23" s="552" t="s">
        <v>186</v>
      </c>
      <c r="I23" s="551" t="s">
        <v>180</v>
      </c>
      <c r="J23" s="553">
        <v>5.51</v>
      </c>
      <c r="K23" s="554"/>
      <c r="L23" s="554"/>
      <c r="M23" s="554"/>
      <c r="N23" s="554"/>
      <c r="O23" s="554"/>
      <c r="P23" s="555"/>
      <c r="Q23" s="555"/>
      <c r="R23" s="555"/>
      <c r="S23" s="555"/>
      <c r="T23" s="556" t="s">
        <v>185</v>
      </c>
    </row>
    <row r="24" spans="1:20" ht="15" customHeight="1">
      <c r="A24" s="286">
        <v>24</v>
      </c>
      <c r="B24" s="544">
        <v>107</v>
      </c>
      <c r="C24" s="545" t="s">
        <v>64</v>
      </c>
      <c r="D24" s="549" t="s">
        <v>156</v>
      </c>
      <c r="E24" s="539">
        <f>VLOOKUP(B24,'2-Kosten per locatie'!$A$13:$C$87,3,FALSE)</f>
        <v>2</v>
      </c>
      <c r="F24" s="550"/>
      <c r="G24" s="551" t="s">
        <v>187</v>
      </c>
      <c r="H24" s="552" t="s">
        <v>188</v>
      </c>
      <c r="I24" s="551" t="s">
        <v>159</v>
      </c>
      <c r="J24" s="553">
        <v>367.11864406779659</v>
      </c>
      <c r="K24" s="554"/>
      <c r="L24" s="554"/>
      <c r="M24" s="554"/>
      <c r="N24" s="554"/>
      <c r="O24" s="554">
        <v>721</v>
      </c>
      <c r="P24" s="555"/>
      <c r="Q24" s="555"/>
      <c r="R24" s="555">
        <v>198.8</v>
      </c>
      <c r="S24" s="555"/>
      <c r="T24" s="556" t="s">
        <v>189</v>
      </c>
    </row>
    <row r="25" spans="1:20" ht="15" customHeight="1">
      <c r="A25" s="285">
        <v>25</v>
      </c>
      <c r="B25" s="544">
        <v>107</v>
      </c>
      <c r="C25" s="545" t="s">
        <v>64</v>
      </c>
      <c r="D25" s="549" t="s">
        <v>156</v>
      </c>
      <c r="E25" s="539">
        <f>VLOOKUP(B25,'2-Kosten per locatie'!$A$13:$C$87,3,FALSE)</f>
        <v>2</v>
      </c>
      <c r="F25" s="550"/>
      <c r="G25" s="551" t="s">
        <v>190</v>
      </c>
      <c r="H25" s="552" t="s">
        <v>191</v>
      </c>
      <c r="I25" s="551" t="s">
        <v>159</v>
      </c>
      <c r="J25" s="553">
        <v>13</v>
      </c>
      <c r="K25" s="554"/>
      <c r="L25" s="554"/>
      <c r="M25" s="554"/>
      <c r="N25" s="554"/>
      <c r="O25" s="554">
        <v>49.9</v>
      </c>
      <c r="P25" s="555"/>
      <c r="Q25" s="555"/>
      <c r="R25" s="555">
        <f>J25</f>
        <v>13</v>
      </c>
      <c r="S25" s="555"/>
      <c r="T25" s="556"/>
    </row>
    <row r="26" spans="1:20" ht="15" customHeight="1">
      <c r="A26" s="286">
        <v>26</v>
      </c>
      <c r="B26" s="544">
        <v>107</v>
      </c>
      <c r="C26" s="545" t="s">
        <v>64</v>
      </c>
      <c r="D26" s="549" t="s">
        <v>156</v>
      </c>
      <c r="E26" s="539">
        <f>VLOOKUP(B26,'2-Kosten per locatie'!$A$13:$C$87,3,FALSE)</f>
        <v>2</v>
      </c>
      <c r="F26" s="550"/>
      <c r="G26" s="551" t="s">
        <v>190</v>
      </c>
      <c r="H26" s="552" t="s">
        <v>192</v>
      </c>
      <c r="I26" s="551" t="s">
        <v>171</v>
      </c>
      <c r="J26" s="553">
        <v>13.1</v>
      </c>
      <c r="K26" s="554"/>
      <c r="L26" s="554"/>
      <c r="M26" s="554">
        <v>54.800000000000004</v>
      </c>
      <c r="N26" s="554"/>
      <c r="O26" s="554">
        <v>54</v>
      </c>
      <c r="P26" s="555"/>
      <c r="Q26" s="555">
        <f>J26</f>
        <v>13.1</v>
      </c>
      <c r="R26" s="555"/>
      <c r="S26" s="555"/>
      <c r="T26" s="556"/>
    </row>
    <row r="27" spans="1:20" ht="15" customHeight="1">
      <c r="A27" s="285">
        <v>27</v>
      </c>
      <c r="B27" s="544">
        <v>107</v>
      </c>
      <c r="C27" s="545" t="s">
        <v>64</v>
      </c>
      <c r="D27" s="549" t="s">
        <v>156</v>
      </c>
      <c r="E27" s="539">
        <f>VLOOKUP(B27,'2-Kosten per locatie'!$A$13:$C$87,3,FALSE)</f>
        <v>2</v>
      </c>
      <c r="F27" s="550"/>
      <c r="G27" s="551" t="s">
        <v>193</v>
      </c>
      <c r="H27" s="552" t="s">
        <v>194</v>
      </c>
      <c r="I27" s="551" t="s">
        <v>159</v>
      </c>
      <c r="J27" s="553">
        <v>3.7</v>
      </c>
      <c r="K27" s="554"/>
      <c r="L27" s="554"/>
      <c r="M27" s="554">
        <v>8</v>
      </c>
      <c r="N27" s="554"/>
      <c r="O27" s="554"/>
      <c r="P27" s="555"/>
      <c r="Q27" s="555">
        <f>J27</f>
        <v>3.7</v>
      </c>
      <c r="R27" s="555"/>
      <c r="S27" s="555"/>
      <c r="T27" s="556"/>
    </row>
    <row r="28" spans="1:20" ht="15" customHeight="1">
      <c r="A28" s="286">
        <v>28</v>
      </c>
      <c r="B28" s="544">
        <v>107</v>
      </c>
      <c r="C28" s="545" t="s">
        <v>64</v>
      </c>
      <c r="D28" s="549" t="s">
        <v>156</v>
      </c>
      <c r="E28" s="539">
        <f>VLOOKUP(B28,'2-Kosten per locatie'!$A$13:$C$87,3,FALSE)</f>
        <v>2</v>
      </c>
      <c r="F28" s="550"/>
      <c r="G28" s="551" t="s">
        <v>195</v>
      </c>
      <c r="H28" s="552" t="s">
        <v>196</v>
      </c>
      <c r="I28" s="551" t="s">
        <v>162</v>
      </c>
      <c r="J28" s="553">
        <v>11.8</v>
      </c>
      <c r="K28" s="554"/>
      <c r="L28" s="554"/>
      <c r="M28" s="554">
        <v>51</v>
      </c>
      <c r="N28" s="554"/>
      <c r="O28" s="554"/>
      <c r="P28" s="555"/>
      <c r="Q28" s="555"/>
      <c r="R28" s="555">
        <f>J28</f>
        <v>11.8</v>
      </c>
      <c r="S28" s="555"/>
      <c r="T28" s="556"/>
    </row>
    <row r="29" spans="1:20" ht="15" customHeight="1">
      <c r="A29" s="286">
        <v>29</v>
      </c>
      <c r="B29" s="544">
        <v>107</v>
      </c>
      <c r="C29" s="545" t="s">
        <v>64</v>
      </c>
      <c r="D29" s="549" t="s">
        <v>156</v>
      </c>
      <c r="E29" s="539">
        <f>VLOOKUP(B29,'2-Kosten per locatie'!$A$13:$C$87,3,FALSE)</f>
        <v>2</v>
      </c>
      <c r="F29" s="550"/>
      <c r="G29" s="551" t="s">
        <v>197</v>
      </c>
      <c r="H29" s="552" t="s">
        <v>198</v>
      </c>
      <c r="I29" s="551" t="s">
        <v>171</v>
      </c>
      <c r="J29" s="553">
        <v>17.5</v>
      </c>
      <c r="K29" s="554"/>
      <c r="L29" s="554"/>
      <c r="M29" s="554">
        <v>62.2</v>
      </c>
      <c r="N29" s="554"/>
      <c r="O29" s="554"/>
      <c r="P29" s="555"/>
      <c r="Q29" s="555">
        <f>J29</f>
        <v>17.5</v>
      </c>
      <c r="R29" s="555"/>
      <c r="S29" s="555"/>
      <c r="T29" s="556"/>
    </row>
    <row r="30" spans="1:20" ht="15" customHeight="1">
      <c r="A30" s="285">
        <v>30</v>
      </c>
      <c r="B30" s="544">
        <v>107</v>
      </c>
      <c r="C30" s="545" t="s">
        <v>64</v>
      </c>
      <c r="D30" s="549" t="s">
        <v>156</v>
      </c>
      <c r="E30" s="539">
        <f>VLOOKUP(B30,'2-Kosten per locatie'!$A$13:$C$87,3,FALSE)</f>
        <v>2</v>
      </c>
      <c r="F30" s="550"/>
      <c r="G30" s="551" t="s">
        <v>199</v>
      </c>
      <c r="H30" s="552" t="s">
        <v>200</v>
      </c>
      <c r="I30" s="551" t="s">
        <v>171</v>
      </c>
      <c r="J30" s="553">
        <v>14</v>
      </c>
      <c r="K30" s="554"/>
      <c r="L30" s="554"/>
      <c r="M30" s="554">
        <v>58.3</v>
      </c>
      <c r="N30" s="554"/>
      <c r="O30" s="554"/>
      <c r="P30" s="555"/>
      <c r="Q30" s="555">
        <f>J30</f>
        <v>14</v>
      </c>
      <c r="R30" s="555"/>
      <c r="S30" s="555"/>
      <c r="T30" s="556"/>
    </row>
    <row r="31" spans="1:20" ht="15" customHeight="1">
      <c r="A31" s="286">
        <v>31</v>
      </c>
      <c r="B31" s="544">
        <v>107</v>
      </c>
      <c r="C31" s="545" t="s">
        <v>64</v>
      </c>
      <c r="D31" s="549" t="s">
        <v>156</v>
      </c>
      <c r="E31" s="539">
        <f>VLOOKUP(B31,'2-Kosten per locatie'!$A$13:$C$87,3,FALSE)</f>
        <v>2</v>
      </c>
      <c r="F31" s="550"/>
      <c r="G31" s="551" t="s">
        <v>201</v>
      </c>
      <c r="H31" s="552" t="s">
        <v>202</v>
      </c>
      <c r="I31" s="551" t="s">
        <v>171</v>
      </c>
      <c r="J31" s="553">
        <v>19.899999999999999</v>
      </c>
      <c r="K31" s="554"/>
      <c r="L31" s="554"/>
      <c r="M31" s="554"/>
      <c r="N31" s="554"/>
      <c r="O31" s="554">
        <v>27.6</v>
      </c>
      <c r="P31" s="555"/>
      <c r="Q31" s="555"/>
      <c r="R31" s="555">
        <f>J31</f>
        <v>19.899999999999999</v>
      </c>
      <c r="S31" s="555"/>
      <c r="T31" s="556"/>
    </row>
    <row r="32" spans="1:20" ht="15" customHeight="1">
      <c r="A32" s="285">
        <v>32</v>
      </c>
      <c r="B32" s="544">
        <v>107</v>
      </c>
      <c r="C32" s="545" t="s">
        <v>64</v>
      </c>
      <c r="D32" s="549" t="s">
        <v>156</v>
      </c>
      <c r="E32" s="539">
        <f>VLOOKUP(B32,'2-Kosten per locatie'!$A$13:$C$87,3,FALSE)</f>
        <v>2</v>
      </c>
      <c r="F32" s="550"/>
      <c r="G32" s="551" t="s">
        <v>203</v>
      </c>
      <c r="H32" s="552" t="s">
        <v>204</v>
      </c>
      <c r="I32" s="551" t="s">
        <v>205</v>
      </c>
      <c r="J32" s="553">
        <v>2.8</v>
      </c>
      <c r="K32" s="554"/>
      <c r="L32" s="554"/>
      <c r="M32" s="554"/>
      <c r="N32" s="554">
        <v>11.5</v>
      </c>
      <c r="O32" s="554">
        <v>3.5</v>
      </c>
      <c r="P32" s="555"/>
      <c r="Q32" s="555"/>
      <c r="R32" s="555"/>
      <c r="S32" s="555">
        <f>J32</f>
        <v>2.8</v>
      </c>
      <c r="T32" s="556" t="s">
        <v>206</v>
      </c>
    </row>
    <row r="33" spans="1:20" ht="15" customHeight="1">
      <c r="A33" s="286">
        <v>33</v>
      </c>
      <c r="B33" s="544">
        <v>107</v>
      </c>
      <c r="C33" s="545" t="s">
        <v>64</v>
      </c>
      <c r="D33" s="549" t="s">
        <v>156</v>
      </c>
      <c r="E33" s="539">
        <f>VLOOKUP(B33,'2-Kosten per locatie'!$A$13:$C$87,3,FALSE)</f>
        <v>2</v>
      </c>
      <c r="F33" s="550"/>
      <c r="G33" s="551" t="s">
        <v>203</v>
      </c>
      <c r="H33" s="552" t="s">
        <v>207</v>
      </c>
      <c r="I33" s="551" t="s">
        <v>205</v>
      </c>
      <c r="J33" s="553">
        <v>2.8</v>
      </c>
      <c r="K33" s="554"/>
      <c r="L33" s="554"/>
      <c r="M33" s="554"/>
      <c r="N33" s="554">
        <v>11.5</v>
      </c>
      <c r="O33" s="554">
        <v>3.5</v>
      </c>
      <c r="P33" s="555"/>
      <c r="Q33" s="555"/>
      <c r="R33" s="555"/>
      <c r="S33" s="555">
        <f>J33</f>
        <v>2.8</v>
      </c>
      <c r="T33" s="556" t="s">
        <v>206</v>
      </c>
    </row>
    <row r="34" spans="1:20" ht="15" customHeight="1">
      <c r="A34" s="285">
        <v>34</v>
      </c>
      <c r="B34" s="544">
        <v>107</v>
      </c>
      <c r="C34" s="545" t="s">
        <v>64</v>
      </c>
      <c r="D34" s="549" t="s">
        <v>156</v>
      </c>
      <c r="E34" s="539">
        <f>VLOOKUP(B34,'2-Kosten per locatie'!$A$13:$C$87,3,FALSE)</f>
        <v>2</v>
      </c>
      <c r="F34" s="550"/>
      <c r="G34" s="551" t="s">
        <v>208</v>
      </c>
      <c r="H34" s="552" t="s">
        <v>209</v>
      </c>
      <c r="I34" s="551" t="s">
        <v>162</v>
      </c>
      <c r="J34" s="553">
        <v>14.9</v>
      </c>
      <c r="K34" s="554"/>
      <c r="L34" s="554"/>
      <c r="M34" s="554"/>
      <c r="N34" s="554"/>
      <c r="O34" s="554">
        <v>56.800000000000004</v>
      </c>
      <c r="P34" s="555"/>
      <c r="Q34" s="555"/>
      <c r="R34" s="555">
        <f>J34</f>
        <v>14.9</v>
      </c>
      <c r="S34" s="555"/>
      <c r="T34" s="556"/>
    </row>
    <row r="35" spans="1:20" ht="15" customHeight="1">
      <c r="A35" s="286">
        <v>35</v>
      </c>
      <c r="B35" s="544">
        <v>107</v>
      </c>
      <c r="C35" s="545" t="s">
        <v>64</v>
      </c>
      <c r="D35" s="549" t="s">
        <v>156</v>
      </c>
      <c r="E35" s="539">
        <f>VLOOKUP(B35,'2-Kosten per locatie'!$A$13:$C$87,3,FALSE)</f>
        <v>2</v>
      </c>
      <c r="F35" s="550"/>
      <c r="G35" s="551" t="s">
        <v>210</v>
      </c>
      <c r="H35" s="552" t="s">
        <v>211</v>
      </c>
      <c r="I35" s="551" t="s">
        <v>159</v>
      </c>
      <c r="J35" s="553">
        <v>3.7</v>
      </c>
      <c r="K35" s="554"/>
      <c r="L35" s="554"/>
      <c r="M35" s="554">
        <v>27.400000000000002</v>
      </c>
      <c r="N35" s="554"/>
      <c r="O35" s="554"/>
      <c r="P35" s="555"/>
      <c r="Q35" s="555">
        <f>J35</f>
        <v>3.7</v>
      </c>
      <c r="R35" s="555"/>
      <c r="S35" s="555"/>
      <c r="T35" s="556"/>
    </row>
    <row r="36" spans="1:20" ht="15" customHeight="1">
      <c r="A36" s="286">
        <v>36</v>
      </c>
      <c r="B36" s="544">
        <v>107</v>
      </c>
      <c r="C36" s="545" t="s">
        <v>64</v>
      </c>
      <c r="D36" s="549" t="s">
        <v>156</v>
      </c>
      <c r="E36" s="539">
        <f>VLOOKUP(B36,'2-Kosten per locatie'!$A$13:$C$87,3,FALSE)</f>
        <v>2</v>
      </c>
      <c r="F36" s="550"/>
      <c r="G36" s="551" t="s">
        <v>212</v>
      </c>
      <c r="H36" s="552" t="s">
        <v>213</v>
      </c>
      <c r="I36" s="551" t="s">
        <v>214</v>
      </c>
      <c r="J36" s="553">
        <v>9.8000000000000007</v>
      </c>
      <c r="K36" s="554"/>
      <c r="L36" s="554"/>
      <c r="M36" s="554">
        <v>11.2</v>
      </c>
      <c r="N36" s="554"/>
      <c r="O36" s="554">
        <v>23</v>
      </c>
      <c r="P36" s="555"/>
      <c r="Q36" s="555">
        <f>J36</f>
        <v>9.8000000000000007</v>
      </c>
      <c r="R36" s="555"/>
      <c r="S36" s="555"/>
      <c r="T36" s="556"/>
    </row>
    <row r="37" spans="1:20" ht="15" customHeight="1">
      <c r="A37" s="285">
        <v>37</v>
      </c>
      <c r="B37" s="544">
        <v>107</v>
      </c>
      <c r="C37" s="545" t="s">
        <v>64</v>
      </c>
      <c r="D37" s="549" t="s">
        <v>156</v>
      </c>
      <c r="E37" s="539">
        <f>VLOOKUP(B37,'2-Kosten per locatie'!$A$13:$C$87,3,FALSE)</f>
        <v>2</v>
      </c>
      <c r="F37" s="550"/>
      <c r="G37" s="551" t="s">
        <v>215</v>
      </c>
      <c r="H37" s="552" t="s">
        <v>216</v>
      </c>
      <c r="I37" s="551" t="s">
        <v>171</v>
      </c>
      <c r="J37" s="553">
        <v>10.9</v>
      </c>
      <c r="K37" s="554"/>
      <c r="L37" s="554"/>
      <c r="M37" s="554">
        <v>51.800000000000004</v>
      </c>
      <c r="N37" s="554"/>
      <c r="O37" s="554"/>
      <c r="P37" s="555"/>
      <c r="Q37" s="555">
        <f>J37</f>
        <v>10.9</v>
      </c>
      <c r="R37" s="555"/>
      <c r="S37" s="555"/>
      <c r="T37" s="556"/>
    </row>
    <row r="38" spans="1:20" ht="15" customHeight="1">
      <c r="A38" s="286">
        <v>38</v>
      </c>
      <c r="B38" s="544">
        <v>107</v>
      </c>
      <c r="C38" s="545" t="s">
        <v>64</v>
      </c>
      <c r="D38" s="549" t="s">
        <v>156</v>
      </c>
      <c r="E38" s="539">
        <f>VLOOKUP(B38,'2-Kosten per locatie'!$A$13:$C$87,3,FALSE)</f>
        <v>2</v>
      </c>
      <c r="F38" s="550"/>
      <c r="G38" s="551" t="s">
        <v>217</v>
      </c>
      <c r="H38" s="552" t="s">
        <v>218</v>
      </c>
      <c r="I38" s="551" t="s">
        <v>162</v>
      </c>
      <c r="J38" s="553">
        <v>15.7</v>
      </c>
      <c r="K38" s="554">
        <v>9.4</v>
      </c>
      <c r="L38" s="554"/>
      <c r="M38" s="554"/>
      <c r="N38" s="554"/>
      <c r="O38" s="554">
        <v>14.8</v>
      </c>
      <c r="P38" s="555"/>
      <c r="Q38" s="555"/>
      <c r="R38" s="555">
        <f>J38</f>
        <v>15.7</v>
      </c>
      <c r="S38" s="555"/>
      <c r="T38" s="556" t="s">
        <v>219</v>
      </c>
    </row>
    <row r="39" spans="1:20" ht="15" customHeight="1">
      <c r="A39" s="285">
        <v>39</v>
      </c>
      <c r="B39" s="544">
        <v>107</v>
      </c>
      <c r="C39" s="545" t="s">
        <v>64</v>
      </c>
      <c r="D39" s="549" t="s">
        <v>156</v>
      </c>
      <c r="E39" s="539">
        <f>VLOOKUP(B39,'2-Kosten per locatie'!$A$13:$C$87,3,FALSE)</f>
        <v>2</v>
      </c>
      <c r="F39" s="550"/>
      <c r="G39" s="551" t="s">
        <v>220</v>
      </c>
      <c r="H39" s="552" t="s">
        <v>221</v>
      </c>
      <c r="I39" s="551" t="s">
        <v>222</v>
      </c>
      <c r="J39" s="553">
        <v>2.2999999999999998</v>
      </c>
      <c r="K39" s="554"/>
      <c r="L39" s="554"/>
      <c r="M39" s="554">
        <v>15.499999999999998</v>
      </c>
      <c r="N39" s="554"/>
      <c r="O39" s="554"/>
      <c r="P39" s="555"/>
      <c r="Q39" s="555">
        <f>J39</f>
        <v>2.2999999999999998</v>
      </c>
      <c r="R39" s="555"/>
      <c r="S39" s="555"/>
      <c r="T39" s="556"/>
    </row>
    <row r="40" spans="1:20" ht="15" customHeight="1">
      <c r="A40" s="286">
        <v>40</v>
      </c>
      <c r="B40" s="544">
        <v>107</v>
      </c>
      <c r="C40" s="545" t="s">
        <v>64</v>
      </c>
      <c r="D40" s="549" t="s">
        <v>156</v>
      </c>
      <c r="E40" s="539">
        <f>VLOOKUP(B40,'2-Kosten per locatie'!$A$13:$C$87,3,FALSE)</f>
        <v>2</v>
      </c>
      <c r="F40" s="550"/>
      <c r="G40" s="551" t="s">
        <v>220</v>
      </c>
      <c r="H40" s="552" t="s">
        <v>223</v>
      </c>
      <c r="I40" s="551" t="s">
        <v>222</v>
      </c>
      <c r="J40" s="553">
        <v>2.2000000000000002</v>
      </c>
      <c r="K40" s="554"/>
      <c r="L40" s="554"/>
      <c r="M40" s="554">
        <v>14.299999999999999</v>
      </c>
      <c r="N40" s="554"/>
      <c r="O40" s="554"/>
      <c r="P40" s="555"/>
      <c r="Q40" s="555">
        <f>J40</f>
        <v>2.2000000000000002</v>
      </c>
      <c r="R40" s="555"/>
      <c r="S40" s="555"/>
      <c r="T40" s="556"/>
    </row>
    <row r="41" spans="1:20" ht="15" customHeight="1">
      <c r="A41" s="285">
        <v>41</v>
      </c>
      <c r="B41" s="544">
        <v>108</v>
      </c>
      <c r="C41" s="551" t="s">
        <v>65</v>
      </c>
      <c r="D41" s="549" t="s">
        <v>156</v>
      </c>
      <c r="E41" s="539">
        <f>VLOOKUP(B41,'2-Kosten per locatie'!$A$13:$C$87,3,FALSE)</f>
        <v>2</v>
      </c>
      <c r="F41" s="550"/>
      <c r="G41" s="551" t="s">
        <v>224</v>
      </c>
      <c r="H41" s="552" t="s">
        <v>225</v>
      </c>
      <c r="I41" s="551" t="s">
        <v>171</v>
      </c>
      <c r="J41" s="553">
        <v>1452.88</v>
      </c>
      <c r="K41" s="554"/>
      <c r="L41" s="554"/>
      <c r="M41" s="554"/>
      <c r="N41" s="554"/>
      <c r="O41" s="554"/>
      <c r="P41" s="555">
        <f>49.49*10.2</f>
        <v>504.798</v>
      </c>
      <c r="Q41" s="555"/>
      <c r="R41" s="555"/>
      <c r="S41" s="555"/>
      <c r="T41" s="556"/>
    </row>
    <row r="42" spans="1:20" ht="15" customHeight="1">
      <c r="A42" s="286">
        <v>42</v>
      </c>
      <c r="B42" s="544">
        <v>108</v>
      </c>
      <c r="C42" s="551" t="s">
        <v>65</v>
      </c>
      <c r="D42" s="549" t="s">
        <v>156</v>
      </c>
      <c r="E42" s="539">
        <f>VLOOKUP(B42,'2-Kosten per locatie'!$A$13:$C$87,3,FALSE)</f>
        <v>2</v>
      </c>
      <c r="F42" s="550"/>
      <c r="G42" s="551" t="s">
        <v>226</v>
      </c>
      <c r="H42" s="552" t="s">
        <v>227</v>
      </c>
      <c r="I42" s="551" t="s">
        <v>171</v>
      </c>
      <c r="J42" s="553">
        <v>1460.63</v>
      </c>
      <c r="K42" s="554"/>
      <c r="L42" s="554"/>
      <c r="M42" s="554"/>
      <c r="N42" s="554"/>
      <c r="O42" s="554"/>
      <c r="P42" s="555">
        <f>49.49*10.2</f>
        <v>504.798</v>
      </c>
      <c r="Q42" s="555"/>
      <c r="R42" s="555"/>
      <c r="S42" s="555"/>
      <c r="T42" s="556"/>
    </row>
    <row r="43" spans="1:20" ht="15" customHeight="1">
      <c r="A43" s="286">
        <v>43</v>
      </c>
      <c r="B43" s="544">
        <v>108</v>
      </c>
      <c r="C43" s="551" t="s">
        <v>65</v>
      </c>
      <c r="D43" s="549" t="s">
        <v>156</v>
      </c>
      <c r="E43" s="539">
        <f>VLOOKUP(B43,'2-Kosten per locatie'!$A$13:$C$87,3,FALSE)</f>
        <v>2</v>
      </c>
      <c r="F43" s="550"/>
      <c r="G43" s="551" t="s">
        <v>228</v>
      </c>
      <c r="H43" s="552" t="s">
        <v>229</v>
      </c>
      <c r="I43" s="551" t="s">
        <v>180</v>
      </c>
      <c r="J43" s="553">
        <v>45.6</v>
      </c>
      <c r="K43" s="554"/>
      <c r="L43" s="554"/>
      <c r="M43" s="554"/>
      <c r="N43" s="554"/>
      <c r="O43" s="554"/>
      <c r="P43" s="555"/>
      <c r="Q43" s="555"/>
      <c r="R43" s="555"/>
      <c r="S43" s="555"/>
      <c r="T43" s="556"/>
    </row>
    <row r="44" spans="1:20" ht="15" customHeight="1">
      <c r="A44" s="285">
        <v>44</v>
      </c>
      <c r="B44" s="544">
        <v>108</v>
      </c>
      <c r="C44" s="551" t="s">
        <v>65</v>
      </c>
      <c r="D44" s="549" t="s">
        <v>156</v>
      </c>
      <c r="E44" s="539">
        <f>VLOOKUP(B44,'2-Kosten per locatie'!$A$13:$C$87,3,FALSE)</f>
        <v>2</v>
      </c>
      <c r="F44" s="550"/>
      <c r="G44" s="551" t="s">
        <v>230</v>
      </c>
      <c r="H44" s="552" t="s">
        <v>231</v>
      </c>
      <c r="I44" s="551" t="s">
        <v>180</v>
      </c>
      <c r="J44" s="553">
        <v>45.6</v>
      </c>
      <c r="K44" s="554"/>
      <c r="L44" s="554"/>
      <c r="M44" s="554"/>
      <c r="N44" s="554"/>
      <c r="O44" s="554"/>
      <c r="P44" s="555"/>
      <c r="Q44" s="555"/>
      <c r="R44" s="555"/>
      <c r="S44" s="555"/>
      <c r="T44" s="556"/>
    </row>
    <row r="45" spans="1:20" ht="15" customHeight="1">
      <c r="A45" s="286">
        <v>45</v>
      </c>
      <c r="B45" s="544">
        <v>108</v>
      </c>
      <c r="C45" s="551" t="s">
        <v>65</v>
      </c>
      <c r="D45" s="549" t="s">
        <v>156</v>
      </c>
      <c r="E45" s="539">
        <f>VLOOKUP(B45,'2-Kosten per locatie'!$A$13:$C$87,3,FALSE)</f>
        <v>2</v>
      </c>
      <c r="F45" s="550"/>
      <c r="G45" s="551" t="s">
        <v>174</v>
      </c>
      <c r="H45" s="552" t="s">
        <v>232</v>
      </c>
      <c r="I45" s="551" t="s">
        <v>176</v>
      </c>
      <c r="J45" s="553">
        <v>27.6</v>
      </c>
      <c r="K45" s="554"/>
      <c r="L45" s="554"/>
      <c r="M45" s="554"/>
      <c r="N45" s="554"/>
      <c r="O45" s="554"/>
      <c r="P45" s="555"/>
      <c r="Q45" s="555"/>
      <c r="R45" s="555"/>
      <c r="S45" s="555"/>
      <c r="T45" s="556"/>
    </row>
    <row r="46" spans="1:20" ht="15" customHeight="1">
      <c r="A46" s="285">
        <v>46</v>
      </c>
      <c r="B46" s="544">
        <v>108</v>
      </c>
      <c r="C46" s="551" t="s">
        <v>65</v>
      </c>
      <c r="D46" s="549" t="s">
        <v>156</v>
      </c>
      <c r="E46" s="539">
        <f>VLOOKUP(B46,'2-Kosten per locatie'!$A$13:$C$87,3,FALSE)</f>
        <v>2</v>
      </c>
      <c r="F46" s="550"/>
      <c r="G46" s="551" t="s">
        <v>177</v>
      </c>
      <c r="H46" s="552" t="s">
        <v>233</v>
      </c>
      <c r="I46" s="551" t="s">
        <v>176</v>
      </c>
      <c r="J46" s="553">
        <v>27.68</v>
      </c>
      <c r="K46" s="554"/>
      <c r="L46" s="554"/>
      <c r="M46" s="554"/>
      <c r="N46" s="554"/>
      <c r="O46" s="554"/>
      <c r="P46" s="555"/>
      <c r="Q46" s="555"/>
      <c r="R46" s="555"/>
      <c r="S46" s="555"/>
      <c r="T46" s="556"/>
    </row>
    <row r="47" spans="1:20" ht="15" customHeight="1">
      <c r="A47" s="286">
        <v>47</v>
      </c>
      <c r="B47" s="544">
        <v>108</v>
      </c>
      <c r="C47" s="551" t="s">
        <v>65</v>
      </c>
      <c r="D47" s="549" t="s">
        <v>156</v>
      </c>
      <c r="E47" s="539">
        <f>VLOOKUP(B47,'2-Kosten per locatie'!$A$13:$C$87,3,FALSE)</f>
        <v>2</v>
      </c>
      <c r="F47" s="550"/>
      <c r="G47" s="551" t="s">
        <v>187</v>
      </c>
      <c r="H47" s="552" t="s">
        <v>234</v>
      </c>
      <c r="I47" s="551" t="s">
        <v>159</v>
      </c>
      <c r="J47" s="553">
        <v>338.83</v>
      </c>
      <c r="K47" s="554"/>
      <c r="L47" s="554"/>
      <c r="M47" s="554"/>
      <c r="N47" s="554"/>
      <c r="O47" s="554">
        <v>975</v>
      </c>
      <c r="P47" s="555"/>
      <c r="Q47" s="555"/>
      <c r="R47" s="555">
        <f>J47</f>
        <v>338.83</v>
      </c>
      <c r="S47" s="555"/>
      <c r="T47" s="556" t="s">
        <v>235</v>
      </c>
    </row>
    <row r="48" spans="1:20" ht="15" customHeight="1">
      <c r="A48" s="285">
        <v>48</v>
      </c>
      <c r="B48" s="544">
        <v>108</v>
      </c>
      <c r="C48" s="551" t="s">
        <v>65</v>
      </c>
      <c r="D48" s="549" t="s">
        <v>156</v>
      </c>
      <c r="E48" s="539">
        <f>VLOOKUP(B48,'2-Kosten per locatie'!$A$13:$C$87,3,FALSE)</f>
        <v>2</v>
      </c>
      <c r="F48" s="550"/>
      <c r="G48" s="551" t="s">
        <v>190</v>
      </c>
      <c r="H48" s="552" t="s">
        <v>236</v>
      </c>
      <c r="I48" s="551" t="s">
        <v>159</v>
      </c>
      <c r="J48" s="553">
        <v>13.88</v>
      </c>
      <c r="K48" s="554"/>
      <c r="L48" s="554"/>
      <c r="M48" s="554">
        <v>8.1999999999999993</v>
      </c>
      <c r="N48" s="554"/>
      <c r="O48" s="554">
        <v>24.7</v>
      </c>
      <c r="P48" s="555"/>
      <c r="Q48" s="555"/>
      <c r="R48" s="555">
        <f>J48</f>
        <v>13.88</v>
      </c>
      <c r="S48" s="555"/>
      <c r="T48" s="556"/>
    </row>
    <row r="49" spans="1:20" ht="15" customHeight="1">
      <c r="A49" s="286">
        <v>49</v>
      </c>
      <c r="B49" s="544">
        <v>108</v>
      </c>
      <c r="C49" s="551" t="s">
        <v>65</v>
      </c>
      <c r="D49" s="549" t="s">
        <v>156</v>
      </c>
      <c r="E49" s="539">
        <f>VLOOKUP(B49,'2-Kosten per locatie'!$A$13:$C$87,3,FALSE)</f>
        <v>2</v>
      </c>
      <c r="F49" s="550"/>
      <c r="G49" s="551" t="s">
        <v>237</v>
      </c>
      <c r="H49" s="552" t="s">
        <v>238</v>
      </c>
      <c r="I49" s="551" t="s">
        <v>171</v>
      </c>
      <c r="J49" s="553">
        <v>7.3</v>
      </c>
      <c r="K49" s="554"/>
      <c r="L49" s="554"/>
      <c r="M49" s="554"/>
      <c r="N49" s="554"/>
      <c r="O49" s="554">
        <v>22.900000000000002</v>
      </c>
      <c r="P49" s="555"/>
      <c r="Q49" s="555"/>
      <c r="R49" s="555">
        <f>J49</f>
        <v>7.3</v>
      </c>
      <c r="S49" s="555"/>
      <c r="T49" s="556"/>
    </row>
    <row r="50" spans="1:20" ht="15" customHeight="1">
      <c r="A50" s="286">
        <v>50</v>
      </c>
      <c r="B50" s="544">
        <v>108</v>
      </c>
      <c r="C50" s="551" t="s">
        <v>65</v>
      </c>
      <c r="D50" s="549" t="s">
        <v>156</v>
      </c>
      <c r="E50" s="539">
        <f>VLOOKUP(B50,'2-Kosten per locatie'!$A$13:$C$87,3,FALSE)</f>
        <v>2</v>
      </c>
      <c r="F50" s="550"/>
      <c r="G50" s="551" t="s">
        <v>239</v>
      </c>
      <c r="H50" s="552" t="s">
        <v>240</v>
      </c>
      <c r="I50" s="551" t="s">
        <v>171</v>
      </c>
      <c r="J50" s="553">
        <v>4.3</v>
      </c>
      <c r="K50" s="554"/>
      <c r="L50" s="554"/>
      <c r="M50" s="554"/>
      <c r="N50" s="554"/>
      <c r="O50" s="554">
        <v>26.3</v>
      </c>
      <c r="P50" s="555"/>
      <c r="Q50" s="555"/>
      <c r="R50" s="555">
        <f>J50</f>
        <v>4.3</v>
      </c>
      <c r="S50" s="555"/>
      <c r="T50" s="556"/>
    </row>
    <row r="51" spans="1:20" ht="15" customHeight="1">
      <c r="A51" s="285">
        <v>51</v>
      </c>
      <c r="B51" s="544">
        <v>108</v>
      </c>
      <c r="C51" s="551" t="s">
        <v>65</v>
      </c>
      <c r="D51" s="549" t="s">
        <v>156</v>
      </c>
      <c r="E51" s="539">
        <f>VLOOKUP(B51,'2-Kosten per locatie'!$A$13:$C$87,3,FALSE)</f>
        <v>2</v>
      </c>
      <c r="F51" s="550"/>
      <c r="G51" s="551" t="s">
        <v>241</v>
      </c>
      <c r="H51" s="552" t="s">
        <v>242</v>
      </c>
      <c r="I51" s="551" t="s">
        <v>162</v>
      </c>
      <c r="J51" s="553">
        <v>26.18</v>
      </c>
      <c r="K51" s="554">
        <v>1.4</v>
      </c>
      <c r="L51" s="554"/>
      <c r="M51" s="554"/>
      <c r="N51" s="554"/>
      <c r="O51" s="554">
        <v>47.5</v>
      </c>
      <c r="P51" s="555"/>
      <c r="Q51" s="555"/>
      <c r="R51" s="555">
        <f>J51</f>
        <v>26.18</v>
      </c>
      <c r="S51" s="555"/>
      <c r="T51" s="556"/>
    </row>
    <row r="52" spans="1:20" ht="15" customHeight="1">
      <c r="A52" s="286">
        <v>52</v>
      </c>
      <c r="B52" s="544">
        <v>108</v>
      </c>
      <c r="C52" s="551" t="s">
        <v>65</v>
      </c>
      <c r="D52" s="549" t="s">
        <v>156</v>
      </c>
      <c r="E52" s="539">
        <f>VLOOKUP(B52,'2-Kosten per locatie'!$A$13:$C$87,3,FALSE)</f>
        <v>2</v>
      </c>
      <c r="F52" s="550"/>
      <c r="G52" s="551" t="s">
        <v>243</v>
      </c>
      <c r="H52" s="552" t="s">
        <v>244</v>
      </c>
      <c r="I52" s="551" t="s">
        <v>245</v>
      </c>
      <c r="J52" s="553">
        <v>3.17</v>
      </c>
      <c r="K52" s="554">
        <v>16.8</v>
      </c>
      <c r="L52" s="554"/>
      <c r="M52" s="554"/>
      <c r="N52" s="554"/>
      <c r="O52" s="554"/>
      <c r="P52" s="555"/>
      <c r="Q52" s="555"/>
      <c r="R52" s="555"/>
      <c r="S52" s="555">
        <f>J52</f>
        <v>3.17</v>
      </c>
      <c r="T52" s="556"/>
    </row>
    <row r="53" spans="1:20" ht="15" customHeight="1">
      <c r="A53" s="285">
        <v>53</v>
      </c>
      <c r="B53" s="544">
        <v>108</v>
      </c>
      <c r="C53" s="551" t="s">
        <v>65</v>
      </c>
      <c r="D53" s="549" t="s">
        <v>156</v>
      </c>
      <c r="E53" s="539">
        <f>VLOOKUP(B53,'2-Kosten per locatie'!$A$13:$C$87,3,FALSE)</f>
        <v>2</v>
      </c>
      <c r="F53" s="550"/>
      <c r="G53" s="551" t="s">
        <v>246</v>
      </c>
      <c r="H53" s="552" t="s">
        <v>247</v>
      </c>
      <c r="I53" s="551" t="s">
        <v>245</v>
      </c>
      <c r="J53" s="553">
        <v>3.17</v>
      </c>
      <c r="K53" s="554">
        <v>16.8</v>
      </c>
      <c r="L53" s="554"/>
      <c r="M53" s="554"/>
      <c r="N53" s="554"/>
      <c r="O53" s="554"/>
      <c r="P53" s="555"/>
      <c r="Q53" s="555"/>
      <c r="R53" s="555"/>
      <c r="S53" s="555">
        <f>J53</f>
        <v>3.17</v>
      </c>
      <c r="T53" s="556"/>
    </row>
    <row r="54" spans="1:20" ht="15" customHeight="1">
      <c r="A54" s="286">
        <v>54</v>
      </c>
      <c r="B54" s="544">
        <v>108</v>
      </c>
      <c r="C54" s="551" t="s">
        <v>65</v>
      </c>
      <c r="D54" s="549" t="s">
        <v>156</v>
      </c>
      <c r="E54" s="539">
        <f>VLOOKUP(B54,'2-Kosten per locatie'!$A$13:$C$87,3,FALSE)</f>
        <v>2</v>
      </c>
      <c r="F54" s="550"/>
      <c r="G54" s="551" t="s">
        <v>248</v>
      </c>
      <c r="H54" s="552" t="s">
        <v>249</v>
      </c>
      <c r="I54" s="551" t="s">
        <v>162</v>
      </c>
      <c r="J54" s="553">
        <v>6.22</v>
      </c>
      <c r="K54" s="554"/>
      <c r="L54" s="554"/>
      <c r="M54" s="554">
        <v>30</v>
      </c>
      <c r="N54" s="554"/>
      <c r="O54" s="554"/>
      <c r="P54" s="555"/>
      <c r="Q54" s="555"/>
      <c r="R54" s="555"/>
      <c r="S54" s="555"/>
      <c r="T54" s="556"/>
    </row>
    <row r="55" spans="1:20" ht="15" customHeight="1">
      <c r="A55" s="285">
        <v>55</v>
      </c>
      <c r="B55" s="544">
        <v>108</v>
      </c>
      <c r="C55" s="551" t="s">
        <v>65</v>
      </c>
      <c r="D55" s="549" t="s">
        <v>156</v>
      </c>
      <c r="E55" s="539">
        <f>VLOOKUP(B55,'2-Kosten per locatie'!$A$13:$C$87,3,FALSE)</f>
        <v>2</v>
      </c>
      <c r="F55" s="550"/>
      <c r="G55" s="551" t="s">
        <v>217</v>
      </c>
      <c r="H55" s="552" t="s">
        <v>250</v>
      </c>
      <c r="I55" s="551" t="s">
        <v>162</v>
      </c>
      <c r="J55" s="553">
        <v>12.81</v>
      </c>
      <c r="K55" s="554"/>
      <c r="L55" s="554"/>
      <c r="M55" s="554"/>
      <c r="N55" s="554"/>
      <c r="O55" s="554">
        <v>19.5</v>
      </c>
      <c r="P55" s="555"/>
      <c r="Q55" s="555"/>
      <c r="R55" s="555">
        <f>J55</f>
        <v>12.81</v>
      </c>
      <c r="S55" s="555"/>
      <c r="T55" s="556"/>
    </row>
    <row r="56" spans="1:20" ht="15" customHeight="1">
      <c r="A56" s="286">
        <v>56</v>
      </c>
      <c r="B56" s="544">
        <v>108</v>
      </c>
      <c r="C56" s="551" t="s">
        <v>65</v>
      </c>
      <c r="D56" s="549" t="s">
        <v>156</v>
      </c>
      <c r="E56" s="539">
        <f>VLOOKUP(B56,'2-Kosten per locatie'!$A$13:$C$87,3,FALSE)</f>
        <v>2</v>
      </c>
      <c r="F56" s="550"/>
      <c r="G56" s="551" t="s">
        <v>190</v>
      </c>
      <c r="H56" s="552" t="s">
        <v>191</v>
      </c>
      <c r="I56" s="551" t="s">
        <v>251</v>
      </c>
      <c r="J56" s="553">
        <v>51.35</v>
      </c>
      <c r="K56" s="554"/>
      <c r="L56" s="554"/>
      <c r="M56" s="554"/>
      <c r="N56" s="554"/>
      <c r="O56" s="554">
        <v>96.9</v>
      </c>
      <c r="P56" s="555"/>
      <c r="Q56" s="555"/>
      <c r="R56" s="555">
        <f>J56</f>
        <v>51.35</v>
      </c>
      <c r="S56" s="555"/>
      <c r="T56" s="556"/>
    </row>
    <row r="57" spans="1:20" ht="15" customHeight="1">
      <c r="A57" s="286">
        <v>57</v>
      </c>
      <c r="B57" s="544">
        <v>108</v>
      </c>
      <c r="C57" s="551" t="s">
        <v>65</v>
      </c>
      <c r="D57" s="549" t="s">
        <v>156</v>
      </c>
      <c r="E57" s="539">
        <f>VLOOKUP(B57,'2-Kosten per locatie'!$A$13:$C$87,3,FALSE)</f>
        <v>2</v>
      </c>
      <c r="F57" s="550"/>
      <c r="G57" s="551" t="s">
        <v>252</v>
      </c>
      <c r="H57" s="552" t="s">
        <v>253</v>
      </c>
      <c r="I57" s="551" t="s">
        <v>162</v>
      </c>
      <c r="J57" s="553">
        <v>22.2</v>
      </c>
      <c r="K57" s="554"/>
      <c r="L57" s="554"/>
      <c r="M57" s="554"/>
      <c r="N57" s="554"/>
      <c r="O57" s="554">
        <v>63.6</v>
      </c>
      <c r="P57" s="555"/>
      <c r="Q57" s="555"/>
      <c r="R57" s="555">
        <f>J57</f>
        <v>22.2</v>
      </c>
      <c r="S57" s="555"/>
      <c r="T57" s="556"/>
    </row>
    <row r="58" spans="1:20" ht="15" customHeight="1">
      <c r="A58" s="285">
        <v>58</v>
      </c>
      <c r="B58" s="544">
        <v>108</v>
      </c>
      <c r="C58" s="551" t="s">
        <v>65</v>
      </c>
      <c r="D58" s="549" t="s">
        <v>156</v>
      </c>
      <c r="E58" s="539">
        <f>VLOOKUP(B58,'2-Kosten per locatie'!$A$13:$C$87,3,FALSE)</f>
        <v>2</v>
      </c>
      <c r="F58" s="550"/>
      <c r="G58" s="551" t="s">
        <v>254</v>
      </c>
      <c r="H58" s="552" t="s">
        <v>196</v>
      </c>
      <c r="I58" s="551" t="s">
        <v>162</v>
      </c>
      <c r="J58" s="553">
        <v>22.2</v>
      </c>
      <c r="K58" s="554"/>
      <c r="L58" s="554"/>
      <c r="M58" s="554"/>
      <c r="N58" s="554"/>
      <c r="O58" s="554">
        <v>63.6</v>
      </c>
      <c r="P58" s="555"/>
      <c r="Q58" s="555"/>
      <c r="R58" s="555">
        <f>J58</f>
        <v>22.2</v>
      </c>
      <c r="S58" s="555"/>
      <c r="T58" s="556"/>
    </row>
    <row r="59" spans="1:20" ht="15" customHeight="1">
      <c r="A59" s="286">
        <v>59</v>
      </c>
      <c r="B59" s="544">
        <v>108</v>
      </c>
      <c r="C59" s="551" t="s">
        <v>65</v>
      </c>
      <c r="D59" s="549" t="s">
        <v>156</v>
      </c>
      <c r="E59" s="539">
        <f>VLOOKUP(B59,'2-Kosten per locatie'!$A$13:$C$87,3,FALSE)</f>
        <v>2</v>
      </c>
      <c r="F59" s="550"/>
      <c r="G59" s="551" t="s">
        <v>197</v>
      </c>
      <c r="H59" s="552" t="s">
        <v>198</v>
      </c>
      <c r="I59" s="551" t="s">
        <v>171</v>
      </c>
      <c r="J59" s="553">
        <v>32.700000000000003</v>
      </c>
      <c r="K59" s="554"/>
      <c r="L59" s="554"/>
      <c r="M59" s="554">
        <v>47.4</v>
      </c>
      <c r="N59" s="554"/>
      <c r="O59" s="554"/>
      <c r="P59" s="555"/>
      <c r="Q59" s="555">
        <f>J59</f>
        <v>32.700000000000003</v>
      </c>
      <c r="R59" s="555"/>
      <c r="S59" s="555"/>
      <c r="T59" s="556"/>
    </row>
    <row r="60" spans="1:20" ht="15" customHeight="1">
      <c r="A60" s="285">
        <v>60</v>
      </c>
      <c r="B60" s="544">
        <v>108</v>
      </c>
      <c r="C60" s="551" t="s">
        <v>65</v>
      </c>
      <c r="D60" s="549" t="s">
        <v>156</v>
      </c>
      <c r="E60" s="539">
        <f>VLOOKUP(B60,'2-Kosten per locatie'!$A$13:$C$87,3,FALSE)</f>
        <v>2</v>
      </c>
      <c r="F60" s="550"/>
      <c r="G60" s="551" t="s">
        <v>199</v>
      </c>
      <c r="H60" s="552" t="s">
        <v>200</v>
      </c>
      <c r="I60" s="551" t="s">
        <v>171</v>
      </c>
      <c r="J60" s="553">
        <v>17.899999999999999</v>
      </c>
      <c r="K60" s="554"/>
      <c r="L60" s="554"/>
      <c r="M60" s="554"/>
      <c r="N60" s="554"/>
      <c r="O60" s="554"/>
      <c r="P60" s="555"/>
      <c r="Q60" s="555">
        <f>J60</f>
        <v>17.899999999999999</v>
      </c>
      <c r="R60" s="555"/>
      <c r="S60" s="555"/>
      <c r="T60" s="556"/>
    </row>
    <row r="61" spans="1:20" ht="15" customHeight="1">
      <c r="A61" s="286">
        <v>61</v>
      </c>
      <c r="B61" s="544">
        <v>108</v>
      </c>
      <c r="C61" s="551" t="s">
        <v>65</v>
      </c>
      <c r="D61" s="549" t="s">
        <v>156</v>
      </c>
      <c r="E61" s="539">
        <f>VLOOKUP(B61,'2-Kosten per locatie'!$A$13:$C$87,3,FALSE)</f>
        <v>2</v>
      </c>
      <c r="F61" s="550"/>
      <c r="G61" s="551" t="s">
        <v>255</v>
      </c>
      <c r="H61" s="552" t="s">
        <v>256</v>
      </c>
      <c r="I61" s="551" t="s">
        <v>257</v>
      </c>
      <c r="J61" s="553">
        <v>7.2</v>
      </c>
      <c r="K61" s="554"/>
      <c r="L61" s="554"/>
      <c r="M61" s="554"/>
      <c r="N61" s="554"/>
      <c r="O61" s="554"/>
      <c r="P61" s="555"/>
      <c r="Q61" s="555">
        <f>J61</f>
        <v>7.2</v>
      </c>
      <c r="R61" s="555"/>
      <c r="S61" s="555"/>
      <c r="T61" s="556"/>
    </row>
    <row r="62" spans="1:20" ht="15" customHeight="1">
      <c r="A62" s="285">
        <v>62</v>
      </c>
      <c r="B62" s="544">
        <v>108</v>
      </c>
      <c r="C62" s="551" t="s">
        <v>65</v>
      </c>
      <c r="D62" s="549" t="s">
        <v>156</v>
      </c>
      <c r="E62" s="539">
        <f>VLOOKUP(B62,'2-Kosten per locatie'!$A$13:$C$87,3,FALSE)</f>
        <v>2</v>
      </c>
      <c r="F62" s="550"/>
      <c r="G62" s="551" t="s">
        <v>258</v>
      </c>
      <c r="H62" s="552" t="s">
        <v>259</v>
      </c>
      <c r="I62" s="551" t="s">
        <v>171</v>
      </c>
      <c r="J62" s="553">
        <v>36.69</v>
      </c>
      <c r="K62" s="554"/>
      <c r="L62" s="554"/>
      <c r="M62" s="554"/>
      <c r="N62" s="554"/>
      <c r="O62" s="554">
        <v>136</v>
      </c>
      <c r="P62" s="555"/>
      <c r="Q62" s="555"/>
      <c r="R62" s="555">
        <f>J62</f>
        <v>36.69</v>
      </c>
      <c r="S62" s="555"/>
      <c r="T62" s="556"/>
    </row>
    <row r="63" spans="1:20" ht="15" customHeight="1">
      <c r="A63" s="286">
        <v>63</v>
      </c>
      <c r="B63" s="544">
        <v>108</v>
      </c>
      <c r="C63" s="551" t="s">
        <v>65</v>
      </c>
      <c r="D63" s="549" t="s">
        <v>156</v>
      </c>
      <c r="E63" s="539">
        <f>VLOOKUP(B63,'2-Kosten per locatie'!$A$13:$C$87,3,FALSE)</f>
        <v>2</v>
      </c>
      <c r="F63" s="550"/>
      <c r="G63" s="551" t="s">
        <v>260</v>
      </c>
      <c r="H63" s="552" t="s">
        <v>261</v>
      </c>
      <c r="I63" s="551" t="s">
        <v>159</v>
      </c>
      <c r="J63" s="553">
        <v>6.65</v>
      </c>
      <c r="K63" s="554"/>
      <c r="L63" s="554"/>
      <c r="M63" s="554"/>
      <c r="N63" s="554"/>
      <c r="O63" s="554">
        <v>34.800000000000004</v>
      </c>
      <c r="P63" s="555"/>
      <c r="Q63" s="555"/>
      <c r="R63" s="555">
        <f>J63</f>
        <v>6.65</v>
      </c>
      <c r="S63" s="555"/>
      <c r="T63" s="556"/>
    </row>
    <row r="64" spans="1:20" ht="15" customHeight="1">
      <c r="A64" s="286">
        <v>64</v>
      </c>
      <c r="B64" s="544">
        <v>108</v>
      </c>
      <c r="C64" s="551" t="s">
        <v>65</v>
      </c>
      <c r="D64" s="549" t="s">
        <v>156</v>
      </c>
      <c r="E64" s="539">
        <f>VLOOKUP(B64,'2-Kosten per locatie'!$A$13:$C$87,3,FALSE)</f>
        <v>2</v>
      </c>
      <c r="F64" s="550"/>
      <c r="G64" s="551" t="s">
        <v>262</v>
      </c>
      <c r="H64" s="552" t="s">
        <v>263</v>
      </c>
      <c r="I64" s="551" t="s">
        <v>171</v>
      </c>
      <c r="J64" s="553">
        <v>38.04</v>
      </c>
      <c r="K64" s="554"/>
      <c r="L64" s="554"/>
      <c r="M64" s="554"/>
      <c r="N64" s="554"/>
      <c r="O64" s="554">
        <v>136</v>
      </c>
      <c r="P64" s="555"/>
      <c r="Q64" s="555"/>
      <c r="R64" s="555">
        <f>J64</f>
        <v>38.04</v>
      </c>
      <c r="S64" s="555"/>
      <c r="T64" s="556"/>
    </row>
    <row r="65" spans="1:20" ht="15" customHeight="1">
      <c r="A65" s="285">
        <v>65</v>
      </c>
      <c r="B65" s="544">
        <v>108</v>
      </c>
      <c r="C65" s="551" t="s">
        <v>65</v>
      </c>
      <c r="D65" s="549" t="s">
        <v>156</v>
      </c>
      <c r="E65" s="539">
        <f>VLOOKUP(B65,'2-Kosten per locatie'!$A$13:$C$87,3,FALSE)</f>
        <v>2</v>
      </c>
      <c r="F65" s="550"/>
      <c r="G65" s="551" t="s">
        <v>264</v>
      </c>
      <c r="H65" s="552" t="s">
        <v>265</v>
      </c>
      <c r="I65" s="551" t="s">
        <v>159</v>
      </c>
      <c r="J65" s="553">
        <v>6.88</v>
      </c>
      <c r="K65" s="554"/>
      <c r="L65" s="554"/>
      <c r="M65" s="554"/>
      <c r="N65" s="554"/>
      <c r="O65" s="554">
        <v>34.800000000000004</v>
      </c>
      <c r="P65" s="555"/>
      <c r="Q65" s="555"/>
      <c r="R65" s="555">
        <f>J65</f>
        <v>6.88</v>
      </c>
      <c r="S65" s="555"/>
      <c r="T65" s="556"/>
    </row>
    <row r="66" spans="1:20" ht="15" customHeight="1">
      <c r="A66" s="286">
        <v>66</v>
      </c>
      <c r="B66" s="544">
        <v>108</v>
      </c>
      <c r="C66" s="551" t="s">
        <v>65</v>
      </c>
      <c r="D66" s="549" t="s">
        <v>156</v>
      </c>
      <c r="E66" s="539">
        <f>VLOOKUP(B66,'2-Kosten per locatie'!$A$13:$C$87,3,FALSE)</f>
        <v>2</v>
      </c>
      <c r="F66" s="550"/>
      <c r="G66" s="551" t="s">
        <v>266</v>
      </c>
      <c r="H66" s="552" t="s">
        <v>267</v>
      </c>
      <c r="I66" s="551" t="s">
        <v>205</v>
      </c>
      <c r="J66" s="553">
        <v>2.8</v>
      </c>
      <c r="K66" s="554"/>
      <c r="L66" s="554"/>
      <c r="M66" s="554"/>
      <c r="N66" s="554">
        <v>11.5</v>
      </c>
      <c r="O66" s="554">
        <v>3.5</v>
      </c>
      <c r="P66" s="555"/>
      <c r="Q66" s="555"/>
      <c r="R66" s="555"/>
      <c r="S66" s="555">
        <f>J66</f>
        <v>2.8</v>
      </c>
      <c r="T66" s="556" t="s">
        <v>206</v>
      </c>
    </row>
    <row r="67" spans="1:20" ht="15" customHeight="1">
      <c r="A67" s="285">
        <v>67</v>
      </c>
      <c r="B67" s="544">
        <v>108</v>
      </c>
      <c r="C67" s="551" t="s">
        <v>65</v>
      </c>
      <c r="D67" s="549" t="s">
        <v>156</v>
      </c>
      <c r="E67" s="539">
        <f>VLOOKUP(B67,'2-Kosten per locatie'!$A$13:$C$87,3,FALSE)</f>
        <v>2</v>
      </c>
      <c r="F67" s="550"/>
      <c r="G67" s="551" t="s">
        <v>268</v>
      </c>
      <c r="H67" s="552" t="s">
        <v>269</v>
      </c>
      <c r="I67" s="551" t="s">
        <v>205</v>
      </c>
      <c r="J67" s="553">
        <v>2.8</v>
      </c>
      <c r="K67" s="554"/>
      <c r="L67" s="554"/>
      <c r="M67" s="554"/>
      <c r="N67" s="554">
        <v>11.5</v>
      </c>
      <c r="O67" s="554">
        <v>3.5</v>
      </c>
      <c r="P67" s="555"/>
      <c r="Q67" s="555"/>
      <c r="R67" s="555"/>
      <c r="S67" s="555">
        <f>J67</f>
        <v>2.8</v>
      </c>
      <c r="T67" s="556" t="s">
        <v>206</v>
      </c>
    </row>
    <row r="68" spans="1:20" ht="15" customHeight="1">
      <c r="A68" s="286">
        <v>68</v>
      </c>
      <c r="B68" s="544">
        <v>108</v>
      </c>
      <c r="C68" s="551" t="s">
        <v>65</v>
      </c>
      <c r="D68" s="549" t="s">
        <v>156</v>
      </c>
      <c r="E68" s="539">
        <f>VLOOKUP(B68,'2-Kosten per locatie'!$A$13:$C$87,3,FALSE)</f>
        <v>2</v>
      </c>
      <c r="F68" s="550"/>
      <c r="G68" s="551" t="s">
        <v>270</v>
      </c>
      <c r="H68" s="552" t="s">
        <v>271</v>
      </c>
      <c r="I68" s="551" t="s">
        <v>205</v>
      </c>
      <c r="J68" s="553">
        <v>2.8</v>
      </c>
      <c r="K68" s="554"/>
      <c r="L68" s="554"/>
      <c r="M68" s="554"/>
      <c r="N68" s="554">
        <v>11.5</v>
      </c>
      <c r="O68" s="554">
        <v>3.5</v>
      </c>
      <c r="P68" s="555"/>
      <c r="Q68" s="555"/>
      <c r="R68" s="555"/>
      <c r="S68" s="555">
        <f>J68</f>
        <v>2.8</v>
      </c>
      <c r="T68" s="556" t="s">
        <v>206</v>
      </c>
    </row>
    <row r="69" spans="1:20" ht="15" customHeight="1">
      <c r="A69" s="285">
        <v>69</v>
      </c>
      <c r="B69" s="544">
        <v>108</v>
      </c>
      <c r="C69" s="551" t="s">
        <v>65</v>
      </c>
      <c r="D69" s="549" t="s">
        <v>156</v>
      </c>
      <c r="E69" s="539">
        <f>VLOOKUP(B69,'2-Kosten per locatie'!$A$13:$C$87,3,FALSE)</f>
        <v>2</v>
      </c>
      <c r="F69" s="550"/>
      <c r="G69" s="551" t="s">
        <v>272</v>
      </c>
      <c r="H69" s="552" t="s">
        <v>273</v>
      </c>
      <c r="I69" s="551" t="s">
        <v>159</v>
      </c>
      <c r="J69" s="553">
        <v>6.7</v>
      </c>
      <c r="K69" s="554"/>
      <c r="L69" s="554"/>
      <c r="M69" s="554"/>
      <c r="N69" s="554"/>
      <c r="O69" s="554">
        <v>26.4</v>
      </c>
      <c r="P69" s="555"/>
      <c r="Q69" s="555"/>
      <c r="R69" s="555">
        <f>J69</f>
        <v>6.7</v>
      </c>
      <c r="S69" s="555"/>
      <c r="T69" s="556"/>
    </row>
    <row r="70" spans="1:20" ht="15" customHeight="1">
      <c r="A70" s="286">
        <v>70</v>
      </c>
      <c r="B70" s="544">
        <v>108</v>
      </c>
      <c r="C70" s="551" t="s">
        <v>65</v>
      </c>
      <c r="D70" s="549" t="s">
        <v>156</v>
      </c>
      <c r="E70" s="539">
        <f>VLOOKUP(B70,'2-Kosten per locatie'!$A$13:$C$87,3,FALSE)</f>
        <v>2</v>
      </c>
      <c r="F70" s="550"/>
      <c r="G70" s="551" t="s">
        <v>274</v>
      </c>
      <c r="H70" s="552" t="s">
        <v>211</v>
      </c>
      <c r="I70" s="551" t="s">
        <v>251</v>
      </c>
      <c r="J70" s="553">
        <v>62.31</v>
      </c>
      <c r="K70" s="554"/>
      <c r="L70" s="554"/>
      <c r="M70" s="554"/>
      <c r="N70" s="554"/>
      <c r="O70" s="554"/>
      <c r="P70" s="555"/>
      <c r="Q70" s="555">
        <f>J70</f>
        <v>62.31</v>
      </c>
      <c r="R70" s="555"/>
      <c r="S70" s="555"/>
      <c r="T70" s="556" t="s">
        <v>275</v>
      </c>
    </row>
    <row r="71" spans="1:20" ht="15" customHeight="1">
      <c r="A71" s="286">
        <v>71</v>
      </c>
      <c r="B71" s="544">
        <v>108</v>
      </c>
      <c r="C71" s="551" t="s">
        <v>65</v>
      </c>
      <c r="D71" s="549" t="s">
        <v>156</v>
      </c>
      <c r="E71" s="539">
        <f>VLOOKUP(B71,'2-Kosten per locatie'!$A$13:$C$87,3,FALSE)</f>
        <v>2</v>
      </c>
      <c r="F71" s="550"/>
      <c r="G71" s="551" t="s">
        <v>276</v>
      </c>
      <c r="H71" s="552" t="s">
        <v>277</v>
      </c>
      <c r="I71" s="551" t="s">
        <v>278</v>
      </c>
      <c r="J71" s="553">
        <v>0.52</v>
      </c>
      <c r="K71" s="554"/>
      <c r="L71" s="554"/>
      <c r="M71" s="554">
        <v>8.6999999999999993</v>
      </c>
      <c r="N71" s="554"/>
      <c r="O71" s="554"/>
      <c r="P71" s="555"/>
      <c r="Q71" s="555">
        <f>J71</f>
        <v>0.52</v>
      </c>
      <c r="R71" s="555"/>
      <c r="S71" s="555"/>
      <c r="T71" s="556"/>
    </row>
    <row r="72" spans="1:20" ht="15" customHeight="1">
      <c r="A72" s="285">
        <v>72</v>
      </c>
      <c r="B72" s="544">
        <v>108</v>
      </c>
      <c r="C72" s="551" t="s">
        <v>65</v>
      </c>
      <c r="D72" s="549" t="s">
        <v>156</v>
      </c>
      <c r="E72" s="539">
        <f>VLOOKUP(B72,'2-Kosten per locatie'!$A$13:$C$87,3,FALSE)</f>
        <v>2</v>
      </c>
      <c r="F72" s="550"/>
      <c r="G72" s="551" t="s">
        <v>279</v>
      </c>
      <c r="H72" s="552" t="s">
        <v>280</v>
      </c>
      <c r="I72" s="551" t="s">
        <v>180</v>
      </c>
      <c r="J72" s="553">
        <v>21.4</v>
      </c>
      <c r="K72" s="554"/>
      <c r="L72" s="554"/>
      <c r="M72" s="554"/>
      <c r="N72" s="554"/>
      <c r="O72" s="554"/>
      <c r="P72" s="555"/>
      <c r="Q72" s="555"/>
      <c r="R72" s="555"/>
      <c r="S72" s="555"/>
      <c r="T72" s="556"/>
    </row>
    <row r="73" spans="1:20" ht="15" customHeight="1">
      <c r="A73" s="286">
        <v>73</v>
      </c>
      <c r="B73" s="544">
        <v>109</v>
      </c>
      <c r="C73" s="545" t="s">
        <v>66</v>
      </c>
      <c r="D73" s="549" t="s">
        <v>156</v>
      </c>
      <c r="E73" s="539">
        <f>VLOOKUP(B73,'2-Kosten per locatie'!$A$13:$C$87,3,FALSE)</f>
        <v>2</v>
      </c>
      <c r="F73" s="550"/>
      <c r="G73" s="551" t="s">
        <v>281</v>
      </c>
      <c r="H73" s="552" t="s">
        <v>282</v>
      </c>
      <c r="I73" s="551" t="s">
        <v>171</v>
      </c>
      <c r="J73" s="553">
        <v>15</v>
      </c>
      <c r="K73" s="554"/>
      <c r="L73" s="554"/>
      <c r="M73" s="554">
        <v>42</v>
      </c>
      <c r="N73" s="554"/>
      <c r="O73" s="554"/>
      <c r="P73" s="555"/>
      <c r="Q73" s="555"/>
      <c r="R73" s="555">
        <v>15</v>
      </c>
      <c r="S73" s="555"/>
      <c r="T73" s="556"/>
    </row>
    <row r="74" spans="1:20" ht="15" customHeight="1">
      <c r="A74" s="285">
        <v>74</v>
      </c>
      <c r="B74" s="544">
        <v>109</v>
      </c>
      <c r="C74" s="545" t="s">
        <v>66</v>
      </c>
      <c r="D74" s="549" t="s">
        <v>156</v>
      </c>
      <c r="E74" s="539">
        <f>VLOOKUP(B74,'2-Kosten per locatie'!$A$13:$C$87,3,FALSE)</f>
        <v>2</v>
      </c>
      <c r="F74" s="550"/>
      <c r="G74" s="551" t="s">
        <v>283</v>
      </c>
      <c r="H74" s="552" t="s">
        <v>284</v>
      </c>
      <c r="I74" s="551" t="s">
        <v>171</v>
      </c>
      <c r="J74" s="553">
        <v>11</v>
      </c>
      <c r="K74" s="554"/>
      <c r="L74" s="554"/>
      <c r="M74" s="554">
        <v>37</v>
      </c>
      <c r="N74" s="554"/>
      <c r="O74" s="554"/>
      <c r="P74" s="555"/>
      <c r="Q74" s="555"/>
      <c r="R74" s="555">
        <v>11</v>
      </c>
      <c r="S74" s="555"/>
      <c r="T74" s="556"/>
    </row>
    <row r="75" spans="1:20" ht="15" customHeight="1">
      <c r="A75" s="286">
        <v>75</v>
      </c>
      <c r="B75" s="544">
        <v>109</v>
      </c>
      <c r="C75" s="545" t="s">
        <v>66</v>
      </c>
      <c r="D75" s="549" t="s">
        <v>156</v>
      </c>
      <c r="E75" s="539">
        <f>VLOOKUP(B75,'2-Kosten per locatie'!$A$13:$C$87,3,FALSE)</f>
        <v>2</v>
      </c>
      <c r="F75" s="550"/>
      <c r="G75" s="551" t="s">
        <v>160</v>
      </c>
      <c r="H75" s="552" t="s">
        <v>285</v>
      </c>
      <c r="I75" s="551" t="s">
        <v>159</v>
      </c>
      <c r="J75" s="553">
        <v>11</v>
      </c>
      <c r="K75" s="554"/>
      <c r="L75" s="554"/>
      <c r="M75" s="554">
        <v>37</v>
      </c>
      <c r="N75" s="554"/>
      <c r="O75" s="554"/>
      <c r="P75" s="555"/>
      <c r="Q75" s="555"/>
      <c r="R75" s="555">
        <v>11</v>
      </c>
      <c r="S75" s="555"/>
      <c r="T75" s="556"/>
    </row>
    <row r="76" spans="1:20" ht="15" customHeight="1">
      <c r="A76" s="285">
        <v>76</v>
      </c>
      <c r="B76" s="544">
        <v>109</v>
      </c>
      <c r="C76" s="545" t="s">
        <v>66</v>
      </c>
      <c r="D76" s="549" t="s">
        <v>156</v>
      </c>
      <c r="E76" s="539">
        <f>VLOOKUP(B76,'2-Kosten per locatie'!$A$13:$C$87,3,FALSE)</f>
        <v>2</v>
      </c>
      <c r="F76" s="550"/>
      <c r="G76" s="551" t="s">
        <v>286</v>
      </c>
      <c r="H76" s="552" t="s">
        <v>161</v>
      </c>
      <c r="I76" s="551" t="s">
        <v>162</v>
      </c>
      <c r="J76" s="553">
        <v>12</v>
      </c>
      <c r="K76" s="554"/>
      <c r="L76" s="554"/>
      <c r="M76" s="554">
        <v>40</v>
      </c>
      <c r="N76" s="554"/>
      <c r="O76" s="554"/>
      <c r="P76" s="555"/>
      <c r="Q76" s="555"/>
      <c r="R76" s="555">
        <v>12</v>
      </c>
      <c r="S76" s="555"/>
      <c r="T76" s="556"/>
    </row>
    <row r="77" spans="1:20" ht="15" customHeight="1">
      <c r="A77" s="286">
        <v>77</v>
      </c>
      <c r="B77" s="544">
        <v>110</v>
      </c>
      <c r="C77" s="545" t="s">
        <v>67</v>
      </c>
      <c r="D77" s="549" t="s">
        <v>156</v>
      </c>
      <c r="E77" s="539">
        <f>VLOOKUP(B77,'2-Kosten per locatie'!$A$13:$C$87,3,FALSE)</f>
        <v>2</v>
      </c>
      <c r="F77" s="550"/>
      <c r="G77" s="551" t="s">
        <v>287</v>
      </c>
      <c r="H77" s="552"/>
      <c r="I77" s="551" t="s">
        <v>288</v>
      </c>
      <c r="J77" s="553">
        <v>48</v>
      </c>
      <c r="K77" s="554"/>
      <c r="L77" s="554"/>
      <c r="M77" s="554"/>
      <c r="N77" s="554"/>
      <c r="O77" s="554"/>
      <c r="P77" s="555"/>
      <c r="Q77" s="555"/>
      <c r="R77" s="555"/>
      <c r="S77" s="555"/>
      <c r="T77" s="556"/>
    </row>
    <row r="78" spans="1:20" ht="15" customHeight="1">
      <c r="A78" s="286">
        <v>78</v>
      </c>
      <c r="B78" s="544">
        <v>110</v>
      </c>
      <c r="C78" s="545" t="s">
        <v>67</v>
      </c>
      <c r="D78" s="549" t="s">
        <v>156</v>
      </c>
      <c r="E78" s="539">
        <f>VLOOKUP(B78,'2-Kosten per locatie'!$A$13:$C$87,3,FALSE)</f>
        <v>2</v>
      </c>
      <c r="F78" s="550"/>
      <c r="G78" s="551" t="s">
        <v>289</v>
      </c>
      <c r="H78" s="552" t="s">
        <v>227</v>
      </c>
      <c r="I78" s="551" t="s">
        <v>290</v>
      </c>
      <c r="J78" s="553">
        <v>1503.23</v>
      </c>
      <c r="K78" s="554"/>
      <c r="L78" s="554"/>
      <c r="M78" s="554"/>
      <c r="N78" s="554"/>
      <c r="O78" s="554"/>
      <c r="P78" s="555">
        <f>165.16*9.82</f>
        <v>1621.8712</v>
      </c>
      <c r="Q78" s="555"/>
      <c r="R78" s="555"/>
      <c r="S78" s="555"/>
      <c r="T78" s="556"/>
    </row>
    <row r="79" spans="1:20" ht="15" customHeight="1">
      <c r="A79" s="285">
        <v>79</v>
      </c>
      <c r="B79" s="544">
        <v>110</v>
      </c>
      <c r="C79" s="545" t="s">
        <v>67</v>
      </c>
      <c r="D79" s="549" t="s">
        <v>156</v>
      </c>
      <c r="E79" s="539">
        <f>VLOOKUP(B79,'2-Kosten per locatie'!$A$13:$C$87,3,FALSE)</f>
        <v>2</v>
      </c>
      <c r="F79" s="550"/>
      <c r="G79" s="551" t="s">
        <v>291</v>
      </c>
      <c r="H79" s="552" t="s">
        <v>229</v>
      </c>
      <c r="I79" s="551" t="s">
        <v>180</v>
      </c>
      <c r="J79" s="553">
        <v>42.69</v>
      </c>
      <c r="K79" s="554" t="s">
        <v>181</v>
      </c>
      <c r="L79" s="554"/>
      <c r="M79" s="554"/>
      <c r="N79" s="554"/>
      <c r="O79" s="554"/>
      <c r="P79" s="555"/>
      <c r="Q79" s="555"/>
      <c r="R79" s="555"/>
      <c r="S79" s="555"/>
      <c r="T79" s="556" t="s">
        <v>292</v>
      </c>
    </row>
    <row r="80" spans="1:20" ht="15" customHeight="1">
      <c r="A80" s="286">
        <v>80</v>
      </c>
      <c r="B80" s="544">
        <v>110</v>
      </c>
      <c r="C80" s="545" t="s">
        <v>67</v>
      </c>
      <c r="D80" s="549" t="s">
        <v>156</v>
      </c>
      <c r="E80" s="539">
        <f>VLOOKUP(B80,'2-Kosten per locatie'!$A$13:$C$87,3,FALSE)</f>
        <v>2</v>
      </c>
      <c r="F80" s="550"/>
      <c r="G80" s="551" t="s">
        <v>293</v>
      </c>
      <c r="H80" s="552" t="s">
        <v>231</v>
      </c>
      <c r="I80" s="551" t="s">
        <v>180</v>
      </c>
      <c r="J80" s="553">
        <v>42.68</v>
      </c>
      <c r="K80" s="554" t="s">
        <v>181</v>
      </c>
      <c r="L80" s="554"/>
      <c r="M80" s="554"/>
      <c r="N80" s="554"/>
      <c r="O80" s="554"/>
      <c r="P80" s="555"/>
      <c r="Q80" s="555"/>
      <c r="R80" s="555"/>
      <c r="S80" s="555"/>
      <c r="T80" s="556" t="s">
        <v>102</v>
      </c>
    </row>
    <row r="81" spans="1:20" ht="15" customHeight="1">
      <c r="A81" s="285">
        <v>81</v>
      </c>
      <c r="B81" s="544">
        <v>110</v>
      </c>
      <c r="C81" s="545" t="s">
        <v>67</v>
      </c>
      <c r="D81" s="549" t="s">
        <v>156</v>
      </c>
      <c r="E81" s="539">
        <f>VLOOKUP(B81,'2-Kosten per locatie'!$A$13:$C$87,3,FALSE)</f>
        <v>2</v>
      </c>
      <c r="F81" s="550"/>
      <c r="G81" s="551" t="s">
        <v>294</v>
      </c>
      <c r="H81" s="552" t="s">
        <v>232</v>
      </c>
      <c r="I81" s="551" t="s">
        <v>176</v>
      </c>
      <c r="J81" s="553">
        <v>31.63</v>
      </c>
      <c r="K81" s="554"/>
      <c r="L81" s="554"/>
      <c r="M81" s="554"/>
      <c r="N81" s="554"/>
      <c r="O81" s="554"/>
      <c r="P81" s="555"/>
      <c r="Q81" s="555"/>
      <c r="R81" s="555"/>
      <c r="S81" s="555"/>
      <c r="T81" s="556" t="s">
        <v>292</v>
      </c>
    </row>
    <row r="82" spans="1:20" ht="15" customHeight="1">
      <c r="A82" s="286">
        <v>82</v>
      </c>
      <c r="B82" s="544">
        <v>110</v>
      </c>
      <c r="C82" s="545" t="s">
        <v>67</v>
      </c>
      <c r="D82" s="549" t="s">
        <v>156</v>
      </c>
      <c r="E82" s="539">
        <f>VLOOKUP(B82,'2-Kosten per locatie'!$A$13:$C$87,3,FALSE)</f>
        <v>2</v>
      </c>
      <c r="F82" s="550"/>
      <c r="G82" s="551" t="s">
        <v>295</v>
      </c>
      <c r="H82" s="552" t="s">
        <v>233</v>
      </c>
      <c r="I82" s="551" t="s">
        <v>296</v>
      </c>
      <c r="J82" s="553">
        <v>31.68</v>
      </c>
      <c r="K82" s="554"/>
      <c r="L82" s="554"/>
      <c r="M82" s="554"/>
      <c r="N82" s="554"/>
      <c r="O82" s="554"/>
      <c r="P82" s="555"/>
      <c r="Q82" s="555"/>
      <c r="R82" s="555"/>
      <c r="S82" s="555"/>
      <c r="T82" s="556" t="s">
        <v>102</v>
      </c>
    </row>
    <row r="83" spans="1:20" ht="15" customHeight="1">
      <c r="A83" s="285">
        <v>83</v>
      </c>
      <c r="B83" s="544">
        <v>110</v>
      </c>
      <c r="C83" s="545" t="s">
        <v>67</v>
      </c>
      <c r="D83" s="549" t="s">
        <v>156</v>
      </c>
      <c r="E83" s="539">
        <f>VLOOKUP(B83,'2-Kosten per locatie'!$A$13:$C$87,3,FALSE)</f>
        <v>2</v>
      </c>
      <c r="F83" s="550"/>
      <c r="G83" s="551" t="s">
        <v>297</v>
      </c>
      <c r="H83" s="552" t="s">
        <v>188</v>
      </c>
      <c r="I83" s="551" t="s">
        <v>159</v>
      </c>
      <c r="J83" s="553">
        <v>224.45</v>
      </c>
      <c r="K83" s="554"/>
      <c r="L83" s="554"/>
      <c r="M83" s="554"/>
      <c r="N83" s="554">
        <v>20</v>
      </c>
      <c r="O83" s="554">
        <v>589</v>
      </c>
      <c r="P83" s="555"/>
      <c r="Q83" s="555"/>
      <c r="R83" s="555">
        <f>224.5+33.6/1.5+(12.7+2.9+3)</f>
        <v>265.5</v>
      </c>
      <c r="S83" s="555"/>
      <c r="T83" s="556" t="s">
        <v>102</v>
      </c>
    </row>
    <row r="84" spans="1:20" ht="15" customHeight="1">
      <c r="A84" s="286">
        <v>84</v>
      </c>
      <c r="B84" s="544">
        <v>110</v>
      </c>
      <c r="C84" s="545" t="s">
        <v>67</v>
      </c>
      <c r="D84" s="549" t="s">
        <v>156</v>
      </c>
      <c r="E84" s="539">
        <f>VLOOKUP(B84,'2-Kosten per locatie'!$A$13:$C$87,3,FALSE)</f>
        <v>2</v>
      </c>
      <c r="F84" s="550"/>
      <c r="G84" s="551" t="s">
        <v>298</v>
      </c>
      <c r="H84" s="552" t="s">
        <v>299</v>
      </c>
      <c r="I84" s="551" t="s">
        <v>159</v>
      </c>
      <c r="J84" s="553">
        <v>243.2</v>
      </c>
      <c r="K84" s="554"/>
      <c r="L84" s="554"/>
      <c r="M84" s="554"/>
      <c r="N84" s="554">
        <v>20</v>
      </c>
      <c r="O84" s="554">
        <v>593</v>
      </c>
      <c r="P84" s="555"/>
      <c r="Q84" s="555"/>
      <c r="R84" s="555">
        <f>243.2+33.6/1.5+(12.7+2.9+3)</f>
        <v>284.2</v>
      </c>
      <c r="S84" s="555"/>
      <c r="T84" s="556" t="s">
        <v>292</v>
      </c>
    </row>
    <row r="85" spans="1:20" ht="15" customHeight="1">
      <c r="A85" s="286">
        <v>85</v>
      </c>
      <c r="B85" s="544">
        <v>110</v>
      </c>
      <c r="C85" s="545" t="s">
        <v>67</v>
      </c>
      <c r="D85" s="549" t="s">
        <v>156</v>
      </c>
      <c r="E85" s="539">
        <f>VLOOKUP(B85,'2-Kosten per locatie'!$A$13:$C$87,3,FALSE)</f>
        <v>2</v>
      </c>
      <c r="F85" s="550"/>
      <c r="G85" s="551" t="s">
        <v>190</v>
      </c>
      <c r="H85" s="552" t="s">
        <v>191</v>
      </c>
      <c r="I85" s="551" t="s">
        <v>159</v>
      </c>
      <c r="J85" s="553">
        <v>12.9</v>
      </c>
      <c r="K85" s="554"/>
      <c r="L85" s="554"/>
      <c r="M85" s="554"/>
      <c r="N85" s="554"/>
      <c r="O85" s="554">
        <v>51</v>
      </c>
      <c r="P85" s="555"/>
      <c r="Q85" s="555"/>
      <c r="R85" s="555"/>
      <c r="S85" s="555"/>
      <c r="T85" s="556" t="s">
        <v>300</v>
      </c>
    </row>
    <row r="86" spans="1:20" ht="15" customHeight="1">
      <c r="A86" s="285">
        <v>86</v>
      </c>
      <c r="B86" s="544">
        <v>110</v>
      </c>
      <c r="C86" s="545" t="s">
        <v>67</v>
      </c>
      <c r="D86" s="549" t="s">
        <v>156</v>
      </c>
      <c r="E86" s="539">
        <f>VLOOKUP(B86,'2-Kosten per locatie'!$A$13:$C$87,3,FALSE)</f>
        <v>2</v>
      </c>
      <c r="F86" s="550"/>
      <c r="G86" s="551" t="s">
        <v>301</v>
      </c>
      <c r="H86" s="552" t="s">
        <v>192</v>
      </c>
      <c r="I86" s="551" t="s">
        <v>171</v>
      </c>
      <c r="J86" s="553">
        <v>4.2</v>
      </c>
      <c r="K86" s="554"/>
      <c r="L86" s="554"/>
      <c r="M86" s="554">
        <v>14.2</v>
      </c>
      <c r="N86" s="554"/>
      <c r="O86" s="554"/>
      <c r="P86" s="555"/>
      <c r="Q86" s="555">
        <f>J86</f>
        <v>4.2</v>
      </c>
      <c r="R86" s="555"/>
      <c r="S86" s="555"/>
      <c r="T86" s="556" t="s">
        <v>102</v>
      </c>
    </row>
    <row r="87" spans="1:20" ht="15" customHeight="1">
      <c r="A87" s="286">
        <v>87</v>
      </c>
      <c r="B87" s="544">
        <v>110</v>
      </c>
      <c r="C87" s="545" t="s">
        <v>67</v>
      </c>
      <c r="D87" s="549" t="s">
        <v>156</v>
      </c>
      <c r="E87" s="539">
        <f>VLOOKUP(B87,'2-Kosten per locatie'!$A$13:$C$87,3,FALSE)</f>
        <v>2</v>
      </c>
      <c r="F87" s="550"/>
      <c r="G87" s="551" t="s">
        <v>190</v>
      </c>
      <c r="H87" s="552" t="s">
        <v>194</v>
      </c>
      <c r="I87" s="551" t="s">
        <v>171</v>
      </c>
      <c r="J87" s="553">
        <v>29.76</v>
      </c>
      <c r="K87" s="554"/>
      <c r="L87" s="554"/>
      <c r="M87" s="554"/>
      <c r="N87" s="554"/>
      <c r="O87" s="554">
        <v>76</v>
      </c>
      <c r="P87" s="555"/>
      <c r="Q87" s="555"/>
      <c r="R87" s="555"/>
      <c r="S87" s="555"/>
      <c r="T87" s="556" t="s">
        <v>292</v>
      </c>
    </row>
    <row r="88" spans="1:20" ht="15" customHeight="1">
      <c r="A88" s="285">
        <v>88</v>
      </c>
      <c r="B88" s="544">
        <v>110</v>
      </c>
      <c r="C88" s="545" t="s">
        <v>67</v>
      </c>
      <c r="D88" s="549" t="s">
        <v>156</v>
      </c>
      <c r="E88" s="539">
        <f>VLOOKUP(B88,'2-Kosten per locatie'!$A$13:$C$87,3,FALSE)</f>
        <v>2</v>
      </c>
      <c r="F88" s="550"/>
      <c r="G88" s="551" t="s">
        <v>302</v>
      </c>
      <c r="H88" s="552" t="s">
        <v>253</v>
      </c>
      <c r="I88" s="551" t="s">
        <v>171</v>
      </c>
      <c r="J88" s="553">
        <v>32.6</v>
      </c>
      <c r="K88" s="554"/>
      <c r="L88" s="554"/>
      <c r="M88" s="554"/>
      <c r="N88" s="554"/>
      <c r="O88" s="554">
        <v>66</v>
      </c>
      <c r="P88" s="555"/>
      <c r="Q88" s="555"/>
      <c r="R88" s="555"/>
      <c r="S88" s="555"/>
      <c r="T88" s="556" t="s">
        <v>292</v>
      </c>
    </row>
    <row r="89" spans="1:20" ht="15" customHeight="1">
      <c r="A89" s="286">
        <v>89</v>
      </c>
      <c r="B89" s="544">
        <v>110</v>
      </c>
      <c r="C89" s="545" t="s">
        <v>67</v>
      </c>
      <c r="D89" s="549" t="s">
        <v>156</v>
      </c>
      <c r="E89" s="539">
        <f>VLOOKUP(B89,'2-Kosten per locatie'!$A$13:$C$87,3,FALSE)</f>
        <v>2</v>
      </c>
      <c r="F89" s="550"/>
      <c r="G89" s="551" t="s">
        <v>254</v>
      </c>
      <c r="H89" s="552" t="s">
        <v>196</v>
      </c>
      <c r="I89" s="551" t="s">
        <v>171</v>
      </c>
      <c r="J89" s="553">
        <v>10.6</v>
      </c>
      <c r="K89" s="554"/>
      <c r="L89" s="554"/>
      <c r="M89" s="554"/>
      <c r="N89" s="554"/>
      <c r="O89" s="554">
        <v>48.3</v>
      </c>
      <c r="P89" s="555"/>
      <c r="Q89" s="555"/>
      <c r="R89" s="555"/>
      <c r="S89" s="555"/>
      <c r="T89" s="556" t="s">
        <v>292</v>
      </c>
    </row>
    <row r="90" spans="1:20" ht="15" customHeight="1">
      <c r="A90" s="285">
        <v>90</v>
      </c>
      <c r="B90" s="544">
        <v>110</v>
      </c>
      <c r="C90" s="545" t="s">
        <v>67</v>
      </c>
      <c r="D90" s="549" t="s">
        <v>156</v>
      </c>
      <c r="E90" s="539">
        <f>VLOOKUP(B90,'2-Kosten per locatie'!$A$13:$C$87,3,FALSE)</f>
        <v>2</v>
      </c>
      <c r="F90" s="550"/>
      <c r="G90" s="551" t="s">
        <v>303</v>
      </c>
      <c r="H90" s="552" t="s">
        <v>198</v>
      </c>
      <c r="I90" s="551" t="s">
        <v>171</v>
      </c>
      <c r="J90" s="553">
        <v>7</v>
      </c>
      <c r="K90" s="554"/>
      <c r="L90" s="554"/>
      <c r="M90" s="554">
        <v>29.5</v>
      </c>
      <c r="N90" s="554"/>
      <c r="O90" s="554"/>
      <c r="P90" s="555"/>
      <c r="Q90" s="555">
        <f>J90</f>
        <v>7</v>
      </c>
      <c r="R90" s="555"/>
      <c r="S90" s="555"/>
      <c r="T90" s="556" t="s">
        <v>304</v>
      </c>
    </row>
    <row r="91" spans="1:20" ht="15" customHeight="1">
      <c r="A91" s="286">
        <v>91</v>
      </c>
      <c r="B91" s="544">
        <v>110</v>
      </c>
      <c r="C91" s="545" t="s">
        <v>67</v>
      </c>
      <c r="D91" s="549" t="s">
        <v>156</v>
      </c>
      <c r="E91" s="539">
        <f>VLOOKUP(B91,'2-Kosten per locatie'!$A$13:$C$87,3,FALSE)</f>
        <v>2</v>
      </c>
      <c r="F91" s="550"/>
      <c r="G91" s="551" t="s">
        <v>305</v>
      </c>
      <c r="H91" s="552" t="s">
        <v>306</v>
      </c>
      <c r="I91" s="551" t="s">
        <v>171</v>
      </c>
      <c r="J91" s="553">
        <v>13.1</v>
      </c>
      <c r="K91" s="554"/>
      <c r="L91" s="554"/>
      <c r="M91" s="554">
        <v>42</v>
      </c>
      <c r="N91" s="554"/>
      <c r="O91" s="554"/>
      <c r="P91" s="555"/>
      <c r="Q91" s="555">
        <f>J91</f>
        <v>13.1</v>
      </c>
      <c r="R91" s="555"/>
      <c r="S91" s="555"/>
      <c r="T91" s="556" t="s">
        <v>102</v>
      </c>
    </row>
    <row r="92" spans="1:20" ht="15" customHeight="1">
      <c r="A92" s="286">
        <v>92</v>
      </c>
      <c r="B92" s="544">
        <v>110</v>
      </c>
      <c r="C92" s="545" t="s">
        <v>67</v>
      </c>
      <c r="D92" s="549" t="s">
        <v>156</v>
      </c>
      <c r="E92" s="539">
        <f>VLOOKUP(B92,'2-Kosten per locatie'!$A$13:$C$87,3,FALSE)</f>
        <v>2</v>
      </c>
      <c r="F92" s="550"/>
      <c r="G92" s="551" t="s">
        <v>307</v>
      </c>
      <c r="H92" s="552" t="s">
        <v>308</v>
      </c>
      <c r="I92" s="551" t="s">
        <v>171</v>
      </c>
      <c r="J92" s="553">
        <v>9.4</v>
      </c>
      <c r="K92" s="554"/>
      <c r="L92" s="554"/>
      <c r="M92" s="554">
        <v>41.1</v>
      </c>
      <c r="N92" s="554"/>
      <c r="O92" s="554"/>
      <c r="P92" s="555"/>
      <c r="Q92" s="555">
        <f>J92</f>
        <v>9.4</v>
      </c>
      <c r="R92" s="555"/>
      <c r="S92" s="555"/>
      <c r="T92" s="556" t="s">
        <v>292</v>
      </c>
    </row>
    <row r="93" spans="1:20" ht="15" customHeight="1">
      <c r="A93" s="285">
        <v>93</v>
      </c>
      <c r="B93" s="544">
        <v>110</v>
      </c>
      <c r="C93" s="545" t="s">
        <v>67</v>
      </c>
      <c r="D93" s="549" t="s">
        <v>156</v>
      </c>
      <c r="E93" s="539">
        <f>VLOOKUP(B93,'2-Kosten per locatie'!$A$13:$C$87,3,FALSE)</f>
        <v>2</v>
      </c>
      <c r="F93" s="550"/>
      <c r="G93" s="551" t="s">
        <v>199</v>
      </c>
      <c r="H93" s="552" t="s">
        <v>200</v>
      </c>
      <c r="I93" s="551" t="s">
        <v>171</v>
      </c>
      <c r="J93" s="553">
        <v>15.2</v>
      </c>
      <c r="K93" s="554"/>
      <c r="L93" s="554"/>
      <c r="M93" s="554"/>
      <c r="N93" s="554"/>
      <c r="O93" s="554">
        <v>46.8</v>
      </c>
      <c r="P93" s="555"/>
      <c r="Q93" s="555"/>
      <c r="R93" s="555"/>
      <c r="S93" s="555"/>
      <c r="T93" s="556" t="s">
        <v>102</v>
      </c>
    </row>
    <row r="94" spans="1:20" ht="15" customHeight="1">
      <c r="A94" s="286">
        <v>94</v>
      </c>
      <c r="B94" s="544">
        <v>110</v>
      </c>
      <c r="C94" s="545" t="s">
        <v>67</v>
      </c>
      <c r="D94" s="549" t="s">
        <v>156</v>
      </c>
      <c r="E94" s="539">
        <f>VLOOKUP(B94,'2-Kosten per locatie'!$A$13:$C$87,3,FALSE)</f>
        <v>2</v>
      </c>
      <c r="F94" s="550"/>
      <c r="G94" s="551" t="s">
        <v>237</v>
      </c>
      <c r="H94" s="552" t="s">
        <v>202</v>
      </c>
      <c r="I94" s="551" t="s">
        <v>171</v>
      </c>
      <c r="J94" s="553">
        <v>19.64</v>
      </c>
      <c r="K94" s="554"/>
      <c r="L94" s="554"/>
      <c r="M94" s="554"/>
      <c r="N94" s="554"/>
      <c r="O94" s="554">
        <v>85</v>
      </c>
      <c r="P94" s="555"/>
      <c r="Q94" s="555"/>
      <c r="R94" s="555"/>
      <c r="S94" s="555"/>
      <c r="T94" s="556" t="s">
        <v>102</v>
      </c>
    </row>
    <row r="95" spans="1:20" ht="15" customHeight="1">
      <c r="A95" s="285">
        <v>95</v>
      </c>
      <c r="B95" s="544">
        <v>110</v>
      </c>
      <c r="C95" s="545" t="s">
        <v>67</v>
      </c>
      <c r="D95" s="549" t="s">
        <v>156</v>
      </c>
      <c r="E95" s="539">
        <f>VLOOKUP(B95,'2-Kosten per locatie'!$A$13:$C$87,3,FALSE)</f>
        <v>2</v>
      </c>
      <c r="F95" s="550"/>
      <c r="G95" s="551" t="s">
        <v>239</v>
      </c>
      <c r="H95" s="552" t="s">
        <v>309</v>
      </c>
      <c r="I95" s="551" t="s">
        <v>171</v>
      </c>
      <c r="J95" s="553">
        <v>3.8</v>
      </c>
      <c r="K95" s="554"/>
      <c r="L95" s="554"/>
      <c r="M95" s="554"/>
      <c r="N95" s="554"/>
      <c r="O95" s="554">
        <v>20.5</v>
      </c>
      <c r="P95" s="555"/>
      <c r="Q95" s="555"/>
      <c r="R95" s="555"/>
      <c r="S95" s="555"/>
      <c r="T95" s="556" t="s">
        <v>310</v>
      </c>
    </row>
    <row r="96" spans="1:20" ht="15" customHeight="1">
      <c r="A96" s="286">
        <v>96</v>
      </c>
      <c r="B96" s="544">
        <v>110</v>
      </c>
      <c r="C96" s="545" t="s">
        <v>67</v>
      </c>
      <c r="D96" s="549" t="s">
        <v>156</v>
      </c>
      <c r="E96" s="539">
        <f>VLOOKUP(B96,'2-Kosten per locatie'!$A$13:$C$87,3,FALSE)</f>
        <v>2</v>
      </c>
      <c r="F96" s="550"/>
      <c r="G96" s="551" t="s">
        <v>246</v>
      </c>
      <c r="H96" s="552" t="s">
        <v>311</v>
      </c>
      <c r="I96" s="551" t="s">
        <v>245</v>
      </c>
      <c r="J96" s="553">
        <v>2.9</v>
      </c>
      <c r="K96" s="554">
        <v>17.8</v>
      </c>
      <c r="L96" s="554"/>
      <c r="M96" s="554"/>
      <c r="N96" s="554"/>
      <c r="O96" s="554"/>
      <c r="P96" s="555"/>
      <c r="Q96" s="555"/>
      <c r="R96" s="555"/>
      <c r="S96" s="555">
        <f>J96</f>
        <v>2.9</v>
      </c>
      <c r="T96" s="556" t="s">
        <v>102</v>
      </c>
    </row>
    <row r="97" spans="1:20" ht="15" customHeight="1">
      <c r="A97" s="285">
        <v>97</v>
      </c>
      <c r="B97" s="544">
        <v>110</v>
      </c>
      <c r="C97" s="545" t="s">
        <v>67</v>
      </c>
      <c r="D97" s="549" t="s">
        <v>156</v>
      </c>
      <c r="E97" s="539">
        <f>VLOOKUP(B97,'2-Kosten per locatie'!$A$13:$C$87,3,FALSE)</f>
        <v>2</v>
      </c>
      <c r="F97" s="550"/>
      <c r="G97" s="551" t="s">
        <v>243</v>
      </c>
      <c r="H97" s="552" t="s">
        <v>312</v>
      </c>
      <c r="I97" s="551" t="s">
        <v>245</v>
      </c>
      <c r="J97" s="553">
        <v>2.9</v>
      </c>
      <c r="K97" s="554">
        <v>17.8</v>
      </c>
      <c r="L97" s="554"/>
      <c r="M97" s="554"/>
      <c r="N97" s="554"/>
      <c r="O97" s="554"/>
      <c r="P97" s="555"/>
      <c r="Q97" s="555"/>
      <c r="R97" s="555"/>
      <c r="S97" s="555">
        <f>J97</f>
        <v>2.9</v>
      </c>
      <c r="T97" s="556" t="s">
        <v>102</v>
      </c>
    </row>
    <row r="98" spans="1:20" ht="15" customHeight="1">
      <c r="A98" s="286">
        <v>98</v>
      </c>
      <c r="B98" s="544">
        <v>110</v>
      </c>
      <c r="C98" s="545" t="s">
        <v>67</v>
      </c>
      <c r="D98" s="549" t="s">
        <v>156</v>
      </c>
      <c r="E98" s="539">
        <f>VLOOKUP(B98,'2-Kosten per locatie'!$A$13:$C$87,3,FALSE)</f>
        <v>2</v>
      </c>
      <c r="F98" s="550"/>
      <c r="G98" s="551" t="s">
        <v>313</v>
      </c>
      <c r="H98" s="552" t="s">
        <v>259</v>
      </c>
      <c r="I98" s="551" t="s">
        <v>159</v>
      </c>
      <c r="J98" s="553">
        <v>2.2000000000000002</v>
      </c>
      <c r="K98" s="554" t="s">
        <v>314</v>
      </c>
      <c r="L98" s="554"/>
      <c r="M98" s="554"/>
      <c r="N98" s="554"/>
      <c r="O98" s="554"/>
      <c r="P98" s="555"/>
      <c r="Q98" s="555"/>
      <c r="R98" s="555"/>
      <c r="S98" s="555"/>
      <c r="T98" s="556" t="s">
        <v>292</v>
      </c>
    </row>
    <row r="99" spans="1:20" ht="15" customHeight="1">
      <c r="A99" s="286">
        <v>99</v>
      </c>
      <c r="B99" s="544">
        <v>110</v>
      </c>
      <c r="C99" s="545" t="s">
        <v>67</v>
      </c>
      <c r="D99" s="549" t="s">
        <v>156</v>
      </c>
      <c r="E99" s="539">
        <f>VLOOKUP(B99,'2-Kosten per locatie'!$A$13:$C$87,3,FALSE)</f>
        <v>2</v>
      </c>
      <c r="F99" s="550"/>
      <c r="G99" s="551" t="s">
        <v>313</v>
      </c>
      <c r="H99" s="552" t="s">
        <v>261</v>
      </c>
      <c r="I99" s="551" t="s">
        <v>171</v>
      </c>
      <c r="J99" s="553">
        <v>2.2000000000000002</v>
      </c>
      <c r="K99" s="554" t="s">
        <v>314</v>
      </c>
      <c r="L99" s="554"/>
      <c r="M99" s="554"/>
      <c r="N99" s="554"/>
      <c r="O99" s="554"/>
      <c r="P99" s="555"/>
      <c r="Q99" s="555"/>
      <c r="R99" s="555"/>
      <c r="S99" s="555"/>
      <c r="T99" s="556" t="s">
        <v>102</v>
      </c>
    </row>
    <row r="100" spans="1:20" ht="15" customHeight="1">
      <c r="A100" s="285">
        <v>100</v>
      </c>
      <c r="B100" s="544">
        <v>110</v>
      </c>
      <c r="C100" s="545" t="s">
        <v>67</v>
      </c>
      <c r="D100" s="549" t="s">
        <v>156</v>
      </c>
      <c r="E100" s="539">
        <f>VLOOKUP(B100,'2-Kosten per locatie'!$A$13:$C$87,3,FALSE)</f>
        <v>2</v>
      </c>
      <c r="F100" s="550"/>
      <c r="G100" s="551" t="s">
        <v>183</v>
      </c>
      <c r="H100" s="552" t="s">
        <v>263</v>
      </c>
      <c r="I100" s="551" t="s">
        <v>159</v>
      </c>
      <c r="J100" s="553">
        <v>7.8</v>
      </c>
      <c r="K100" s="554"/>
      <c r="L100" s="554"/>
      <c r="M100" s="554"/>
      <c r="N100" s="554"/>
      <c r="O100" s="554">
        <v>26.6</v>
      </c>
      <c r="P100" s="555"/>
      <c r="Q100" s="555"/>
      <c r="R100" s="555">
        <f>J100</f>
        <v>7.8</v>
      </c>
      <c r="S100" s="555"/>
      <c r="T100" s="556" t="s">
        <v>315</v>
      </c>
    </row>
    <row r="101" spans="1:20" ht="15" customHeight="1">
      <c r="A101" s="286">
        <v>101</v>
      </c>
      <c r="B101" s="544">
        <v>110</v>
      </c>
      <c r="C101" s="545" t="s">
        <v>67</v>
      </c>
      <c r="D101" s="549" t="s">
        <v>156</v>
      </c>
      <c r="E101" s="539">
        <f>VLOOKUP(B101,'2-Kosten per locatie'!$A$13:$C$87,3,FALSE)</f>
        <v>2</v>
      </c>
      <c r="F101" s="550"/>
      <c r="G101" s="551" t="s">
        <v>316</v>
      </c>
      <c r="H101" s="552">
        <v>34</v>
      </c>
      <c r="I101" s="551" t="s">
        <v>317</v>
      </c>
      <c r="J101" s="553">
        <v>2.8</v>
      </c>
      <c r="K101" s="554"/>
      <c r="L101" s="554"/>
      <c r="M101" s="554"/>
      <c r="N101" s="554">
        <v>11.5</v>
      </c>
      <c r="O101" s="554">
        <v>3.5</v>
      </c>
      <c r="P101" s="555"/>
      <c r="Q101" s="555"/>
      <c r="R101" s="555"/>
      <c r="S101" s="555">
        <f>J101</f>
        <v>2.8</v>
      </c>
      <c r="T101" s="556" t="s">
        <v>318</v>
      </c>
    </row>
    <row r="102" spans="1:20" ht="15" customHeight="1">
      <c r="A102" s="285">
        <v>102</v>
      </c>
      <c r="B102" s="544">
        <v>110</v>
      </c>
      <c r="C102" s="545" t="s">
        <v>67</v>
      </c>
      <c r="D102" s="549" t="s">
        <v>156</v>
      </c>
      <c r="E102" s="539">
        <f>VLOOKUP(B102,'2-Kosten per locatie'!$A$13:$C$87,3,FALSE)</f>
        <v>2</v>
      </c>
      <c r="F102" s="550"/>
      <c r="G102" s="551" t="s">
        <v>183</v>
      </c>
      <c r="H102" s="552" t="s">
        <v>319</v>
      </c>
      <c r="I102" s="551" t="s">
        <v>214</v>
      </c>
      <c r="J102" s="553">
        <v>7.25</v>
      </c>
      <c r="K102" s="554"/>
      <c r="L102" s="554"/>
      <c r="M102" s="554">
        <v>26.6</v>
      </c>
      <c r="N102" s="554"/>
      <c r="O102" s="554"/>
      <c r="P102" s="555"/>
      <c r="Q102" s="555">
        <f>J102</f>
        <v>7.25</v>
      </c>
      <c r="R102" s="555"/>
      <c r="S102" s="555"/>
      <c r="T102" s="556" t="s">
        <v>320</v>
      </c>
    </row>
    <row r="103" spans="1:20" ht="15" customHeight="1">
      <c r="A103" s="286">
        <v>103</v>
      </c>
      <c r="B103" s="544">
        <v>110</v>
      </c>
      <c r="C103" s="545" t="s">
        <v>67</v>
      </c>
      <c r="D103" s="549" t="s">
        <v>156</v>
      </c>
      <c r="E103" s="539">
        <f>VLOOKUP(B103,'2-Kosten per locatie'!$A$13:$C$87,3,FALSE)</f>
        <v>2</v>
      </c>
      <c r="F103" s="550"/>
      <c r="G103" s="551" t="s">
        <v>203</v>
      </c>
      <c r="H103" s="552" t="s">
        <v>321</v>
      </c>
      <c r="I103" s="551" t="s">
        <v>322</v>
      </c>
      <c r="J103" s="553">
        <v>5.75</v>
      </c>
      <c r="K103" s="554" t="s">
        <v>323</v>
      </c>
      <c r="L103" s="554"/>
      <c r="M103" s="554"/>
      <c r="N103" s="554"/>
      <c r="O103" s="554"/>
      <c r="P103" s="555"/>
      <c r="Q103" s="555"/>
      <c r="R103" s="555"/>
      <c r="S103" s="555"/>
      <c r="T103" s="556" t="s">
        <v>324</v>
      </c>
    </row>
    <row r="104" spans="1:20" ht="15" customHeight="1">
      <c r="A104" s="285">
        <v>104</v>
      </c>
      <c r="B104" s="544">
        <v>110</v>
      </c>
      <c r="C104" s="545" t="s">
        <v>67</v>
      </c>
      <c r="D104" s="549" t="s">
        <v>156</v>
      </c>
      <c r="E104" s="539">
        <f>VLOOKUP(B104,'2-Kosten per locatie'!$A$13:$C$87,3,FALSE)</f>
        <v>2</v>
      </c>
      <c r="F104" s="550"/>
      <c r="G104" s="551" t="s">
        <v>325</v>
      </c>
      <c r="H104" s="552" t="s">
        <v>326</v>
      </c>
      <c r="I104" s="551" t="s">
        <v>171</v>
      </c>
      <c r="J104" s="553">
        <v>10.4</v>
      </c>
      <c r="K104" s="554"/>
      <c r="L104" s="554"/>
      <c r="M104" s="554">
        <v>39.1</v>
      </c>
      <c r="N104" s="554"/>
      <c r="O104" s="554"/>
      <c r="P104" s="555"/>
      <c r="Q104" s="555">
        <f>J104</f>
        <v>10.4</v>
      </c>
      <c r="R104" s="555"/>
      <c r="S104" s="555"/>
      <c r="T104" s="556" t="s">
        <v>327</v>
      </c>
    </row>
    <row r="105" spans="1:20" ht="15" customHeight="1">
      <c r="A105" s="286">
        <v>105</v>
      </c>
      <c r="B105" s="544">
        <v>110</v>
      </c>
      <c r="C105" s="545" t="s">
        <v>67</v>
      </c>
      <c r="D105" s="549" t="s">
        <v>156</v>
      </c>
      <c r="E105" s="539">
        <f>VLOOKUP(B105,'2-Kosten per locatie'!$A$13:$C$87,3,FALSE)</f>
        <v>2</v>
      </c>
      <c r="F105" s="550"/>
      <c r="G105" s="551" t="s">
        <v>248</v>
      </c>
      <c r="H105" s="552" t="s">
        <v>213</v>
      </c>
      <c r="I105" s="551" t="s">
        <v>171</v>
      </c>
      <c r="J105" s="553">
        <v>20.7</v>
      </c>
      <c r="K105" s="554"/>
      <c r="L105" s="554"/>
      <c r="M105" s="554">
        <v>50.6</v>
      </c>
      <c r="N105" s="554"/>
      <c r="O105" s="554"/>
      <c r="P105" s="555"/>
      <c r="Q105" s="555">
        <f>J105</f>
        <v>20.7</v>
      </c>
      <c r="R105" s="555"/>
      <c r="S105" s="555"/>
      <c r="T105" s="556" t="s">
        <v>102</v>
      </c>
    </row>
    <row r="106" spans="1:20" ht="15" customHeight="1">
      <c r="A106" s="286">
        <v>106</v>
      </c>
      <c r="B106" s="544">
        <v>110</v>
      </c>
      <c r="C106" s="545" t="s">
        <v>67</v>
      </c>
      <c r="D106" s="549" t="s">
        <v>156</v>
      </c>
      <c r="E106" s="539">
        <f>VLOOKUP(B106,'2-Kosten per locatie'!$A$13:$C$87,3,FALSE)</f>
        <v>2</v>
      </c>
      <c r="F106" s="550"/>
      <c r="G106" s="551" t="s">
        <v>212</v>
      </c>
      <c r="H106" s="552" t="s">
        <v>328</v>
      </c>
      <c r="I106" s="551" t="s">
        <v>171</v>
      </c>
      <c r="J106" s="553">
        <v>9.4</v>
      </c>
      <c r="K106" s="554"/>
      <c r="L106" s="554"/>
      <c r="M106" s="554">
        <v>23.7</v>
      </c>
      <c r="N106" s="554"/>
      <c r="O106" s="554"/>
      <c r="P106" s="555"/>
      <c r="Q106" s="555">
        <f>J106</f>
        <v>9.4</v>
      </c>
      <c r="R106" s="555"/>
      <c r="S106" s="555"/>
      <c r="T106" s="556" t="s">
        <v>292</v>
      </c>
    </row>
    <row r="107" spans="1:20" ht="15" customHeight="1">
      <c r="A107" s="285">
        <v>107</v>
      </c>
      <c r="B107" s="544">
        <v>110</v>
      </c>
      <c r="C107" s="545" t="s">
        <v>67</v>
      </c>
      <c r="D107" s="549" t="s">
        <v>156</v>
      </c>
      <c r="E107" s="539">
        <f>VLOOKUP(B107,'2-Kosten per locatie'!$A$13:$C$87,3,FALSE)</f>
        <v>2</v>
      </c>
      <c r="F107" s="550"/>
      <c r="G107" s="551" t="s">
        <v>329</v>
      </c>
      <c r="H107" s="552" t="s">
        <v>221</v>
      </c>
      <c r="I107" s="551" t="s">
        <v>162</v>
      </c>
      <c r="J107" s="553">
        <v>25.79</v>
      </c>
      <c r="K107" s="554"/>
      <c r="L107" s="554"/>
      <c r="M107" s="554"/>
      <c r="N107" s="554"/>
      <c r="O107" s="554">
        <v>63</v>
      </c>
      <c r="P107" s="555"/>
      <c r="Q107" s="555"/>
      <c r="R107" s="555"/>
      <c r="S107" s="555"/>
      <c r="T107" s="556" t="s">
        <v>102</v>
      </c>
    </row>
    <row r="108" spans="1:20" ht="15" customHeight="1">
      <c r="A108" s="286">
        <v>108</v>
      </c>
      <c r="B108" s="544">
        <v>110</v>
      </c>
      <c r="C108" s="545" t="s">
        <v>67</v>
      </c>
      <c r="D108" s="549" t="s">
        <v>156</v>
      </c>
      <c r="E108" s="539">
        <f>VLOOKUP(B108,'2-Kosten per locatie'!$A$13:$C$87,3,FALSE)</f>
        <v>2</v>
      </c>
      <c r="F108" s="550"/>
      <c r="G108" s="551" t="s">
        <v>330</v>
      </c>
      <c r="H108" s="552" t="s">
        <v>331</v>
      </c>
      <c r="I108" s="551" t="s">
        <v>171</v>
      </c>
      <c r="J108" s="553">
        <v>46.17</v>
      </c>
      <c r="K108" s="554"/>
      <c r="L108" s="554"/>
      <c r="M108" s="554"/>
      <c r="N108" s="554"/>
      <c r="O108" s="554">
        <v>58</v>
      </c>
      <c r="P108" s="555"/>
      <c r="Q108" s="555"/>
      <c r="R108" s="555">
        <f>J108</f>
        <v>46.17</v>
      </c>
      <c r="S108" s="555"/>
      <c r="T108" s="556" t="s">
        <v>292</v>
      </c>
    </row>
    <row r="109" spans="1:20" ht="15" customHeight="1">
      <c r="A109" s="285">
        <v>109</v>
      </c>
      <c r="B109" s="544">
        <v>110</v>
      </c>
      <c r="C109" s="545" t="s">
        <v>67</v>
      </c>
      <c r="D109" s="549" t="s">
        <v>156</v>
      </c>
      <c r="E109" s="539">
        <f>VLOOKUP(B109,'2-Kosten per locatie'!$A$13:$C$87,3,FALSE)</f>
        <v>2</v>
      </c>
      <c r="F109" s="550"/>
      <c r="G109" s="551" t="s">
        <v>330</v>
      </c>
      <c r="H109" s="552" t="s">
        <v>332</v>
      </c>
      <c r="I109" s="551" t="s">
        <v>171</v>
      </c>
      <c r="J109" s="553">
        <v>47.88</v>
      </c>
      <c r="K109" s="554"/>
      <c r="L109" s="554"/>
      <c r="M109" s="554"/>
      <c r="N109" s="554"/>
      <c r="O109" s="554">
        <v>51</v>
      </c>
      <c r="P109" s="555"/>
      <c r="Q109" s="555"/>
      <c r="R109" s="555">
        <f>J109</f>
        <v>47.88</v>
      </c>
      <c r="S109" s="555"/>
      <c r="T109" s="556" t="s">
        <v>102</v>
      </c>
    </row>
    <row r="110" spans="1:20" ht="15" customHeight="1">
      <c r="A110" s="286">
        <v>110</v>
      </c>
      <c r="B110" s="544">
        <v>110</v>
      </c>
      <c r="C110" s="545" t="s">
        <v>67</v>
      </c>
      <c r="D110" s="549" t="s">
        <v>156</v>
      </c>
      <c r="E110" s="539">
        <f>VLOOKUP(B110,'2-Kosten per locatie'!$A$13:$C$87,3,FALSE)</f>
        <v>2</v>
      </c>
      <c r="F110" s="550"/>
      <c r="G110" s="551" t="s">
        <v>333</v>
      </c>
      <c r="H110" s="552" t="s">
        <v>334</v>
      </c>
      <c r="I110" s="551" t="s">
        <v>159</v>
      </c>
      <c r="J110" s="553">
        <v>46.25</v>
      </c>
      <c r="K110" s="554"/>
      <c r="L110" s="554"/>
      <c r="M110" s="554"/>
      <c r="N110" s="554"/>
      <c r="O110" s="554">
        <v>62.6</v>
      </c>
      <c r="P110" s="555"/>
      <c r="Q110" s="555"/>
      <c r="R110" s="555">
        <v>13.1</v>
      </c>
      <c r="S110" s="555"/>
      <c r="T110" s="556" t="s">
        <v>335</v>
      </c>
    </row>
    <row r="111" spans="1:20" ht="15" customHeight="1">
      <c r="A111" s="285">
        <v>111</v>
      </c>
      <c r="B111" s="544">
        <v>110</v>
      </c>
      <c r="C111" s="545" t="s">
        <v>67</v>
      </c>
      <c r="D111" s="549" t="s">
        <v>156</v>
      </c>
      <c r="E111" s="539">
        <f>VLOOKUP(B111,'2-Kosten per locatie'!$A$13:$C$87,3,FALSE)</f>
        <v>2</v>
      </c>
      <c r="F111" s="550"/>
      <c r="G111" s="551" t="s">
        <v>333</v>
      </c>
      <c r="H111" s="552" t="s">
        <v>336</v>
      </c>
      <c r="I111" s="551" t="s">
        <v>171</v>
      </c>
      <c r="J111" s="553">
        <v>42.01</v>
      </c>
      <c r="K111" s="554"/>
      <c r="L111" s="554"/>
      <c r="M111" s="554"/>
      <c r="N111" s="554"/>
      <c r="O111" s="554">
        <v>63</v>
      </c>
      <c r="P111" s="555"/>
      <c r="Q111" s="555"/>
      <c r="R111" s="555">
        <v>13.1</v>
      </c>
      <c r="S111" s="555"/>
      <c r="T111" s="556" t="s">
        <v>337</v>
      </c>
    </row>
    <row r="112" spans="1:20" ht="15" customHeight="1">
      <c r="A112" s="286">
        <v>112</v>
      </c>
      <c r="B112" s="544">
        <v>111</v>
      </c>
      <c r="C112" s="545" t="s">
        <v>68</v>
      </c>
      <c r="D112" s="549" t="s">
        <v>156</v>
      </c>
      <c r="E112" s="539">
        <f>VLOOKUP(B112,'2-Kosten per locatie'!$A$13:$C$87,3,FALSE)</f>
        <v>2</v>
      </c>
      <c r="F112" s="550"/>
      <c r="G112" s="551" t="s">
        <v>338</v>
      </c>
      <c r="H112" s="552" t="s">
        <v>202</v>
      </c>
      <c r="I112" s="551" t="s">
        <v>171</v>
      </c>
      <c r="J112" s="553">
        <v>11.4</v>
      </c>
      <c r="K112" s="554"/>
      <c r="L112" s="554"/>
      <c r="M112" s="554"/>
      <c r="N112" s="554"/>
      <c r="O112" s="554">
        <v>48</v>
      </c>
      <c r="P112" s="555"/>
      <c r="Q112" s="555">
        <v>1.9</v>
      </c>
      <c r="R112" s="555"/>
      <c r="S112" s="555"/>
      <c r="T112" s="556"/>
    </row>
    <row r="113" spans="1:20" ht="15" customHeight="1">
      <c r="A113" s="286">
        <v>113</v>
      </c>
      <c r="B113" s="544">
        <v>111</v>
      </c>
      <c r="C113" s="545" t="s">
        <v>68</v>
      </c>
      <c r="D113" s="549" t="s">
        <v>156</v>
      </c>
      <c r="E113" s="539">
        <f>VLOOKUP(B113,'2-Kosten per locatie'!$A$13:$C$87,3,FALSE)</f>
        <v>2</v>
      </c>
      <c r="F113" s="550"/>
      <c r="G113" s="551" t="s">
        <v>339</v>
      </c>
      <c r="H113" s="552" t="s">
        <v>192</v>
      </c>
      <c r="I113" s="551" t="s">
        <v>171</v>
      </c>
      <c r="J113" s="553">
        <v>1.9</v>
      </c>
      <c r="K113" s="554"/>
      <c r="L113" s="554"/>
      <c r="M113" s="554"/>
      <c r="N113" s="554"/>
      <c r="O113" s="554">
        <f>12.5-2.5</f>
        <v>10</v>
      </c>
      <c r="P113" s="555"/>
      <c r="Q113" s="555">
        <v>23.625</v>
      </c>
      <c r="R113" s="555"/>
      <c r="S113" s="555"/>
      <c r="T113" s="556"/>
    </row>
    <row r="114" spans="1:20" ht="15" customHeight="1">
      <c r="A114" s="285">
        <v>114</v>
      </c>
      <c r="B114" s="544">
        <v>111</v>
      </c>
      <c r="C114" s="545" t="s">
        <v>68</v>
      </c>
      <c r="D114" s="549" t="s">
        <v>156</v>
      </c>
      <c r="E114" s="539">
        <f>VLOOKUP(B114,'2-Kosten per locatie'!$A$13:$C$87,3,FALSE)</f>
        <v>2</v>
      </c>
      <c r="F114" s="550"/>
      <c r="G114" s="551" t="s">
        <v>339</v>
      </c>
      <c r="H114" s="552" t="s">
        <v>236</v>
      </c>
      <c r="I114" s="551" t="s">
        <v>171</v>
      </c>
      <c r="J114" s="553">
        <f>18.9</f>
        <v>18.899999999999999</v>
      </c>
      <c r="K114" s="554"/>
      <c r="L114" s="554"/>
      <c r="M114" s="554"/>
      <c r="N114" s="554"/>
      <c r="O114" s="554">
        <f>23.7-1.9</f>
        <v>21.8</v>
      </c>
      <c r="P114" s="555"/>
      <c r="Q114" s="555">
        <v>17.274999999999999</v>
      </c>
      <c r="R114" s="555"/>
      <c r="S114" s="555"/>
      <c r="T114" s="556"/>
    </row>
    <row r="115" spans="1:20" ht="15" customHeight="1">
      <c r="A115" s="286">
        <v>115</v>
      </c>
      <c r="B115" s="544">
        <v>111</v>
      </c>
      <c r="C115" s="545" t="s">
        <v>68</v>
      </c>
      <c r="D115" s="549" t="s">
        <v>156</v>
      </c>
      <c r="E115" s="539">
        <f>VLOOKUP(B115,'2-Kosten per locatie'!$A$13:$C$87,3,FALSE)</f>
        <v>2</v>
      </c>
      <c r="F115" s="550"/>
      <c r="G115" s="551" t="s">
        <v>183</v>
      </c>
      <c r="H115" s="552" t="s">
        <v>334</v>
      </c>
      <c r="I115" s="551" t="s">
        <v>171</v>
      </c>
      <c r="J115" s="553">
        <v>13.82</v>
      </c>
      <c r="K115" s="554"/>
      <c r="L115" s="554"/>
      <c r="M115" s="554">
        <v>19.64</v>
      </c>
      <c r="N115" s="554"/>
      <c r="O115" s="554"/>
      <c r="P115" s="555"/>
      <c r="Q115" s="555">
        <f t="shared" ref="Q115:Q122" si="0">J115</f>
        <v>13.82</v>
      </c>
      <c r="R115" s="555"/>
      <c r="S115" s="555"/>
      <c r="T115" s="556"/>
    </row>
    <row r="116" spans="1:20" ht="15" customHeight="1">
      <c r="A116" s="285">
        <v>116</v>
      </c>
      <c r="B116" s="544">
        <v>111</v>
      </c>
      <c r="C116" s="545" t="s">
        <v>68</v>
      </c>
      <c r="D116" s="549" t="s">
        <v>156</v>
      </c>
      <c r="E116" s="539">
        <f>VLOOKUP(B116,'2-Kosten per locatie'!$A$13:$C$87,3,FALSE)</f>
        <v>2</v>
      </c>
      <c r="F116" s="550"/>
      <c r="G116" s="551" t="s">
        <v>340</v>
      </c>
      <c r="H116" s="552" t="s">
        <v>341</v>
      </c>
      <c r="I116" s="551" t="s">
        <v>171</v>
      </c>
      <c r="J116" s="553">
        <v>34.200000000000003</v>
      </c>
      <c r="K116" s="554"/>
      <c r="L116" s="554"/>
      <c r="M116" s="554"/>
      <c r="N116" s="554"/>
      <c r="O116" s="554">
        <f>100.2-7*2.5</f>
        <v>82.7</v>
      </c>
      <c r="P116" s="555"/>
      <c r="Q116" s="555">
        <f t="shared" si="0"/>
        <v>34.200000000000003</v>
      </c>
      <c r="R116" s="555"/>
      <c r="S116" s="555"/>
      <c r="T116" s="556"/>
    </row>
    <row r="117" spans="1:20" ht="15" customHeight="1">
      <c r="A117" s="286">
        <v>117</v>
      </c>
      <c r="B117" s="544">
        <v>111</v>
      </c>
      <c r="C117" s="545" t="s">
        <v>68</v>
      </c>
      <c r="D117" s="549" t="s">
        <v>156</v>
      </c>
      <c r="E117" s="539">
        <f>VLOOKUP(B117,'2-Kosten per locatie'!$A$13:$C$87,3,FALSE)</f>
        <v>2</v>
      </c>
      <c r="F117" s="550"/>
      <c r="G117" s="551" t="s">
        <v>342</v>
      </c>
      <c r="H117" s="552" t="s">
        <v>343</v>
      </c>
      <c r="I117" s="551" t="s">
        <v>171</v>
      </c>
      <c r="J117" s="553">
        <v>13.8</v>
      </c>
      <c r="K117" s="554"/>
      <c r="L117" s="554"/>
      <c r="M117" s="554"/>
      <c r="N117" s="554"/>
      <c r="O117" s="554">
        <f>55.5-2.5</f>
        <v>53</v>
      </c>
      <c r="P117" s="555"/>
      <c r="Q117" s="555">
        <f t="shared" si="0"/>
        <v>13.8</v>
      </c>
      <c r="R117" s="555"/>
      <c r="S117" s="555"/>
      <c r="T117" s="556"/>
    </row>
    <row r="118" spans="1:20" ht="15" customHeight="1">
      <c r="A118" s="285">
        <v>118</v>
      </c>
      <c r="B118" s="544">
        <v>111</v>
      </c>
      <c r="C118" s="545" t="s">
        <v>68</v>
      </c>
      <c r="D118" s="549" t="s">
        <v>156</v>
      </c>
      <c r="E118" s="539">
        <f>VLOOKUP(B118,'2-Kosten per locatie'!$A$13:$C$87,3,FALSE)</f>
        <v>2</v>
      </c>
      <c r="F118" s="550"/>
      <c r="G118" s="551" t="s">
        <v>344</v>
      </c>
      <c r="H118" s="552" t="s">
        <v>345</v>
      </c>
      <c r="I118" s="551" t="s">
        <v>171</v>
      </c>
      <c r="J118" s="553">
        <v>8.6</v>
      </c>
      <c r="K118" s="554"/>
      <c r="L118" s="554"/>
      <c r="M118" s="554"/>
      <c r="N118" s="554"/>
      <c r="O118" s="554">
        <f>35.2-2.5</f>
        <v>32.700000000000003</v>
      </c>
      <c r="P118" s="555"/>
      <c r="Q118" s="555">
        <f t="shared" si="0"/>
        <v>8.6</v>
      </c>
      <c r="R118" s="555"/>
      <c r="S118" s="555"/>
      <c r="T118" s="556"/>
    </row>
    <row r="119" spans="1:20" ht="15" customHeight="1">
      <c r="A119" s="286">
        <v>119</v>
      </c>
      <c r="B119" s="544">
        <v>111</v>
      </c>
      <c r="C119" s="545" t="s">
        <v>68</v>
      </c>
      <c r="D119" s="549" t="s">
        <v>156</v>
      </c>
      <c r="E119" s="539">
        <f>VLOOKUP(B119,'2-Kosten per locatie'!$A$13:$C$87,3,FALSE)</f>
        <v>2</v>
      </c>
      <c r="F119" s="550"/>
      <c r="G119" s="551" t="s">
        <v>344</v>
      </c>
      <c r="H119" s="552" t="s">
        <v>346</v>
      </c>
      <c r="I119" s="551" t="s">
        <v>171</v>
      </c>
      <c r="J119" s="553">
        <v>8.6</v>
      </c>
      <c r="K119" s="554"/>
      <c r="L119" s="554"/>
      <c r="M119" s="554"/>
      <c r="N119" s="554"/>
      <c r="O119" s="554">
        <f>35.2-2.5</f>
        <v>32.700000000000003</v>
      </c>
      <c r="P119" s="555"/>
      <c r="Q119" s="555">
        <f t="shared" si="0"/>
        <v>8.6</v>
      </c>
      <c r="R119" s="555"/>
      <c r="S119" s="555"/>
      <c r="T119" s="556"/>
    </row>
    <row r="120" spans="1:20" ht="15" customHeight="1">
      <c r="A120" s="286">
        <v>120</v>
      </c>
      <c r="B120" s="544">
        <v>111</v>
      </c>
      <c r="C120" s="545" t="s">
        <v>68</v>
      </c>
      <c r="D120" s="549" t="s">
        <v>156</v>
      </c>
      <c r="E120" s="539">
        <f>VLOOKUP(B120,'2-Kosten per locatie'!$A$13:$C$87,3,FALSE)</f>
        <v>2</v>
      </c>
      <c r="F120" s="550"/>
      <c r="G120" s="551" t="s">
        <v>195</v>
      </c>
      <c r="H120" s="552" t="s">
        <v>347</v>
      </c>
      <c r="I120" s="551" t="s">
        <v>171</v>
      </c>
      <c r="J120" s="553">
        <v>15.4</v>
      </c>
      <c r="K120" s="554"/>
      <c r="L120" s="554"/>
      <c r="M120" s="554"/>
      <c r="N120" s="554"/>
      <c r="O120" s="554">
        <f>56.1-2.5</f>
        <v>53.6</v>
      </c>
      <c r="P120" s="555"/>
      <c r="Q120" s="555">
        <f t="shared" si="0"/>
        <v>15.4</v>
      </c>
      <c r="R120" s="555"/>
      <c r="S120" s="555"/>
      <c r="T120" s="556"/>
    </row>
    <row r="121" spans="1:20" ht="15" customHeight="1">
      <c r="A121" s="285">
        <v>121</v>
      </c>
      <c r="B121" s="544">
        <v>111</v>
      </c>
      <c r="C121" s="545" t="s">
        <v>68</v>
      </c>
      <c r="D121" s="549" t="s">
        <v>156</v>
      </c>
      <c r="E121" s="539">
        <f>VLOOKUP(B121,'2-Kosten per locatie'!$A$13:$C$87,3,FALSE)</f>
        <v>2</v>
      </c>
      <c r="F121" s="550"/>
      <c r="G121" s="551" t="s">
        <v>348</v>
      </c>
      <c r="H121" s="552" t="s">
        <v>311</v>
      </c>
      <c r="I121" s="551" t="s">
        <v>159</v>
      </c>
      <c r="J121" s="553">
        <v>3.6</v>
      </c>
      <c r="K121" s="554">
        <v>19.399999999999999</v>
      </c>
      <c r="L121" s="554"/>
      <c r="M121" s="554"/>
      <c r="N121" s="554"/>
      <c r="O121" s="554"/>
      <c r="P121" s="555"/>
      <c r="Q121" s="555">
        <f t="shared" si="0"/>
        <v>3.6</v>
      </c>
      <c r="R121" s="555"/>
      <c r="S121" s="555"/>
      <c r="T121" s="556"/>
    </row>
    <row r="122" spans="1:20" ht="15" customHeight="1">
      <c r="A122" s="286">
        <v>122</v>
      </c>
      <c r="B122" s="544">
        <v>111</v>
      </c>
      <c r="C122" s="545" t="s">
        <v>68</v>
      </c>
      <c r="D122" s="549" t="s">
        <v>156</v>
      </c>
      <c r="E122" s="539">
        <f>VLOOKUP(B122,'2-Kosten per locatie'!$A$13:$C$87,3,FALSE)</f>
        <v>2</v>
      </c>
      <c r="F122" s="550"/>
      <c r="G122" s="551" t="s">
        <v>348</v>
      </c>
      <c r="H122" s="552" t="s">
        <v>312</v>
      </c>
      <c r="I122" s="551" t="s">
        <v>159</v>
      </c>
      <c r="J122" s="553">
        <v>4.3</v>
      </c>
      <c r="K122" s="554">
        <v>21.4</v>
      </c>
      <c r="L122" s="554"/>
      <c r="M122" s="554"/>
      <c r="N122" s="554"/>
      <c r="O122" s="554"/>
      <c r="P122" s="555"/>
      <c r="Q122" s="555">
        <f t="shared" si="0"/>
        <v>4.3</v>
      </c>
      <c r="R122" s="555"/>
      <c r="S122" s="555"/>
      <c r="T122" s="556"/>
    </row>
    <row r="123" spans="1:20" ht="15" customHeight="1">
      <c r="A123" s="285">
        <v>123</v>
      </c>
      <c r="B123" s="544">
        <v>111</v>
      </c>
      <c r="C123" s="545" t="s">
        <v>68</v>
      </c>
      <c r="D123" s="549" t="s">
        <v>156</v>
      </c>
      <c r="E123" s="539">
        <f>VLOOKUP(B123,'2-Kosten per locatie'!$A$13:$C$87,3,FALSE)</f>
        <v>2</v>
      </c>
      <c r="F123" s="550"/>
      <c r="G123" s="551" t="s">
        <v>289</v>
      </c>
      <c r="H123" s="552" t="s">
        <v>349</v>
      </c>
      <c r="I123" s="551" t="s">
        <v>171</v>
      </c>
      <c r="J123" s="553">
        <v>2152</v>
      </c>
      <c r="K123" s="554"/>
      <c r="L123" s="554"/>
      <c r="M123" s="554"/>
      <c r="N123" s="554"/>
      <c r="O123" s="554"/>
      <c r="P123" s="555">
        <v>2704</v>
      </c>
      <c r="Q123" s="555"/>
      <c r="R123" s="555"/>
      <c r="S123" s="555"/>
      <c r="T123" s="556"/>
    </row>
    <row r="124" spans="1:20" ht="15" customHeight="1">
      <c r="A124" s="286">
        <v>124</v>
      </c>
      <c r="B124" s="544">
        <v>111</v>
      </c>
      <c r="C124" s="545" t="s">
        <v>68</v>
      </c>
      <c r="D124" s="549" t="s">
        <v>156</v>
      </c>
      <c r="E124" s="539">
        <f>VLOOKUP(B124,'2-Kosten per locatie'!$A$13:$C$87,3,FALSE)</f>
        <v>2</v>
      </c>
      <c r="F124" s="550"/>
      <c r="G124" s="551" t="s">
        <v>187</v>
      </c>
      <c r="H124" s="552" t="s">
        <v>350</v>
      </c>
      <c r="I124" s="551" t="s">
        <v>159</v>
      </c>
      <c r="J124" s="553">
        <v>100</v>
      </c>
      <c r="K124" s="554"/>
      <c r="L124" s="554"/>
      <c r="M124" s="554"/>
      <c r="N124" s="554"/>
      <c r="O124" s="554"/>
      <c r="P124" s="555"/>
      <c r="Q124" s="555"/>
      <c r="R124" s="555"/>
      <c r="S124" s="555"/>
      <c r="T124" s="556"/>
    </row>
    <row r="125" spans="1:20" ht="15" customHeight="1">
      <c r="A125" s="285">
        <v>125</v>
      </c>
      <c r="B125" s="544">
        <v>111</v>
      </c>
      <c r="C125" s="545" t="s">
        <v>68</v>
      </c>
      <c r="D125" s="549" t="s">
        <v>156</v>
      </c>
      <c r="E125" s="539">
        <f>VLOOKUP(B125,'2-Kosten per locatie'!$A$13:$C$87,3,FALSE)</f>
        <v>2</v>
      </c>
      <c r="F125" s="550"/>
      <c r="G125" s="551" t="s">
        <v>351</v>
      </c>
      <c r="H125" s="552" t="s">
        <v>352</v>
      </c>
      <c r="I125" s="551" t="s">
        <v>353</v>
      </c>
      <c r="J125" s="553">
        <v>21</v>
      </c>
      <c r="K125" s="554"/>
      <c r="L125" s="554"/>
      <c r="M125" s="554"/>
      <c r="N125" s="554"/>
      <c r="O125" s="554"/>
      <c r="P125" s="555"/>
      <c r="Q125" s="555">
        <f>J125</f>
        <v>21</v>
      </c>
      <c r="R125" s="555"/>
      <c r="S125" s="555"/>
      <c r="T125" s="556"/>
    </row>
    <row r="126" spans="1:20" ht="15" customHeight="1">
      <c r="A126" s="286">
        <v>126</v>
      </c>
      <c r="B126" s="544">
        <v>111</v>
      </c>
      <c r="C126" s="545" t="s">
        <v>68</v>
      </c>
      <c r="D126" s="549" t="s">
        <v>156</v>
      </c>
      <c r="E126" s="539">
        <f>VLOOKUP(B126,'2-Kosten per locatie'!$A$13:$C$87,3,FALSE)</f>
        <v>2</v>
      </c>
      <c r="F126" s="550"/>
      <c r="G126" s="551" t="s">
        <v>354</v>
      </c>
      <c r="H126" s="552" t="s">
        <v>355</v>
      </c>
      <c r="I126" s="551" t="s">
        <v>171</v>
      </c>
      <c r="J126" s="553">
        <v>13.4</v>
      </c>
      <c r="K126" s="554"/>
      <c r="L126" s="554"/>
      <c r="M126" s="554"/>
      <c r="N126" s="554"/>
      <c r="O126" s="554">
        <f>51.7-2.5</f>
        <v>49.2</v>
      </c>
      <c r="P126" s="555"/>
      <c r="Q126" s="555">
        <f>J126</f>
        <v>13.4</v>
      </c>
      <c r="R126" s="555"/>
      <c r="S126" s="555"/>
      <c r="T126" s="556"/>
    </row>
    <row r="127" spans="1:20" ht="15" customHeight="1">
      <c r="A127" s="286">
        <v>127</v>
      </c>
      <c r="B127" s="544">
        <v>111</v>
      </c>
      <c r="C127" s="545" t="s">
        <v>68</v>
      </c>
      <c r="D127" s="549" t="s">
        <v>156</v>
      </c>
      <c r="E127" s="539">
        <f>VLOOKUP(B127,'2-Kosten per locatie'!$A$13:$C$87,3,FALSE)</f>
        <v>2</v>
      </c>
      <c r="F127" s="550"/>
      <c r="G127" s="551" t="s">
        <v>203</v>
      </c>
      <c r="H127" s="552"/>
      <c r="I127" s="551" t="s">
        <v>317</v>
      </c>
      <c r="J127" s="553">
        <v>2.5</v>
      </c>
      <c r="K127" s="554"/>
      <c r="L127" s="554"/>
      <c r="M127" s="554"/>
      <c r="N127" s="554">
        <v>2.3849999999999998</v>
      </c>
      <c r="O127" s="554"/>
      <c r="P127" s="555"/>
      <c r="Q127" s="555"/>
      <c r="R127" s="555"/>
      <c r="S127" s="555">
        <v>2.5</v>
      </c>
      <c r="T127" s="556" t="s">
        <v>206</v>
      </c>
    </row>
    <row r="128" spans="1:20" ht="15" customHeight="1">
      <c r="A128" s="285">
        <v>128</v>
      </c>
      <c r="B128" s="544">
        <v>111</v>
      </c>
      <c r="C128" s="545" t="s">
        <v>68</v>
      </c>
      <c r="D128" s="549" t="s">
        <v>156</v>
      </c>
      <c r="E128" s="539">
        <f>VLOOKUP(B128,'2-Kosten per locatie'!$A$13:$C$87,3,FALSE)</f>
        <v>2</v>
      </c>
      <c r="F128" s="550"/>
      <c r="G128" s="551" t="s">
        <v>356</v>
      </c>
      <c r="H128" s="552"/>
      <c r="I128" s="551" t="s">
        <v>296</v>
      </c>
      <c r="J128" s="553">
        <f>26.6*1.4*1.5</f>
        <v>55.86</v>
      </c>
      <c r="K128" s="554"/>
      <c r="L128" s="554"/>
      <c r="M128" s="554"/>
      <c r="N128" s="554"/>
      <c r="O128" s="554"/>
      <c r="P128" s="555"/>
      <c r="Q128" s="555"/>
      <c r="R128" s="555"/>
      <c r="S128" s="555"/>
      <c r="T128" s="556"/>
    </row>
    <row r="129" spans="1:20" ht="15" customHeight="1">
      <c r="A129" s="286">
        <v>129</v>
      </c>
      <c r="B129" s="544">
        <v>111</v>
      </c>
      <c r="C129" s="545" t="s">
        <v>68</v>
      </c>
      <c r="D129" s="549" t="s">
        <v>156</v>
      </c>
      <c r="E129" s="539">
        <f>VLOOKUP(B129,'2-Kosten per locatie'!$A$13:$C$87,3,FALSE)</f>
        <v>2</v>
      </c>
      <c r="F129" s="550"/>
      <c r="G129" s="551" t="s">
        <v>357</v>
      </c>
      <c r="H129" s="552"/>
      <c r="I129" s="551" t="s">
        <v>296</v>
      </c>
      <c r="J129" s="553">
        <f>26.6*1.4*1.5</f>
        <v>55.86</v>
      </c>
      <c r="K129" s="554"/>
      <c r="L129" s="554"/>
      <c r="M129" s="554"/>
      <c r="N129" s="554"/>
      <c r="O129" s="554"/>
      <c r="P129" s="555"/>
      <c r="Q129" s="555"/>
      <c r="R129" s="555"/>
      <c r="S129" s="555"/>
      <c r="T129" s="556"/>
    </row>
    <row r="130" spans="1:20" ht="15" customHeight="1">
      <c r="A130" s="285">
        <v>130</v>
      </c>
      <c r="B130" s="544">
        <v>111</v>
      </c>
      <c r="C130" s="545" t="s">
        <v>68</v>
      </c>
      <c r="D130" s="549" t="s">
        <v>156</v>
      </c>
      <c r="E130" s="539">
        <f>VLOOKUP(B130,'2-Kosten per locatie'!$A$13:$C$87,3,FALSE)</f>
        <v>2</v>
      </c>
      <c r="F130" s="550"/>
      <c r="G130" s="551" t="s">
        <v>358</v>
      </c>
      <c r="H130" s="552"/>
      <c r="I130" s="551" t="s">
        <v>296</v>
      </c>
      <c r="J130" s="553">
        <f>26.6*1.4*1.5</f>
        <v>55.86</v>
      </c>
      <c r="K130" s="554"/>
      <c r="L130" s="554"/>
      <c r="M130" s="554"/>
      <c r="N130" s="554"/>
      <c r="O130" s="554"/>
      <c r="P130" s="555"/>
      <c r="Q130" s="555"/>
      <c r="R130" s="555"/>
      <c r="S130" s="555"/>
      <c r="T130" s="556"/>
    </row>
    <row r="131" spans="1:20" ht="15" customHeight="1">
      <c r="A131" s="286">
        <v>131</v>
      </c>
      <c r="B131" s="544">
        <v>111</v>
      </c>
      <c r="C131" s="545" t="s">
        <v>68</v>
      </c>
      <c r="D131" s="549" t="s">
        <v>156</v>
      </c>
      <c r="E131" s="539">
        <f>VLOOKUP(B131,'2-Kosten per locatie'!$A$13:$C$87,3,FALSE)</f>
        <v>2</v>
      </c>
      <c r="F131" s="550"/>
      <c r="G131" s="551" t="s">
        <v>178</v>
      </c>
      <c r="H131" s="552"/>
      <c r="I131" s="551" t="s">
        <v>180</v>
      </c>
      <c r="J131" s="553">
        <f>26.6*3.7*1.5</f>
        <v>147.63000000000002</v>
      </c>
      <c r="K131" s="554"/>
      <c r="L131" s="554"/>
      <c r="M131" s="554"/>
      <c r="N131" s="554">
        <f>12*3+14*0.93*0.57+11*1.4*0.57</f>
        <v>52.199399999999997</v>
      </c>
      <c r="O131" s="554"/>
      <c r="P131" s="555"/>
      <c r="Q131" s="555"/>
      <c r="R131" s="555"/>
      <c r="S131" s="555"/>
      <c r="T131" s="556"/>
    </row>
    <row r="132" spans="1:20" ht="15" customHeight="1">
      <c r="A132" s="285">
        <v>132</v>
      </c>
      <c r="B132" s="544">
        <v>111</v>
      </c>
      <c r="C132" s="545" t="s">
        <v>68</v>
      </c>
      <c r="D132" s="549" t="s">
        <v>156</v>
      </c>
      <c r="E132" s="539">
        <f>VLOOKUP(B132,'2-Kosten per locatie'!$A$13:$C$87,3,FALSE)</f>
        <v>2</v>
      </c>
      <c r="F132" s="550"/>
      <c r="G132" s="551" t="s">
        <v>359</v>
      </c>
      <c r="H132" s="552"/>
      <c r="I132" s="551" t="s">
        <v>171</v>
      </c>
      <c r="J132" s="553">
        <f>3.7*3.7</f>
        <v>13.690000000000001</v>
      </c>
      <c r="K132" s="554"/>
      <c r="L132" s="554"/>
      <c r="M132" s="554"/>
      <c r="N132" s="554"/>
      <c r="O132" s="554">
        <f>3.7*3.7*3</f>
        <v>41.070000000000007</v>
      </c>
      <c r="P132" s="555"/>
      <c r="Q132" s="555">
        <f>J132</f>
        <v>13.690000000000001</v>
      </c>
      <c r="R132" s="555"/>
      <c r="S132" s="555"/>
      <c r="T132" s="556"/>
    </row>
    <row r="133" spans="1:20" ht="15" customHeight="1">
      <c r="A133" s="286">
        <v>133</v>
      </c>
      <c r="B133" s="544">
        <v>112</v>
      </c>
      <c r="C133" s="545" t="s">
        <v>69</v>
      </c>
      <c r="D133" s="549" t="s">
        <v>156</v>
      </c>
      <c r="E133" s="539">
        <f>VLOOKUP(B133,'2-Kosten per locatie'!$A$13:$C$87,3,FALSE)</f>
        <v>2</v>
      </c>
      <c r="F133" s="550"/>
      <c r="G133" s="551" t="s">
        <v>360</v>
      </c>
      <c r="H133" s="552" t="s">
        <v>334</v>
      </c>
      <c r="I133" s="551" t="s">
        <v>171</v>
      </c>
      <c r="J133" s="553">
        <v>32</v>
      </c>
      <c r="K133" s="554"/>
      <c r="L133" s="554"/>
      <c r="M133" s="554"/>
      <c r="N133" s="554"/>
      <c r="O133" s="554">
        <v>54</v>
      </c>
      <c r="P133" s="555"/>
      <c r="Q133" s="555"/>
      <c r="R133" s="555">
        <v>13.1</v>
      </c>
      <c r="S133" s="555"/>
      <c r="T133" s="556" t="s">
        <v>292</v>
      </c>
    </row>
    <row r="134" spans="1:20" ht="15" customHeight="1">
      <c r="A134" s="286">
        <v>134</v>
      </c>
      <c r="B134" s="544">
        <v>112</v>
      </c>
      <c r="C134" s="545" t="s">
        <v>69</v>
      </c>
      <c r="D134" s="549" t="s">
        <v>156</v>
      </c>
      <c r="E134" s="539">
        <f>VLOOKUP(B134,'2-Kosten per locatie'!$A$13:$C$87,3,FALSE)</f>
        <v>2</v>
      </c>
      <c r="F134" s="550"/>
      <c r="G134" s="551" t="s">
        <v>360</v>
      </c>
      <c r="H134" s="552" t="s">
        <v>336</v>
      </c>
      <c r="I134" s="551" t="s">
        <v>171</v>
      </c>
      <c r="J134" s="553">
        <v>27.08</v>
      </c>
      <c r="K134" s="554"/>
      <c r="L134" s="554"/>
      <c r="M134" s="554"/>
      <c r="N134" s="554"/>
      <c r="O134" s="554">
        <v>44</v>
      </c>
      <c r="P134" s="555"/>
      <c r="Q134" s="555"/>
      <c r="R134" s="555">
        <v>13.1</v>
      </c>
      <c r="S134" s="555"/>
      <c r="T134" s="556" t="s">
        <v>102</v>
      </c>
    </row>
    <row r="135" spans="1:20" ht="15" customHeight="1">
      <c r="A135" s="285">
        <v>135</v>
      </c>
      <c r="B135" s="544">
        <v>112</v>
      </c>
      <c r="C135" s="545" t="s">
        <v>69</v>
      </c>
      <c r="D135" s="549" t="s">
        <v>156</v>
      </c>
      <c r="E135" s="539">
        <f>VLOOKUP(B135,'2-Kosten per locatie'!$A$13:$C$87,3,FALSE)</f>
        <v>2</v>
      </c>
      <c r="F135" s="550"/>
      <c r="G135" s="551" t="s">
        <v>187</v>
      </c>
      <c r="H135" s="552" t="s">
        <v>188</v>
      </c>
      <c r="I135" s="551" t="s">
        <v>159</v>
      </c>
      <c r="J135" s="553">
        <v>181.72</v>
      </c>
      <c r="K135" s="554"/>
      <c r="L135" s="554"/>
      <c r="M135" s="554"/>
      <c r="N135" s="554">
        <v>20</v>
      </c>
      <c r="O135" s="554">
        <v>590</v>
      </c>
      <c r="P135" s="555"/>
      <c r="Q135" s="555"/>
      <c r="R135" s="555"/>
      <c r="S135" s="555"/>
      <c r="T135" s="556"/>
    </row>
    <row r="136" spans="1:20" ht="15" customHeight="1">
      <c r="A136" s="286">
        <v>136</v>
      </c>
      <c r="B136" s="544">
        <v>112</v>
      </c>
      <c r="C136" s="545" t="s">
        <v>69</v>
      </c>
      <c r="D136" s="549" t="s">
        <v>156</v>
      </c>
      <c r="E136" s="539">
        <f>VLOOKUP(B136,'2-Kosten per locatie'!$A$13:$C$87,3,FALSE)</f>
        <v>2</v>
      </c>
      <c r="F136" s="550"/>
      <c r="G136" s="551" t="s">
        <v>187</v>
      </c>
      <c r="H136" s="552" t="s">
        <v>299</v>
      </c>
      <c r="I136" s="551" t="s">
        <v>159</v>
      </c>
      <c r="J136" s="553">
        <v>149.87</v>
      </c>
      <c r="K136" s="554"/>
      <c r="L136" s="554"/>
      <c r="M136" s="554"/>
      <c r="N136" s="554">
        <v>20</v>
      </c>
      <c r="O136" s="554">
        <v>593</v>
      </c>
      <c r="P136" s="555"/>
      <c r="Q136" s="555"/>
      <c r="R136" s="555"/>
      <c r="S136" s="555"/>
      <c r="T136" s="556"/>
    </row>
    <row r="137" spans="1:20" ht="15" customHeight="1">
      <c r="A137" s="285">
        <v>137</v>
      </c>
      <c r="B137" s="544">
        <v>112</v>
      </c>
      <c r="C137" s="545" t="s">
        <v>69</v>
      </c>
      <c r="D137" s="549" t="s">
        <v>156</v>
      </c>
      <c r="E137" s="539">
        <f>VLOOKUP(B137,'2-Kosten per locatie'!$A$13:$C$87,3,FALSE)</f>
        <v>2</v>
      </c>
      <c r="F137" s="550"/>
      <c r="G137" s="551" t="s">
        <v>361</v>
      </c>
      <c r="H137" s="552" t="s">
        <v>191</v>
      </c>
      <c r="I137" s="551" t="s">
        <v>159</v>
      </c>
      <c r="J137" s="553">
        <v>7.4</v>
      </c>
      <c r="K137" s="554"/>
      <c r="L137" s="554"/>
      <c r="M137" s="554"/>
      <c r="N137" s="554"/>
      <c r="O137" s="554">
        <f>31.7-5*1.9</f>
        <v>22.2</v>
      </c>
      <c r="P137" s="555"/>
      <c r="Q137" s="555">
        <f>J137</f>
        <v>7.4</v>
      </c>
      <c r="R137" s="555"/>
      <c r="S137" s="555"/>
      <c r="T137" s="556"/>
    </row>
    <row r="138" spans="1:20" ht="15" customHeight="1">
      <c r="A138" s="286">
        <v>138</v>
      </c>
      <c r="B138" s="544">
        <v>112</v>
      </c>
      <c r="C138" s="545" t="s">
        <v>69</v>
      </c>
      <c r="D138" s="549" t="s">
        <v>156</v>
      </c>
      <c r="E138" s="539">
        <f>VLOOKUP(B138,'2-Kosten per locatie'!$A$13:$C$87,3,FALSE)</f>
        <v>2</v>
      </c>
      <c r="F138" s="550"/>
      <c r="G138" s="551" t="s">
        <v>301</v>
      </c>
      <c r="H138" s="552" t="s">
        <v>192</v>
      </c>
      <c r="I138" s="551" t="s">
        <v>159</v>
      </c>
      <c r="J138" s="553">
        <v>3.9</v>
      </c>
      <c r="K138" s="554"/>
      <c r="L138" s="554"/>
      <c r="M138" s="554">
        <f>22.8-3*2.4-1.9</f>
        <v>13.700000000000001</v>
      </c>
      <c r="N138" s="554"/>
      <c r="O138" s="554"/>
      <c r="P138" s="555">
        <f>J138</f>
        <v>3.9</v>
      </c>
      <c r="Q138" s="555"/>
      <c r="R138" s="555"/>
      <c r="S138" s="555"/>
      <c r="T138" s="556" t="s">
        <v>102</v>
      </c>
    </row>
    <row r="139" spans="1:20" ht="15" customHeight="1">
      <c r="A139" s="285">
        <v>139</v>
      </c>
      <c r="B139" s="544">
        <v>112</v>
      </c>
      <c r="C139" s="545" t="s">
        <v>69</v>
      </c>
      <c r="D139" s="549" t="s">
        <v>156</v>
      </c>
      <c r="E139" s="539">
        <f>VLOOKUP(B139,'2-Kosten per locatie'!$A$13:$C$87,3,FALSE)</f>
        <v>2</v>
      </c>
      <c r="F139" s="550"/>
      <c r="G139" s="551" t="s">
        <v>193</v>
      </c>
      <c r="H139" s="552" t="s">
        <v>194</v>
      </c>
      <c r="I139" s="551" t="s">
        <v>171</v>
      </c>
      <c r="J139" s="553">
        <v>5</v>
      </c>
      <c r="K139" s="554"/>
      <c r="L139" s="554"/>
      <c r="M139" s="554">
        <v>76</v>
      </c>
      <c r="N139" s="554"/>
      <c r="O139" s="554">
        <f>21.4-3*1.9</f>
        <v>15.7</v>
      </c>
      <c r="P139" s="555">
        <f>J139</f>
        <v>5</v>
      </c>
      <c r="Q139" s="555"/>
      <c r="R139" s="555"/>
      <c r="S139" s="555"/>
      <c r="T139" s="556"/>
    </row>
    <row r="140" spans="1:20" ht="15" customHeight="1">
      <c r="A140" s="286">
        <v>140</v>
      </c>
      <c r="B140" s="544">
        <v>112</v>
      </c>
      <c r="C140" s="545" t="s">
        <v>69</v>
      </c>
      <c r="D140" s="549" t="s">
        <v>156</v>
      </c>
      <c r="E140" s="539">
        <f>VLOOKUP(B140,'2-Kosten per locatie'!$A$13:$C$87,3,FALSE)</f>
        <v>2</v>
      </c>
      <c r="F140" s="550"/>
      <c r="G140" s="551" t="s">
        <v>362</v>
      </c>
      <c r="H140" s="552" t="s">
        <v>196</v>
      </c>
      <c r="I140" s="551" t="s">
        <v>171</v>
      </c>
      <c r="J140" s="553">
        <v>8.6999999999999993</v>
      </c>
      <c r="K140" s="554"/>
      <c r="L140" s="554"/>
      <c r="M140" s="554"/>
      <c r="N140" s="554"/>
      <c r="O140" s="554">
        <f>40.3-3*1.9</f>
        <v>34.599999999999994</v>
      </c>
      <c r="P140" s="555"/>
      <c r="Q140" s="555">
        <f>J140</f>
        <v>8.6999999999999993</v>
      </c>
      <c r="R140" s="555"/>
      <c r="S140" s="555"/>
      <c r="T140" s="556"/>
    </row>
    <row r="141" spans="1:20" ht="15" customHeight="1">
      <c r="A141" s="286">
        <v>141</v>
      </c>
      <c r="B141" s="544">
        <v>112</v>
      </c>
      <c r="C141" s="545" t="s">
        <v>69</v>
      </c>
      <c r="D141" s="549" t="s">
        <v>156</v>
      </c>
      <c r="E141" s="539">
        <f>VLOOKUP(B141,'2-Kosten per locatie'!$A$13:$C$87,3,FALSE)</f>
        <v>2</v>
      </c>
      <c r="F141" s="550"/>
      <c r="G141" s="551" t="s">
        <v>363</v>
      </c>
      <c r="H141" s="552" t="s">
        <v>364</v>
      </c>
      <c r="I141" s="551" t="s">
        <v>365</v>
      </c>
      <c r="J141" s="553">
        <v>15.9</v>
      </c>
      <c r="K141" s="554"/>
      <c r="L141" s="554"/>
      <c r="M141" s="554"/>
      <c r="N141" s="554"/>
      <c r="O141" s="554">
        <f>52.8-2*1.9</f>
        <v>49</v>
      </c>
      <c r="P141" s="555">
        <f>J141</f>
        <v>15.9</v>
      </c>
      <c r="Q141" s="555"/>
      <c r="R141" s="555"/>
      <c r="S141" s="555"/>
      <c r="T141" s="556"/>
    </row>
    <row r="142" spans="1:20" ht="15" customHeight="1">
      <c r="A142" s="285">
        <v>142</v>
      </c>
      <c r="B142" s="544">
        <v>112</v>
      </c>
      <c r="C142" s="545" t="s">
        <v>69</v>
      </c>
      <c r="D142" s="549" t="s">
        <v>156</v>
      </c>
      <c r="E142" s="539">
        <f>VLOOKUP(B142,'2-Kosten per locatie'!$A$13:$C$87,3,FALSE)</f>
        <v>2</v>
      </c>
      <c r="F142" s="550"/>
      <c r="G142" s="551" t="s">
        <v>195</v>
      </c>
      <c r="H142" s="552" t="s">
        <v>366</v>
      </c>
      <c r="I142" s="551" t="s">
        <v>367</v>
      </c>
      <c r="J142" s="553">
        <v>22.6</v>
      </c>
      <c r="K142" s="554"/>
      <c r="L142" s="554"/>
      <c r="M142" s="554"/>
      <c r="N142" s="554"/>
      <c r="O142" s="554">
        <f>66.1-1.9</f>
        <v>64.199999999999989</v>
      </c>
      <c r="P142" s="555"/>
      <c r="Q142" s="555">
        <f>J142</f>
        <v>22.6</v>
      </c>
      <c r="R142" s="555"/>
      <c r="S142" s="555"/>
      <c r="T142" s="556"/>
    </row>
    <row r="143" spans="1:20" ht="15" customHeight="1">
      <c r="A143" s="286">
        <v>143</v>
      </c>
      <c r="B143" s="544">
        <v>112</v>
      </c>
      <c r="C143" s="545" t="s">
        <v>69</v>
      </c>
      <c r="D143" s="549" t="s">
        <v>156</v>
      </c>
      <c r="E143" s="539">
        <f>VLOOKUP(B143,'2-Kosten per locatie'!$A$13:$C$87,3,FALSE)</f>
        <v>2</v>
      </c>
      <c r="F143" s="550"/>
      <c r="G143" s="551" t="s">
        <v>303</v>
      </c>
      <c r="H143" s="552" t="s">
        <v>198</v>
      </c>
      <c r="I143" s="551" t="s">
        <v>171</v>
      </c>
      <c r="J143" s="553">
        <v>6.8</v>
      </c>
      <c r="K143" s="554"/>
      <c r="L143" s="554"/>
      <c r="M143" s="554">
        <f>30.8-1.9</f>
        <v>28.900000000000002</v>
      </c>
      <c r="N143" s="554"/>
      <c r="O143" s="554"/>
      <c r="P143" s="555"/>
      <c r="Q143" s="555">
        <f>J143</f>
        <v>6.8</v>
      </c>
      <c r="R143" s="555"/>
      <c r="S143" s="555"/>
      <c r="T143" s="556"/>
    </row>
    <row r="144" spans="1:20" ht="15" customHeight="1">
      <c r="A144" s="285">
        <v>144</v>
      </c>
      <c r="B144" s="544">
        <v>112</v>
      </c>
      <c r="C144" s="545" t="s">
        <v>69</v>
      </c>
      <c r="D144" s="549" t="s">
        <v>156</v>
      </c>
      <c r="E144" s="539">
        <f>VLOOKUP(B144,'2-Kosten per locatie'!$A$13:$C$87,3,FALSE)</f>
        <v>2</v>
      </c>
      <c r="F144" s="550"/>
      <c r="G144" s="551" t="s">
        <v>197</v>
      </c>
      <c r="H144" s="552" t="s">
        <v>306</v>
      </c>
      <c r="I144" s="551" t="s">
        <v>171</v>
      </c>
      <c r="J144" s="553">
        <v>13</v>
      </c>
      <c r="K144" s="554"/>
      <c r="L144" s="554"/>
      <c r="M144" s="554">
        <f>44-12.4</f>
        <v>31.6</v>
      </c>
      <c r="N144" s="554"/>
      <c r="O144" s="554"/>
      <c r="P144" s="555">
        <f>J144</f>
        <v>13</v>
      </c>
      <c r="Q144" s="555"/>
      <c r="R144" s="555"/>
      <c r="S144" s="555"/>
      <c r="T144" s="556"/>
    </row>
    <row r="145" spans="1:20" ht="15" customHeight="1">
      <c r="A145" s="286">
        <v>145</v>
      </c>
      <c r="B145" s="544">
        <v>112</v>
      </c>
      <c r="C145" s="545" t="s">
        <v>69</v>
      </c>
      <c r="D145" s="549" t="s">
        <v>156</v>
      </c>
      <c r="E145" s="539">
        <f>VLOOKUP(B145,'2-Kosten per locatie'!$A$13:$C$87,3,FALSE)</f>
        <v>2</v>
      </c>
      <c r="F145" s="550"/>
      <c r="G145" s="551" t="s">
        <v>197</v>
      </c>
      <c r="H145" s="552" t="s">
        <v>308</v>
      </c>
      <c r="I145" s="551" t="s">
        <v>171</v>
      </c>
      <c r="J145" s="553">
        <v>9.6</v>
      </c>
      <c r="K145" s="554"/>
      <c r="L145" s="554"/>
      <c r="M145" s="554">
        <f>30.5-1.9</f>
        <v>28.6</v>
      </c>
      <c r="N145" s="554"/>
      <c r="O145" s="554">
        <v>15.3</v>
      </c>
      <c r="P145" s="555">
        <f>J145</f>
        <v>9.6</v>
      </c>
      <c r="Q145" s="555"/>
      <c r="R145" s="555"/>
      <c r="S145" s="555"/>
      <c r="T145" s="556"/>
    </row>
    <row r="146" spans="1:20" ht="15" customHeight="1">
      <c r="A146" s="285">
        <v>146</v>
      </c>
      <c r="B146" s="544">
        <v>112</v>
      </c>
      <c r="C146" s="545" t="s">
        <v>69</v>
      </c>
      <c r="D146" s="549" t="s">
        <v>156</v>
      </c>
      <c r="E146" s="539">
        <f>VLOOKUP(B146,'2-Kosten per locatie'!$A$13:$C$87,3,FALSE)</f>
        <v>2</v>
      </c>
      <c r="F146" s="550"/>
      <c r="G146" s="551" t="s">
        <v>199</v>
      </c>
      <c r="H146" s="552" t="s">
        <v>200</v>
      </c>
      <c r="I146" s="551" t="s">
        <v>171</v>
      </c>
      <c r="J146" s="553">
        <v>10.6</v>
      </c>
      <c r="K146" s="554"/>
      <c r="L146" s="554"/>
      <c r="M146" s="554">
        <f>37.3-2.4</f>
        <v>34.9</v>
      </c>
      <c r="N146" s="554"/>
      <c r="O146" s="554"/>
      <c r="P146" s="555">
        <f>J146</f>
        <v>10.6</v>
      </c>
      <c r="Q146" s="555"/>
      <c r="R146" s="555"/>
      <c r="S146" s="555"/>
      <c r="T146" s="556"/>
    </row>
    <row r="147" spans="1:20" ht="15" customHeight="1">
      <c r="A147" s="286">
        <v>147</v>
      </c>
      <c r="B147" s="544">
        <v>112</v>
      </c>
      <c r="C147" s="545" t="s">
        <v>69</v>
      </c>
      <c r="D147" s="549" t="s">
        <v>156</v>
      </c>
      <c r="E147" s="539">
        <f>VLOOKUP(B147,'2-Kosten per locatie'!$A$13:$C$87,3,FALSE)</f>
        <v>2</v>
      </c>
      <c r="F147" s="550"/>
      <c r="G147" s="551" t="s">
        <v>239</v>
      </c>
      <c r="H147" s="552" t="s">
        <v>202</v>
      </c>
      <c r="I147" s="551" t="s">
        <v>171</v>
      </c>
      <c r="J147" s="553">
        <v>4</v>
      </c>
      <c r="K147" s="554"/>
      <c r="L147" s="554"/>
      <c r="M147" s="554"/>
      <c r="N147" s="554"/>
      <c r="O147" s="554">
        <v>23</v>
      </c>
      <c r="P147" s="555">
        <f>J147</f>
        <v>4</v>
      </c>
      <c r="Q147" s="555"/>
      <c r="R147" s="555"/>
      <c r="S147" s="555"/>
      <c r="T147" s="556"/>
    </row>
    <row r="148" spans="1:20" ht="15" customHeight="1">
      <c r="A148" s="286">
        <v>148</v>
      </c>
      <c r="B148" s="544">
        <v>112</v>
      </c>
      <c r="C148" s="545" t="s">
        <v>69</v>
      </c>
      <c r="D148" s="549" t="s">
        <v>156</v>
      </c>
      <c r="E148" s="539">
        <f>VLOOKUP(B148,'2-Kosten per locatie'!$A$13:$C$87,3,FALSE)</f>
        <v>2</v>
      </c>
      <c r="F148" s="550"/>
      <c r="G148" s="551" t="s">
        <v>237</v>
      </c>
      <c r="H148" s="552" t="s">
        <v>309</v>
      </c>
      <c r="I148" s="551" t="s">
        <v>171</v>
      </c>
      <c r="J148" s="553">
        <v>14.1</v>
      </c>
      <c r="K148" s="554"/>
      <c r="L148" s="554"/>
      <c r="M148" s="554"/>
      <c r="N148" s="554"/>
      <c r="O148" s="554">
        <f>23-1.9</f>
        <v>21.1</v>
      </c>
      <c r="P148" s="555"/>
      <c r="Q148" s="555">
        <f>J148</f>
        <v>14.1</v>
      </c>
      <c r="R148" s="555"/>
      <c r="S148" s="555"/>
      <c r="T148" s="556"/>
    </row>
    <row r="149" spans="1:20" ht="15" customHeight="1">
      <c r="A149" s="285">
        <v>149</v>
      </c>
      <c r="B149" s="544">
        <v>112</v>
      </c>
      <c r="C149" s="545" t="s">
        <v>69</v>
      </c>
      <c r="D149" s="549" t="s">
        <v>156</v>
      </c>
      <c r="E149" s="539">
        <f>VLOOKUP(B149,'2-Kosten per locatie'!$A$13:$C$87,3,FALSE)</f>
        <v>2</v>
      </c>
      <c r="F149" s="550"/>
      <c r="G149" s="551" t="s">
        <v>212</v>
      </c>
      <c r="H149" s="552" t="s">
        <v>368</v>
      </c>
      <c r="I149" s="551" t="s">
        <v>171</v>
      </c>
      <c r="J149" s="553">
        <v>6.24</v>
      </c>
      <c r="K149" s="554"/>
      <c r="L149" s="554"/>
      <c r="M149" s="554">
        <f>13-1.9</f>
        <v>11.1</v>
      </c>
      <c r="N149" s="554"/>
      <c r="O149" s="554"/>
      <c r="P149" s="555">
        <f>J149</f>
        <v>6.24</v>
      </c>
      <c r="Q149" s="555"/>
      <c r="R149" s="555"/>
      <c r="S149" s="555"/>
      <c r="T149" s="556"/>
    </row>
    <row r="150" spans="1:20" ht="15" customHeight="1">
      <c r="A150" s="286">
        <v>150</v>
      </c>
      <c r="B150" s="544">
        <v>112</v>
      </c>
      <c r="C150" s="545" t="s">
        <v>69</v>
      </c>
      <c r="D150" s="549" t="s">
        <v>156</v>
      </c>
      <c r="E150" s="539">
        <f>VLOOKUP(B150,'2-Kosten per locatie'!$A$13:$C$87,3,FALSE)</f>
        <v>2</v>
      </c>
      <c r="F150" s="550"/>
      <c r="G150" s="551" t="s">
        <v>246</v>
      </c>
      <c r="H150" s="552" t="s">
        <v>311</v>
      </c>
      <c r="I150" s="551" t="s">
        <v>245</v>
      </c>
      <c r="J150" s="553">
        <v>2.6</v>
      </c>
      <c r="K150" s="554">
        <f>21.6-3*1.9</f>
        <v>15.900000000000002</v>
      </c>
      <c r="L150" s="554"/>
      <c r="M150" s="554"/>
      <c r="N150" s="554"/>
      <c r="O150" s="554"/>
      <c r="P150" s="555"/>
      <c r="Q150" s="555"/>
      <c r="R150" s="555">
        <f>J150</f>
        <v>2.6</v>
      </c>
      <c r="S150" s="555"/>
      <c r="T150" s="556"/>
    </row>
    <row r="151" spans="1:20" ht="15" customHeight="1">
      <c r="A151" s="285">
        <v>151</v>
      </c>
      <c r="B151" s="544">
        <v>112</v>
      </c>
      <c r="C151" s="545" t="s">
        <v>69</v>
      </c>
      <c r="D151" s="549" t="s">
        <v>156</v>
      </c>
      <c r="E151" s="539">
        <f>VLOOKUP(B151,'2-Kosten per locatie'!$A$13:$C$87,3,FALSE)</f>
        <v>2</v>
      </c>
      <c r="F151" s="550"/>
      <c r="G151" s="551" t="s">
        <v>243</v>
      </c>
      <c r="H151" s="552" t="s">
        <v>312</v>
      </c>
      <c r="I151" s="551" t="s">
        <v>245</v>
      </c>
      <c r="J151" s="553">
        <v>2.6</v>
      </c>
      <c r="K151" s="554">
        <f>21.6-3*1.9</f>
        <v>15.900000000000002</v>
      </c>
      <c r="L151" s="554"/>
      <c r="M151" s="554"/>
      <c r="N151" s="554"/>
      <c r="O151" s="554"/>
      <c r="P151" s="555"/>
      <c r="Q151" s="555"/>
      <c r="R151" s="555">
        <f>J151</f>
        <v>2.6</v>
      </c>
      <c r="S151" s="555"/>
      <c r="T151" s="556"/>
    </row>
    <row r="152" spans="1:20" ht="15" customHeight="1">
      <c r="A152" s="286">
        <v>152</v>
      </c>
      <c r="B152" s="544">
        <v>112</v>
      </c>
      <c r="C152" s="545" t="s">
        <v>69</v>
      </c>
      <c r="D152" s="549" t="s">
        <v>156</v>
      </c>
      <c r="E152" s="539">
        <f>VLOOKUP(B152,'2-Kosten per locatie'!$A$13:$C$87,3,FALSE)</f>
        <v>2</v>
      </c>
      <c r="F152" s="550"/>
      <c r="G152" s="551" t="s">
        <v>369</v>
      </c>
      <c r="H152" s="552" t="s">
        <v>259</v>
      </c>
      <c r="I152" s="551" t="s">
        <v>171</v>
      </c>
      <c r="J152" s="553">
        <v>2</v>
      </c>
      <c r="K152" s="554"/>
      <c r="L152" s="554"/>
      <c r="M152" s="554"/>
      <c r="N152" s="554">
        <v>3.2</v>
      </c>
      <c r="O152" s="554">
        <v>13</v>
      </c>
      <c r="P152" s="555"/>
      <c r="Q152" s="555">
        <f>J152</f>
        <v>2</v>
      </c>
      <c r="R152" s="555"/>
      <c r="S152" s="555"/>
      <c r="T152" s="556"/>
    </row>
    <row r="153" spans="1:20" ht="15" customHeight="1">
      <c r="A153" s="285">
        <v>153</v>
      </c>
      <c r="B153" s="544">
        <v>112</v>
      </c>
      <c r="C153" s="545" t="s">
        <v>69</v>
      </c>
      <c r="D153" s="549" t="s">
        <v>156</v>
      </c>
      <c r="E153" s="539">
        <f>VLOOKUP(B153,'2-Kosten per locatie'!$A$13:$C$87,3,FALSE)</f>
        <v>2</v>
      </c>
      <c r="F153" s="550"/>
      <c r="G153" s="551" t="s">
        <v>369</v>
      </c>
      <c r="H153" s="552" t="s">
        <v>261</v>
      </c>
      <c r="I153" s="551" t="s">
        <v>171</v>
      </c>
      <c r="J153" s="553">
        <v>2</v>
      </c>
      <c r="K153" s="554"/>
      <c r="L153" s="554"/>
      <c r="M153" s="554"/>
      <c r="N153" s="554">
        <v>3.2</v>
      </c>
      <c r="O153" s="554">
        <v>13</v>
      </c>
      <c r="P153" s="555"/>
      <c r="Q153" s="555">
        <f>J153</f>
        <v>2</v>
      </c>
      <c r="R153" s="555"/>
      <c r="S153" s="555"/>
      <c r="T153" s="556"/>
    </row>
    <row r="154" spans="1:20" ht="15" customHeight="1">
      <c r="A154" s="286">
        <v>154</v>
      </c>
      <c r="B154" s="544">
        <v>112</v>
      </c>
      <c r="C154" s="545" t="s">
        <v>69</v>
      </c>
      <c r="D154" s="549" t="s">
        <v>156</v>
      </c>
      <c r="E154" s="539">
        <f>VLOOKUP(B154,'2-Kosten per locatie'!$A$13:$C$87,3,FALSE)</f>
        <v>2</v>
      </c>
      <c r="F154" s="550"/>
      <c r="G154" s="551" t="s">
        <v>370</v>
      </c>
      <c r="H154" s="552" t="s">
        <v>263</v>
      </c>
      <c r="I154" s="551" t="s">
        <v>159</v>
      </c>
      <c r="J154" s="553">
        <v>5.8</v>
      </c>
      <c r="K154" s="554"/>
      <c r="L154" s="554"/>
      <c r="M154" s="554"/>
      <c r="N154" s="554"/>
      <c r="O154" s="554">
        <v>17</v>
      </c>
      <c r="P154" s="555"/>
      <c r="Q154" s="555">
        <f>J154</f>
        <v>5.8</v>
      </c>
      <c r="R154" s="555"/>
      <c r="S154" s="555"/>
      <c r="T154" s="556"/>
    </row>
    <row r="155" spans="1:20" ht="15" customHeight="1">
      <c r="A155" s="286">
        <v>155</v>
      </c>
      <c r="B155" s="544">
        <v>112</v>
      </c>
      <c r="C155" s="545" t="s">
        <v>69</v>
      </c>
      <c r="D155" s="549" t="s">
        <v>156</v>
      </c>
      <c r="E155" s="539">
        <f>VLOOKUP(B155,'2-Kosten per locatie'!$A$13:$C$87,3,FALSE)</f>
        <v>2</v>
      </c>
      <c r="F155" s="550"/>
      <c r="G155" s="551" t="s">
        <v>371</v>
      </c>
      <c r="H155" s="552" t="s">
        <v>371</v>
      </c>
      <c r="I155" s="551" t="s">
        <v>317</v>
      </c>
      <c r="J155" s="553">
        <v>2.8</v>
      </c>
      <c r="K155" s="554"/>
      <c r="L155" s="554"/>
      <c r="M155" s="554"/>
      <c r="N155" s="554">
        <v>3.5</v>
      </c>
      <c r="O155" s="554"/>
      <c r="P155" s="555"/>
      <c r="Q155" s="555"/>
      <c r="R155" s="555">
        <f>J155</f>
        <v>2.8</v>
      </c>
      <c r="S155" s="555"/>
      <c r="T155" s="556" t="s">
        <v>318</v>
      </c>
    </row>
    <row r="156" spans="1:20" ht="15" customHeight="1">
      <c r="A156" s="285">
        <v>156</v>
      </c>
      <c r="B156" s="544">
        <v>112</v>
      </c>
      <c r="C156" s="545" t="s">
        <v>69</v>
      </c>
      <c r="D156" s="549" t="s">
        <v>156</v>
      </c>
      <c r="E156" s="539">
        <f>VLOOKUP(B156,'2-Kosten per locatie'!$A$13:$C$87,3,FALSE)</f>
        <v>2</v>
      </c>
      <c r="F156" s="550"/>
      <c r="G156" s="551" t="s">
        <v>372</v>
      </c>
      <c r="H156" s="552" t="s">
        <v>319</v>
      </c>
      <c r="I156" s="551" t="s">
        <v>214</v>
      </c>
      <c r="J156" s="553">
        <v>5.8</v>
      </c>
      <c r="K156" s="554"/>
      <c r="L156" s="554"/>
      <c r="M156" s="554">
        <v>25.3</v>
      </c>
      <c r="N156" s="554"/>
      <c r="O156" s="554"/>
      <c r="P156" s="555">
        <f>J156</f>
        <v>5.8</v>
      </c>
      <c r="Q156" s="555"/>
      <c r="R156" s="555"/>
      <c r="S156" s="555"/>
      <c r="T156" s="556"/>
    </row>
    <row r="157" spans="1:20" ht="15" customHeight="1">
      <c r="A157" s="286">
        <v>157</v>
      </c>
      <c r="B157" s="544">
        <v>112</v>
      </c>
      <c r="C157" s="545" t="s">
        <v>69</v>
      </c>
      <c r="D157" s="549" t="s">
        <v>156</v>
      </c>
      <c r="E157" s="539">
        <f>VLOOKUP(B157,'2-Kosten per locatie'!$A$13:$C$87,3,FALSE)</f>
        <v>2</v>
      </c>
      <c r="F157" s="550"/>
      <c r="G157" s="551" t="s">
        <v>373</v>
      </c>
      <c r="H157" s="552" t="s">
        <v>321</v>
      </c>
      <c r="I157" s="551" t="s">
        <v>214</v>
      </c>
      <c r="J157" s="553">
        <v>3.97</v>
      </c>
      <c r="K157" s="554"/>
      <c r="L157" s="554"/>
      <c r="M157" s="554"/>
      <c r="N157" s="554"/>
      <c r="O157" s="554"/>
      <c r="P157" s="555"/>
      <c r="Q157" s="555"/>
      <c r="R157" s="555"/>
      <c r="S157" s="555"/>
      <c r="T157" s="556" t="s">
        <v>374</v>
      </c>
    </row>
    <row r="158" spans="1:20" ht="15" customHeight="1">
      <c r="A158" s="285">
        <v>158</v>
      </c>
      <c r="B158" s="544">
        <v>112</v>
      </c>
      <c r="C158" s="545" t="s">
        <v>69</v>
      </c>
      <c r="D158" s="549" t="s">
        <v>156</v>
      </c>
      <c r="E158" s="539">
        <f>VLOOKUP(B158,'2-Kosten per locatie'!$A$13:$C$87,3,FALSE)</f>
        <v>2</v>
      </c>
      <c r="F158" s="550"/>
      <c r="G158" s="551" t="s">
        <v>375</v>
      </c>
      <c r="H158" s="552" t="s">
        <v>326</v>
      </c>
      <c r="I158" s="551" t="s">
        <v>171</v>
      </c>
      <c r="J158" s="553">
        <v>10.4</v>
      </c>
      <c r="K158" s="554"/>
      <c r="L158" s="554"/>
      <c r="M158" s="554">
        <f>41.1-2.4</f>
        <v>38.700000000000003</v>
      </c>
      <c r="N158" s="554"/>
      <c r="O158" s="554"/>
      <c r="P158" s="555">
        <f>J158</f>
        <v>10.4</v>
      </c>
      <c r="Q158" s="555"/>
      <c r="R158" s="555"/>
      <c r="S158" s="555"/>
      <c r="T158" s="556" t="s">
        <v>327</v>
      </c>
    </row>
    <row r="159" spans="1:20" ht="15" customHeight="1">
      <c r="A159" s="286">
        <v>159</v>
      </c>
      <c r="B159" s="544">
        <v>112</v>
      </c>
      <c r="C159" s="545" t="s">
        <v>69</v>
      </c>
      <c r="D159" s="549" t="s">
        <v>156</v>
      </c>
      <c r="E159" s="539">
        <f>VLOOKUP(B159,'2-Kosten per locatie'!$A$13:$C$87,3,FALSE)</f>
        <v>2</v>
      </c>
      <c r="F159" s="550"/>
      <c r="G159" s="551" t="s">
        <v>248</v>
      </c>
      <c r="H159" s="552" t="s">
        <v>213</v>
      </c>
      <c r="I159" s="551" t="s">
        <v>171</v>
      </c>
      <c r="J159" s="553">
        <v>20.7</v>
      </c>
      <c r="K159" s="554"/>
      <c r="L159" s="554"/>
      <c r="M159" s="554">
        <v>50.6</v>
      </c>
      <c r="N159" s="554"/>
      <c r="O159" s="554"/>
      <c r="P159" s="555">
        <f>J159</f>
        <v>20.7</v>
      </c>
      <c r="Q159" s="555"/>
      <c r="R159" s="555"/>
      <c r="S159" s="555"/>
      <c r="T159" s="556"/>
    </row>
    <row r="160" spans="1:20" ht="15" customHeight="1">
      <c r="A160" s="285">
        <v>160</v>
      </c>
      <c r="B160" s="544">
        <v>112</v>
      </c>
      <c r="C160" s="545" t="s">
        <v>69</v>
      </c>
      <c r="D160" s="549" t="s">
        <v>156</v>
      </c>
      <c r="E160" s="539">
        <f>VLOOKUP(B160,'2-Kosten per locatie'!$A$13:$C$87,3,FALSE)</f>
        <v>2</v>
      </c>
      <c r="F160" s="550"/>
      <c r="G160" s="551" t="s">
        <v>376</v>
      </c>
      <c r="H160" s="552" t="s">
        <v>221</v>
      </c>
      <c r="I160" s="551" t="s">
        <v>162</v>
      </c>
      <c r="J160" s="553">
        <v>18.2</v>
      </c>
      <c r="K160" s="554">
        <v>2.8</v>
      </c>
      <c r="L160" s="554"/>
      <c r="M160" s="554"/>
      <c r="N160" s="554"/>
      <c r="O160" s="554">
        <f>43.6+4.8</f>
        <v>48.4</v>
      </c>
      <c r="P160" s="555"/>
      <c r="Q160" s="555">
        <f>J160</f>
        <v>18.2</v>
      </c>
      <c r="R160" s="555"/>
      <c r="S160" s="555"/>
      <c r="T160" s="556"/>
    </row>
    <row r="161" spans="1:20" ht="15" customHeight="1">
      <c r="A161" s="286">
        <v>161</v>
      </c>
      <c r="B161" s="544">
        <v>112</v>
      </c>
      <c r="C161" s="545" t="s">
        <v>69</v>
      </c>
      <c r="D161" s="549" t="s">
        <v>156</v>
      </c>
      <c r="E161" s="539">
        <f>VLOOKUP(B161,'2-Kosten per locatie'!$A$13:$C$87,3,FALSE)</f>
        <v>2</v>
      </c>
      <c r="F161" s="550"/>
      <c r="G161" s="551" t="s">
        <v>377</v>
      </c>
      <c r="H161" s="552" t="s">
        <v>223</v>
      </c>
      <c r="I161" s="551" t="s">
        <v>159</v>
      </c>
      <c r="J161" s="553">
        <v>15.4</v>
      </c>
      <c r="K161" s="554"/>
      <c r="L161" s="554"/>
      <c r="M161" s="554"/>
      <c r="N161" s="554"/>
      <c r="O161" s="554">
        <v>21.5</v>
      </c>
      <c r="P161" s="555"/>
      <c r="Q161" s="555">
        <f>J161</f>
        <v>15.4</v>
      </c>
      <c r="R161" s="555"/>
      <c r="S161" s="555"/>
      <c r="T161" s="556"/>
    </row>
    <row r="162" spans="1:20" ht="15" customHeight="1">
      <c r="A162" s="286">
        <v>162</v>
      </c>
      <c r="B162" s="544">
        <v>112</v>
      </c>
      <c r="C162" s="545" t="s">
        <v>69</v>
      </c>
      <c r="D162" s="549" t="s">
        <v>156</v>
      </c>
      <c r="E162" s="539">
        <f>VLOOKUP(B162,'2-Kosten per locatie'!$A$13:$C$87,3,FALSE)</f>
        <v>2</v>
      </c>
      <c r="F162" s="550"/>
      <c r="G162" s="551" t="s">
        <v>378</v>
      </c>
      <c r="H162" s="552" t="s">
        <v>341</v>
      </c>
      <c r="I162" s="551" t="s">
        <v>162</v>
      </c>
      <c r="J162" s="553">
        <v>5.5</v>
      </c>
      <c r="K162" s="554"/>
      <c r="L162" s="554"/>
      <c r="M162" s="554"/>
      <c r="N162" s="554"/>
      <c r="O162" s="554">
        <f>30.5-2*1.9</f>
        <v>26.7</v>
      </c>
      <c r="P162" s="555"/>
      <c r="Q162" s="555">
        <f>J162</f>
        <v>5.5</v>
      </c>
      <c r="R162" s="555"/>
      <c r="S162" s="555"/>
      <c r="T162" s="556"/>
    </row>
    <row r="163" spans="1:20" ht="15" customHeight="1">
      <c r="A163" s="285">
        <v>163</v>
      </c>
      <c r="B163" s="544">
        <v>112</v>
      </c>
      <c r="C163" s="545" t="s">
        <v>69</v>
      </c>
      <c r="D163" s="549" t="s">
        <v>156</v>
      </c>
      <c r="E163" s="539">
        <f>VLOOKUP(B163,'2-Kosten per locatie'!$A$13:$C$87,3,FALSE)</f>
        <v>2</v>
      </c>
      <c r="F163" s="550"/>
      <c r="G163" s="551" t="s">
        <v>379</v>
      </c>
      <c r="H163" s="552" t="s">
        <v>380</v>
      </c>
      <c r="I163" s="551" t="s">
        <v>171</v>
      </c>
      <c r="J163" s="553">
        <v>13.9</v>
      </c>
      <c r="K163" s="554"/>
      <c r="L163" s="554"/>
      <c r="M163" s="554"/>
      <c r="N163" s="554"/>
      <c r="O163" s="554">
        <f>48.6-1.9</f>
        <v>46.7</v>
      </c>
      <c r="P163" s="555">
        <f>J163</f>
        <v>13.9</v>
      </c>
      <c r="Q163" s="555"/>
      <c r="R163" s="555"/>
      <c r="S163" s="555"/>
      <c r="T163" s="556"/>
    </row>
    <row r="164" spans="1:20" ht="15" customHeight="1">
      <c r="A164" s="286">
        <v>164</v>
      </c>
      <c r="B164" s="544">
        <v>112</v>
      </c>
      <c r="C164" s="545" t="s">
        <v>69</v>
      </c>
      <c r="D164" s="549" t="s">
        <v>156</v>
      </c>
      <c r="E164" s="539">
        <f>VLOOKUP(B164,'2-Kosten per locatie'!$A$13:$C$87,3,FALSE)</f>
        <v>2</v>
      </c>
      <c r="F164" s="550"/>
      <c r="G164" s="551" t="s">
        <v>381</v>
      </c>
      <c r="H164" s="552" t="s">
        <v>382</v>
      </c>
      <c r="I164" s="551" t="s">
        <v>162</v>
      </c>
      <c r="J164" s="553">
        <v>29.8</v>
      </c>
      <c r="K164" s="554"/>
      <c r="L164" s="554"/>
      <c r="M164" s="554"/>
      <c r="N164" s="554"/>
      <c r="O164" s="554">
        <f>67.3-1.9</f>
        <v>65.399999999999991</v>
      </c>
      <c r="P164" s="555"/>
      <c r="Q164" s="555">
        <f>J164</f>
        <v>29.8</v>
      </c>
      <c r="R164" s="555"/>
      <c r="S164" s="555"/>
      <c r="T164" s="556"/>
    </row>
    <row r="165" spans="1:20" ht="15" customHeight="1">
      <c r="A165" s="285">
        <v>165</v>
      </c>
      <c r="B165" s="544">
        <v>112</v>
      </c>
      <c r="C165" s="545" t="s">
        <v>69</v>
      </c>
      <c r="D165" s="549" t="s">
        <v>156</v>
      </c>
      <c r="E165" s="539">
        <f>VLOOKUP(B165,'2-Kosten per locatie'!$A$13:$C$87,3,FALSE)</f>
        <v>2</v>
      </c>
      <c r="F165" s="550"/>
      <c r="G165" s="551" t="s">
        <v>383</v>
      </c>
      <c r="H165" s="552" t="s">
        <v>331</v>
      </c>
      <c r="I165" s="551" t="s">
        <v>171</v>
      </c>
      <c r="J165" s="553">
        <v>31.36</v>
      </c>
      <c r="K165" s="554"/>
      <c r="L165" s="554"/>
      <c r="M165" s="554"/>
      <c r="N165" s="554"/>
      <c r="O165" s="554">
        <v>53</v>
      </c>
      <c r="P165" s="555"/>
      <c r="Q165" s="555">
        <f>J165</f>
        <v>31.36</v>
      </c>
      <c r="R165" s="555">
        <v>24</v>
      </c>
      <c r="S165" s="555"/>
      <c r="T165" s="556"/>
    </row>
    <row r="166" spans="1:20" ht="15" customHeight="1">
      <c r="A166" s="286">
        <v>166</v>
      </c>
      <c r="B166" s="544">
        <v>112</v>
      </c>
      <c r="C166" s="545" t="s">
        <v>69</v>
      </c>
      <c r="D166" s="549" t="s">
        <v>156</v>
      </c>
      <c r="E166" s="539">
        <f>VLOOKUP(B166,'2-Kosten per locatie'!$A$13:$C$87,3,FALSE)</f>
        <v>2</v>
      </c>
      <c r="F166" s="550"/>
      <c r="G166" s="551" t="s">
        <v>384</v>
      </c>
      <c r="H166" s="552" t="s">
        <v>332</v>
      </c>
      <c r="I166" s="551" t="s">
        <v>171</v>
      </c>
      <c r="J166" s="553">
        <v>34.200000000000003</v>
      </c>
      <c r="K166" s="554"/>
      <c r="L166" s="554"/>
      <c r="M166" s="554"/>
      <c r="N166" s="554"/>
      <c r="O166" s="554">
        <f>50.6-1.9</f>
        <v>48.7</v>
      </c>
      <c r="P166" s="555"/>
      <c r="Q166" s="555">
        <f>J166</f>
        <v>34.200000000000003</v>
      </c>
      <c r="R166" s="555">
        <v>26</v>
      </c>
      <c r="S166" s="555"/>
      <c r="T166" s="556"/>
    </row>
    <row r="167" spans="1:20" ht="15" customHeight="1">
      <c r="A167" s="285">
        <v>167</v>
      </c>
      <c r="B167" s="544">
        <v>112</v>
      </c>
      <c r="C167" s="545" t="s">
        <v>69</v>
      </c>
      <c r="D167" s="549" t="s">
        <v>156</v>
      </c>
      <c r="E167" s="539">
        <f>VLOOKUP(B167,'2-Kosten per locatie'!$A$13:$C$87,3,FALSE)</f>
        <v>2</v>
      </c>
      <c r="F167" s="550"/>
      <c r="G167" s="551" t="s">
        <v>385</v>
      </c>
      <c r="H167" s="552" t="s">
        <v>386</v>
      </c>
      <c r="I167" s="551" t="s">
        <v>162</v>
      </c>
      <c r="J167" s="553">
        <v>10.76</v>
      </c>
      <c r="K167" s="554"/>
      <c r="L167" s="554"/>
      <c r="M167" s="554"/>
      <c r="N167" s="554"/>
      <c r="O167" s="554">
        <v>20.3</v>
      </c>
      <c r="P167" s="555"/>
      <c r="Q167" s="555">
        <f>J167</f>
        <v>10.76</v>
      </c>
      <c r="R167" s="555"/>
      <c r="S167" s="555"/>
      <c r="T167" s="556"/>
    </row>
    <row r="168" spans="1:20" ht="15" customHeight="1">
      <c r="A168" s="286">
        <v>168</v>
      </c>
      <c r="B168" s="544">
        <v>112</v>
      </c>
      <c r="C168" s="545" t="s">
        <v>69</v>
      </c>
      <c r="D168" s="549" t="s">
        <v>156</v>
      </c>
      <c r="E168" s="539">
        <f>VLOOKUP(B168,'2-Kosten per locatie'!$A$13:$C$87,3,FALSE)</f>
        <v>2</v>
      </c>
      <c r="F168" s="550"/>
      <c r="G168" s="551" t="s">
        <v>289</v>
      </c>
      <c r="H168" s="552" t="s">
        <v>227</v>
      </c>
      <c r="I168" s="551" t="s">
        <v>290</v>
      </c>
      <c r="J168" s="553">
        <v>1504.46</v>
      </c>
      <c r="K168" s="554"/>
      <c r="L168" s="554"/>
      <c r="M168" s="554"/>
      <c r="N168" s="554"/>
      <c r="O168" s="554"/>
      <c r="P168" s="555">
        <f>166.39*10.09</f>
        <v>1678.8750999999997</v>
      </c>
      <c r="Q168" s="555"/>
      <c r="R168" s="555"/>
      <c r="S168" s="555"/>
      <c r="T168" s="556"/>
    </row>
    <row r="169" spans="1:20" ht="15" customHeight="1">
      <c r="A169" s="286">
        <v>169</v>
      </c>
      <c r="B169" s="544">
        <v>112</v>
      </c>
      <c r="C169" s="545" t="s">
        <v>69</v>
      </c>
      <c r="D169" s="549" t="s">
        <v>156</v>
      </c>
      <c r="E169" s="539">
        <f>VLOOKUP(B169,'2-Kosten per locatie'!$A$13:$C$87,3,FALSE)</f>
        <v>2</v>
      </c>
      <c r="F169" s="550"/>
      <c r="G169" s="551" t="s">
        <v>387</v>
      </c>
      <c r="H169" s="552" t="s">
        <v>229</v>
      </c>
      <c r="I169" s="551" t="s">
        <v>180</v>
      </c>
      <c r="J169" s="553">
        <v>32.74</v>
      </c>
      <c r="K169" s="554" t="s">
        <v>181</v>
      </c>
      <c r="L169" s="554"/>
      <c r="M169" s="554"/>
      <c r="N169" s="554"/>
      <c r="O169" s="554"/>
      <c r="P169" s="555"/>
      <c r="Q169" s="555"/>
      <c r="R169" s="555"/>
      <c r="S169" s="555"/>
      <c r="T169" s="556"/>
    </row>
    <row r="170" spans="1:20" ht="15" customHeight="1">
      <c r="A170" s="285">
        <v>170</v>
      </c>
      <c r="B170" s="544">
        <v>112</v>
      </c>
      <c r="C170" s="545" t="s">
        <v>69</v>
      </c>
      <c r="D170" s="549" t="s">
        <v>156</v>
      </c>
      <c r="E170" s="539">
        <f>VLOOKUP(B170,'2-Kosten per locatie'!$A$13:$C$87,3,FALSE)</f>
        <v>2</v>
      </c>
      <c r="F170" s="550"/>
      <c r="G170" s="551" t="s">
        <v>388</v>
      </c>
      <c r="H170" s="552" t="s">
        <v>231</v>
      </c>
      <c r="I170" s="551" t="s">
        <v>180</v>
      </c>
      <c r="J170" s="553">
        <v>32.74</v>
      </c>
      <c r="K170" s="554" t="s">
        <v>181</v>
      </c>
      <c r="L170" s="554"/>
      <c r="M170" s="554"/>
      <c r="N170" s="554"/>
      <c r="O170" s="554"/>
      <c r="P170" s="555"/>
      <c r="Q170" s="555"/>
      <c r="R170" s="555"/>
      <c r="S170" s="555"/>
      <c r="T170" s="556"/>
    </row>
    <row r="171" spans="1:20" ht="15" customHeight="1">
      <c r="A171" s="286">
        <v>171</v>
      </c>
      <c r="B171" s="544">
        <v>112</v>
      </c>
      <c r="C171" s="545" t="s">
        <v>69</v>
      </c>
      <c r="D171" s="549" t="s">
        <v>156</v>
      </c>
      <c r="E171" s="539">
        <f>VLOOKUP(B171,'2-Kosten per locatie'!$A$13:$C$87,3,FALSE)</f>
        <v>2</v>
      </c>
      <c r="F171" s="550"/>
      <c r="G171" s="551" t="s">
        <v>389</v>
      </c>
      <c r="H171" s="552" t="s">
        <v>233</v>
      </c>
      <c r="I171" s="551" t="s">
        <v>296</v>
      </c>
      <c r="J171" s="553">
        <f>18*1*1.5</f>
        <v>27</v>
      </c>
      <c r="K171" s="554"/>
      <c r="L171" s="554"/>
      <c r="M171" s="554"/>
      <c r="N171" s="554"/>
      <c r="O171" s="554"/>
      <c r="P171" s="555"/>
      <c r="Q171" s="555"/>
      <c r="R171" s="555"/>
      <c r="S171" s="555"/>
      <c r="T171" s="556"/>
    </row>
    <row r="172" spans="1:20" ht="15" customHeight="1">
      <c r="A172" s="285">
        <v>172</v>
      </c>
      <c r="B172" s="544">
        <v>112</v>
      </c>
      <c r="C172" s="545" t="s">
        <v>69</v>
      </c>
      <c r="D172" s="549" t="s">
        <v>156</v>
      </c>
      <c r="E172" s="539">
        <f>VLOOKUP(B172,'2-Kosten per locatie'!$A$13:$C$87,3,FALSE)</f>
        <v>2</v>
      </c>
      <c r="F172" s="550"/>
      <c r="G172" s="551" t="s">
        <v>390</v>
      </c>
      <c r="H172" s="552" t="s">
        <v>391</v>
      </c>
      <c r="I172" s="551" t="s">
        <v>296</v>
      </c>
      <c r="J172" s="553">
        <f>18*1*1.5</f>
        <v>27</v>
      </c>
      <c r="K172" s="554"/>
      <c r="L172" s="554"/>
      <c r="M172" s="554"/>
      <c r="N172" s="554"/>
      <c r="O172" s="554"/>
      <c r="P172" s="555"/>
      <c r="Q172" s="555"/>
      <c r="R172" s="555"/>
      <c r="S172" s="555"/>
      <c r="T172" s="556"/>
    </row>
    <row r="173" spans="1:20" ht="15" customHeight="1">
      <c r="A173" s="286">
        <v>173</v>
      </c>
      <c r="B173" s="544">
        <v>113</v>
      </c>
      <c r="C173" s="545" t="s">
        <v>70</v>
      </c>
      <c r="D173" s="549" t="s">
        <v>156</v>
      </c>
      <c r="E173" s="539">
        <f>VLOOKUP(B173,'2-Kosten per locatie'!$A$13:$C$87,3,FALSE)</f>
        <v>2</v>
      </c>
      <c r="F173" s="550"/>
      <c r="G173" s="551" t="s">
        <v>289</v>
      </c>
      <c r="H173" s="552" t="s">
        <v>227</v>
      </c>
      <c r="I173" s="551" t="s">
        <v>290</v>
      </c>
      <c r="J173" s="553">
        <v>1503.23</v>
      </c>
      <c r="K173" s="554"/>
      <c r="L173" s="554"/>
      <c r="M173" s="554"/>
      <c r="N173" s="554"/>
      <c r="O173" s="554"/>
      <c r="P173" s="555">
        <f>165.16*9.82</f>
        <v>1621.8712</v>
      </c>
      <c r="Q173" s="555"/>
      <c r="R173" s="555"/>
      <c r="S173" s="555"/>
      <c r="T173" s="556"/>
    </row>
    <row r="174" spans="1:20" ht="15" customHeight="1">
      <c r="A174" s="285">
        <v>174</v>
      </c>
      <c r="B174" s="544">
        <v>113</v>
      </c>
      <c r="C174" s="545" t="s">
        <v>70</v>
      </c>
      <c r="D174" s="549" t="s">
        <v>156</v>
      </c>
      <c r="E174" s="539">
        <f>VLOOKUP(B174,'2-Kosten per locatie'!$A$13:$C$87,3,FALSE)</f>
        <v>2</v>
      </c>
      <c r="F174" s="550"/>
      <c r="G174" s="551" t="s">
        <v>291</v>
      </c>
      <c r="H174" s="552" t="s">
        <v>229</v>
      </c>
      <c r="I174" s="551" t="s">
        <v>180</v>
      </c>
      <c r="J174" s="553">
        <v>42.69</v>
      </c>
      <c r="K174" s="554" t="s">
        <v>181</v>
      </c>
      <c r="L174" s="554"/>
      <c r="M174" s="554"/>
      <c r="N174" s="554"/>
      <c r="O174" s="554"/>
      <c r="P174" s="555"/>
      <c r="Q174" s="555"/>
      <c r="R174" s="555"/>
      <c r="S174" s="555"/>
      <c r="T174" s="556" t="s">
        <v>292</v>
      </c>
    </row>
    <row r="175" spans="1:20" ht="15" customHeight="1">
      <c r="A175" s="286">
        <v>175</v>
      </c>
      <c r="B175" s="544">
        <v>113</v>
      </c>
      <c r="C175" s="545" t="s">
        <v>70</v>
      </c>
      <c r="D175" s="549" t="s">
        <v>156</v>
      </c>
      <c r="E175" s="539">
        <f>VLOOKUP(B175,'2-Kosten per locatie'!$A$13:$C$87,3,FALSE)</f>
        <v>2</v>
      </c>
      <c r="F175" s="550"/>
      <c r="G175" s="551" t="s">
        <v>293</v>
      </c>
      <c r="H175" s="552" t="s">
        <v>231</v>
      </c>
      <c r="I175" s="551" t="s">
        <v>180</v>
      </c>
      <c r="J175" s="553">
        <v>42.68</v>
      </c>
      <c r="K175" s="554" t="s">
        <v>181</v>
      </c>
      <c r="L175" s="554"/>
      <c r="M175" s="554"/>
      <c r="N175" s="554"/>
      <c r="O175" s="554"/>
      <c r="P175" s="555"/>
      <c r="Q175" s="555"/>
      <c r="R175" s="555"/>
      <c r="S175" s="555"/>
      <c r="T175" s="556" t="s">
        <v>102</v>
      </c>
    </row>
    <row r="176" spans="1:20" ht="15" customHeight="1">
      <c r="A176" s="286">
        <v>176</v>
      </c>
      <c r="B176" s="544">
        <v>113</v>
      </c>
      <c r="C176" s="545" t="s">
        <v>70</v>
      </c>
      <c r="D176" s="549" t="s">
        <v>156</v>
      </c>
      <c r="E176" s="539">
        <f>VLOOKUP(B176,'2-Kosten per locatie'!$A$13:$C$87,3,FALSE)</f>
        <v>2</v>
      </c>
      <c r="F176" s="550"/>
      <c r="G176" s="551" t="s">
        <v>294</v>
      </c>
      <c r="H176" s="552" t="s">
        <v>232</v>
      </c>
      <c r="I176" s="551" t="s">
        <v>176</v>
      </c>
      <c r="J176" s="553">
        <v>31.63</v>
      </c>
      <c r="K176" s="554"/>
      <c r="L176" s="554"/>
      <c r="M176" s="554"/>
      <c r="N176" s="554"/>
      <c r="O176" s="554"/>
      <c r="P176" s="555"/>
      <c r="Q176" s="555"/>
      <c r="R176" s="555"/>
      <c r="S176" s="555"/>
      <c r="T176" s="556" t="s">
        <v>292</v>
      </c>
    </row>
    <row r="177" spans="1:20" ht="15" customHeight="1">
      <c r="A177" s="285">
        <v>177</v>
      </c>
      <c r="B177" s="544">
        <v>113</v>
      </c>
      <c r="C177" s="545" t="s">
        <v>70</v>
      </c>
      <c r="D177" s="549" t="s">
        <v>156</v>
      </c>
      <c r="E177" s="539">
        <f>VLOOKUP(B177,'2-Kosten per locatie'!$A$13:$C$87,3,FALSE)</f>
        <v>2</v>
      </c>
      <c r="F177" s="550"/>
      <c r="G177" s="551" t="s">
        <v>295</v>
      </c>
      <c r="H177" s="552" t="s">
        <v>233</v>
      </c>
      <c r="I177" s="551" t="s">
        <v>296</v>
      </c>
      <c r="J177" s="553">
        <v>31.68</v>
      </c>
      <c r="K177" s="554"/>
      <c r="L177" s="554"/>
      <c r="M177" s="554"/>
      <c r="N177" s="554"/>
      <c r="O177" s="554"/>
      <c r="P177" s="555"/>
      <c r="Q177" s="555"/>
      <c r="R177" s="555"/>
      <c r="S177" s="555"/>
      <c r="T177" s="556" t="s">
        <v>102</v>
      </c>
    </row>
    <row r="178" spans="1:20" ht="15" customHeight="1">
      <c r="A178" s="286">
        <v>178</v>
      </c>
      <c r="B178" s="544">
        <v>113</v>
      </c>
      <c r="C178" s="545" t="s">
        <v>70</v>
      </c>
      <c r="D178" s="549" t="s">
        <v>156</v>
      </c>
      <c r="E178" s="539">
        <f>VLOOKUP(B178,'2-Kosten per locatie'!$A$13:$C$87,3,FALSE)</f>
        <v>2</v>
      </c>
      <c r="F178" s="550"/>
      <c r="G178" s="551" t="s">
        <v>297</v>
      </c>
      <c r="H178" s="552" t="s">
        <v>188</v>
      </c>
      <c r="I178" s="551" t="s">
        <v>159</v>
      </c>
      <c r="J178" s="553">
        <v>224.45</v>
      </c>
      <c r="K178" s="554"/>
      <c r="L178" s="554"/>
      <c r="M178" s="554"/>
      <c r="N178" s="554">
        <v>20</v>
      </c>
      <c r="O178" s="554">
        <v>589</v>
      </c>
      <c r="P178" s="555"/>
      <c r="Q178" s="555"/>
      <c r="R178" s="555">
        <f>224.5+33.6/1.5+(12.7+2.9+3)</f>
        <v>265.5</v>
      </c>
      <c r="S178" s="555"/>
      <c r="T178" s="556" t="s">
        <v>102</v>
      </c>
    </row>
    <row r="179" spans="1:20" ht="15" customHeight="1">
      <c r="A179" s="285">
        <v>179</v>
      </c>
      <c r="B179" s="544">
        <v>113</v>
      </c>
      <c r="C179" s="545" t="s">
        <v>70</v>
      </c>
      <c r="D179" s="549" t="s">
        <v>156</v>
      </c>
      <c r="E179" s="539">
        <f>VLOOKUP(B179,'2-Kosten per locatie'!$A$13:$C$87,3,FALSE)</f>
        <v>2</v>
      </c>
      <c r="F179" s="550"/>
      <c r="G179" s="551" t="s">
        <v>298</v>
      </c>
      <c r="H179" s="552" t="s">
        <v>299</v>
      </c>
      <c r="I179" s="551" t="s">
        <v>159</v>
      </c>
      <c r="J179" s="553">
        <v>243.2</v>
      </c>
      <c r="K179" s="554"/>
      <c r="L179" s="554"/>
      <c r="M179" s="554"/>
      <c r="N179" s="554">
        <v>20</v>
      </c>
      <c r="O179" s="554">
        <v>593</v>
      </c>
      <c r="P179" s="555"/>
      <c r="Q179" s="555"/>
      <c r="R179" s="555">
        <f>243.2+33.6/1.5+(12.7+2.9+3)</f>
        <v>284.2</v>
      </c>
      <c r="S179" s="555"/>
      <c r="T179" s="556" t="s">
        <v>292</v>
      </c>
    </row>
    <row r="180" spans="1:20" ht="15" customHeight="1">
      <c r="A180" s="286">
        <v>180</v>
      </c>
      <c r="B180" s="544">
        <v>113</v>
      </c>
      <c r="C180" s="545" t="s">
        <v>70</v>
      </c>
      <c r="D180" s="549" t="s">
        <v>156</v>
      </c>
      <c r="E180" s="539">
        <f>VLOOKUP(B180,'2-Kosten per locatie'!$A$13:$C$87,3,FALSE)</f>
        <v>2</v>
      </c>
      <c r="F180" s="550"/>
      <c r="G180" s="551" t="s">
        <v>190</v>
      </c>
      <c r="H180" s="552" t="s">
        <v>191</v>
      </c>
      <c r="I180" s="551" t="s">
        <v>159</v>
      </c>
      <c r="J180" s="553">
        <v>12.9</v>
      </c>
      <c r="K180" s="554"/>
      <c r="L180" s="554"/>
      <c r="M180" s="554"/>
      <c r="N180" s="554"/>
      <c r="O180" s="554">
        <v>51</v>
      </c>
      <c r="P180" s="555"/>
      <c r="Q180" s="555"/>
      <c r="R180" s="555"/>
      <c r="S180" s="555"/>
      <c r="T180" s="556" t="s">
        <v>300</v>
      </c>
    </row>
    <row r="181" spans="1:20" ht="15" customHeight="1">
      <c r="A181" s="285">
        <v>181</v>
      </c>
      <c r="B181" s="544">
        <v>113</v>
      </c>
      <c r="C181" s="545" t="s">
        <v>70</v>
      </c>
      <c r="D181" s="549" t="s">
        <v>156</v>
      </c>
      <c r="E181" s="539">
        <f>VLOOKUP(B181,'2-Kosten per locatie'!$A$13:$C$87,3,FALSE)</f>
        <v>2</v>
      </c>
      <c r="F181" s="550"/>
      <c r="G181" s="551" t="s">
        <v>301</v>
      </c>
      <c r="H181" s="552" t="s">
        <v>192</v>
      </c>
      <c r="I181" s="551" t="s">
        <v>171</v>
      </c>
      <c r="J181" s="553">
        <v>4.2</v>
      </c>
      <c r="K181" s="554"/>
      <c r="L181" s="554"/>
      <c r="M181" s="554">
        <v>14.2</v>
      </c>
      <c r="N181" s="554"/>
      <c r="O181" s="554"/>
      <c r="P181" s="555"/>
      <c r="Q181" s="555">
        <f>J181</f>
        <v>4.2</v>
      </c>
      <c r="R181" s="555"/>
      <c r="S181" s="555"/>
      <c r="T181" s="556" t="s">
        <v>102</v>
      </c>
    </row>
    <row r="182" spans="1:20" ht="15" customHeight="1">
      <c r="A182" s="286">
        <v>182</v>
      </c>
      <c r="B182" s="544">
        <v>113</v>
      </c>
      <c r="C182" s="545" t="s">
        <v>70</v>
      </c>
      <c r="D182" s="549" t="s">
        <v>156</v>
      </c>
      <c r="E182" s="539">
        <f>VLOOKUP(B182,'2-Kosten per locatie'!$A$13:$C$87,3,FALSE)</f>
        <v>2</v>
      </c>
      <c r="F182" s="550"/>
      <c r="G182" s="551" t="s">
        <v>190</v>
      </c>
      <c r="H182" s="552" t="s">
        <v>194</v>
      </c>
      <c r="I182" s="551" t="s">
        <v>171</v>
      </c>
      <c r="J182" s="553">
        <v>29.76</v>
      </c>
      <c r="K182" s="554"/>
      <c r="L182" s="554"/>
      <c r="M182" s="554"/>
      <c r="N182" s="554"/>
      <c r="O182" s="554">
        <v>76</v>
      </c>
      <c r="P182" s="555"/>
      <c r="Q182" s="555"/>
      <c r="R182" s="555"/>
      <c r="S182" s="555"/>
      <c r="T182" s="556" t="s">
        <v>292</v>
      </c>
    </row>
    <row r="183" spans="1:20" ht="15" customHeight="1">
      <c r="A183" s="286">
        <v>183</v>
      </c>
      <c r="B183" s="544">
        <v>113</v>
      </c>
      <c r="C183" s="545" t="s">
        <v>70</v>
      </c>
      <c r="D183" s="549" t="s">
        <v>156</v>
      </c>
      <c r="E183" s="539">
        <f>VLOOKUP(B183,'2-Kosten per locatie'!$A$13:$C$87,3,FALSE)</f>
        <v>2</v>
      </c>
      <c r="F183" s="550"/>
      <c r="G183" s="551" t="s">
        <v>302</v>
      </c>
      <c r="H183" s="552" t="s">
        <v>253</v>
      </c>
      <c r="I183" s="551" t="s">
        <v>171</v>
      </c>
      <c r="J183" s="553">
        <v>32.6</v>
      </c>
      <c r="K183" s="554"/>
      <c r="L183" s="554"/>
      <c r="M183" s="554"/>
      <c r="N183" s="554"/>
      <c r="O183" s="554">
        <v>66</v>
      </c>
      <c r="P183" s="555"/>
      <c r="Q183" s="555"/>
      <c r="R183" s="555"/>
      <c r="S183" s="555"/>
      <c r="T183" s="556" t="s">
        <v>292</v>
      </c>
    </row>
    <row r="184" spans="1:20" ht="15" customHeight="1">
      <c r="A184" s="285">
        <v>184</v>
      </c>
      <c r="B184" s="544">
        <v>113</v>
      </c>
      <c r="C184" s="545" t="s">
        <v>70</v>
      </c>
      <c r="D184" s="549" t="s">
        <v>156</v>
      </c>
      <c r="E184" s="539">
        <f>VLOOKUP(B184,'2-Kosten per locatie'!$A$13:$C$87,3,FALSE)</f>
        <v>2</v>
      </c>
      <c r="F184" s="550"/>
      <c r="G184" s="551" t="s">
        <v>254</v>
      </c>
      <c r="H184" s="552" t="s">
        <v>196</v>
      </c>
      <c r="I184" s="551" t="s">
        <v>171</v>
      </c>
      <c r="J184" s="553">
        <v>10.6</v>
      </c>
      <c r="K184" s="554"/>
      <c r="L184" s="554"/>
      <c r="M184" s="554"/>
      <c r="N184" s="554"/>
      <c r="O184" s="554">
        <v>48.3</v>
      </c>
      <c r="P184" s="555"/>
      <c r="Q184" s="555"/>
      <c r="R184" s="555"/>
      <c r="S184" s="555"/>
      <c r="T184" s="556" t="s">
        <v>292</v>
      </c>
    </row>
    <row r="185" spans="1:20" ht="15" customHeight="1">
      <c r="A185" s="286">
        <v>185</v>
      </c>
      <c r="B185" s="544">
        <v>113</v>
      </c>
      <c r="C185" s="545" t="s">
        <v>70</v>
      </c>
      <c r="D185" s="549" t="s">
        <v>156</v>
      </c>
      <c r="E185" s="539">
        <f>VLOOKUP(B185,'2-Kosten per locatie'!$A$13:$C$87,3,FALSE)</f>
        <v>2</v>
      </c>
      <c r="F185" s="550"/>
      <c r="G185" s="551" t="s">
        <v>303</v>
      </c>
      <c r="H185" s="552" t="s">
        <v>198</v>
      </c>
      <c r="I185" s="551" t="s">
        <v>171</v>
      </c>
      <c r="J185" s="553">
        <v>7</v>
      </c>
      <c r="K185" s="554"/>
      <c r="L185" s="554"/>
      <c r="M185" s="554">
        <v>29.5</v>
      </c>
      <c r="N185" s="554"/>
      <c r="O185" s="554"/>
      <c r="P185" s="555"/>
      <c r="Q185" s="555">
        <f>J185</f>
        <v>7</v>
      </c>
      <c r="R185" s="555"/>
      <c r="S185" s="555"/>
      <c r="T185" s="556" t="s">
        <v>304</v>
      </c>
    </row>
    <row r="186" spans="1:20" ht="15" customHeight="1">
      <c r="A186" s="285">
        <v>186</v>
      </c>
      <c r="B186" s="544">
        <v>113</v>
      </c>
      <c r="C186" s="545" t="s">
        <v>70</v>
      </c>
      <c r="D186" s="549" t="s">
        <v>156</v>
      </c>
      <c r="E186" s="539">
        <f>VLOOKUP(B186,'2-Kosten per locatie'!$A$13:$C$87,3,FALSE)</f>
        <v>2</v>
      </c>
      <c r="F186" s="550"/>
      <c r="G186" s="551" t="s">
        <v>305</v>
      </c>
      <c r="H186" s="552" t="s">
        <v>306</v>
      </c>
      <c r="I186" s="551" t="s">
        <v>171</v>
      </c>
      <c r="J186" s="553">
        <v>13.1</v>
      </c>
      <c r="K186" s="554"/>
      <c r="L186" s="554"/>
      <c r="M186" s="554">
        <v>42</v>
      </c>
      <c r="N186" s="554"/>
      <c r="O186" s="554"/>
      <c r="P186" s="555"/>
      <c r="Q186" s="555">
        <f>J186</f>
        <v>13.1</v>
      </c>
      <c r="R186" s="555"/>
      <c r="S186" s="555"/>
      <c r="T186" s="556" t="s">
        <v>102</v>
      </c>
    </row>
    <row r="187" spans="1:20" ht="15" customHeight="1">
      <c r="A187" s="286">
        <v>187</v>
      </c>
      <c r="B187" s="544">
        <v>113</v>
      </c>
      <c r="C187" s="545" t="s">
        <v>70</v>
      </c>
      <c r="D187" s="549" t="s">
        <v>156</v>
      </c>
      <c r="E187" s="539">
        <f>VLOOKUP(B187,'2-Kosten per locatie'!$A$13:$C$87,3,FALSE)</f>
        <v>2</v>
      </c>
      <c r="F187" s="550"/>
      <c r="G187" s="551" t="s">
        <v>307</v>
      </c>
      <c r="H187" s="552" t="s">
        <v>308</v>
      </c>
      <c r="I187" s="551" t="s">
        <v>171</v>
      </c>
      <c r="J187" s="553">
        <v>9.4</v>
      </c>
      <c r="K187" s="554"/>
      <c r="L187" s="554"/>
      <c r="M187" s="554">
        <v>41.1</v>
      </c>
      <c r="N187" s="554"/>
      <c r="O187" s="554"/>
      <c r="P187" s="555"/>
      <c r="Q187" s="555">
        <f>J187</f>
        <v>9.4</v>
      </c>
      <c r="R187" s="555"/>
      <c r="S187" s="555"/>
      <c r="T187" s="556" t="s">
        <v>292</v>
      </c>
    </row>
    <row r="188" spans="1:20" ht="15" customHeight="1">
      <c r="A188" s="285">
        <v>188</v>
      </c>
      <c r="B188" s="544">
        <v>113</v>
      </c>
      <c r="C188" s="545" t="s">
        <v>70</v>
      </c>
      <c r="D188" s="549" t="s">
        <v>156</v>
      </c>
      <c r="E188" s="539">
        <f>VLOOKUP(B188,'2-Kosten per locatie'!$A$13:$C$87,3,FALSE)</f>
        <v>2</v>
      </c>
      <c r="F188" s="550"/>
      <c r="G188" s="551" t="s">
        <v>199</v>
      </c>
      <c r="H188" s="552" t="s">
        <v>200</v>
      </c>
      <c r="I188" s="551" t="s">
        <v>171</v>
      </c>
      <c r="J188" s="553">
        <v>15.2</v>
      </c>
      <c r="K188" s="554"/>
      <c r="L188" s="554"/>
      <c r="M188" s="554"/>
      <c r="N188" s="554"/>
      <c r="O188" s="554">
        <v>46.8</v>
      </c>
      <c r="P188" s="555"/>
      <c r="Q188" s="555"/>
      <c r="R188" s="555"/>
      <c r="S188" s="555"/>
      <c r="T188" s="556" t="s">
        <v>102</v>
      </c>
    </row>
    <row r="189" spans="1:20" ht="15" customHeight="1">
      <c r="A189" s="286">
        <v>189</v>
      </c>
      <c r="B189" s="544">
        <v>113</v>
      </c>
      <c r="C189" s="545" t="s">
        <v>70</v>
      </c>
      <c r="D189" s="549" t="s">
        <v>156</v>
      </c>
      <c r="E189" s="539">
        <f>VLOOKUP(B189,'2-Kosten per locatie'!$A$13:$C$87,3,FALSE)</f>
        <v>2</v>
      </c>
      <c r="F189" s="550"/>
      <c r="G189" s="551" t="s">
        <v>237</v>
      </c>
      <c r="H189" s="552" t="s">
        <v>202</v>
      </c>
      <c r="I189" s="551" t="s">
        <v>171</v>
      </c>
      <c r="J189" s="553">
        <v>19.64</v>
      </c>
      <c r="K189" s="554"/>
      <c r="L189" s="554"/>
      <c r="M189" s="554"/>
      <c r="N189" s="554"/>
      <c r="O189" s="554">
        <v>85</v>
      </c>
      <c r="P189" s="555"/>
      <c r="Q189" s="555"/>
      <c r="R189" s="555"/>
      <c r="S189" s="555"/>
      <c r="T189" s="556" t="s">
        <v>102</v>
      </c>
    </row>
    <row r="190" spans="1:20" ht="15" customHeight="1">
      <c r="A190" s="286">
        <v>190</v>
      </c>
      <c r="B190" s="544">
        <v>113</v>
      </c>
      <c r="C190" s="545" t="s">
        <v>70</v>
      </c>
      <c r="D190" s="549" t="s">
        <v>156</v>
      </c>
      <c r="E190" s="539">
        <f>VLOOKUP(B190,'2-Kosten per locatie'!$A$13:$C$87,3,FALSE)</f>
        <v>2</v>
      </c>
      <c r="F190" s="550"/>
      <c r="G190" s="551" t="s">
        <v>239</v>
      </c>
      <c r="H190" s="552" t="s">
        <v>309</v>
      </c>
      <c r="I190" s="551" t="s">
        <v>171</v>
      </c>
      <c r="J190" s="553">
        <v>3.8</v>
      </c>
      <c r="K190" s="554"/>
      <c r="L190" s="554"/>
      <c r="M190" s="554"/>
      <c r="N190" s="554"/>
      <c r="O190" s="554">
        <v>20.5</v>
      </c>
      <c r="P190" s="555"/>
      <c r="Q190" s="555"/>
      <c r="R190" s="555"/>
      <c r="S190" s="555"/>
      <c r="T190" s="556" t="s">
        <v>310</v>
      </c>
    </row>
    <row r="191" spans="1:20" ht="15" customHeight="1">
      <c r="A191" s="285">
        <v>191</v>
      </c>
      <c r="B191" s="544">
        <v>113</v>
      </c>
      <c r="C191" s="545" t="s">
        <v>70</v>
      </c>
      <c r="D191" s="549" t="s">
        <v>156</v>
      </c>
      <c r="E191" s="539">
        <f>VLOOKUP(B191,'2-Kosten per locatie'!$A$13:$C$87,3,FALSE)</f>
        <v>2</v>
      </c>
      <c r="F191" s="550"/>
      <c r="G191" s="551" t="s">
        <v>246</v>
      </c>
      <c r="H191" s="552" t="s">
        <v>311</v>
      </c>
      <c r="I191" s="551" t="s">
        <v>245</v>
      </c>
      <c r="J191" s="553">
        <v>2.9</v>
      </c>
      <c r="K191" s="554">
        <v>17.8</v>
      </c>
      <c r="L191" s="554"/>
      <c r="M191" s="554"/>
      <c r="N191" s="554"/>
      <c r="O191" s="554"/>
      <c r="P191" s="555"/>
      <c r="Q191" s="555"/>
      <c r="R191" s="555"/>
      <c r="S191" s="555">
        <f>J191</f>
        <v>2.9</v>
      </c>
      <c r="T191" s="556" t="s">
        <v>102</v>
      </c>
    </row>
    <row r="192" spans="1:20" ht="15" customHeight="1">
      <c r="A192" s="286">
        <v>192</v>
      </c>
      <c r="B192" s="544">
        <v>113</v>
      </c>
      <c r="C192" s="545" t="s">
        <v>70</v>
      </c>
      <c r="D192" s="549" t="s">
        <v>156</v>
      </c>
      <c r="E192" s="539">
        <f>VLOOKUP(B192,'2-Kosten per locatie'!$A$13:$C$87,3,FALSE)</f>
        <v>2</v>
      </c>
      <c r="F192" s="550"/>
      <c r="G192" s="551" t="s">
        <v>243</v>
      </c>
      <c r="H192" s="552" t="s">
        <v>312</v>
      </c>
      <c r="I192" s="551" t="s">
        <v>245</v>
      </c>
      <c r="J192" s="553">
        <v>2.9</v>
      </c>
      <c r="K192" s="554">
        <v>17.8</v>
      </c>
      <c r="L192" s="554"/>
      <c r="M192" s="554"/>
      <c r="N192" s="554"/>
      <c r="O192" s="554"/>
      <c r="P192" s="555"/>
      <c r="Q192" s="555"/>
      <c r="R192" s="555"/>
      <c r="S192" s="555">
        <f>J192</f>
        <v>2.9</v>
      </c>
      <c r="T192" s="556" t="s">
        <v>102</v>
      </c>
    </row>
    <row r="193" spans="1:20" ht="15" customHeight="1">
      <c r="A193" s="285">
        <v>193</v>
      </c>
      <c r="B193" s="544">
        <v>113</v>
      </c>
      <c r="C193" s="545" t="s">
        <v>70</v>
      </c>
      <c r="D193" s="549" t="s">
        <v>156</v>
      </c>
      <c r="E193" s="539">
        <f>VLOOKUP(B193,'2-Kosten per locatie'!$A$13:$C$87,3,FALSE)</f>
        <v>2</v>
      </c>
      <c r="F193" s="550"/>
      <c r="G193" s="551" t="s">
        <v>313</v>
      </c>
      <c r="H193" s="552" t="s">
        <v>259</v>
      </c>
      <c r="I193" s="551" t="s">
        <v>159</v>
      </c>
      <c r="J193" s="553">
        <v>2.2000000000000002</v>
      </c>
      <c r="K193" s="554" t="s">
        <v>314</v>
      </c>
      <c r="L193" s="554"/>
      <c r="M193" s="554"/>
      <c r="N193" s="554"/>
      <c r="O193" s="554"/>
      <c r="P193" s="555"/>
      <c r="Q193" s="555"/>
      <c r="R193" s="555"/>
      <c r="S193" s="555"/>
      <c r="T193" s="556" t="s">
        <v>292</v>
      </c>
    </row>
    <row r="194" spans="1:20" ht="15" customHeight="1">
      <c r="A194" s="286">
        <v>194</v>
      </c>
      <c r="B194" s="544">
        <v>113</v>
      </c>
      <c r="C194" s="545" t="s">
        <v>70</v>
      </c>
      <c r="D194" s="549" t="s">
        <v>156</v>
      </c>
      <c r="E194" s="539">
        <f>VLOOKUP(B194,'2-Kosten per locatie'!$A$13:$C$87,3,FALSE)</f>
        <v>2</v>
      </c>
      <c r="F194" s="550"/>
      <c r="G194" s="551" t="s">
        <v>313</v>
      </c>
      <c r="H194" s="552" t="s">
        <v>261</v>
      </c>
      <c r="I194" s="551" t="s">
        <v>171</v>
      </c>
      <c r="J194" s="553">
        <v>2.2000000000000002</v>
      </c>
      <c r="K194" s="554" t="s">
        <v>314</v>
      </c>
      <c r="L194" s="554"/>
      <c r="M194" s="554"/>
      <c r="N194" s="554"/>
      <c r="O194" s="554"/>
      <c r="P194" s="555"/>
      <c r="Q194" s="555"/>
      <c r="R194" s="555"/>
      <c r="S194" s="555"/>
      <c r="T194" s="556" t="s">
        <v>102</v>
      </c>
    </row>
    <row r="195" spans="1:20" ht="15" customHeight="1">
      <c r="A195" s="285">
        <v>195</v>
      </c>
      <c r="B195" s="544">
        <v>113</v>
      </c>
      <c r="C195" s="545" t="s">
        <v>70</v>
      </c>
      <c r="D195" s="549" t="s">
        <v>156</v>
      </c>
      <c r="E195" s="539">
        <f>VLOOKUP(B195,'2-Kosten per locatie'!$A$13:$C$87,3,FALSE)</f>
        <v>2</v>
      </c>
      <c r="F195" s="550"/>
      <c r="G195" s="551" t="s">
        <v>183</v>
      </c>
      <c r="H195" s="552" t="s">
        <v>263</v>
      </c>
      <c r="I195" s="551" t="s">
        <v>159</v>
      </c>
      <c r="J195" s="553">
        <v>7.8</v>
      </c>
      <c r="K195" s="554"/>
      <c r="L195" s="554"/>
      <c r="M195" s="554"/>
      <c r="N195" s="554"/>
      <c r="O195" s="554">
        <v>26.6</v>
      </c>
      <c r="P195" s="555"/>
      <c r="Q195" s="555"/>
      <c r="R195" s="555">
        <f>J195</f>
        <v>7.8</v>
      </c>
      <c r="S195" s="555"/>
      <c r="T195" s="556" t="s">
        <v>315</v>
      </c>
    </row>
    <row r="196" spans="1:20" ht="15" customHeight="1">
      <c r="A196" s="286">
        <v>196</v>
      </c>
      <c r="B196" s="544">
        <v>113</v>
      </c>
      <c r="C196" s="545" t="s">
        <v>70</v>
      </c>
      <c r="D196" s="549" t="s">
        <v>156</v>
      </c>
      <c r="E196" s="539">
        <f>VLOOKUP(B196,'2-Kosten per locatie'!$A$13:$C$87,3,FALSE)</f>
        <v>2</v>
      </c>
      <c r="F196" s="550"/>
      <c r="G196" s="551" t="s">
        <v>316</v>
      </c>
      <c r="H196" s="552">
        <v>34</v>
      </c>
      <c r="I196" s="551" t="s">
        <v>317</v>
      </c>
      <c r="J196" s="553">
        <v>2.8</v>
      </c>
      <c r="K196" s="554"/>
      <c r="L196" s="554"/>
      <c r="M196" s="554"/>
      <c r="N196" s="554">
        <v>11.5</v>
      </c>
      <c r="O196" s="554">
        <v>3.5</v>
      </c>
      <c r="P196" s="555"/>
      <c r="Q196" s="555"/>
      <c r="R196" s="555"/>
      <c r="S196" s="555">
        <f>J196</f>
        <v>2.8</v>
      </c>
      <c r="T196" s="556" t="s">
        <v>318</v>
      </c>
    </row>
    <row r="197" spans="1:20" ht="15" customHeight="1">
      <c r="A197" s="286">
        <v>197</v>
      </c>
      <c r="B197" s="544">
        <v>113</v>
      </c>
      <c r="C197" s="545" t="s">
        <v>70</v>
      </c>
      <c r="D197" s="549" t="s">
        <v>156</v>
      </c>
      <c r="E197" s="539">
        <f>VLOOKUP(B197,'2-Kosten per locatie'!$A$13:$C$87,3,FALSE)</f>
        <v>2</v>
      </c>
      <c r="F197" s="550"/>
      <c r="G197" s="551" t="s">
        <v>183</v>
      </c>
      <c r="H197" s="552" t="s">
        <v>319</v>
      </c>
      <c r="I197" s="551" t="s">
        <v>214</v>
      </c>
      <c r="J197" s="553">
        <v>7.25</v>
      </c>
      <c r="K197" s="554"/>
      <c r="L197" s="554"/>
      <c r="M197" s="554">
        <v>26.6</v>
      </c>
      <c r="N197" s="554"/>
      <c r="O197" s="554"/>
      <c r="P197" s="555"/>
      <c r="Q197" s="555">
        <f>J197</f>
        <v>7.25</v>
      </c>
      <c r="R197" s="555"/>
      <c r="S197" s="555"/>
      <c r="T197" s="556" t="s">
        <v>320</v>
      </c>
    </row>
    <row r="198" spans="1:20" ht="15" customHeight="1">
      <c r="A198" s="285">
        <v>198</v>
      </c>
      <c r="B198" s="544">
        <v>113</v>
      </c>
      <c r="C198" s="545" t="s">
        <v>70</v>
      </c>
      <c r="D198" s="549" t="s">
        <v>156</v>
      </c>
      <c r="E198" s="539">
        <f>VLOOKUP(B198,'2-Kosten per locatie'!$A$13:$C$87,3,FALSE)</f>
        <v>2</v>
      </c>
      <c r="F198" s="550"/>
      <c r="G198" s="551" t="s">
        <v>203</v>
      </c>
      <c r="H198" s="552" t="s">
        <v>321</v>
      </c>
      <c r="I198" s="627" t="s">
        <v>317</v>
      </c>
      <c r="J198" s="628">
        <v>3</v>
      </c>
      <c r="K198" s="554"/>
      <c r="L198" s="554"/>
      <c r="M198" s="554"/>
      <c r="N198" s="629">
        <v>11.5</v>
      </c>
      <c r="O198" s="629">
        <v>3.5</v>
      </c>
      <c r="P198" s="555"/>
      <c r="Q198" s="555"/>
      <c r="R198" s="555"/>
      <c r="S198" s="555">
        <v>3</v>
      </c>
      <c r="T198" s="630" t="s">
        <v>392</v>
      </c>
    </row>
    <row r="199" spans="1:20" ht="15" customHeight="1">
      <c r="A199" s="286">
        <v>199</v>
      </c>
      <c r="B199" s="544">
        <v>113</v>
      </c>
      <c r="C199" s="545" t="s">
        <v>70</v>
      </c>
      <c r="D199" s="549" t="s">
        <v>156</v>
      </c>
      <c r="E199" s="539">
        <f>VLOOKUP(B199,'2-Kosten per locatie'!$A$13:$C$87,3,FALSE)</f>
        <v>2</v>
      </c>
      <c r="F199" s="550"/>
      <c r="G199" s="551" t="s">
        <v>325</v>
      </c>
      <c r="H199" s="552" t="s">
        <v>326</v>
      </c>
      <c r="I199" s="551" t="s">
        <v>171</v>
      </c>
      <c r="J199" s="553">
        <v>10.4</v>
      </c>
      <c r="K199" s="554"/>
      <c r="L199" s="554"/>
      <c r="M199" s="554">
        <v>39.1</v>
      </c>
      <c r="N199" s="554"/>
      <c r="O199" s="554"/>
      <c r="P199" s="555"/>
      <c r="Q199" s="555">
        <f>J199</f>
        <v>10.4</v>
      </c>
      <c r="R199" s="555"/>
      <c r="S199" s="555"/>
      <c r="T199" s="556" t="s">
        <v>327</v>
      </c>
    </row>
    <row r="200" spans="1:20" ht="15" customHeight="1">
      <c r="A200" s="285">
        <v>200</v>
      </c>
      <c r="B200" s="544">
        <v>113</v>
      </c>
      <c r="C200" s="545" t="s">
        <v>70</v>
      </c>
      <c r="D200" s="549" t="s">
        <v>156</v>
      </c>
      <c r="E200" s="539">
        <f>VLOOKUP(B200,'2-Kosten per locatie'!$A$13:$C$87,3,FALSE)</f>
        <v>2</v>
      </c>
      <c r="F200" s="550"/>
      <c r="G200" s="551" t="s">
        <v>248</v>
      </c>
      <c r="H200" s="552" t="s">
        <v>213</v>
      </c>
      <c r="I200" s="551" t="s">
        <v>171</v>
      </c>
      <c r="J200" s="553">
        <v>20.7</v>
      </c>
      <c r="K200" s="554"/>
      <c r="L200" s="554"/>
      <c r="M200" s="554">
        <v>50.6</v>
      </c>
      <c r="N200" s="554"/>
      <c r="O200" s="554"/>
      <c r="P200" s="555"/>
      <c r="Q200" s="555">
        <f>J200</f>
        <v>20.7</v>
      </c>
      <c r="R200" s="555"/>
      <c r="S200" s="555"/>
      <c r="T200" s="556" t="s">
        <v>102</v>
      </c>
    </row>
    <row r="201" spans="1:20" ht="15" customHeight="1">
      <c r="A201" s="286">
        <v>201</v>
      </c>
      <c r="B201" s="544">
        <v>113</v>
      </c>
      <c r="C201" s="545" t="s">
        <v>70</v>
      </c>
      <c r="D201" s="549" t="s">
        <v>156</v>
      </c>
      <c r="E201" s="539">
        <f>VLOOKUP(B201,'2-Kosten per locatie'!$A$13:$C$87,3,FALSE)</f>
        <v>2</v>
      </c>
      <c r="F201" s="550"/>
      <c r="G201" s="551" t="s">
        <v>212</v>
      </c>
      <c r="H201" s="552" t="s">
        <v>328</v>
      </c>
      <c r="I201" s="551" t="s">
        <v>171</v>
      </c>
      <c r="J201" s="553">
        <v>9.4</v>
      </c>
      <c r="K201" s="554"/>
      <c r="L201" s="554"/>
      <c r="M201" s="554">
        <v>23.7</v>
      </c>
      <c r="N201" s="554"/>
      <c r="O201" s="554"/>
      <c r="P201" s="555"/>
      <c r="Q201" s="555">
        <f>J201</f>
        <v>9.4</v>
      </c>
      <c r="R201" s="555"/>
      <c r="S201" s="555"/>
      <c r="T201" s="556" t="s">
        <v>292</v>
      </c>
    </row>
    <row r="202" spans="1:20" ht="15" customHeight="1">
      <c r="A202" s="285">
        <v>202</v>
      </c>
      <c r="B202" s="544">
        <v>113</v>
      </c>
      <c r="C202" s="545" t="s">
        <v>70</v>
      </c>
      <c r="D202" s="549" t="s">
        <v>156</v>
      </c>
      <c r="E202" s="539">
        <f>VLOOKUP(B202,'2-Kosten per locatie'!$A$13:$C$87,3,FALSE)</f>
        <v>2</v>
      </c>
      <c r="F202" s="550"/>
      <c r="G202" s="551" t="s">
        <v>329</v>
      </c>
      <c r="H202" s="552" t="s">
        <v>221</v>
      </c>
      <c r="I202" s="551" t="s">
        <v>162</v>
      </c>
      <c r="J202" s="553">
        <v>25.79</v>
      </c>
      <c r="K202" s="554"/>
      <c r="L202" s="554"/>
      <c r="M202" s="554"/>
      <c r="N202" s="554"/>
      <c r="O202" s="554">
        <v>63</v>
      </c>
      <c r="P202" s="555"/>
      <c r="Q202" s="555"/>
      <c r="R202" s="555"/>
      <c r="S202" s="555"/>
      <c r="T202" s="556" t="s">
        <v>102</v>
      </c>
    </row>
    <row r="203" spans="1:20" ht="15" customHeight="1">
      <c r="A203" s="286">
        <v>203</v>
      </c>
      <c r="B203" s="544">
        <v>113</v>
      </c>
      <c r="C203" s="545" t="s">
        <v>70</v>
      </c>
      <c r="D203" s="549" t="s">
        <v>156</v>
      </c>
      <c r="E203" s="539">
        <f>VLOOKUP(B203,'2-Kosten per locatie'!$A$13:$C$87,3,FALSE)</f>
        <v>2</v>
      </c>
      <c r="F203" s="550"/>
      <c r="G203" s="551" t="s">
        <v>330</v>
      </c>
      <c r="H203" s="552" t="s">
        <v>331</v>
      </c>
      <c r="I203" s="551" t="s">
        <v>171</v>
      </c>
      <c r="J203" s="553">
        <v>46.17</v>
      </c>
      <c r="K203" s="554"/>
      <c r="L203" s="554"/>
      <c r="M203" s="554"/>
      <c r="N203" s="554"/>
      <c r="O203" s="554">
        <v>58</v>
      </c>
      <c r="P203" s="555"/>
      <c r="Q203" s="555"/>
      <c r="R203" s="555">
        <f>J203</f>
        <v>46.17</v>
      </c>
      <c r="S203" s="555"/>
      <c r="T203" s="556" t="s">
        <v>292</v>
      </c>
    </row>
    <row r="204" spans="1:20" ht="15" customHeight="1">
      <c r="A204" s="286">
        <v>204</v>
      </c>
      <c r="B204" s="544">
        <v>113</v>
      </c>
      <c r="C204" s="545" t="s">
        <v>70</v>
      </c>
      <c r="D204" s="549" t="s">
        <v>156</v>
      </c>
      <c r="E204" s="539">
        <f>VLOOKUP(B204,'2-Kosten per locatie'!$A$13:$C$87,3,FALSE)</f>
        <v>2</v>
      </c>
      <c r="F204" s="550"/>
      <c r="G204" s="551" t="s">
        <v>330</v>
      </c>
      <c r="H204" s="552" t="s">
        <v>332</v>
      </c>
      <c r="I204" s="551" t="s">
        <v>171</v>
      </c>
      <c r="J204" s="553">
        <v>47.88</v>
      </c>
      <c r="K204" s="554"/>
      <c r="L204" s="554"/>
      <c r="M204" s="554"/>
      <c r="N204" s="554"/>
      <c r="O204" s="554">
        <v>51</v>
      </c>
      <c r="P204" s="555"/>
      <c r="Q204" s="555"/>
      <c r="R204" s="555">
        <f>J204</f>
        <v>47.88</v>
      </c>
      <c r="S204" s="555"/>
      <c r="T204" s="556" t="s">
        <v>102</v>
      </c>
    </row>
    <row r="205" spans="1:20" ht="15" customHeight="1">
      <c r="A205" s="285">
        <v>205</v>
      </c>
      <c r="B205" s="544">
        <v>113</v>
      </c>
      <c r="C205" s="545" t="s">
        <v>70</v>
      </c>
      <c r="D205" s="549" t="s">
        <v>156</v>
      </c>
      <c r="E205" s="539">
        <f>VLOOKUP(B205,'2-Kosten per locatie'!$A$13:$C$87,3,FALSE)</f>
        <v>2</v>
      </c>
      <c r="F205" s="550"/>
      <c r="G205" s="551" t="s">
        <v>333</v>
      </c>
      <c r="H205" s="552" t="s">
        <v>334</v>
      </c>
      <c r="I205" s="551" t="s">
        <v>159</v>
      </c>
      <c r="J205" s="553">
        <v>46.25</v>
      </c>
      <c r="K205" s="554"/>
      <c r="L205" s="554"/>
      <c r="M205" s="554"/>
      <c r="N205" s="554"/>
      <c r="O205" s="554">
        <v>62.6</v>
      </c>
      <c r="P205" s="555"/>
      <c r="Q205" s="555"/>
      <c r="R205" s="555">
        <v>13.1</v>
      </c>
      <c r="S205" s="555"/>
      <c r="T205" s="556" t="s">
        <v>335</v>
      </c>
    </row>
    <row r="206" spans="1:20" ht="15" customHeight="1">
      <c r="A206" s="286">
        <v>206</v>
      </c>
      <c r="B206" s="544">
        <v>113</v>
      </c>
      <c r="C206" s="545" t="s">
        <v>70</v>
      </c>
      <c r="D206" s="549" t="s">
        <v>156</v>
      </c>
      <c r="E206" s="539">
        <f>VLOOKUP(B206,'2-Kosten per locatie'!$A$13:$C$87,3,FALSE)</f>
        <v>2</v>
      </c>
      <c r="F206" s="550"/>
      <c r="G206" s="551" t="s">
        <v>333</v>
      </c>
      <c r="H206" s="552" t="s">
        <v>336</v>
      </c>
      <c r="I206" s="551" t="s">
        <v>171</v>
      </c>
      <c r="J206" s="553">
        <v>42.01</v>
      </c>
      <c r="K206" s="554"/>
      <c r="L206" s="554"/>
      <c r="M206" s="554"/>
      <c r="N206" s="554"/>
      <c r="O206" s="554">
        <v>63</v>
      </c>
      <c r="P206" s="555"/>
      <c r="Q206" s="555"/>
      <c r="R206" s="555">
        <v>13.1</v>
      </c>
      <c r="S206" s="555"/>
      <c r="T206" s="556" t="s">
        <v>337</v>
      </c>
    </row>
    <row r="207" spans="1:20" ht="15" customHeight="1">
      <c r="A207" s="285">
        <v>207</v>
      </c>
      <c r="B207" s="544">
        <v>114</v>
      </c>
      <c r="C207" s="545" t="s">
        <v>71</v>
      </c>
      <c r="D207" s="549" t="s">
        <v>156</v>
      </c>
      <c r="E207" s="539">
        <f>VLOOKUP(B207,'2-Kosten per locatie'!$A$13:$C$87,3,FALSE)</f>
        <v>2</v>
      </c>
      <c r="F207" s="550"/>
      <c r="G207" s="551" t="s">
        <v>393</v>
      </c>
      <c r="H207" s="552" t="s">
        <v>188</v>
      </c>
      <c r="I207" s="551" t="s">
        <v>159</v>
      </c>
      <c r="J207" s="553">
        <v>202.8</v>
      </c>
      <c r="K207" s="554">
        <f>10*3.8+16.4</f>
        <v>54.4</v>
      </c>
      <c r="L207" s="554"/>
      <c r="M207" s="554"/>
      <c r="N207" s="554"/>
      <c r="O207" s="554"/>
      <c r="P207" s="555"/>
      <c r="Q207" s="555"/>
      <c r="R207" s="555"/>
      <c r="S207" s="555">
        <f>21.5*4*1.8+1.8*1.5*18</f>
        <v>203.4</v>
      </c>
      <c r="T207" s="556" t="s">
        <v>394</v>
      </c>
    </row>
    <row r="208" spans="1:20" ht="15" customHeight="1">
      <c r="A208" s="286">
        <v>208</v>
      </c>
      <c r="B208" s="544">
        <v>114</v>
      </c>
      <c r="C208" s="545" t="s">
        <v>71</v>
      </c>
      <c r="D208" s="549" t="s">
        <v>156</v>
      </c>
      <c r="E208" s="539">
        <f>VLOOKUP(B208,'2-Kosten per locatie'!$A$13:$C$87,3,FALSE)</f>
        <v>2</v>
      </c>
      <c r="F208" s="550"/>
      <c r="G208" s="551" t="s">
        <v>395</v>
      </c>
      <c r="H208" s="552" t="s">
        <v>299</v>
      </c>
      <c r="I208" s="551" t="s">
        <v>159</v>
      </c>
      <c r="J208" s="553">
        <v>176.71</v>
      </c>
      <c r="K208" s="554">
        <v>316</v>
      </c>
      <c r="L208" s="554"/>
      <c r="M208" s="554"/>
      <c r="N208" s="554">
        <v>20</v>
      </c>
      <c r="O208" s="554"/>
      <c r="P208" s="555"/>
      <c r="Q208" s="555">
        <f>176.7+16*1.4+18.9*2.4</f>
        <v>244.45999999999998</v>
      </c>
      <c r="R208" s="555"/>
      <c r="S208" s="555"/>
      <c r="T208" s="556" t="s">
        <v>396</v>
      </c>
    </row>
    <row r="209" spans="1:20" ht="15" customHeight="1">
      <c r="A209" s="285">
        <v>209</v>
      </c>
      <c r="B209" s="544">
        <v>114</v>
      </c>
      <c r="C209" s="545" t="s">
        <v>71</v>
      </c>
      <c r="D209" s="549" t="s">
        <v>156</v>
      </c>
      <c r="E209" s="539">
        <f>VLOOKUP(B209,'2-Kosten per locatie'!$A$13:$C$87,3,FALSE)</f>
        <v>2</v>
      </c>
      <c r="F209" s="550"/>
      <c r="G209" s="551" t="s">
        <v>397</v>
      </c>
      <c r="H209" s="552" t="s">
        <v>191</v>
      </c>
      <c r="I209" s="551" t="s">
        <v>162</v>
      </c>
      <c r="J209" s="553">
        <v>3.9</v>
      </c>
      <c r="K209" s="554"/>
      <c r="L209" s="554"/>
      <c r="M209" s="554"/>
      <c r="N209" s="554"/>
      <c r="O209" s="554"/>
      <c r="P209" s="555"/>
      <c r="Q209" s="555"/>
      <c r="R209" s="555"/>
      <c r="S209" s="555">
        <f>J209</f>
        <v>3.9</v>
      </c>
      <c r="T209" s="556" t="s">
        <v>394</v>
      </c>
    </row>
    <row r="210" spans="1:20" ht="15" customHeight="1">
      <c r="A210" s="286">
        <v>210</v>
      </c>
      <c r="B210" s="544">
        <v>114</v>
      </c>
      <c r="C210" s="545" t="s">
        <v>71</v>
      </c>
      <c r="D210" s="549" t="s">
        <v>156</v>
      </c>
      <c r="E210" s="539">
        <f>VLOOKUP(B210,'2-Kosten per locatie'!$A$13:$C$87,3,FALSE)</f>
        <v>2</v>
      </c>
      <c r="F210" s="550"/>
      <c r="G210" s="551" t="s">
        <v>398</v>
      </c>
      <c r="H210" s="552" t="s">
        <v>192</v>
      </c>
      <c r="I210" s="551" t="s">
        <v>399</v>
      </c>
      <c r="J210" s="553">
        <v>57.2</v>
      </c>
      <c r="K210" s="554"/>
      <c r="L210" s="554"/>
      <c r="M210" s="554"/>
      <c r="N210" s="554"/>
      <c r="O210" s="554">
        <v>316</v>
      </c>
      <c r="P210" s="555"/>
      <c r="Q210" s="555">
        <f>57.5-21</f>
        <v>36.5</v>
      </c>
      <c r="R210" s="555">
        <v>21</v>
      </c>
      <c r="S210" s="555"/>
      <c r="T210" s="556" t="s">
        <v>394</v>
      </c>
    </row>
    <row r="211" spans="1:20" ht="15" customHeight="1">
      <c r="A211" s="286">
        <v>211</v>
      </c>
      <c r="B211" s="544">
        <v>114</v>
      </c>
      <c r="C211" s="545" t="s">
        <v>71</v>
      </c>
      <c r="D211" s="549" t="s">
        <v>156</v>
      </c>
      <c r="E211" s="539">
        <f>VLOOKUP(B211,'2-Kosten per locatie'!$A$13:$C$87,3,FALSE)</f>
        <v>2</v>
      </c>
      <c r="F211" s="550"/>
      <c r="G211" s="551" t="s">
        <v>398</v>
      </c>
      <c r="H211" s="552" t="s">
        <v>194</v>
      </c>
      <c r="I211" s="551" t="s">
        <v>159</v>
      </c>
      <c r="J211" s="553">
        <v>8.7799999999999994</v>
      </c>
      <c r="K211" s="554"/>
      <c r="L211" s="554"/>
      <c r="M211" s="554">
        <v>61</v>
      </c>
      <c r="N211" s="554"/>
      <c r="O211" s="554"/>
      <c r="P211" s="555"/>
      <c r="Q211" s="555">
        <f>J211</f>
        <v>8.7799999999999994</v>
      </c>
      <c r="R211" s="555"/>
      <c r="S211" s="555"/>
      <c r="T211" s="556" t="s">
        <v>394</v>
      </c>
    </row>
    <row r="212" spans="1:20" ht="15" customHeight="1">
      <c r="A212" s="285">
        <v>212</v>
      </c>
      <c r="B212" s="544">
        <v>114</v>
      </c>
      <c r="C212" s="545" t="s">
        <v>71</v>
      </c>
      <c r="D212" s="549" t="s">
        <v>156</v>
      </c>
      <c r="E212" s="539">
        <f>VLOOKUP(B212,'2-Kosten per locatie'!$A$13:$C$87,3,FALSE)</f>
        <v>2</v>
      </c>
      <c r="F212" s="550"/>
      <c r="G212" s="551" t="s">
        <v>398</v>
      </c>
      <c r="H212" s="552" t="s">
        <v>400</v>
      </c>
      <c r="I212" s="551" t="s">
        <v>159</v>
      </c>
      <c r="J212" s="553">
        <v>13.81</v>
      </c>
      <c r="K212" s="554"/>
      <c r="L212" s="554"/>
      <c r="M212" s="554">
        <v>67</v>
      </c>
      <c r="N212" s="554"/>
      <c r="O212" s="554"/>
      <c r="P212" s="555"/>
      <c r="Q212" s="555">
        <f>J212</f>
        <v>13.81</v>
      </c>
      <c r="R212" s="555"/>
      <c r="S212" s="555"/>
      <c r="T212" s="556" t="s">
        <v>396</v>
      </c>
    </row>
    <row r="213" spans="1:20" ht="15" customHeight="1">
      <c r="A213" s="286">
        <v>213</v>
      </c>
      <c r="B213" s="544">
        <v>114</v>
      </c>
      <c r="C213" s="545" t="s">
        <v>71</v>
      </c>
      <c r="D213" s="549" t="s">
        <v>156</v>
      </c>
      <c r="E213" s="539">
        <f>VLOOKUP(B213,'2-Kosten per locatie'!$A$13:$C$87,3,FALSE)</f>
        <v>2</v>
      </c>
      <c r="F213" s="550"/>
      <c r="G213" s="551" t="s">
        <v>401</v>
      </c>
      <c r="H213" s="552" t="s">
        <v>402</v>
      </c>
      <c r="I213" s="551" t="s">
        <v>222</v>
      </c>
      <c r="J213" s="553">
        <v>2.42</v>
      </c>
      <c r="K213" s="554"/>
      <c r="L213" s="554"/>
      <c r="M213" s="554">
        <v>29</v>
      </c>
      <c r="N213" s="554"/>
      <c r="O213" s="554"/>
      <c r="P213" s="555"/>
      <c r="Q213" s="555">
        <f>J213</f>
        <v>2.42</v>
      </c>
      <c r="R213" s="555"/>
      <c r="S213" s="555"/>
      <c r="T213" s="556" t="s">
        <v>396</v>
      </c>
    </row>
    <row r="214" spans="1:20" ht="15" customHeight="1">
      <c r="A214" s="285">
        <v>214</v>
      </c>
      <c r="B214" s="544">
        <v>114</v>
      </c>
      <c r="C214" s="545" t="s">
        <v>71</v>
      </c>
      <c r="D214" s="549" t="s">
        <v>156</v>
      </c>
      <c r="E214" s="539">
        <f>VLOOKUP(B214,'2-Kosten per locatie'!$A$13:$C$87,3,FALSE)</f>
        <v>2</v>
      </c>
      <c r="F214" s="550"/>
      <c r="G214" s="551" t="s">
        <v>403</v>
      </c>
      <c r="H214" s="552" t="s">
        <v>404</v>
      </c>
      <c r="I214" s="551" t="s">
        <v>405</v>
      </c>
      <c r="J214" s="553">
        <v>40.619999999999997</v>
      </c>
      <c r="K214" s="554"/>
      <c r="L214" s="554"/>
      <c r="M214" s="554"/>
      <c r="N214" s="554"/>
      <c r="O214" s="554"/>
      <c r="P214" s="555"/>
      <c r="Q214" s="555"/>
      <c r="R214" s="555"/>
      <c r="S214" s="555"/>
      <c r="T214" s="556" t="s">
        <v>394</v>
      </c>
    </row>
    <row r="215" spans="1:20" ht="15" customHeight="1">
      <c r="A215" s="286">
        <v>215</v>
      </c>
      <c r="B215" s="544">
        <v>114</v>
      </c>
      <c r="C215" s="545" t="s">
        <v>71</v>
      </c>
      <c r="D215" s="549" t="s">
        <v>156</v>
      </c>
      <c r="E215" s="539">
        <f>VLOOKUP(B215,'2-Kosten per locatie'!$A$13:$C$87,3,FALSE)</f>
        <v>2</v>
      </c>
      <c r="F215" s="550"/>
      <c r="G215" s="551" t="s">
        <v>406</v>
      </c>
      <c r="H215" s="552" t="s">
        <v>407</v>
      </c>
      <c r="I215" s="551" t="s">
        <v>405</v>
      </c>
      <c r="J215" s="553">
        <v>34.79</v>
      </c>
      <c r="K215" s="554"/>
      <c r="L215" s="554"/>
      <c r="M215" s="554"/>
      <c r="N215" s="554"/>
      <c r="O215" s="554"/>
      <c r="P215" s="555"/>
      <c r="Q215" s="555"/>
      <c r="R215" s="555"/>
      <c r="S215" s="555"/>
      <c r="T215" s="556" t="s">
        <v>394</v>
      </c>
    </row>
    <row r="216" spans="1:20" ht="15" customHeight="1">
      <c r="A216" s="285">
        <v>216</v>
      </c>
      <c r="B216" s="544">
        <v>114</v>
      </c>
      <c r="C216" s="545" t="s">
        <v>71</v>
      </c>
      <c r="D216" s="549" t="s">
        <v>156</v>
      </c>
      <c r="E216" s="539">
        <f>VLOOKUP(B216,'2-Kosten per locatie'!$A$13:$C$87,3,FALSE)</f>
        <v>2</v>
      </c>
      <c r="F216" s="550"/>
      <c r="G216" s="551" t="s">
        <v>195</v>
      </c>
      <c r="H216" s="552" t="s">
        <v>196</v>
      </c>
      <c r="I216" s="551" t="s">
        <v>159</v>
      </c>
      <c r="J216" s="553">
        <v>17.68</v>
      </c>
      <c r="K216" s="554"/>
      <c r="L216" s="554"/>
      <c r="M216" s="554"/>
      <c r="N216" s="554"/>
      <c r="O216" s="554">
        <v>70</v>
      </c>
      <c r="P216" s="555"/>
      <c r="Q216" s="555"/>
      <c r="R216" s="555">
        <f>J216</f>
        <v>17.68</v>
      </c>
      <c r="S216" s="555"/>
      <c r="T216" s="556" t="s">
        <v>394</v>
      </c>
    </row>
    <row r="217" spans="1:20" ht="15" customHeight="1">
      <c r="A217" s="286">
        <v>217</v>
      </c>
      <c r="B217" s="544">
        <v>114</v>
      </c>
      <c r="C217" s="545" t="s">
        <v>71</v>
      </c>
      <c r="D217" s="549" t="s">
        <v>156</v>
      </c>
      <c r="E217" s="539">
        <f>VLOOKUP(B217,'2-Kosten per locatie'!$A$13:$C$87,3,FALSE)</f>
        <v>2</v>
      </c>
      <c r="F217" s="550"/>
      <c r="G217" s="551" t="s">
        <v>408</v>
      </c>
      <c r="H217" s="552" t="s">
        <v>364</v>
      </c>
      <c r="I217" s="551" t="s">
        <v>159</v>
      </c>
      <c r="J217" s="553">
        <v>8.16</v>
      </c>
      <c r="K217" s="554"/>
      <c r="L217" s="554"/>
      <c r="M217" s="554">
        <v>36.799999999999997</v>
      </c>
      <c r="N217" s="554"/>
      <c r="O217" s="554"/>
      <c r="P217" s="555"/>
      <c r="Q217" s="555">
        <f>J217</f>
        <v>8.16</v>
      </c>
      <c r="R217" s="555"/>
      <c r="S217" s="555"/>
      <c r="T217" s="556" t="s">
        <v>409</v>
      </c>
    </row>
    <row r="218" spans="1:20" ht="15" customHeight="1">
      <c r="A218" s="286">
        <v>218</v>
      </c>
      <c r="B218" s="544">
        <v>114</v>
      </c>
      <c r="C218" s="545" t="s">
        <v>71</v>
      </c>
      <c r="D218" s="549" t="s">
        <v>156</v>
      </c>
      <c r="E218" s="539">
        <f>VLOOKUP(B218,'2-Kosten per locatie'!$A$13:$C$87,3,FALSE)</f>
        <v>2</v>
      </c>
      <c r="F218" s="550"/>
      <c r="G218" s="551" t="s">
        <v>410</v>
      </c>
      <c r="H218" s="552" t="s">
        <v>366</v>
      </c>
      <c r="I218" s="551" t="s">
        <v>162</v>
      </c>
      <c r="J218" s="553">
        <v>14.31</v>
      </c>
      <c r="K218" s="554"/>
      <c r="L218" s="554"/>
      <c r="M218" s="554"/>
      <c r="N218" s="554"/>
      <c r="O218" s="554">
        <v>64</v>
      </c>
      <c r="P218" s="555"/>
      <c r="Q218" s="555"/>
      <c r="R218" s="555">
        <f>J218</f>
        <v>14.31</v>
      </c>
      <c r="S218" s="555"/>
      <c r="T218" s="556" t="s">
        <v>396</v>
      </c>
    </row>
    <row r="219" spans="1:20" ht="15" customHeight="1">
      <c r="A219" s="285">
        <v>219</v>
      </c>
      <c r="B219" s="544">
        <v>114</v>
      </c>
      <c r="C219" s="545" t="s">
        <v>71</v>
      </c>
      <c r="D219" s="549" t="s">
        <v>156</v>
      </c>
      <c r="E219" s="539">
        <f>VLOOKUP(B219,'2-Kosten per locatie'!$A$13:$C$87,3,FALSE)</f>
        <v>2</v>
      </c>
      <c r="F219" s="550"/>
      <c r="G219" s="551" t="s">
        <v>411</v>
      </c>
      <c r="H219" s="552" t="s">
        <v>198</v>
      </c>
      <c r="I219" s="551" t="s">
        <v>159</v>
      </c>
      <c r="J219" s="553">
        <v>14.9</v>
      </c>
      <c r="K219" s="554"/>
      <c r="L219" s="554"/>
      <c r="M219" s="554">
        <v>65</v>
      </c>
      <c r="N219" s="554"/>
      <c r="O219" s="554"/>
      <c r="P219" s="555"/>
      <c r="Q219" s="555">
        <f>J219</f>
        <v>14.9</v>
      </c>
      <c r="R219" s="555"/>
      <c r="S219" s="555"/>
      <c r="T219" s="556" t="s">
        <v>394</v>
      </c>
    </row>
    <row r="220" spans="1:20" ht="15" customHeight="1">
      <c r="A220" s="286">
        <v>220</v>
      </c>
      <c r="B220" s="544">
        <v>114</v>
      </c>
      <c r="C220" s="545" t="s">
        <v>71</v>
      </c>
      <c r="D220" s="549" t="s">
        <v>156</v>
      </c>
      <c r="E220" s="539">
        <f>VLOOKUP(B220,'2-Kosten per locatie'!$A$13:$C$87,3,FALSE)</f>
        <v>2</v>
      </c>
      <c r="F220" s="550"/>
      <c r="G220" s="551" t="s">
        <v>197</v>
      </c>
      <c r="H220" s="552" t="s">
        <v>306</v>
      </c>
      <c r="I220" s="551" t="s">
        <v>159</v>
      </c>
      <c r="J220" s="553">
        <v>11.71</v>
      </c>
      <c r="K220" s="554"/>
      <c r="L220" s="554"/>
      <c r="M220" s="554">
        <v>58</v>
      </c>
      <c r="N220" s="554"/>
      <c r="O220" s="554"/>
      <c r="P220" s="555"/>
      <c r="Q220" s="555">
        <f>J220</f>
        <v>11.71</v>
      </c>
      <c r="R220" s="555"/>
      <c r="S220" s="555"/>
      <c r="T220" s="556" t="s">
        <v>396</v>
      </c>
    </row>
    <row r="221" spans="1:20" ht="15" customHeight="1">
      <c r="A221" s="285">
        <v>221</v>
      </c>
      <c r="B221" s="544">
        <v>114</v>
      </c>
      <c r="C221" s="545" t="s">
        <v>71</v>
      </c>
      <c r="D221" s="549" t="s">
        <v>156</v>
      </c>
      <c r="E221" s="539">
        <f>VLOOKUP(B221,'2-Kosten per locatie'!$A$13:$C$87,3,FALSE)</f>
        <v>2</v>
      </c>
      <c r="F221" s="550"/>
      <c r="G221" s="551" t="s">
        <v>199</v>
      </c>
      <c r="H221" s="552" t="s">
        <v>200</v>
      </c>
      <c r="I221" s="551" t="s">
        <v>159</v>
      </c>
      <c r="J221" s="553">
        <v>21.55</v>
      </c>
      <c r="K221" s="554"/>
      <c r="L221" s="554"/>
      <c r="M221" s="554">
        <v>76</v>
      </c>
      <c r="N221" s="554"/>
      <c r="O221" s="554"/>
      <c r="P221" s="555"/>
      <c r="Q221" s="555">
        <f>J221</f>
        <v>21.55</v>
      </c>
      <c r="R221" s="555"/>
      <c r="S221" s="555"/>
      <c r="T221" s="556" t="s">
        <v>394</v>
      </c>
    </row>
    <row r="222" spans="1:20" ht="15" customHeight="1">
      <c r="A222" s="286">
        <v>222</v>
      </c>
      <c r="B222" s="544">
        <v>114</v>
      </c>
      <c r="C222" s="545" t="s">
        <v>71</v>
      </c>
      <c r="D222" s="549" t="s">
        <v>156</v>
      </c>
      <c r="E222" s="539">
        <f>VLOOKUP(B222,'2-Kosten per locatie'!$A$13:$C$87,3,FALSE)</f>
        <v>2</v>
      </c>
      <c r="F222" s="550"/>
      <c r="G222" s="551" t="s">
        <v>412</v>
      </c>
      <c r="H222" s="552" t="s">
        <v>202</v>
      </c>
      <c r="I222" s="551" t="s">
        <v>162</v>
      </c>
      <c r="J222" s="553">
        <v>10.62</v>
      </c>
      <c r="K222" s="554"/>
      <c r="L222" s="554"/>
      <c r="M222" s="554"/>
      <c r="N222" s="554"/>
      <c r="O222" s="554">
        <v>54</v>
      </c>
      <c r="P222" s="555"/>
      <c r="Q222" s="555"/>
      <c r="R222" s="555"/>
      <c r="S222" s="555">
        <f>J222</f>
        <v>10.62</v>
      </c>
      <c r="T222" s="556" t="s">
        <v>394</v>
      </c>
    </row>
    <row r="223" spans="1:20" ht="15" customHeight="1">
      <c r="A223" s="285">
        <v>223</v>
      </c>
      <c r="B223" s="544">
        <v>114</v>
      </c>
      <c r="C223" s="545" t="s">
        <v>71</v>
      </c>
      <c r="D223" s="549" t="s">
        <v>156</v>
      </c>
      <c r="E223" s="539">
        <f>VLOOKUP(B223,'2-Kosten per locatie'!$A$13:$C$87,3,FALSE)</f>
        <v>2</v>
      </c>
      <c r="F223" s="550"/>
      <c r="G223" s="551" t="s">
        <v>413</v>
      </c>
      <c r="H223" s="552" t="s">
        <v>309</v>
      </c>
      <c r="I223" s="551" t="s">
        <v>162</v>
      </c>
      <c r="J223" s="553">
        <v>24.6</v>
      </c>
      <c r="K223" s="554"/>
      <c r="L223" s="554"/>
      <c r="M223" s="554"/>
      <c r="N223" s="554"/>
      <c r="O223" s="554">
        <v>69</v>
      </c>
      <c r="P223" s="555"/>
      <c r="Q223" s="555"/>
      <c r="R223" s="555"/>
      <c r="S223" s="555">
        <f>J223</f>
        <v>24.6</v>
      </c>
      <c r="T223" s="556" t="s">
        <v>394</v>
      </c>
    </row>
    <row r="224" spans="1:20" ht="15" customHeight="1">
      <c r="A224" s="286">
        <v>224</v>
      </c>
      <c r="B224" s="544">
        <v>114</v>
      </c>
      <c r="C224" s="545" t="s">
        <v>71</v>
      </c>
      <c r="D224" s="549" t="s">
        <v>156</v>
      </c>
      <c r="E224" s="539">
        <f>VLOOKUP(B224,'2-Kosten per locatie'!$A$13:$C$87,3,FALSE)</f>
        <v>2</v>
      </c>
      <c r="F224" s="550"/>
      <c r="G224" s="551" t="s">
        <v>414</v>
      </c>
      <c r="H224" s="552" t="s">
        <v>368</v>
      </c>
      <c r="I224" s="551" t="s">
        <v>159</v>
      </c>
      <c r="J224" s="553">
        <v>9.32</v>
      </c>
      <c r="K224" s="554">
        <v>51</v>
      </c>
      <c r="L224" s="554"/>
      <c r="M224" s="554"/>
      <c r="N224" s="554"/>
      <c r="O224" s="554"/>
      <c r="P224" s="555"/>
      <c r="Q224" s="555">
        <f>J224</f>
        <v>9.32</v>
      </c>
      <c r="R224" s="555"/>
      <c r="S224" s="555"/>
      <c r="T224" s="556" t="s">
        <v>394</v>
      </c>
    </row>
    <row r="225" spans="1:20" ht="15" customHeight="1">
      <c r="A225" s="286">
        <v>225</v>
      </c>
      <c r="B225" s="544">
        <v>114</v>
      </c>
      <c r="C225" s="545" t="s">
        <v>71</v>
      </c>
      <c r="D225" s="549" t="s">
        <v>156</v>
      </c>
      <c r="E225" s="539">
        <f>VLOOKUP(B225,'2-Kosten per locatie'!$A$13:$C$87,3,FALSE)</f>
        <v>2</v>
      </c>
      <c r="F225" s="550"/>
      <c r="G225" s="551" t="s">
        <v>237</v>
      </c>
      <c r="H225" s="552" t="s">
        <v>415</v>
      </c>
      <c r="I225" s="551" t="s">
        <v>159</v>
      </c>
      <c r="J225" s="553">
        <v>13.85</v>
      </c>
      <c r="K225" s="554">
        <v>67</v>
      </c>
      <c r="L225" s="554"/>
      <c r="M225" s="554"/>
      <c r="N225" s="554"/>
      <c r="O225" s="554"/>
      <c r="P225" s="555"/>
      <c r="Q225" s="555">
        <f>J225</f>
        <v>13.85</v>
      </c>
      <c r="R225" s="555"/>
      <c r="S225" s="555"/>
      <c r="T225" s="556" t="s">
        <v>394</v>
      </c>
    </row>
    <row r="226" spans="1:20" ht="15" customHeight="1">
      <c r="A226" s="285">
        <v>226</v>
      </c>
      <c r="B226" s="544">
        <v>114</v>
      </c>
      <c r="C226" s="545" t="s">
        <v>71</v>
      </c>
      <c r="D226" s="549" t="s">
        <v>156</v>
      </c>
      <c r="E226" s="539">
        <f>VLOOKUP(B226,'2-Kosten per locatie'!$A$13:$C$87,3,FALSE)</f>
        <v>2</v>
      </c>
      <c r="F226" s="550"/>
      <c r="G226" s="551" t="s">
        <v>416</v>
      </c>
      <c r="H226" s="552" t="s">
        <v>311</v>
      </c>
      <c r="I226" s="551" t="s">
        <v>159</v>
      </c>
      <c r="J226" s="553">
        <v>4.0199999999999996</v>
      </c>
      <c r="K226" s="554">
        <v>31</v>
      </c>
      <c r="L226" s="554"/>
      <c r="M226" s="554"/>
      <c r="N226" s="554"/>
      <c r="O226" s="554"/>
      <c r="P226" s="555"/>
      <c r="Q226" s="555"/>
      <c r="R226" s="555"/>
      <c r="S226" s="555">
        <f>J226</f>
        <v>4.0199999999999996</v>
      </c>
      <c r="T226" s="556" t="s">
        <v>394</v>
      </c>
    </row>
    <row r="227" spans="1:20" ht="15" customHeight="1">
      <c r="A227" s="286">
        <v>227</v>
      </c>
      <c r="B227" s="544">
        <v>114</v>
      </c>
      <c r="C227" s="545" t="s">
        <v>71</v>
      </c>
      <c r="D227" s="549" t="s">
        <v>156</v>
      </c>
      <c r="E227" s="539">
        <f>VLOOKUP(B227,'2-Kosten per locatie'!$A$13:$C$87,3,FALSE)</f>
        <v>2</v>
      </c>
      <c r="F227" s="550"/>
      <c r="G227" s="551" t="s">
        <v>417</v>
      </c>
      <c r="H227" s="552" t="s">
        <v>259</v>
      </c>
      <c r="I227" s="551" t="s">
        <v>418</v>
      </c>
      <c r="J227" s="553">
        <v>6.53</v>
      </c>
      <c r="K227" s="554"/>
      <c r="L227" s="554"/>
      <c r="M227" s="554">
        <v>44</v>
      </c>
      <c r="N227" s="554"/>
      <c r="O227" s="554"/>
      <c r="P227" s="555"/>
      <c r="Q227" s="555">
        <f>J227</f>
        <v>6.53</v>
      </c>
      <c r="R227" s="555"/>
      <c r="S227" s="555"/>
      <c r="T227" s="556" t="s">
        <v>394</v>
      </c>
    </row>
    <row r="228" spans="1:20" ht="15" customHeight="1">
      <c r="A228" s="285">
        <v>228</v>
      </c>
      <c r="B228" s="544">
        <v>114</v>
      </c>
      <c r="C228" s="545" t="s">
        <v>71</v>
      </c>
      <c r="D228" s="549" t="s">
        <v>156</v>
      </c>
      <c r="E228" s="539">
        <f>VLOOKUP(B228,'2-Kosten per locatie'!$A$13:$C$87,3,FALSE)</f>
        <v>2</v>
      </c>
      <c r="F228" s="550"/>
      <c r="G228" s="551" t="s">
        <v>419</v>
      </c>
      <c r="H228" s="552" t="s">
        <v>261</v>
      </c>
      <c r="I228" s="551" t="s">
        <v>159</v>
      </c>
      <c r="J228" s="553">
        <v>7</v>
      </c>
      <c r="K228" s="554">
        <v>14.9</v>
      </c>
      <c r="L228" s="554"/>
      <c r="M228" s="554"/>
      <c r="N228" s="554"/>
      <c r="O228" s="554">
        <v>54.4</v>
      </c>
      <c r="P228" s="555"/>
      <c r="Q228" s="555">
        <f>J228</f>
        <v>7</v>
      </c>
      <c r="R228" s="555"/>
      <c r="S228" s="555"/>
      <c r="T228" s="556" t="s">
        <v>394</v>
      </c>
    </row>
    <row r="229" spans="1:20" ht="15" customHeight="1">
      <c r="A229" s="286">
        <v>229</v>
      </c>
      <c r="B229" s="544">
        <v>114</v>
      </c>
      <c r="C229" s="545" t="s">
        <v>71</v>
      </c>
      <c r="D229" s="549" t="s">
        <v>156</v>
      </c>
      <c r="E229" s="539">
        <f>VLOOKUP(B229,'2-Kosten per locatie'!$A$13:$C$87,3,FALSE)</f>
        <v>2</v>
      </c>
      <c r="F229" s="550"/>
      <c r="G229" s="551" t="s">
        <v>371</v>
      </c>
      <c r="H229" s="552" t="s">
        <v>420</v>
      </c>
      <c r="I229" s="551" t="s">
        <v>317</v>
      </c>
      <c r="J229" s="553">
        <v>6.61</v>
      </c>
      <c r="K229" s="554"/>
      <c r="L229" s="554"/>
      <c r="M229" s="554"/>
      <c r="N229" s="554">
        <v>2.3849999999999998</v>
      </c>
      <c r="O229" s="554"/>
      <c r="P229" s="555"/>
      <c r="Q229" s="555"/>
      <c r="R229" s="555"/>
      <c r="S229" s="555">
        <f>J229</f>
        <v>6.61</v>
      </c>
      <c r="T229" s="556" t="s">
        <v>421</v>
      </c>
    </row>
    <row r="230" spans="1:20" ht="15" customHeight="1">
      <c r="A230" s="285">
        <v>230</v>
      </c>
      <c r="B230" s="544">
        <v>114</v>
      </c>
      <c r="C230" s="545" t="s">
        <v>71</v>
      </c>
      <c r="D230" s="549" t="s">
        <v>156</v>
      </c>
      <c r="E230" s="539">
        <f>VLOOKUP(B230,'2-Kosten per locatie'!$A$13:$C$87,3,FALSE)</f>
        <v>2</v>
      </c>
      <c r="F230" s="550"/>
      <c r="G230" s="551" t="s">
        <v>422</v>
      </c>
      <c r="H230" s="552" t="s">
        <v>265</v>
      </c>
      <c r="I230" s="551" t="s">
        <v>418</v>
      </c>
      <c r="J230" s="553">
        <v>18.2</v>
      </c>
      <c r="K230" s="554"/>
      <c r="L230" s="554"/>
      <c r="M230" s="554"/>
      <c r="N230" s="554"/>
      <c r="O230" s="554">
        <v>78</v>
      </c>
      <c r="P230" s="555"/>
      <c r="Q230" s="555"/>
      <c r="R230" s="555">
        <f>J230</f>
        <v>18.2</v>
      </c>
      <c r="S230" s="555"/>
      <c r="T230" s="556" t="s">
        <v>394</v>
      </c>
    </row>
    <row r="231" spans="1:20" ht="15" customHeight="1">
      <c r="A231" s="286">
        <v>231</v>
      </c>
      <c r="B231" s="544">
        <v>114</v>
      </c>
      <c r="C231" s="545" t="s">
        <v>71</v>
      </c>
      <c r="D231" s="549" t="s">
        <v>156</v>
      </c>
      <c r="E231" s="539">
        <f>VLOOKUP(B231,'2-Kosten per locatie'!$A$13:$C$87,3,FALSE)</f>
        <v>2</v>
      </c>
      <c r="F231" s="550"/>
      <c r="G231" s="551" t="s">
        <v>423</v>
      </c>
      <c r="H231" s="552" t="s">
        <v>319</v>
      </c>
      <c r="I231" s="551" t="s">
        <v>159</v>
      </c>
      <c r="J231" s="553">
        <v>6.36</v>
      </c>
      <c r="K231" s="554"/>
      <c r="L231" s="554"/>
      <c r="M231" s="554">
        <v>47</v>
      </c>
      <c r="N231" s="554"/>
      <c r="O231" s="554"/>
      <c r="P231" s="555"/>
      <c r="Q231" s="555">
        <f>J231</f>
        <v>6.36</v>
      </c>
      <c r="R231" s="555"/>
      <c r="S231" s="555"/>
      <c r="T231" s="556" t="s">
        <v>396</v>
      </c>
    </row>
    <row r="232" spans="1:20" ht="15" customHeight="1">
      <c r="A232" s="286">
        <v>232</v>
      </c>
      <c r="B232" s="544">
        <v>114</v>
      </c>
      <c r="C232" s="545" t="s">
        <v>71</v>
      </c>
      <c r="D232" s="549" t="s">
        <v>156</v>
      </c>
      <c r="E232" s="539">
        <f>VLOOKUP(B232,'2-Kosten per locatie'!$A$13:$C$87,3,FALSE)</f>
        <v>2</v>
      </c>
      <c r="F232" s="550"/>
      <c r="G232" s="551" t="s">
        <v>424</v>
      </c>
      <c r="H232" s="552" t="s">
        <v>321</v>
      </c>
      <c r="I232" s="551" t="s">
        <v>159</v>
      </c>
      <c r="J232" s="553">
        <v>2.23</v>
      </c>
      <c r="K232" s="554"/>
      <c r="L232" s="554"/>
      <c r="M232" s="554"/>
      <c r="N232" s="554"/>
      <c r="O232" s="554">
        <v>51</v>
      </c>
      <c r="P232" s="555"/>
      <c r="Q232" s="555"/>
      <c r="R232" s="555">
        <f>J232</f>
        <v>2.23</v>
      </c>
      <c r="S232" s="555"/>
      <c r="T232" s="556" t="s">
        <v>396</v>
      </c>
    </row>
    <row r="233" spans="1:20" ht="15" customHeight="1">
      <c r="A233" s="285">
        <v>233</v>
      </c>
      <c r="B233" s="544">
        <v>114</v>
      </c>
      <c r="C233" s="545" t="s">
        <v>71</v>
      </c>
      <c r="D233" s="549" t="s">
        <v>156</v>
      </c>
      <c r="E233" s="539">
        <f>VLOOKUP(B233,'2-Kosten per locatie'!$A$13:$C$87,3,FALSE)</f>
        <v>2</v>
      </c>
      <c r="F233" s="550"/>
      <c r="G233" s="551" t="s">
        <v>425</v>
      </c>
      <c r="H233" s="552" t="s">
        <v>426</v>
      </c>
      <c r="I233" s="551" t="s">
        <v>159</v>
      </c>
      <c r="J233" s="553">
        <v>5.0199999999999996</v>
      </c>
      <c r="K233" s="554"/>
      <c r="L233" s="554"/>
      <c r="M233" s="554"/>
      <c r="N233" s="554"/>
      <c r="O233" s="554">
        <v>37</v>
      </c>
      <c r="P233" s="555"/>
      <c r="Q233" s="555"/>
      <c r="R233" s="555">
        <f>J233</f>
        <v>5.0199999999999996</v>
      </c>
      <c r="S233" s="555"/>
      <c r="T233" s="556" t="s">
        <v>396</v>
      </c>
    </row>
    <row r="234" spans="1:20" ht="15" customHeight="1">
      <c r="A234" s="286">
        <v>234</v>
      </c>
      <c r="B234" s="544">
        <v>114</v>
      </c>
      <c r="C234" s="545" t="s">
        <v>71</v>
      </c>
      <c r="D234" s="549" t="s">
        <v>156</v>
      </c>
      <c r="E234" s="539">
        <f>VLOOKUP(B234,'2-Kosten per locatie'!$A$13:$C$87,3,FALSE)</f>
        <v>2</v>
      </c>
      <c r="F234" s="550"/>
      <c r="G234" s="551" t="s">
        <v>427</v>
      </c>
      <c r="H234" s="552" t="s">
        <v>428</v>
      </c>
      <c r="I234" s="551" t="s">
        <v>317</v>
      </c>
      <c r="J234" s="553">
        <v>4.07</v>
      </c>
      <c r="K234" s="554"/>
      <c r="L234" s="554"/>
      <c r="M234" s="554"/>
      <c r="N234" s="554">
        <v>15.9</v>
      </c>
      <c r="O234" s="554"/>
      <c r="P234" s="555"/>
      <c r="Q234" s="555"/>
      <c r="R234" s="555"/>
      <c r="S234" s="555">
        <f>J234</f>
        <v>4.07</v>
      </c>
      <c r="T234" s="556" t="s">
        <v>429</v>
      </c>
    </row>
    <row r="235" spans="1:20" ht="15" customHeight="1">
      <c r="A235" s="285">
        <v>235</v>
      </c>
      <c r="B235" s="544">
        <v>114</v>
      </c>
      <c r="C235" s="545" t="s">
        <v>71</v>
      </c>
      <c r="D235" s="549" t="s">
        <v>156</v>
      </c>
      <c r="E235" s="539">
        <f>VLOOKUP(B235,'2-Kosten per locatie'!$A$13:$C$87,3,FALSE)</f>
        <v>2</v>
      </c>
      <c r="F235" s="550"/>
      <c r="G235" s="551" t="s">
        <v>430</v>
      </c>
      <c r="H235" s="552" t="s">
        <v>431</v>
      </c>
      <c r="I235" s="551" t="s">
        <v>159</v>
      </c>
      <c r="J235" s="553">
        <v>32.75</v>
      </c>
      <c r="K235" s="554"/>
      <c r="L235" s="554"/>
      <c r="M235" s="554"/>
      <c r="N235" s="554"/>
      <c r="O235" s="554">
        <v>38.299999999999997</v>
      </c>
      <c r="P235" s="555"/>
      <c r="Q235" s="555"/>
      <c r="R235" s="555">
        <f>J235</f>
        <v>32.75</v>
      </c>
      <c r="S235" s="555"/>
      <c r="T235" s="556" t="s">
        <v>394</v>
      </c>
    </row>
    <row r="236" spans="1:20" ht="15" customHeight="1">
      <c r="A236" s="286">
        <v>236</v>
      </c>
      <c r="B236" s="544">
        <v>114</v>
      </c>
      <c r="C236" s="545" t="s">
        <v>71</v>
      </c>
      <c r="D236" s="549" t="s">
        <v>156</v>
      </c>
      <c r="E236" s="539">
        <f>VLOOKUP(B236,'2-Kosten per locatie'!$A$13:$C$87,3,FALSE)</f>
        <v>2</v>
      </c>
      <c r="F236" s="550"/>
      <c r="G236" s="551" t="s">
        <v>432</v>
      </c>
      <c r="H236" s="552" t="s">
        <v>211</v>
      </c>
      <c r="I236" s="551" t="s">
        <v>418</v>
      </c>
      <c r="J236" s="553">
        <v>15.07</v>
      </c>
      <c r="K236" s="554"/>
      <c r="L236" s="554"/>
      <c r="M236" s="554"/>
      <c r="N236" s="554"/>
      <c r="O236" s="554">
        <v>64</v>
      </c>
      <c r="P236" s="555"/>
      <c r="Q236" s="555">
        <f>J236</f>
        <v>15.07</v>
      </c>
      <c r="R236" s="555"/>
      <c r="S236" s="555"/>
      <c r="T236" s="556" t="s">
        <v>394</v>
      </c>
    </row>
    <row r="237" spans="1:20" ht="15" customHeight="1">
      <c r="A237" s="285">
        <v>237</v>
      </c>
      <c r="B237" s="544">
        <v>114</v>
      </c>
      <c r="C237" s="545" t="s">
        <v>71</v>
      </c>
      <c r="D237" s="549" t="s">
        <v>156</v>
      </c>
      <c r="E237" s="539">
        <f>VLOOKUP(B237,'2-Kosten per locatie'!$A$13:$C$87,3,FALSE)</f>
        <v>2</v>
      </c>
      <c r="F237" s="550"/>
      <c r="G237" s="551" t="s">
        <v>289</v>
      </c>
      <c r="H237" s="552" t="s">
        <v>173</v>
      </c>
      <c r="I237" s="551" t="s">
        <v>290</v>
      </c>
      <c r="J237" s="553">
        <v>1503.07</v>
      </c>
      <c r="K237" s="554"/>
      <c r="L237" s="554"/>
      <c r="M237" s="554"/>
      <c r="N237" s="554"/>
      <c r="O237" s="554"/>
      <c r="P237" s="555">
        <f>152.39*10.09</f>
        <v>1537.6150999999998</v>
      </c>
      <c r="Q237" s="555"/>
      <c r="R237" s="555"/>
      <c r="S237" s="555"/>
      <c r="T237" s="556"/>
    </row>
    <row r="238" spans="1:20" ht="15" customHeight="1">
      <c r="A238" s="286">
        <v>238</v>
      </c>
      <c r="B238" s="544">
        <v>114</v>
      </c>
      <c r="C238" s="545" t="s">
        <v>71</v>
      </c>
      <c r="D238" s="549" t="s">
        <v>156</v>
      </c>
      <c r="E238" s="539">
        <f>VLOOKUP(B238,'2-Kosten per locatie'!$A$13:$C$87,3,FALSE)</f>
        <v>2</v>
      </c>
      <c r="F238" s="550"/>
      <c r="G238" s="551" t="s">
        <v>433</v>
      </c>
      <c r="H238" s="552" t="s">
        <v>434</v>
      </c>
      <c r="I238" s="551" t="s">
        <v>159</v>
      </c>
      <c r="J238" s="553">
        <v>35.49</v>
      </c>
      <c r="K238" s="554"/>
      <c r="L238" s="554"/>
      <c r="M238" s="554"/>
      <c r="N238" s="554"/>
      <c r="O238" s="554">
        <v>123</v>
      </c>
      <c r="P238" s="555"/>
      <c r="Q238" s="555"/>
      <c r="R238" s="555">
        <f>J238</f>
        <v>35.49</v>
      </c>
      <c r="S238" s="555"/>
      <c r="T238" s="556" t="s">
        <v>396</v>
      </c>
    </row>
    <row r="239" spans="1:20" ht="15" customHeight="1">
      <c r="A239" s="286">
        <v>239</v>
      </c>
      <c r="B239" s="544">
        <v>114</v>
      </c>
      <c r="C239" s="545" t="s">
        <v>71</v>
      </c>
      <c r="D239" s="549" t="s">
        <v>156</v>
      </c>
      <c r="E239" s="539">
        <f>VLOOKUP(B239,'2-Kosten per locatie'!$A$13:$C$87,3,FALSE)</f>
        <v>2</v>
      </c>
      <c r="F239" s="550"/>
      <c r="G239" s="551" t="s">
        <v>435</v>
      </c>
      <c r="H239" s="552" t="s">
        <v>436</v>
      </c>
      <c r="I239" s="551" t="s">
        <v>159</v>
      </c>
      <c r="J239" s="553">
        <v>34.61</v>
      </c>
      <c r="K239" s="554"/>
      <c r="L239" s="554"/>
      <c r="M239" s="554"/>
      <c r="N239" s="554"/>
      <c r="O239" s="554">
        <v>111</v>
      </c>
      <c r="P239" s="555"/>
      <c r="Q239" s="555"/>
      <c r="R239" s="555">
        <f>J239</f>
        <v>34.61</v>
      </c>
      <c r="S239" s="555"/>
      <c r="T239" s="556" t="s">
        <v>394</v>
      </c>
    </row>
    <row r="240" spans="1:20" ht="15" customHeight="1">
      <c r="A240" s="285">
        <v>240</v>
      </c>
      <c r="B240" s="544">
        <v>114</v>
      </c>
      <c r="C240" s="545" t="s">
        <v>71</v>
      </c>
      <c r="D240" s="549" t="s">
        <v>156</v>
      </c>
      <c r="E240" s="539">
        <f>VLOOKUP(B240,'2-Kosten per locatie'!$A$13:$C$87,3,FALSE)</f>
        <v>2</v>
      </c>
      <c r="F240" s="550"/>
      <c r="G240" s="551" t="s">
        <v>437</v>
      </c>
      <c r="H240" s="552" t="s">
        <v>438</v>
      </c>
      <c r="I240" s="551" t="s">
        <v>180</v>
      </c>
      <c r="J240" s="553">
        <v>42</v>
      </c>
      <c r="K240" s="554" t="s">
        <v>181</v>
      </c>
      <c r="L240" s="554"/>
      <c r="M240" s="554"/>
      <c r="N240" s="554"/>
      <c r="O240" s="554"/>
      <c r="P240" s="555"/>
      <c r="Q240" s="555"/>
      <c r="R240" s="555"/>
      <c r="S240" s="555"/>
      <c r="T240" s="556" t="s">
        <v>439</v>
      </c>
    </row>
    <row r="241" spans="1:20" ht="15" customHeight="1">
      <c r="A241" s="286">
        <v>241</v>
      </c>
      <c r="B241" s="544">
        <v>114</v>
      </c>
      <c r="C241" s="545" t="s">
        <v>71</v>
      </c>
      <c r="D241" s="549" t="s">
        <v>156</v>
      </c>
      <c r="E241" s="539">
        <f>VLOOKUP(B241,'2-Kosten per locatie'!$A$13:$C$87,3,FALSE)</f>
        <v>2</v>
      </c>
      <c r="F241" s="550"/>
      <c r="G241" s="551" t="s">
        <v>440</v>
      </c>
      <c r="H241" s="552" t="s">
        <v>438</v>
      </c>
      <c r="I241" s="551" t="s">
        <v>180</v>
      </c>
      <c r="J241" s="553">
        <v>42</v>
      </c>
      <c r="K241" s="554" t="s">
        <v>181</v>
      </c>
      <c r="L241" s="554"/>
      <c r="M241" s="554"/>
      <c r="N241" s="554"/>
      <c r="O241" s="554"/>
      <c r="P241" s="555"/>
      <c r="Q241" s="555"/>
      <c r="R241" s="555"/>
      <c r="S241" s="555"/>
      <c r="T241" s="556" t="s">
        <v>439</v>
      </c>
    </row>
    <row r="242" spans="1:20" ht="15" customHeight="1">
      <c r="A242" s="285">
        <v>242</v>
      </c>
      <c r="B242" s="544">
        <v>114</v>
      </c>
      <c r="C242" s="545" t="s">
        <v>71</v>
      </c>
      <c r="D242" s="549" t="s">
        <v>156</v>
      </c>
      <c r="E242" s="539">
        <f>VLOOKUP(B242,'2-Kosten per locatie'!$A$13:$C$87,3,FALSE)</f>
        <v>2</v>
      </c>
      <c r="F242" s="550"/>
      <c r="G242" s="551" t="s">
        <v>441</v>
      </c>
      <c r="H242" s="552" t="s">
        <v>438</v>
      </c>
      <c r="I242" s="551" t="s">
        <v>176</v>
      </c>
      <c r="J242" s="553">
        <v>26.25</v>
      </c>
      <c r="K242" s="554" t="s">
        <v>181</v>
      </c>
      <c r="L242" s="554"/>
      <c r="M242" s="554"/>
      <c r="N242" s="554"/>
      <c r="O242" s="554"/>
      <c r="P242" s="555"/>
      <c r="Q242" s="555"/>
      <c r="R242" s="555"/>
      <c r="S242" s="555"/>
      <c r="T242" s="556" t="s">
        <v>442</v>
      </c>
    </row>
    <row r="243" spans="1:20" ht="15" customHeight="1">
      <c r="A243" s="286">
        <v>243</v>
      </c>
      <c r="B243" s="544">
        <v>114</v>
      </c>
      <c r="C243" s="545" t="s">
        <v>71</v>
      </c>
      <c r="D243" s="549" t="s">
        <v>156</v>
      </c>
      <c r="E243" s="539">
        <f>VLOOKUP(B243,'2-Kosten per locatie'!$A$13:$C$87,3,FALSE)</f>
        <v>2</v>
      </c>
      <c r="F243" s="550"/>
      <c r="G243" s="551" t="s">
        <v>443</v>
      </c>
      <c r="H243" s="552" t="s">
        <v>438</v>
      </c>
      <c r="I243" s="551" t="s">
        <v>296</v>
      </c>
      <c r="J243" s="553">
        <v>26.25</v>
      </c>
      <c r="K243" s="554" t="s">
        <v>181</v>
      </c>
      <c r="L243" s="554"/>
      <c r="M243" s="554"/>
      <c r="N243" s="554"/>
      <c r="O243" s="554"/>
      <c r="P243" s="555"/>
      <c r="Q243" s="555"/>
      <c r="R243" s="555"/>
      <c r="S243" s="555"/>
      <c r="T243" s="556" t="s">
        <v>442</v>
      </c>
    </row>
    <row r="244" spans="1:20" ht="15" customHeight="1">
      <c r="A244" s="285">
        <v>244</v>
      </c>
      <c r="B244" s="544">
        <v>115</v>
      </c>
      <c r="C244" s="545" t="s">
        <v>72</v>
      </c>
      <c r="D244" s="549" t="s">
        <v>444</v>
      </c>
      <c r="E244" s="539">
        <f>VLOOKUP(B244,'2-Kosten per locatie'!$A$13:$C$87,3,FALSE)</f>
        <v>2</v>
      </c>
      <c r="F244" s="550"/>
      <c r="G244" s="551" t="s">
        <v>350</v>
      </c>
      <c r="H244" s="552" t="s">
        <v>188</v>
      </c>
      <c r="I244" s="551" t="s">
        <v>159</v>
      </c>
      <c r="J244" s="553">
        <v>182.62</v>
      </c>
      <c r="K244" s="554"/>
      <c r="L244" s="554"/>
      <c r="M244" s="554"/>
      <c r="N244" s="554">
        <v>20</v>
      </c>
      <c r="O244" s="554">
        <v>577</v>
      </c>
      <c r="P244" s="555"/>
      <c r="Q244" s="555">
        <f>161.2-27.6</f>
        <v>133.6</v>
      </c>
      <c r="R244" s="555"/>
      <c r="S244" s="555"/>
      <c r="T244" s="556" t="s">
        <v>445</v>
      </c>
    </row>
    <row r="245" spans="1:20" ht="15" customHeight="1">
      <c r="A245" s="286">
        <v>245</v>
      </c>
      <c r="B245" s="544">
        <v>115</v>
      </c>
      <c r="C245" s="545" t="s">
        <v>72</v>
      </c>
      <c r="D245" s="549" t="s">
        <v>444</v>
      </c>
      <c r="E245" s="539">
        <f>VLOOKUP(B245,'2-Kosten per locatie'!$A$13:$C$87,3,FALSE)</f>
        <v>2</v>
      </c>
      <c r="F245" s="550"/>
      <c r="G245" s="551" t="s">
        <v>350</v>
      </c>
      <c r="H245" s="552" t="s">
        <v>299</v>
      </c>
      <c r="I245" s="551" t="s">
        <v>159</v>
      </c>
      <c r="J245" s="553">
        <v>128.96</v>
      </c>
      <c r="K245" s="554"/>
      <c r="L245" s="554"/>
      <c r="M245" s="554"/>
      <c r="N245" s="554"/>
      <c r="O245" s="554">
        <v>418</v>
      </c>
      <c r="P245" s="555"/>
      <c r="Q245" s="555"/>
      <c r="R245" s="555">
        <v>198</v>
      </c>
      <c r="S245" s="555"/>
      <c r="T245" s="556" t="s">
        <v>394</v>
      </c>
    </row>
    <row r="246" spans="1:20" ht="15" customHeight="1">
      <c r="A246" s="286">
        <v>246</v>
      </c>
      <c r="B246" s="544">
        <v>115</v>
      </c>
      <c r="C246" s="545" t="s">
        <v>72</v>
      </c>
      <c r="D246" s="549" t="s">
        <v>444</v>
      </c>
      <c r="E246" s="539">
        <f>VLOOKUP(B246,'2-Kosten per locatie'!$A$13:$C$87,3,FALSE)</f>
        <v>2</v>
      </c>
      <c r="F246" s="550"/>
      <c r="G246" s="551" t="s">
        <v>349</v>
      </c>
      <c r="H246" s="552" t="s">
        <v>446</v>
      </c>
      <c r="I246" s="551" t="s">
        <v>290</v>
      </c>
      <c r="J246" s="553">
        <v>1699.37</v>
      </c>
      <c r="K246" s="554"/>
      <c r="L246" s="554"/>
      <c r="M246" s="554"/>
      <c r="N246" s="554"/>
      <c r="O246" s="554">
        <v>70</v>
      </c>
      <c r="P246" s="555">
        <f>121.5*12</f>
        <v>1458</v>
      </c>
      <c r="Q246" s="555"/>
      <c r="R246" s="555"/>
      <c r="S246" s="555"/>
      <c r="T246" s="556"/>
    </row>
    <row r="247" spans="1:20" ht="15" customHeight="1">
      <c r="A247" s="285">
        <v>247</v>
      </c>
      <c r="B247" s="544">
        <v>115</v>
      </c>
      <c r="C247" s="545" t="s">
        <v>72</v>
      </c>
      <c r="D247" s="549" t="s">
        <v>444</v>
      </c>
      <c r="E247" s="539">
        <f>VLOOKUP(B247,'2-Kosten per locatie'!$A$13:$C$87,3,FALSE)</f>
        <v>2</v>
      </c>
      <c r="F247" s="550"/>
      <c r="G247" s="551" t="s">
        <v>447</v>
      </c>
      <c r="H247" s="552" t="s">
        <v>191</v>
      </c>
      <c r="I247" s="551" t="s">
        <v>159</v>
      </c>
      <c r="J247" s="553">
        <v>11.01</v>
      </c>
      <c r="K247" s="554"/>
      <c r="L247" s="554"/>
      <c r="M247" s="554"/>
      <c r="N247" s="554"/>
      <c r="O247" s="554">
        <v>50</v>
      </c>
      <c r="P247" s="555"/>
      <c r="Q247" s="555"/>
      <c r="R247" s="555">
        <f>J247</f>
        <v>11.01</v>
      </c>
      <c r="S247" s="555"/>
      <c r="T247" s="556" t="s">
        <v>396</v>
      </c>
    </row>
    <row r="248" spans="1:20" ht="15" customHeight="1">
      <c r="A248" s="286">
        <v>248</v>
      </c>
      <c r="B248" s="544">
        <v>115</v>
      </c>
      <c r="C248" s="545" t="s">
        <v>72</v>
      </c>
      <c r="D248" s="549" t="s">
        <v>444</v>
      </c>
      <c r="E248" s="539">
        <f>VLOOKUP(B248,'2-Kosten per locatie'!$A$13:$C$87,3,FALSE)</f>
        <v>2</v>
      </c>
      <c r="F248" s="550"/>
      <c r="G248" s="551" t="s">
        <v>398</v>
      </c>
      <c r="H248" s="552" t="s">
        <v>192</v>
      </c>
      <c r="I248" s="551" t="s">
        <v>159</v>
      </c>
      <c r="J248" s="553">
        <v>3.89</v>
      </c>
      <c r="K248" s="554"/>
      <c r="L248" s="554"/>
      <c r="M248" s="554"/>
      <c r="N248" s="554"/>
      <c r="O248" s="554">
        <v>20</v>
      </c>
      <c r="P248" s="555"/>
      <c r="Q248" s="555"/>
      <c r="R248" s="555">
        <f>J248</f>
        <v>3.89</v>
      </c>
      <c r="S248" s="555"/>
      <c r="T248" s="556" t="s">
        <v>396</v>
      </c>
    </row>
    <row r="249" spans="1:20" ht="15" customHeight="1">
      <c r="A249" s="285">
        <v>249</v>
      </c>
      <c r="B249" s="544">
        <v>115</v>
      </c>
      <c r="C249" s="545" t="s">
        <v>72</v>
      </c>
      <c r="D249" s="549" t="s">
        <v>444</v>
      </c>
      <c r="E249" s="539">
        <f>VLOOKUP(B249,'2-Kosten per locatie'!$A$13:$C$87,3,FALSE)</f>
        <v>2</v>
      </c>
      <c r="F249" s="550"/>
      <c r="G249" s="551" t="s">
        <v>398</v>
      </c>
      <c r="H249" s="552" t="s">
        <v>194</v>
      </c>
      <c r="I249" s="551" t="s">
        <v>159</v>
      </c>
      <c r="J249" s="553">
        <v>19.579999999999998</v>
      </c>
      <c r="K249" s="554"/>
      <c r="L249" s="554"/>
      <c r="M249" s="554"/>
      <c r="N249" s="554"/>
      <c r="O249" s="554">
        <v>73</v>
      </c>
      <c r="P249" s="555"/>
      <c r="Q249" s="555"/>
      <c r="R249" s="555">
        <f>J249</f>
        <v>19.579999999999998</v>
      </c>
      <c r="S249" s="555"/>
      <c r="T249" s="556" t="s">
        <v>448</v>
      </c>
    </row>
    <row r="250" spans="1:20" ht="15" customHeight="1">
      <c r="A250" s="286">
        <v>250</v>
      </c>
      <c r="B250" s="544">
        <v>115</v>
      </c>
      <c r="C250" s="545" t="s">
        <v>72</v>
      </c>
      <c r="D250" s="549" t="s">
        <v>444</v>
      </c>
      <c r="E250" s="539">
        <f>VLOOKUP(B250,'2-Kosten per locatie'!$A$13:$C$87,3,FALSE)</f>
        <v>2</v>
      </c>
      <c r="F250" s="550"/>
      <c r="G250" s="551" t="s">
        <v>398</v>
      </c>
      <c r="H250" s="552" t="s">
        <v>400</v>
      </c>
      <c r="I250" s="551" t="s">
        <v>159</v>
      </c>
      <c r="J250" s="553">
        <v>18.52</v>
      </c>
      <c r="K250" s="554"/>
      <c r="L250" s="554"/>
      <c r="M250" s="554"/>
      <c r="N250" s="554"/>
      <c r="O250" s="554">
        <v>70</v>
      </c>
      <c r="P250" s="555"/>
      <c r="Q250" s="555"/>
      <c r="R250" s="555">
        <f>J250</f>
        <v>18.52</v>
      </c>
      <c r="S250" s="555"/>
      <c r="T250" s="556" t="s">
        <v>449</v>
      </c>
    </row>
    <row r="251" spans="1:20" ht="15" customHeight="1">
      <c r="A251" s="285">
        <v>251</v>
      </c>
      <c r="B251" s="544">
        <v>115</v>
      </c>
      <c r="C251" s="545" t="s">
        <v>72</v>
      </c>
      <c r="D251" s="549" t="s">
        <v>444</v>
      </c>
      <c r="E251" s="539">
        <f>VLOOKUP(B251,'2-Kosten per locatie'!$A$13:$C$87,3,FALSE)</f>
        <v>2</v>
      </c>
      <c r="F251" s="550"/>
      <c r="G251" s="551" t="s">
        <v>450</v>
      </c>
      <c r="H251" s="552" t="s">
        <v>451</v>
      </c>
      <c r="I251" s="551" t="s">
        <v>159</v>
      </c>
      <c r="J251" s="553">
        <v>20.94</v>
      </c>
      <c r="K251" s="554"/>
      <c r="L251" s="554"/>
      <c r="M251" s="554"/>
      <c r="N251" s="554"/>
      <c r="O251" s="554">
        <v>58.3</v>
      </c>
      <c r="P251" s="555"/>
      <c r="Q251" s="555"/>
      <c r="R251" s="555">
        <f>J251</f>
        <v>20.94</v>
      </c>
      <c r="S251" s="555"/>
      <c r="T251" s="556" t="s">
        <v>449</v>
      </c>
    </row>
    <row r="252" spans="1:20" ht="15" customHeight="1">
      <c r="A252" s="286">
        <v>252</v>
      </c>
      <c r="B252" s="544">
        <v>115</v>
      </c>
      <c r="C252" s="545" t="s">
        <v>72</v>
      </c>
      <c r="D252" s="549" t="s">
        <v>444</v>
      </c>
      <c r="E252" s="539">
        <f>VLOOKUP(B252,'2-Kosten per locatie'!$A$13:$C$87,3,FALSE)</f>
        <v>2</v>
      </c>
      <c r="F252" s="550"/>
      <c r="G252" s="551" t="s">
        <v>452</v>
      </c>
      <c r="H252" s="552" t="s">
        <v>253</v>
      </c>
      <c r="I252" s="551" t="s">
        <v>162</v>
      </c>
      <c r="J252" s="553">
        <v>34.950000000000003</v>
      </c>
      <c r="K252" s="554"/>
      <c r="L252" s="554"/>
      <c r="M252" s="554">
        <v>74</v>
      </c>
      <c r="N252" s="554"/>
      <c r="O252" s="554"/>
      <c r="P252" s="555"/>
      <c r="Q252" s="555">
        <f>J252</f>
        <v>34.950000000000003</v>
      </c>
      <c r="R252" s="555"/>
      <c r="S252" s="555"/>
      <c r="T252" s="556" t="s">
        <v>449</v>
      </c>
    </row>
    <row r="253" spans="1:20" ht="15" customHeight="1">
      <c r="A253" s="286">
        <v>253</v>
      </c>
      <c r="B253" s="544">
        <v>115</v>
      </c>
      <c r="C253" s="545" t="s">
        <v>72</v>
      </c>
      <c r="D253" s="549" t="s">
        <v>444</v>
      </c>
      <c r="E253" s="539">
        <f>VLOOKUP(B253,'2-Kosten per locatie'!$A$13:$C$87,3,FALSE)</f>
        <v>2</v>
      </c>
      <c r="F253" s="550"/>
      <c r="G253" s="551" t="s">
        <v>453</v>
      </c>
      <c r="H253" s="552" t="s">
        <v>454</v>
      </c>
      <c r="I253" s="551" t="s">
        <v>162</v>
      </c>
      <c r="J253" s="553">
        <v>28.37</v>
      </c>
      <c r="K253" s="554"/>
      <c r="L253" s="554"/>
      <c r="M253" s="554">
        <v>62.4</v>
      </c>
      <c r="N253" s="554"/>
      <c r="O253" s="554"/>
      <c r="P253" s="555"/>
      <c r="Q253" s="555">
        <f>J253</f>
        <v>28.37</v>
      </c>
      <c r="R253" s="555"/>
      <c r="S253" s="555"/>
      <c r="T253" s="556" t="s">
        <v>449</v>
      </c>
    </row>
    <row r="254" spans="1:20" ht="15" customHeight="1">
      <c r="A254" s="285">
        <v>254</v>
      </c>
      <c r="B254" s="544">
        <v>115</v>
      </c>
      <c r="C254" s="545" t="s">
        <v>72</v>
      </c>
      <c r="D254" s="549" t="s">
        <v>444</v>
      </c>
      <c r="E254" s="539">
        <f>VLOOKUP(B254,'2-Kosten per locatie'!$A$13:$C$87,3,FALSE)</f>
        <v>2</v>
      </c>
      <c r="F254" s="550"/>
      <c r="G254" s="551" t="s">
        <v>455</v>
      </c>
      <c r="H254" s="552" t="s">
        <v>456</v>
      </c>
      <c r="I254" s="551" t="s">
        <v>162</v>
      </c>
      <c r="J254" s="553">
        <v>15.1</v>
      </c>
      <c r="K254" s="554"/>
      <c r="L254" s="554"/>
      <c r="M254" s="554">
        <v>50</v>
      </c>
      <c r="N254" s="554"/>
      <c r="O254" s="554"/>
      <c r="P254" s="555"/>
      <c r="Q254" s="555">
        <f>J254</f>
        <v>15.1</v>
      </c>
      <c r="R254" s="555"/>
      <c r="S254" s="555"/>
      <c r="T254" s="556" t="s">
        <v>449</v>
      </c>
    </row>
    <row r="255" spans="1:20" ht="15" customHeight="1">
      <c r="A255" s="286">
        <v>255</v>
      </c>
      <c r="B255" s="544">
        <v>115</v>
      </c>
      <c r="C255" s="545" t="s">
        <v>72</v>
      </c>
      <c r="D255" s="549" t="s">
        <v>444</v>
      </c>
      <c r="E255" s="539">
        <f>VLOOKUP(B255,'2-Kosten per locatie'!$A$13:$C$87,3,FALSE)</f>
        <v>2</v>
      </c>
      <c r="F255" s="550"/>
      <c r="G255" s="551" t="s">
        <v>457</v>
      </c>
      <c r="H255" s="552" t="s">
        <v>196</v>
      </c>
      <c r="I255" s="551" t="s">
        <v>162</v>
      </c>
      <c r="J255" s="553">
        <v>14.18</v>
      </c>
      <c r="K255" s="554"/>
      <c r="L255" s="554"/>
      <c r="M255" s="554"/>
      <c r="N255" s="554"/>
      <c r="O255" s="554">
        <v>49</v>
      </c>
      <c r="P255" s="555"/>
      <c r="Q255" s="555"/>
      <c r="R255" s="555">
        <f>J255</f>
        <v>14.18</v>
      </c>
      <c r="S255" s="555"/>
      <c r="T255" s="556" t="s">
        <v>396</v>
      </c>
    </row>
    <row r="256" spans="1:20" ht="15" customHeight="1">
      <c r="A256" s="285">
        <v>256</v>
      </c>
      <c r="B256" s="544">
        <v>115</v>
      </c>
      <c r="C256" s="545" t="s">
        <v>72</v>
      </c>
      <c r="D256" s="549" t="s">
        <v>444</v>
      </c>
      <c r="E256" s="539">
        <f>VLOOKUP(B256,'2-Kosten per locatie'!$A$13:$C$87,3,FALSE)</f>
        <v>2</v>
      </c>
      <c r="F256" s="550"/>
      <c r="G256" s="551" t="s">
        <v>408</v>
      </c>
      <c r="H256" s="552" t="s">
        <v>326</v>
      </c>
      <c r="I256" s="551" t="s">
        <v>159</v>
      </c>
      <c r="J256" s="553">
        <v>12.53</v>
      </c>
      <c r="K256" s="554"/>
      <c r="L256" s="554"/>
      <c r="M256" s="554">
        <v>63</v>
      </c>
      <c r="N256" s="554"/>
      <c r="O256" s="554"/>
      <c r="P256" s="555"/>
      <c r="Q256" s="555">
        <f t="shared" ref="Q256:Q261" si="1">J256</f>
        <v>12.53</v>
      </c>
      <c r="R256" s="555"/>
      <c r="S256" s="555"/>
      <c r="T256" s="556" t="s">
        <v>396</v>
      </c>
    </row>
    <row r="257" spans="1:20" ht="15" customHeight="1">
      <c r="A257" s="286">
        <v>257</v>
      </c>
      <c r="B257" s="544">
        <v>115</v>
      </c>
      <c r="C257" s="545" t="s">
        <v>72</v>
      </c>
      <c r="D257" s="549" t="s">
        <v>444</v>
      </c>
      <c r="E257" s="539">
        <f>VLOOKUP(B257,'2-Kosten per locatie'!$A$13:$C$87,3,FALSE)</f>
        <v>2</v>
      </c>
      <c r="F257" s="550"/>
      <c r="G257" s="551" t="s">
        <v>458</v>
      </c>
      <c r="H257" s="552" t="s">
        <v>198</v>
      </c>
      <c r="I257" s="551" t="s">
        <v>159</v>
      </c>
      <c r="J257" s="553">
        <v>11.08</v>
      </c>
      <c r="K257" s="554"/>
      <c r="L257" s="554"/>
      <c r="M257" s="554">
        <v>50</v>
      </c>
      <c r="N257" s="554"/>
      <c r="O257" s="554"/>
      <c r="P257" s="555"/>
      <c r="Q257" s="555">
        <f t="shared" si="1"/>
        <v>11.08</v>
      </c>
      <c r="R257" s="555"/>
      <c r="S257" s="555"/>
      <c r="T257" s="556" t="s">
        <v>396</v>
      </c>
    </row>
    <row r="258" spans="1:20" ht="15" customHeight="1">
      <c r="A258" s="285">
        <v>258</v>
      </c>
      <c r="B258" s="544">
        <v>115</v>
      </c>
      <c r="C258" s="545" t="s">
        <v>72</v>
      </c>
      <c r="D258" s="549" t="s">
        <v>444</v>
      </c>
      <c r="E258" s="539">
        <f>VLOOKUP(B258,'2-Kosten per locatie'!$A$13:$C$87,3,FALSE)</f>
        <v>2</v>
      </c>
      <c r="F258" s="550"/>
      <c r="G258" s="551" t="s">
        <v>458</v>
      </c>
      <c r="H258" s="552" t="s">
        <v>306</v>
      </c>
      <c r="I258" s="551" t="s">
        <v>159</v>
      </c>
      <c r="J258" s="553">
        <v>6.91</v>
      </c>
      <c r="K258" s="554"/>
      <c r="L258" s="554"/>
      <c r="M258" s="554">
        <v>40</v>
      </c>
      <c r="N258" s="554"/>
      <c r="O258" s="554"/>
      <c r="P258" s="555"/>
      <c r="Q258" s="555">
        <f t="shared" si="1"/>
        <v>6.91</v>
      </c>
      <c r="R258" s="555"/>
      <c r="S258" s="555"/>
      <c r="T258" s="556" t="s">
        <v>394</v>
      </c>
    </row>
    <row r="259" spans="1:20" ht="15" customHeight="1">
      <c r="A259" s="286">
        <v>259</v>
      </c>
      <c r="B259" s="544">
        <v>115</v>
      </c>
      <c r="C259" s="545" t="s">
        <v>72</v>
      </c>
      <c r="D259" s="549" t="s">
        <v>444</v>
      </c>
      <c r="E259" s="539">
        <f>VLOOKUP(B259,'2-Kosten per locatie'!$A$13:$C$87,3,FALSE)</f>
        <v>2</v>
      </c>
      <c r="F259" s="550"/>
      <c r="G259" s="551" t="s">
        <v>459</v>
      </c>
      <c r="H259" s="552" t="s">
        <v>200</v>
      </c>
      <c r="I259" s="551" t="s">
        <v>159</v>
      </c>
      <c r="J259" s="553">
        <v>14.75</v>
      </c>
      <c r="K259" s="554"/>
      <c r="L259" s="554"/>
      <c r="M259" s="554">
        <v>61</v>
      </c>
      <c r="N259" s="554"/>
      <c r="O259" s="554"/>
      <c r="P259" s="555"/>
      <c r="Q259" s="555">
        <f t="shared" si="1"/>
        <v>14.75</v>
      </c>
      <c r="R259" s="555"/>
      <c r="S259" s="555"/>
      <c r="T259" s="556" t="s">
        <v>396</v>
      </c>
    </row>
    <row r="260" spans="1:20" ht="15" customHeight="1">
      <c r="A260" s="286">
        <v>260</v>
      </c>
      <c r="B260" s="544">
        <v>115</v>
      </c>
      <c r="C260" s="545" t="s">
        <v>72</v>
      </c>
      <c r="D260" s="549" t="s">
        <v>444</v>
      </c>
      <c r="E260" s="539">
        <f>VLOOKUP(B260,'2-Kosten per locatie'!$A$13:$C$87,3,FALSE)</f>
        <v>2</v>
      </c>
      <c r="F260" s="550"/>
      <c r="G260" s="551" t="s">
        <v>460</v>
      </c>
      <c r="H260" s="552" t="s">
        <v>202</v>
      </c>
      <c r="I260" s="551" t="s">
        <v>159</v>
      </c>
      <c r="J260" s="553">
        <v>5.93</v>
      </c>
      <c r="K260" s="554"/>
      <c r="L260" s="554"/>
      <c r="M260" s="554">
        <v>31</v>
      </c>
      <c r="N260" s="554"/>
      <c r="O260" s="554"/>
      <c r="P260" s="555"/>
      <c r="Q260" s="555">
        <f t="shared" si="1"/>
        <v>5.93</v>
      </c>
      <c r="R260" s="555"/>
      <c r="S260" s="555"/>
      <c r="T260" s="556" t="s">
        <v>461</v>
      </c>
    </row>
    <row r="261" spans="1:20" ht="15" customHeight="1">
      <c r="A261" s="285">
        <v>261</v>
      </c>
      <c r="B261" s="544">
        <v>115</v>
      </c>
      <c r="C261" s="545" t="s">
        <v>72</v>
      </c>
      <c r="D261" s="549" t="s">
        <v>444</v>
      </c>
      <c r="E261" s="539">
        <f>VLOOKUP(B261,'2-Kosten per locatie'!$A$13:$C$87,3,FALSE)</f>
        <v>2</v>
      </c>
      <c r="F261" s="550"/>
      <c r="G261" s="551" t="s">
        <v>462</v>
      </c>
      <c r="H261" s="552" t="s">
        <v>309</v>
      </c>
      <c r="I261" s="551" t="s">
        <v>159</v>
      </c>
      <c r="J261" s="553">
        <v>4.38</v>
      </c>
      <c r="K261" s="554"/>
      <c r="L261" s="554"/>
      <c r="M261" s="554">
        <v>25</v>
      </c>
      <c r="N261" s="554"/>
      <c r="O261" s="554"/>
      <c r="P261" s="555"/>
      <c r="Q261" s="555">
        <f t="shared" si="1"/>
        <v>4.38</v>
      </c>
      <c r="R261" s="555"/>
      <c r="S261" s="555"/>
      <c r="T261" s="556" t="s">
        <v>396</v>
      </c>
    </row>
    <row r="262" spans="1:20" ht="15" customHeight="1">
      <c r="A262" s="286">
        <v>262</v>
      </c>
      <c r="B262" s="544">
        <v>115</v>
      </c>
      <c r="C262" s="545" t="s">
        <v>72</v>
      </c>
      <c r="D262" s="549" t="s">
        <v>444</v>
      </c>
      <c r="E262" s="539">
        <f>VLOOKUP(B262,'2-Kosten per locatie'!$A$13:$C$87,3,FALSE)</f>
        <v>2</v>
      </c>
      <c r="F262" s="550"/>
      <c r="G262" s="551" t="s">
        <v>463</v>
      </c>
      <c r="H262" s="552" t="s">
        <v>368</v>
      </c>
      <c r="I262" s="551" t="s">
        <v>159</v>
      </c>
      <c r="J262" s="553">
        <v>13.63</v>
      </c>
      <c r="K262" s="554"/>
      <c r="L262" s="554"/>
      <c r="M262" s="554"/>
      <c r="N262" s="554"/>
      <c r="O262" s="554">
        <v>51</v>
      </c>
      <c r="P262" s="555"/>
      <c r="Q262" s="555"/>
      <c r="R262" s="555">
        <f>J262</f>
        <v>13.63</v>
      </c>
      <c r="S262" s="555"/>
      <c r="T262" s="556" t="s">
        <v>396</v>
      </c>
    </row>
    <row r="263" spans="1:20" ht="15" customHeight="1">
      <c r="A263" s="285">
        <v>263</v>
      </c>
      <c r="B263" s="544">
        <v>115</v>
      </c>
      <c r="C263" s="545" t="s">
        <v>72</v>
      </c>
      <c r="D263" s="549" t="s">
        <v>444</v>
      </c>
      <c r="E263" s="539">
        <f>VLOOKUP(B263,'2-Kosten per locatie'!$A$13:$C$87,3,FALSE)</f>
        <v>2</v>
      </c>
      <c r="F263" s="550"/>
      <c r="G263" s="551" t="s">
        <v>464</v>
      </c>
      <c r="H263" s="552" t="s">
        <v>311</v>
      </c>
      <c r="I263" s="551" t="s">
        <v>245</v>
      </c>
      <c r="J263" s="553">
        <v>3.76</v>
      </c>
      <c r="K263" s="554">
        <v>16</v>
      </c>
      <c r="L263" s="554"/>
      <c r="M263" s="554"/>
      <c r="N263" s="554"/>
      <c r="O263" s="554"/>
      <c r="P263" s="555"/>
      <c r="Q263" s="555"/>
      <c r="R263" s="555"/>
      <c r="S263" s="555">
        <f>J263</f>
        <v>3.76</v>
      </c>
      <c r="T263" s="556" t="s">
        <v>396</v>
      </c>
    </row>
    <row r="264" spans="1:20" ht="15" customHeight="1">
      <c r="A264" s="286">
        <v>264</v>
      </c>
      <c r="B264" s="544">
        <v>115</v>
      </c>
      <c r="C264" s="545" t="s">
        <v>72</v>
      </c>
      <c r="D264" s="549" t="s">
        <v>444</v>
      </c>
      <c r="E264" s="539">
        <f>VLOOKUP(B264,'2-Kosten per locatie'!$A$13:$C$87,3,FALSE)</f>
        <v>2</v>
      </c>
      <c r="F264" s="550"/>
      <c r="G264" s="551" t="s">
        <v>465</v>
      </c>
      <c r="H264" s="552" t="s">
        <v>312</v>
      </c>
      <c r="I264" s="551" t="s">
        <v>245</v>
      </c>
      <c r="J264" s="553">
        <v>3.75</v>
      </c>
      <c r="K264" s="554">
        <v>16</v>
      </c>
      <c r="L264" s="554"/>
      <c r="M264" s="554"/>
      <c r="N264" s="554"/>
      <c r="O264" s="554"/>
      <c r="P264" s="555"/>
      <c r="Q264" s="555"/>
      <c r="R264" s="555"/>
      <c r="S264" s="555">
        <f>J264</f>
        <v>3.75</v>
      </c>
      <c r="T264" s="556" t="s">
        <v>396</v>
      </c>
    </row>
    <row r="265" spans="1:20" ht="15" customHeight="1">
      <c r="A265" s="285">
        <v>265</v>
      </c>
      <c r="B265" s="544">
        <v>115</v>
      </c>
      <c r="C265" s="545" t="s">
        <v>72</v>
      </c>
      <c r="D265" s="549" t="s">
        <v>444</v>
      </c>
      <c r="E265" s="539">
        <f>VLOOKUP(B265,'2-Kosten per locatie'!$A$13:$C$87,3,FALSE)</f>
        <v>2</v>
      </c>
      <c r="F265" s="550"/>
      <c r="G265" s="551" t="s">
        <v>466</v>
      </c>
      <c r="H265" s="552" t="s">
        <v>263</v>
      </c>
      <c r="I265" s="551" t="s">
        <v>159</v>
      </c>
      <c r="J265" s="553">
        <v>2.2000000000000002</v>
      </c>
      <c r="K265" s="554"/>
      <c r="L265" s="554"/>
      <c r="M265" s="554"/>
      <c r="N265" s="554"/>
      <c r="O265" s="554">
        <v>20</v>
      </c>
      <c r="P265" s="555"/>
      <c r="Q265" s="555"/>
      <c r="R265" s="555">
        <f>J265</f>
        <v>2.2000000000000002</v>
      </c>
      <c r="S265" s="555"/>
      <c r="T265" s="556" t="s">
        <v>396</v>
      </c>
    </row>
    <row r="266" spans="1:20" ht="15" customHeight="1">
      <c r="A266" s="286">
        <v>266</v>
      </c>
      <c r="B266" s="544">
        <v>115</v>
      </c>
      <c r="C266" s="545" t="s">
        <v>72</v>
      </c>
      <c r="D266" s="549" t="s">
        <v>444</v>
      </c>
      <c r="E266" s="539">
        <f>VLOOKUP(B266,'2-Kosten per locatie'!$A$13:$C$87,3,FALSE)</f>
        <v>2</v>
      </c>
      <c r="F266" s="550"/>
      <c r="G266" s="551" t="s">
        <v>467</v>
      </c>
      <c r="H266" s="552" t="s">
        <v>265</v>
      </c>
      <c r="I266" s="551" t="s">
        <v>159</v>
      </c>
      <c r="J266" s="553">
        <v>5.55</v>
      </c>
      <c r="K266" s="554"/>
      <c r="L266" s="554"/>
      <c r="M266" s="554"/>
      <c r="N266" s="554"/>
      <c r="O266" s="554">
        <v>31</v>
      </c>
      <c r="P266" s="555"/>
      <c r="Q266" s="555"/>
      <c r="R266" s="555">
        <f>J266</f>
        <v>5.55</v>
      </c>
      <c r="S266" s="555"/>
      <c r="T266" s="556" t="s">
        <v>396</v>
      </c>
    </row>
    <row r="267" spans="1:20" ht="15" customHeight="1">
      <c r="A267" s="286">
        <v>267</v>
      </c>
      <c r="B267" s="544">
        <v>115</v>
      </c>
      <c r="C267" s="545" t="s">
        <v>72</v>
      </c>
      <c r="D267" s="549" t="s">
        <v>444</v>
      </c>
      <c r="E267" s="539">
        <f>VLOOKUP(B267,'2-Kosten per locatie'!$A$13:$C$87,3,FALSE)</f>
        <v>2</v>
      </c>
      <c r="F267" s="550"/>
      <c r="G267" s="551" t="s">
        <v>468</v>
      </c>
      <c r="H267" s="552" t="s">
        <v>321</v>
      </c>
      <c r="I267" s="551" t="s">
        <v>159</v>
      </c>
      <c r="J267" s="553">
        <v>3.36</v>
      </c>
      <c r="K267" s="554"/>
      <c r="L267" s="554"/>
      <c r="M267" s="554">
        <v>25</v>
      </c>
      <c r="N267" s="554"/>
      <c r="O267" s="554"/>
      <c r="P267" s="555"/>
      <c r="Q267" s="555">
        <f t="shared" ref="Q267:Q273" si="2">J267</f>
        <v>3.36</v>
      </c>
      <c r="R267" s="555"/>
      <c r="S267" s="555"/>
      <c r="T267" s="556" t="s">
        <v>396</v>
      </c>
    </row>
    <row r="268" spans="1:20" ht="15" customHeight="1">
      <c r="A268" s="285">
        <v>268</v>
      </c>
      <c r="B268" s="544">
        <v>115</v>
      </c>
      <c r="C268" s="545" t="s">
        <v>72</v>
      </c>
      <c r="D268" s="549" t="s">
        <v>444</v>
      </c>
      <c r="E268" s="539">
        <f>VLOOKUP(B268,'2-Kosten per locatie'!$A$13:$C$87,3,FALSE)</f>
        <v>2</v>
      </c>
      <c r="F268" s="550"/>
      <c r="G268" s="551" t="s">
        <v>469</v>
      </c>
      <c r="H268" s="552" t="s">
        <v>426</v>
      </c>
      <c r="I268" s="551" t="s">
        <v>159</v>
      </c>
      <c r="J268" s="553">
        <v>10.53</v>
      </c>
      <c r="K268" s="554"/>
      <c r="L268" s="554"/>
      <c r="M268" s="554">
        <v>39</v>
      </c>
      <c r="N268" s="554"/>
      <c r="O268" s="554"/>
      <c r="P268" s="555"/>
      <c r="Q268" s="555">
        <f t="shared" si="2"/>
        <v>10.53</v>
      </c>
      <c r="R268" s="555"/>
      <c r="S268" s="555"/>
      <c r="T268" s="556" t="s">
        <v>470</v>
      </c>
    </row>
    <row r="269" spans="1:20" ht="15" customHeight="1">
      <c r="A269" s="286">
        <v>269</v>
      </c>
      <c r="B269" s="544">
        <v>115</v>
      </c>
      <c r="C269" s="545" t="s">
        <v>72</v>
      </c>
      <c r="D269" s="549" t="s">
        <v>444</v>
      </c>
      <c r="E269" s="539">
        <f>VLOOKUP(B269,'2-Kosten per locatie'!$A$13:$C$87,3,FALSE)</f>
        <v>2</v>
      </c>
      <c r="F269" s="550"/>
      <c r="G269" s="551" t="s">
        <v>471</v>
      </c>
      <c r="H269" s="552" t="s">
        <v>211</v>
      </c>
      <c r="I269" s="551" t="s">
        <v>159</v>
      </c>
      <c r="J269" s="553">
        <v>6.55</v>
      </c>
      <c r="K269" s="554"/>
      <c r="L269" s="554"/>
      <c r="M269" s="554">
        <v>11.7</v>
      </c>
      <c r="N269" s="554"/>
      <c r="O269" s="554"/>
      <c r="P269" s="555"/>
      <c r="Q269" s="555">
        <f t="shared" si="2"/>
        <v>6.55</v>
      </c>
      <c r="R269" s="555"/>
      <c r="S269" s="555"/>
      <c r="T269" s="556" t="s">
        <v>472</v>
      </c>
    </row>
    <row r="270" spans="1:20" ht="15" customHeight="1">
      <c r="A270" s="285">
        <v>270</v>
      </c>
      <c r="B270" s="544">
        <v>115</v>
      </c>
      <c r="C270" s="545" t="s">
        <v>72</v>
      </c>
      <c r="D270" s="549" t="s">
        <v>444</v>
      </c>
      <c r="E270" s="539">
        <f>VLOOKUP(B270,'2-Kosten per locatie'!$A$13:$C$87,3,FALSE)</f>
        <v>2</v>
      </c>
      <c r="F270" s="550"/>
      <c r="G270" s="551" t="s">
        <v>473</v>
      </c>
      <c r="H270" s="552" t="s">
        <v>213</v>
      </c>
      <c r="I270" s="551" t="s">
        <v>159</v>
      </c>
      <c r="J270" s="553">
        <v>6.25</v>
      </c>
      <c r="K270" s="554"/>
      <c r="L270" s="554"/>
      <c r="M270" s="554">
        <v>35</v>
      </c>
      <c r="N270" s="554"/>
      <c r="O270" s="554"/>
      <c r="P270" s="555"/>
      <c r="Q270" s="555">
        <f t="shared" si="2"/>
        <v>6.25</v>
      </c>
      <c r="R270" s="555"/>
      <c r="S270" s="555"/>
      <c r="T270" s="556" t="s">
        <v>396</v>
      </c>
    </row>
    <row r="271" spans="1:20" ht="15" customHeight="1">
      <c r="A271" s="286">
        <v>271</v>
      </c>
      <c r="B271" s="544">
        <v>115</v>
      </c>
      <c r="C271" s="545" t="s">
        <v>72</v>
      </c>
      <c r="D271" s="549" t="s">
        <v>444</v>
      </c>
      <c r="E271" s="539">
        <f>VLOOKUP(B271,'2-Kosten per locatie'!$A$13:$C$87,3,FALSE)</f>
        <v>2</v>
      </c>
      <c r="F271" s="550"/>
      <c r="G271" s="551" t="s">
        <v>474</v>
      </c>
      <c r="H271" s="552" t="s">
        <v>328</v>
      </c>
      <c r="I271" s="551" t="s">
        <v>159</v>
      </c>
      <c r="J271" s="553">
        <v>5.25</v>
      </c>
      <c r="K271" s="554"/>
      <c r="L271" s="554"/>
      <c r="M271" s="554">
        <v>35</v>
      </c>
      <c r="N271" s="554"/>
      <c r="O271" s="554"/>
      <c r="P271" s="555"/>
      <c r="Q271" s="555">
        <f t="shared" si="2"/>
        <v>5.25</v>
      </c>
      <c r="R271" s="555"/>
      <c r="S271" s="555"/>
      <c r="T271" s="556" t="s">
        <v>475</v>
      </c>
    </row>
    <row r="272" spans="1:20" ht="15" customHeight="1">
      <c r="A272" s="285">
        <v>272</v>
      </c>
      <c r="B272" s="544">
        <v>115</v>
      </c>
      <c r="C272" s="545" t="s">
        <v>72</v>
      </c>
      <c r="D272" s="549" t="s">
        <v>444</v>
      </c>
      <c r="E272" s="539">
        <f>VLOOKUP(B272,'2-Kosten per locatie'!$A$13:$C$87,3,FALSE)</f>
        <v>2</v>
      </c>
      <c r="F272" s="550"/>
      <c r="G272" s="551" t="s">
        <v>476</v>
      </c>
      <c r="H272" s="552" t="s">
        <v>477</v>
      </c>
      <c r="I272" s="551" t="s">
        <v>159</v>
      </c>
      <c r="J272" s="553">
        <v>11.57</v>
      </c>
      <c r="K272" s="554"/>
      <c r="L272" s="554"/>
      <c r="M272" s="554">
        <v>39</v>
      </c>
      <c r="N272" s="554"/>
      <c r="O272" s="554"/>
      <c r="P272" s="555"/>
      <c r="Q272" s="555">
        <f t="shared" si="2"/>
        <v>11.57</v>
      </c>
      <c r="R272" s="555"/>
      <c r="S272" s="555"/>
      <c r="T272" s="556" t="s">
        <v>470</v>
      </c>
    </row>
    <row r="273" spans="1:20" ht="15" customHeight="1">
      <c r="A273" s="286">
        <v>273</v>
      </c>
      <c r="B273" s="544">
        <v>115</v>
      </c>
      <c r="C273" s="545" t="s">
        <v>72</v>
      </c>
      <c r="D273" s="549" t="s">
        <v>444</v>
      </c>
      <c r="E273" s="539">
        <f>VLOOKUP(B273,'2-Kosten per locatie'!$A$13:$C$87,3,FALSE)</f>
        <v>2</v>
      </c>
      <c r="F273" s="550"/>
      <c r="G273" s="551" t="s">
        <v>478</v>
      </c>
      <c r="H273" s="552" t="s">
        <v>479</v>
      </c>
      <c r="I273" s="551" t="s">
        <v>162</v>
      </c>
      <c r="J273" s="553">
        <v>8.6300000000000008</v>
      </c>
      <c r="K273" s="554"/>
      <c r="L273" s="554"/>
      <c r="M273" s="554">
        <v>32</v>
      </c>
      <c r="N273" s="554"/>
      <c r="O273" s="554"/>
      <c r="P273" s="555"/>
      <c r="Q273" s="555">
        <f t="shared" si="2"/>
        <v>8.6300000000000008</v>
      </c>
      <c r="R273" s="555"/>
      <c r="S273" s="555"/>
      <c r="T273" s="556" t="s">
        <v>470</v>
      </c>
    </row>
    <row r="274" spans="1:20" ht="15" customHeight="1">
      <c r="A274" s="286">
        <v>274</v>
      </c>
      <c r="B274" s="544">
        <v>115</v>
      </c>
      <c r="C274" s="545" t="s">
        <v>72</v>
      </c>
      <c r="D274" s="549" t="s">
        <v>444</v>
      </c>
      <c r="E274" s="539">
        <f>VLOOKUP(B274,'2-Kosten per locatie'!$A$13:$C$87,3,FALSE)</f>
        <v>2</v>
      </c>
      <c r="F274" s="550"/>
      <c r="G274" s="551" t="s">
        <v>480</v>
      </c>
      <c r="H274" s="552" t="s">
        <v>481</v>
      </c>
      <c r="I274" s="551" t="s">
        <v>162</v>
      </c>
      <c r="J274" s="553">
        <v>16.23</v>
      </c>
      <c r="K274" s="554"/>
      <c r="L274" s="554"/>
      <c r="M274" s="554"/>
      <c r="N274" s="554"/>
      <c r="O274" s="554">
        <v>61</v>
      </c>
      <c r="P274" s="555"/>
      <c r="Q274" s="555"/>
      <c r="R274" s="555">
        <f>J274</f>
        <v>16.23</v>
      </c>
      <c r="S274" s="555"/>
      <c r="T274" s="556" t="s">
        <v>396</v>
      </c>
    </row>
    <row r="275" spans="1:20" ht="15" customHeight="1">
      <c r="A275" s="285">
        <v>275</v>
      </c>
      <c r="B275" s="544">
        <v>115</v>
      </c>
      <c r="C275" s="545" t="s">
        <v>72</v>
      </c>
      <c r="D275" s="549" t="s">
        <v>444</v>
      </c>
      <c r="E275" s="539">
        <f>VLOOKUP(B275,'2-Kosten per locatie'!$A$13:$C$87,3,FALSE)</f>
        <v>2</v>
      </c>
      <c r="F275" s="550"/>
      <c r="G275" s="551" t="s">
        <v>482</v>
      </c>
      <c r="H275" s="552" t="s">
        <v>179</v>
      </c>
      <c r="I275" s="551" t="s">
        <v>180</v>
      </c>
      <c r="J275" s="553">
        <f>10.3*2.6*1.5+1.7*3*1.5+28.1</f>
        <v>75.92</v>
      </c>
      <c r="K275" s="554" t="s">
        <v>181</v>
      </c>
      <c r="L275" s="554"/>
      <c r="M275" s="554"/>
      <c r="N275" s="554"/>
      <c r="O275" s="554"/>
      <c r="P275" s="555"/>
      <c r="Q275" s="555"/>
      <c r="R275" s="555"/>
      <c r="S275" s="555"/>
      <c r="T275" s="556" t="s">
        <v>394</v>
      </c>
    </row>
    <row r="276" spans="1:20" ht="15" customHeight="1">
      <c r="A276" s="286">
        <v>276</v>
      </c>
      <c r="B276" s="544">
        <v>115</v>
      </c>
      <c r="C276" s="545" t="s">
        <v>72</v>
      </c>
      <c r="D276" s="549" t="s">
        <v>444</v>
      </c>
      <c r="E276" s="539">
        <f>VLOOKUP(B276,'2-Kosten per locatie'!$A$13:$C$87,3,FALSE)</f>
        <v>2</v>
      </c>
      <c r="F276" s="550"/>
      <c r="G276" s="551" t="s">
        <v>482</v>
      </c>
      <c r="H276" s="552" t="s">
        <v>182</v>
      </c>
      <c r="I276" s="551" t="s">
        <v>180</v>
      </c>
      <c r="J276" s="553">
        <v>62.4</v>
      </c>
      <c r="K276" s="554" t="s">
        <v>181</v>
      </c>
      <c r="L276" s="554"/>
      <c r="M276" s="554"/>
      <c r="N276" s="554"/>
      <c r="O276" s="554"/>
      <c r="P276" s="555"/>
      <c r="Q276" s="555"/>
      <c r="R276" s="555"/>
      <c r="S276" s="555"/>
      <c r="T276" s="556" t="s">
        <v>396</v>
      </c>
    </row>
    <row r="277" spans="1:20" ht="15" customHeight="1">
      <c r="A277" s="285">
        <v>277</v>
      </c>
      <c r="B277" s="544">
        <v>115</v>
      </c>
      <c r="C277" s="545" t="s">
        <v>72</v>
      </c>
      <c r="D277" s="549" t="s">
        <v>444</v>
      </c>
      <c r="E277" s="539">
        <f>VLOOKUP(B277,'2-Kosten per locatie'!$A$13:$C$87,3,FALSE)</f>
        <v>2</v>
      </c>
      <c r="F277" s="550"/>
      <c r="G277" s="551" t="s">
        <v>467</v>
      </c>
      <c r="H277" s="552" t="s">
        <v>334</v>
      </c>
      <c r="I277" s="551" t="s">
        <v>159</v>
      </c>
      <c r="J277" s="553">
        <v>13.76</v>
      </c>
      <c r="K277" s="554"/>
      <c r="L277" s="554"/>
      <c r="M277" s="554"/>
      <c r="N277" s="554"/>
      <c r="O277" s="554">
        <v>38</v>
      </c>
      <c r="P277" s="555"/>
      <c r="Q277" s="555"/>
      <c r="R277" s="555">
        <f>J277</f>
        <v>13.76</v>
      </c>
      <c r="S277" s="555"/>
      <c r="T277" s="556"/>
    </row>
    <row r="278" spans="1:20" ht="15" customHeight="1">
      <c r="A278" s="286">
        <v>278</v>
      </c>
      <c r="B278" s="544">
        <v>115</v>
      </c>
      <c r="C278" s="545" t="s">
        <v>72</v>
      </c>
      <c r="D278" s="549" t="s">
        <v>444</v>
      </c>
      <c r="E278" s="539">
        <f>VLOOKUP(B278,'2-Kosten per locatie'!$A$13:$C$87,3,FALSE)</f>
        <v>2</v>
      </c>
      <c r="F278" s="550"/>
      <c r="G278" s="551" t="s">
        <v>466</v>
      </c>
      <c r="H278" s="552" t="s">
        <v>336</v>
      </c>
      <c r="I278" s="551" t="s">
        <v>159</v>
      </c>
      <c r="J278" s="553">
        <v>25.15</v>
      </c>
      <c r="K278" s="554"/>
      <c r="L278" s="554"/>
      <c r="M278" s="554"/>
      <c r="N278" s="554"/>
      <c r="O278" s="554">
        <v>175.6</v>
      </c>
      <c r="P278" s="555"/>
      <c r="Q278" s="555"/>
      <c r="R278" s="555">
        <v>13.1</v>
      </c>
      <c r="S278" s="555"/>
      <c r="T278" s="556" t="s">
        <v>483</v>
      </c>
    </row>
    <row r="279" spans="1:20" ht="15" customHeight="1">
      <c r="A279" s="285">
        <v>279</v>
      </c>
      <c r="B279" s="544">
        <v>115</v>
      </c>
      <c r="C279" s="545" t="s">
        <v>72</v>
      </c>
      <c r="D279" s="549" t="s">
        <v>444</v>
      </c>
      <c r="E279" s="539">
        <f>VLOOKUP(B279,'2-Kosten per locatie'!$A$13:$C$87,3,FALSE)</f>
        <v>2</v>
      </c>
      <c r="F279" s="550"/>
      <c r="G279" s="551" t="s">
        <v>466</v>
      </c>
      <c r="H279" s="552" t="s">
        <v>184</v>
      </c>
      <c r="I279" s="551" t="s">
        <v>159</v>
      </c>
      <c r="J279" s="553">
        <v>33.200000000000003</v>
      </c>
      <c r="K279" s="554"/>
      <c r="L279" s="554"/>
      <c r="M279" s="554"/>
      <c r="N279" s="554"/>
      <c r="O279" s="554">
        <v>57</v>
      </c>
      <c r="P279" s="555"/>
      <c r="Q279" s="555"/>
      <c r="R279" s="555">
        <f>J279</f>
        <v>33.200000000000003</v>
      </c>
      <c r="S279" s="555"/>
      <c r="T279" s="556" t="s">
        <v>396</v>
      </c>
    </row>
    <row r="280" spans="1:20" ht="15" customHeight="1">
      <c r="A280" s="286">
        <v>280</v>
      </c>
      <c r="B280" s="544">
        <v>115</v>
      </c>
      <c r="C280" s="545" t="s">
        <v>72</v>
      </c>
      <c r="D280" s="549" t="s">
        <v>444</v>
      </c>
      <c r="E280" s="539">
        <f>VLOOKUP(B280,'2-Kosten per locatie'!$A$13:$C$87,3,FALSE)</f>
        <v>2</v>
      </c>
      <c r="F280" s="550"/>
      <c r="G280" s="551" t="s">
        <v>484</v>
      </c>
      <c r="H280" s="552" t="s">
        <v>332</v>
      </c>
      <c r="I280" s="551" t="s">
        <v>176</v>
      </c>
      <c r="J280" s="553">
        <v>33.6</v>
      </c>
      <c r="K280" s="554"/>
      <c r="L280" s="554"/>
      <c r="M280" s="554"/>
      <c r="N280" s="554"/>
      <c r="O280" s="554"/>
      <c r="P280" s="555"/>
      <c r="Q280" s="555"/>
      <c r="R280" s="555"/>
      <c r="S280" s="555"/>
      <c r="T280" s="556" t="s">
        <v>396</v>
      </c>
    </row>
    <row r="281" spans="1:20" ht="15" customHeight="1">
      <c r="A281" s="286">
        <v>281</v>
      </c>
      <c r="B281" s="544">
        <v>115</v>
      </c>
      <c r="C281" s="545" t="s">
        <v>72</v>
      </c>
      <c r="D281" s="549" t="s">
        <v>444</v>
      </c>
      <c r="E281" s="539">
        <f>VLOOKUP(B281,'2-Kosten per locatie'!$A$13:$C$87,3,FALSE)</f>
        <v>2</v>
      </c>
      <c r="F281" s="550"/>
      <c r="G281" s="551" t="s">
        <v>484</v>
      </c>
      <c r="H281" s="552" t="s">
        <v>332</v>
      </c>
      <c r="I281" s="551" t="s">
        <v>176</v>
      </c>
      <c r="J281" s="553">
        <v>33.6</v>
      </c>
      <c r="K281" s="554"/>
      <c r="L281" s="554"/>
      <c r="M281" s="554"/>
      <c r="N281" s="554"/>
      <c r="O281" s="554"/>
      <c r="P281" s="555"/>
      <c r="Q281" s="555"/>
      <c r="R281" s="555"/>
      <c r="S281" s="555"/>
      <c r="T281" s="556" t="s">
        <v>394</v>
      </c>
    </row>
    <row r="282" spans="1:20" ht="15" customHeight="1">
      <c r="A282" s="285">
        <v>282</v>
      </c>
      <c r="B282" s="544">
        <v>115</v>
      </c>
      <c r="C282" s="545" t="s">
        <v>72</v>
      </c>
      <c r="D282" s="549" t="s">
        <v>444</v>
      </c>
      <c r="E282" s="539">
        <f>VLOOKUP(B282,'2-Kosten per locatie'!$A$13:$C$87,3,FALSE)</f>
        <v>2</v>
      </c>
      <c r="F282" s="550"/>
      <c r="G282" s="551" t="s">
        <v>471</v>
      </c>
      <c r="H282" s="552" t="s">
        <v>485</v>
      </c>
      <c r="I282" s="551" t="s">
        <v>159</v>
      </c>
      <c r="J282" s="553">
        <v>14.91</v>
      </c>
      <c r="K282" s="554"/>
      <c r="L282" s="554"/>
      <c r="M282" s="554"/>
      <c r="N282" s="554"/>
      <c r="O282" s="554">
        <v>48</v>
      </c>
      <c r="P282" s="555"/>
      <c r="Q282" s="555"/>
      <c r="R282" s="555">
        <f>J282</f>
        <v>14.91</v>
      </c>
      <c r="S282" s="555"/>
      <c r="T282" s="556" t="s">
        <v>394</v>
      </c>
    </row>
    <row r="283" spans="1:20" ht="15" customHeight="1">
      <c r="A283" s="286">
        <v>283</v>
      </c>
      <c r="B283" s="544">
        <v>115</v>
      </c>
      <c r="C283" s="545" t="s">
        <v>72</v>
      </c>
      <c r="D283" s="549" t="s">
        <v>444</v>
      </c>
      <c r="E283" s="539">
        <f>VLOOKUP(B283,'2-Kosten per locatie'!$A$13:$C$87,3,FALSE)</f>
        <v>2</v>
      </c>
      <c r="F283" s="550"/>
      <c r="G283" s="551" t="s">
        <v>486</v>
      </c>
      <c r="H283" s="552" t="s">
        <v>487</v>
      </c>
      <c r="I283" s="551" t="s">
        <v>317</v>
      </c>
      <c r="J283" s="553">
        <v>2.4</v>
      </c>
      <c r="K283" s="554"/>
      <c r="L283" s="554"/>
      <c r="M283" s="554"/>
      <c r="N283" s="554">
        <v>11.5</v>
      </c>
      <c r="O283" s="554">
        <v>3.5</v>
      </c>
      <c r="P283" s="555"/>
      <c r="Q283" s="555"/>
      <c r="R283" s="555"/>
      <c r="S283" s="555">
        <f>J283</f>
        <v>2.4</v>
      </c>
      <c r="T283" s="556" t="s">
        <v>429</v>
      </c>
    </row>
    <row r="284" spans="1:20" ht="15" customHeight="1">
      <c r="A284" s="285">
        <v>284</v>
      </c>
      <c r="B284" s="544">
        <v>115</v>
      </c>
      <c r="C284" s="545" t="s">
        <v>72</v>
      </c>
      <c r="D284" s="549" t="s">
        <v>444</v>
      </c>
      <c r="E284" s="539">
        <f>VLOOKUP(B284,'2-Kosten per locatie'!$A$13:$C$87,3,FALSE)</f>
        <v>2</v>
      </c>
      <c r="F284" s="550"/>
      <c r="G284" s="551" t="s">
        <v>488</v>
      </c>
      <c r="H284" s="552" t="s">
        <v>489</v>
      </c>
      <c r="I284" s="551" t="s">
        <v>317</v>
      </c>
      <c r="J284" s="553">
        <v>2.4</v>
      </c>
      <c r="K284" s="554"/>
      <c r="L284" s="554"/>
      <c r="M284" s="554"/>
      <c r="N284" s="554">
        <v>11.5</v>
      </c>
      <c r="O284" s="554">
        <v>3.5</v>
      </c>
      <c r="P284" s="555"/>
      <c r="Q284" s="555"/>
      <c r="R284" s="555"/>
      <c r="S284" s="555">
        <f>J284</f>
        <v>2.4</v>
      </c>
      <c r="T284" s="556" t="s">
        <v>421</v>
      </c>
    </row>
    <row r="285" spans="1:20" ht="15" customHeight="1">
      <c r="A285" s="286">
        <v>285</v>
      </c>
      <c r="B285" s="544">
        <v>116</v>
      </c>
      <c r="C285" s="545" t="s">
        <v>73</v>
      </c>
      <c r="D285" s="549" t="s">
        <v>156</v>
      </c>
      <c r="E285" s="539">
        <f>VLOOKUP(B285,'2-Kosten per locatie'!$A$13:$C$87,3,FALSE)</f>
        <v>2</v>
      </c>
      <c r="F285" s="550"/>
      <c r="G285" s="551" t="s">
        <v>490</v>
      </c>
      <c r="H285" s="552" t="s">
        <v>491</v>
      </c>
      <c r="I285" s="551" t="s">
        <v>171</v>
      </c>
      <c r="J285" s="553">
        <v>35</v>
      </c>
      <c r="K285" s="554"/>
      <c r="L285" s="554">
        <v>186</v>
      </c>
      <c r="M285" s="554"/>
      <c r="N285" s="554"/>
      <c r="O285" s="554"/>
      <c r="P285" s="555"/>
      <c r="Q285" s="555"/>
      <c r="R285" s="555">
        <f>J285</f>
        <v>35</v>
      </c>
      <c r="S285" s="555"/>
      <c r="T285" s="556"/>
    </row>
    <row r="286" spans="1:20" ht="15" customHeight="1">
      <c r="A286" s="285">
        <v>286</v>
      </c>
      <c r="B286" s="544">
        <v>116</v>
      </c>
      <c r="C286" s="545" t="s">
        <v>73</v>
      </c>
      <c r="D286" s="549" t="s">
        <v>156</v>
      </c>
      <c r="E286" s="539">
        <f>VLOOKUP(B286,'2-Kosten per locatie'!$A$13:$C$87,3,FALSE)</f>
        <v>2</v>
      </c>
      <c r="F286" s="550"/>
      <c r="G286" s="551" t="s">
        <v>183</v>
      </c>
      <c r="H286" s="552" t="s">
        <v>492</v>
      </c>
      <c r="I286" s="551" t="s">
        <v>159</v>
      </c>
      <c r="J286" s="553">
        <v>5</v>
      </c>
      <c r="K286" s="554"/>
      <c r="L286" s="554">
        <v>35</v>
      </c>
      <c r="M286" s="554"/>
      <c r="N286" s="554"/>
      <c r="O286" s="554"/>
      <c r="P286" s="555"/>
      <c r="Q286" s="555"/>
      <c r="R286" s="555">
        <f>J286</f>
        <v>5</v>
      </c>
      <c r="S286" s="555"/>
      <c r="T286" s="556"/>
    </row>
    <row r="287" spans="1:20" ht="15" customHeight="1">
      <c r="A287" s="286">
        <v>287</v>
      </c>
      <c r="B287" s="544">
        <v>116</v>
      </c>
      <c r="C287" s="545" t="s">
        <v>73</v>
      </c>
      <c r="D287" s="549" t="s">
        <v>156</v>
      </c>
      <c r="E287" s="539">
        <f>VLOOKUP(B287,'2-Kosten per locatie'!$A$13:$C$87,3,FALSE)</f>
        <v>2</v>
      </c>
      <c r="F287" s="550"/>
      <c r="G287" s="551" t="s">
        <v>493</v>
      </c>
      <c r="H287" s="552" t="s">
        <v>494</v>
      </c>
      <c r="I287" s="551" t="s">
        <v>214</v>
      </c>
      <c r="J287" s="553">
        <v>19</v>
      </c>
      <c r="K287" s="554"/>
      <c r="L287" s="554"/>
      <c r="M287" s="554">
        <v>30</v>
      </c>
      <c r="N287" s="554"/>
      <c r="O287" s="554"/>
      <c r="P287" s="555"/>
      <c r="Q287" s="555">
        <f t="shared" ref="Q287:Q292" si="3">J287</f>
        <v>19</v>
      </c>
      <c r="R287" s="555"/>
      <c r="S287" s="555"/>
      <c r="T287" s="556"/>
    </row>
    <row r="288" spans="1:20" ht="15" customHeight="1">
      <c r="A288" s="286">
        <v>288</v>
      </c>
      <c r="B288" s="544">
        <v>116</v>
      </c>
      <c r="C288" s="545" t="s">
        <v>73</v>
      </c>
      <c r="D288" s="549" t="s">
        <v>156</v>
      </c>
      <c r="E288" s="539">
        <f>VLOOKUP(B288,'2-Kosten per locatie'!$A$13:$C$87,3,FALSE)</f>
        <v>2</v>
      </c>
      <c r="F288" s="550"/>
      <c r="G288" s="551" t="s">
        <v>495</v>
      </c>
      <c r="H288" s="552" t="s">
        <v>496</v>
      </c>
      <c r="I288" s="551" t="s">
        <v>214</v>
      </c>
      <c r="J288" s="553">
        <v>15</v>
      </c>
      <c r="K288" s="554"/>
      <c r="L288" s="554"/>
      <c r="M288" s="554">
        <v>22</v>
      </c>
      <c r="N288" s="554"/>
      <c r="O288" s="554"/>
      <c r="P288" s="555"/>
      <c r="Q288" s="555">
        <f t="shared" si="3"/>
        <v>15</v>
      </c>
      <c r="R288" s="555"/>
      <c r="S288" s="555"/>
      <c r="T288" s="556"/>
    </row>
    <row r="289" spans="1:20" ht="15" customHeight="1">
      <c r="A289" s="285">
        <v>289</v>
      </c>
      <c r="B289" s="544">
        <v>116</v>
      </c>
      <c r="C289" s="545" t="s">
        <v>73</v>
      </c>
      <c r="D289" s="549" t="s">
        <v>156</v>
      </c>
      <c r="E289" s="539">
        <f>VLOOKUP(B289,'2-Kosten per locatie'!$A$13:$C$87,3,FALSE)</f>
        <v>2</v>
      </c>
      <c r="F289" s="550"/>
      <c r="G289" s="551" t="s">
        <v>497</v>
      </c>
      <c r="H289" s="552" t="s">
        <v>498</v>
      </c>
      <c r="I289" s="551" t="s">
        <v>214</v>
      </c>
      <c r="J289" s="553">
        <v>13</v>
      </c>
      <c r="K289" s="554"/>
      <c r="L289" s="554"/>
      <c r="M289" s="554">
        <v>21</v>
      </c>
      <c r="N289" s="554"/>
      <c r="O289" s="554"/>
      <c r="P289" s="555"/>
      <c r="Q289" s="555">
        <f t="shared" si="3"/>
        <v>13</v>
      </c>
      <c r="R289" s="555"/>
      <c r="S289" s="555"/>
      <c r="T289" s="556"/>
    </row>
    <row r="290" spans="1:20" ht="15" customHeight="1">
      <c r="A290" s="286">
        <v>290</v>
      </c>
      <c r="B290" s="544">
        <v>116</v>
      </c>
      <c r="C290" s="545" t="s">
        <v>73</v>
      </c>
      <c r="D290" s="549" t="s">
        <v>156</v>
      </c>
      <c r="E290" s="539">
        <f>VLOOKUP(B290,'2-Kosten per locatie'!$A$13:$C$87,3,FALSE)</f>
        <v>2</v>
      </c>
      <c r="F290" s="550"/>
      <c r="G290" s="551" t="s">
        <v>499</v>
      </c>
      <c r="H290" s="552" t="s">
        <v>500</v>
      </c>
      <c r="I290" s="551" t="s">
        <v>214</v>
      </c>
      <c r="J290" s="553">
        <v>3</v>
      </c>
      <c r="K290" s="554"/>
      <c r="L290" s="554"/>
      <c r="M290" s="554">
        <v>16</v>
      </c>
      <c r="N290" s="554"/>
      <c r="O290" s="554"/>
      <c r="P290" s="555"/>
      <c r="Q290" s="555">
        <f t="shared" si="3"/>
        <v>3</v>
      </c>
      <c r="R290" s="555"/>
      <c r="S290" s="555"/>
      <c r="T290" s="556"/>
    </row>
    <row r="291" spans="1:20" ht="15" customHeight="1">
      <c r="A291" s="285">
        <v>291</v>
      </c>
      <c r="B291" s="544">
        <v>116</v>
      </c>
      <c r="C291" s="545" t="s">
        <v>73</v>
      </c>
      <c r="D291" s="549" t="s">
        <v>156</v>
      </c>
      <c r="E291" s="539">
        <f>VLOOKUP(B291,'2-Kosten per locatie'!$A$13:$C$87,3,FALSE)</f>
        <v>2</v>
      </c>
      <c r="F291" s="550"/>
      <c r="G291" s="551" t="s">
        <v>501</v>
      </c>
      <c r="H291" s="552" t="s">
        <v>502</v>
      </c>
      <c r="I291" s="551" t="s">
        <v>280</v>
      </c>
      <c r="J291" s="553">
        <v>158</v>
      </c>
      <c r="K291" s="554"/>
      <c r="L291" s="554"/>
      <c r="M291" s="554">
        <v>75</v>
      </c>
      <c r="N291" s="554"/>
      <c r="O291" s="554"/>
      <c r="P291" s="555"/>
      <c r="Q291" s="555">
        <f t="shared" si="3"/>
        <v>158</v>
      </c>
      <c r="R291" s="555"/>
      <c r="S291" s="555"/>
      <c r="T291" s="556"/>
    </row>
    <row r="292" spans="1:20" ht="15" customHeight="1">
      <c r="A292" s="286">
        <v>292</v>
      </c>
      <c r="B292" s="544">
        <v>116</v>
      </c>
      <c r="C292" s="545" t="s">
        <v>73</v>
      </c>
      <c r="D292" s="549" t="s">
        <v>156</v>
      </c>
      <c r="E292" s="539">
        <f>VLOOKUP(B292,'2-Kosten per locatie'!$A$13:$C$87,3,FALSE)</f>
        <v>2</v>
      </c>
      <c r="F292" s="550"/>
      <c r="G292" s="551" t="s">
        <v>503</v>
      </c>
      <c r="H292" s="552" t="s">
        <v>504</v>
      </c>
      <c r="I292" s="551" t="s">
        <v>214</v>
      </c>
      <c r="J292" s="553">
        <v>33</v>
      </c>
      <c r="K292" s="554"/>
      <c r="L292" s="554"/>
      <c r="M292" s="554">
        <v>33</v>
      </c>
      <c r="N292" s="554"/>
      <c r="O292" s="554"/>
      <c r="P292" s="555"/>
      <c r="Q292" s="555">
        <f t="shared" si="3"/>
        <v>33</v>
      </c>
      <c r="R292" s="555"/>
      <c r="S292" s="555"/>
      <c r="T292" s="556"/>
    </row>
    <row r="293" spans="1:20" ht="15" customHeight="1">
      <c r="A293" s="285">
        <v>293</v>
      </c>
      <c r="B293" s="544">
        <v>116</v>
      </c>
      <c r="C293" s="545" t="s">
        <v>73</v>
      </c>
      <c r="D293" s="549" t="s">
        <v>156</v>
      </c>
      <c r="E293" s="539">
        <f>VLOOKUP(B293,'2-Kosten per locatie'!$A$13:$C$87,3,FALSE)</f>
        <v>2</v>
      </c>
      <c r="F293" s="550"/>
      <c r="G293" s="551" t="s">
        <v>187</v>
      </c>
      <c r="H293" s="552" t="s">
        <v>505</v>
      </c>
      <c r="I293" s="551" t="s">
        <v>159</v>
      </c>
      <c r="J293" s="553">
        <v>140</v>
      </c>
      <c r="K293" s="554"/>
      <c r="L293" s="554">
        <v>395</v>
      </c>
      <c r="M293" s="554"/>
      <c r="N293" s="554"/>
      <c r="O293" s="554"/>
      <c r="P293" s="555"/>
      <c r="Q293" s="555"/>
      <c r="R293" s="555">
        <f>J293</f>
        <v>140</v>
      </c>
      <c r="S293" s="555"/>
      <c r="T293" s="556"/>
    </row>
    <row r="294" spans="1:20" ht="15" customHeight="1">
      <c r="A294" s="286">
        <v>294</v>
      </c>
      <c r="B294" s="544">
        <v>116</v>
      </c>
      <c r="C294" s="545" t="s">
        <v>73</v>
      </c>
      <c r="D294" s="549" t="s">
        <v>156</v>
      </c>
      <c r="E294" s="539">
        <f>VLOOKUP(B294,'2-Kosten per locatie'!$A$13:$C$87,3,FALSE)</f>
        <v>2</v>
      </c>
      <c r="F294" s="550"/>
      <c r="G294" s="551" t="s">
        <v>178</v>
      </c>
      <c r="H294" s="552" t="s">
        <v>506</v>
      </c>
      <c r="I294" s="551" t="s">
        <v>180</v>
      </c>
      <c r="J294" s="553">
        <v>7</v>
      </c>
      <c r="K294" s="554" t="s">
        <v>507</v>
      </c>
      <c r="L294" s="554"/>
      <c r="M294" s="554"/>
      <c r="N294" s="554"/>
      <c r="O294" s="554"/>
      <c r="P294" s="555"/>
      <c r="Q294" s="555"/>
      <c r="R294" s="555">
        <f>J294</f>
        <v>7</v>
      </c>
      <c r="S294" s="555"/>
      <c r="T294" s="556"/>
    </row>
    <row r="295" spans="1:20" ht="15" customHeight="1">
      <c r="A295" s="286">
        <v>295</v>
      </c>
      <c r="B295" s="544">
        <v>116</v>
      </c>
      <c r="C295" s="545" t="s">
        <v>73</v>
      </c>
      <c r="D295" s="549" t="s">
        <v>156</v>
      </c>
      <c r="E295" s="539">
        <f>VLOOKUP(B295,'2-Kosten per locatie'!$A$13:$C$87,3,FALSE)</f>
        <v>2</v>
      </c>
      <c r="F295" s="550"/>
      <c r="G295" s="551" t="s">
        <v>508</v>
      </c>
      <c r="H295" s="552" t="s">
        <v>158</v>
      </c>
      <c r="I295" s="551" t="s">
        <v>171</v>
      </c>
      <c r="J295" s="553">
        <v>5</v>
      </c>
      <c r="K295" s="554"/>
      <c r="L295" s="554"/>
      <c r="M295" s="554">
        <v>21</v>
      </c>
      <c r="N295" s="554"/>
      <c r="O295" s="554"/>
      <c r="P295" s="555"/>
      <c r="Q295" s="555">
        <f>J295</f>
        <v>5</v>
      </c>
      <c r="R295" s="555"/>
      <c r="S295" s="555"/>
      <c r="T295" s="556"/>
    </row>
    <row r="296" spans="1:20" ht="15" customHeight="1">
      <c r="A296" s="285">
        <v>296</v>
      </c>
      <c r="B296" s="544">
        <v>116</v>
      </c>
      <c r="C296" s="545" t="s">
        <v>73</v>
      </c>
      <c r="D296" s="549" t="s">
        <v>156</v>
      </c>
      <c r="E296" s="539">
        <f>VLOOKUP(B296,'2-Kosten per locatie'!$A$13:$C$87,3,FALSE)</f>
        <v>2</v>
      </c>
      <c r="F296" s="550"/>
      <c r="G296" s="551" t="s">
        <v>508</v>
      </c>
      <c r="H296" s="552" t="s">
        <v>509</v>
      </c>
      <c r="I296" s="551" t="s">
        <v>159</v>
      </c>
      <c r="J296" s="553">
        <v>6</v>
      </c>
      <c r="K296" s="554"/>
      <c r="L296" s="554">
        <v>30</v>
      </c>
      <c r="M296" s="554"/>
      <c r="N296" s="554"/>
      <c r="O296" s="554"/>
      <c r="P296" s="555"/>
      <c r="Q296" s="555"/>
      <c r="R296" s="555">
        <f>J296</f>
        <v>6</v>
      </c>
      <c r="S296" s="555"/>
      <c r="T296" s="556"/>
    </row>
    <row r="297" spans="1:20" ht="15" customHeight="1">
      <c r="A297" s="286">
        <v>297</v>
      </c>
      <c r="B297" s="544">
        <v>116</v>
      </c>
      <c r="C297" s="545" t="s">
        <v>73</v>
      </c>
      <c r="D297" s="549" t="s">
        <v>156</v>
      </c>
      <c r="E297" s="539">
        <f>VLOOKUP(B297,'2-Kosten per locatie'!$A$13:$C$87,3,FALSE)</f>
        <v>2</v>
      </c>
      <c r="F297" s="550"/>
      <c r="G297" s="551" t="s">
        <v>197</v>
      </c>
      <c r="H297" s="552" t="s">
        <v>282</v>
      </c>
      <c r="I297" s="551" t="s">
        <v>171</v>
      </c>
      <c r="J297" s="553">
        <v>20</v>
      </c>
      <c r="K297" s="554"/>
      <c r="L297" s="554"/>
      <c r="M297" s="554">
        <v>58</v>
      </c>
      <c r="N297" s="554"/>
      <c r="O297" s="554"/>
      <c r="P297" s="555"/>
      <c r="Q297" s="555">
        <f>J297</f>
        <v>20</v>
      </c>
      <c r="R297" s="555"/>
      <c r="S297" s="555"/>
      <c r="T297" s="556"/>
    </row>
    <row r="298" spans="1:20" ht="15" customHeight="1">
      <c r="A298" s="285">
        <v>298</v>
      </c>
      <c r="B298" s="544">
        <v>116</v>
      </c>
      <c r="C298" s="545" t="s">
        <v>73</v>
      </c>
      <c r="D298" s="549" t="s">
        <v>156</v>
      </c>
      <c r="E298" s="539">
        <f>VLOOKUP(B298,'2-Kosten per locatie'!$A$13:$C$87,3,FALSE)</f>
        <v>2</v>
      </c>
      <c r="F298" s="550"/>
      <c r="G298" s="551" t="s">
        <v>199</v>
      </c>
      <c r="H298" s="552" t="s">
        <v>510</v>
      </c>
      <c r="I298" s="551" t="s">
        <v>171</v>
      </c>
      <c r="J298" s="553">
        <v>9</v>
      </c>
      <c r="K298" s="554"/>
      <c r="L298" s="554"/>
      <c r="M298" s="554">
        <v>29</v>
      </c>
      <c r="N298" s="554"/>
      <c r="O298" s="554"/>
      <c r="P298" s="555"/>
      <c r="Q298" s="555">
        <f>J298</f>
        <v>9</v>
      </c>
      <c r="R298" s="555"/>
      <c r="S298" s="555"/>
      <c r="T298" s="556"/>
    </row>
    <row r="299" spans="1:20" ht="15" customHeight="1">
      <c r="A299" s="286">
        <v>299</v>
      </c>
      <c r="B299" s="544">
        <v>116</v>
      </c>
      <c r="C299" s="545" t="s">
        <v>73</v>
      </c>
      <c r="D299" s="549" t="s">
        <v>156</v>
      </c>
      <c r="E299" s="539">
        <f>VLOOKUP(B299,'2-Kosten per locatie'!$A$13:$C$87,3,FALSE)</f>
        <v>2</v>
      </c>
      <c r="F299" s="550"/>
      <c r="G299" s="551" t="s">
        <v>511</v>
      </c>
      <c r="H299" s="552" t="s">
        <v>512</v>
      </c>
      <c r="I299" s="551" t="s">
        <v>171</v>
      </c>
      <c r="J299" s="553">
        <v>6</v>
      </c>
      <c r="K299" s="554"/>
      <c r="L299" s="554">
        <v>39</v>
      </c>
      <c r="M299" s="554"/>
      <c r="N299" s="554"/>
      <c r="O299" s="554"/>
      <c r="P299" s="555"/>
      <c r="Q299" s="555"/>
      <c r="R299" s="555">
        <f>J299</f>
        <v>6</v>
      </c>
      <c r="S299" s="555"/>
      <c r="T299" s="556"/>
    </row>
    <row r="300" spans="1:20" ht="15" customHeight="1">
      <c r="A300" s="285">
        <v>300</v>
      </c>
      <c r="B300" s="544">
        <v>116</v>
      </c>
      <c r="C300" s="545" t="s">
        <v>73</v>
      </c>
      <c r="D300" s="549" t="s">
        <v>156</v>
      </c>
      <c r="E300" s="539">
        <f>VLOOKUP(B300,'2-Kosten per locatie'!$A$13:$C$87,3,FALSE)</f>
        <v>2</v>
      </c>
      <c r="F300" s="550"/>
      <c r="G300" s="551" t="s">
        <v>237</v>
      </c>
      <c r="H300" s="552" t="s">
        <v>513</v>
      </c>
      <c r="I300" s="551" t="s">
        <v>171</v>
      </c>
      <c r="J300" s="553">
        <v>7</v>
      </c>
      <c r="K300" s="554"/>
      <c r="L300" s="554">
        <v>33</v>
      </c>
      <c r="M300" s="554"/>
      <c r="N300" s="554"/>
      <c r="O300" s="554"/>
      <c r="P300" s="555"/>
      <c r="Q300" s="555"/>
      <c r="R300" s="555">
        <f>J300</f>
        <v>7</v>
      </c>
      <c r="S300" s="555"/>
      <c r="T300" s="556"/>
    </row>
    <row r="301" spans="1:20" ht="15" customHeight="1">
      <c r="A301" s="286">
        <v>301</v>
      </c>
      <c r="B301" s="544">
        <v>116</v>
      </c>
      <c r="C301" s="545" t="s">
        <v>73</v>
      </c>
      <c r="D301" s="549" t="s">
        <v>156</v>
      </c>
      <c r="E301" s="539">
        <f>VLOOKUP(B301,'2-Kosten per locatie'!$A$13:$C$87,3,FALSE)</f>
        <v>2</v>
      </c>
      <c r="F301" s="550"/>
      <c r="G301" s="551" t="s">
        <v>514</v>
      </c>
      <c r="H301" s="552" t="s">
        <v>515</v>
      </c>
      <c r="I301" s="551" t="s">
        <v>245</v>
      </c>
      <c r="J301" s="553">
        <v>3</v>
      </c>
      <c r="K301" s="554">
        <v>18</v>
      </c>
      <c r="L301" s="554"/>
      <c r="M301" s="554"/>
      <c r="N301" s="554"/>
      <c r="O301" s="554"/>
      <c r="P301" s="555"/>
      <c r="Q301" s="555"/>
      <c r="R301" s="555"/>
      <c r="S301" s="555">
        <f>J301</f>
        <v>3</v>
      </c>
      <c r="T301" s="556"/>
    </row>
    <row r="302" spans="1:20" ht="15" customHeight="1">
      <c r="A302" s="286">
        <v>302</v>
      </c>
      <c r="B302" s="544">
        <v>116</v>
      </c>
      <c r="C302" s="545" t="s">
        <v>73</v>
      </c>
      <c r="D302" s="549" t="s">
        <v>156</v>
      </c>
      <c r="E302" s="539">
        <f>VLOOKUP(B302,'2-Kosten per locatie'!$A$13:$C$87,3,FALSE)</f>
        <v>2</v>
      </c>
      <c r="F302" s="550"/>
      <c r="G302" s="551" t="s">
        <v>516</v>
      </c>
      <c r="H302" s="552" t="s">
        <v>284</v>
      </c>
      <c r="I302" s="551" t="s">
        <v>245</v>
      </c>
      <c r="J302" s="553">
        <v>3</v>
      </c>
      <c r="K302" s="554">
        <v>18</v>
      </c>
      <c r="L302" s="554"/>
      <c r="M302" s="554"/>
      <c r="N302" s="554"/>
      <c r="O302" s="554"/>
      <c r="P302" s="555"/>
      <c r="Q302" s="555"/>
      <c r="R302" s="555"/>
      <c r="S302" s="555">
        <f>J302</f>
        <v>3</v>
      </c>
      <c r="T302" s="556"/>
    </row>
    <row r="303" spans="1:20" ht="15" customHeight="1">
      <c r="A303" s="285">
        <v>303</v>
      </c>
      <c r="B303" s="544">
        <v>116</v>
      </c>
      <c r="C303" s="545" t="s">
        <v>73</v>
      </c>
      <c r="D303" s="549" t="s">
        <v>156</v>
      </c>
      <c r="E303" s="539">
        <f>VLOOKUP(B303,'2-Kosten per locatie'!$A$13:$C$87,3,FALSE)</f>
        <v>2</v>
      </c>
      <c r="F303" s="550"/>
      <c r="G303" s="551" t="s">
        <v>490</v>
      </c>
      <c r="H303" s="552" t="s">
        <v>517</v>
      </c>
      <c r="I303" s="551" t="s">
        <v>171</v>
      </c>
      <c r="J303" s="553">
        <v>20</v>
      </c>
      <c r="K303" s="554" t="s">
        <v>518</v>
      </c>
      <c r="L303" s="554"/>
      <c r="M303" s="554"/>
      <c r="N303" s="554"/>
      <c r="O303" s="554"/>
      <c r="P303" s="555"/>
      <c r="Q303" s="555"/>
      <c r="R303" s="555">
        <f>J303</f>
        <v>20</v>
      </c>
      <c r="S303" s="555"/>
      <c r="T303" s="556"/>
    </row>
    <row r="304" spans="1:20" ht="15" customHeight="1">
      <c r="A304" s="286">
        <v>304</v>
      </c>
      <c r="B304" s="544">
        <v>116</v>
      </c>
      <c r="C304" s="545" t="s">
        <v>73</v>
      </c>
      <c r="D304" s="549" t="s">
        <v>156</v>
      </c>
      <c r="E304" s="539">
        <f>VLOOKUP(B304,'2-Kosten per locatie'!$A$13:$C$87,3,FALSE)</f>
        <v>2</v>
      </c>
      <c r="F304" s="550"/>
      <c r="G304" s="551" t="s">
        <v>203</v>
      </c>
      <c r="H304" s="552" t="s">
        <v>519</v>
      </c>
      <c r="I304" s="551" t="s">
        <v>317</v>
      </c>
      <c r="J304" s="553">
        <v>4</v>
      </c>
      <c r="K304" s="554"/>
      <c r="L304" s="554"/>
      <c r="M304" s="554"/>
      <c r="N304" s="554">
        <v>15</v>
      </c>
      <c r="O304" s="554"/>
      <c r="P304" s="555"/>
      <c r="Q304" s="555"/>
      <c r="R304" s="555"/>
      <c r="S304" s="555">
        <f>J304</f>
        <v>4</v>
      </c>
      <c r="T304" s="556"/>
    </row>
    <row r="305" spans="1:20" ht="15" customHeight="1">
      <c r="A305" s="285">
        <v>305</v>
      </c>
      <c r="B305" s="544">
        <v>116</v>
      </c>
      <c r="C305" s="545" t="s">
        <v>73</v>
      </c>
      <c r="D305" s="549" t="s">
        <v>156</v>
      </c>
      <c r="E305" s="539">
        <f>VLOOKUP(B305,'2-Kosten per locatie'!$A$13:$C$87,3,FALSE)</f>
        <v>2</v>
      </c>
      <c r="F305" s="550"/>
      <c r="G305" s="551" t="s">
        <v>520</v>
      </c>
      <c r="H305" s="552" t="s">
        <v>521</v>
      </c>
      <c r="I305" s="551" t="s">
        <v>214</v>
      </c>
      <c r="J305" s="553">
        <v>9</v>
      </c>
      <c r="K305" s="554"/>
      <c r="L305" s="554"/>
      <c r="M305" s="554">
        <v>18</v>
      </c>
      <c r="N305" s="554"/>
      <c r="O305" s="554"/>
      <c r="P305" s="555"/>
      <c r="Q305" s="555">
        <f>J305</f>
        <v>9</v>
      </c>
      <c r="R305" s="555"/>
      <c r="S305" s="555"/>
      <c r="T305" s="556"/>
    </row>
    <row r="306" spans="1:20" ht="15" customHeight="1">
      <c r="A306" s="286">
        <v>306</v>
      </c>
      <c r="B306" s="544">
        <v>116</v>
      </c>
      <c r="C306" s="545" t="s">
        <v>73</v>
      </c>
      <c r="D306" s="549" t="s">
        <v>156</v>
      </c>
      <c r="E306" s="539">
        <f>VLOOKUP(B306,'2-Kosten per locatie'!$A$13:$C$87,3,FALSE)</f>
        <v>2</v>
      </c>
      <c r="F306" s="550"/>
      <c r="G306" s="551" t="s">
        <v>376</v>
      </c>
      <c r="H306" s="552" t="s">
        <v>522</v>
      </c>
      <c r="I306" s="551" t="s">
        <v>162</v>
      </c>
      <c r="J306" s="553">
        <v>18</v>
      </c>
      <c r="K306" s="554"/>
      <c r="L306" s="554">
        <v>58</v>
      </c>
      <c r="M306" s="554"/>
      <c r="N306" s="554"/>
      <c r="O306" s="554"/>
      <c r="P306" s="555"/>
      <c r="Q306" s="555"/>
      <c r="R306" s="555">
        <f>J306</f>
        <v>18</v>
      </c>
      <c r="S306" s="555"/>
      <c r="T306" s="556"/>
    </row>
    <row r="307" spans="1:20" ht="15" customHeight="1">
      <c r="A307" s="285">
        <v>307</v>
      </c>
      <c r="B307" s="544">
        <v>116</v>
      </c>
      <c r="C307" s="545" t="s">
        <v>73</v>
      </c>
      <c r="D307" s="549" t="s">
        <v>156</v>
      </c>
      <c r="E307" s="539">
        <f>VLOOKUP(B307,'2-Kosten per locatie'!$A$13:$C$87,3,FALSE)</f>
        <v>2</v>
      </c>
      <c r="F307" s="550"/>
      <c r="G307" s="551" t="s">
        <v>523</v>
      </c>
      <c r="H307" s="552" t="s">
        <v>524</v>
      </c>
      <c r="I307" s="551" t="s">
        <v>159</v>
      </c>
      <c r="J307" s="553">
        <v>26</v>
      </c>
      <c r="K307" s="554" t="s">
        <v>507</v>
      </c>
      <c r="L307" s="554"/>
      <c r="M307" s="554"/>
      <c r="N307" s="554"/>
      <c r="O307" s="554"/>
      <c r="P307" s="555"/>
      <c r="Q307" s="555"/>
      <c r="R307" s="555">
        <f>J307</f>
        <v>26</v>
      </c>
      <c r="S307" s="555"/>
      <c r="T307" s="556"/>
    </row>
    <row r="308" spans="1:20" ht="15" customHeight="1">
      <c r="A308" s="286">
        <v>308</v>
      </c>
      <c r="B308" s="544">
        <v>116</v>
      </c>
      <c r="C308" s="545" t="s">
        <v>73</v>
      </c>
      <c r="D308" s="549" t="s">
        <v>156</v>
      </c>
      <c r="E308" s="539">
        <f>VLOOKUP(B308,'2-Kosten per locatie'!$A$13:$C$87,3,FALSE)</f>
        <v>2</v>
      </c>
      <c r="F308" s="550"/>
      <c r="G308" s="551" t="s">
        <v>508</v>
      </c>
      <c r="H308" s="552" t="s">
        <v>525</v>
      </c>
      <c r="I308" s="551" t="s">
        <v>171</v>
      </c>
      <c r="J308" s="553">
        <v>15</v>
      </c>
      <c r="K308" s="554"/>
      <c r="L308" s="554"/>
      <c r="M308" s="554">
        <v>75</v>
      </c>
      <c r="N308" s="554"/>
      <c r="O308" s="554"/>
      <c r="P308" s="555"/>
      <c r="Q308" s="555">
        <f>J308</f>
        <v>15</v>
      </c>
      <c r="R308" s="555"/>
      <c r="S308" s="555"/>
      <c r="T308" s="556"/>
    </row>
    <row r="309" spans="1:20" ht="15" customHeight="1">
      <c r="A309" s="286">
        <v>309</v>
      </c>
      <c r="B309" s="544">
        <v>116</v>
      </c>
      <c r="C309" s="545" t="s">
        <v>73</v>
      </c>
      <c r="D309" s="549" t="s">
        <v>156</v>
      </c>
      <c r="E309" s="539">
        <f>VLOOKUP(B309,'2-Kosten per locatie'!$A$13:$C$87,3,FALSE)</f>
        <v>2</v>
      </c>
      <c r="F309" s="550"/>
      <c r="G309" s="551" t="s">
        <v>526</v>
      </c>
      <c r="H309" s="552" t="s">
        <v>527</v>
      </c>
      <c r="I309" s="551" t="s">
        <v>162</v>
      </c>
      <c r="J309" s="553">
        <v>16</v>
      </c>
      <c r="K309" s="554"/>
      <c r="L309" s="554">
        <v>75</v>
      </c>
      <c r="M309" s="554"/>
      <c r="N309" s="554"/>
      <c r="O309" s="554"/>
      <c r="P309" s="555"/>
      <c r="Q309" s="555"/>
      <c r="R309" s="555">
        <f>J309</f>
        <v>16</v>
      </c>
      <c r="S309" s="555"/>
      <c r="T309" s="556"/>
    </row>
    <row r="310" spans="1:20" ht="15" customHeight="1">
      <c r="A310" s="285">
        <v>310</v>
      </c>
      <c r="B310" s="544">
        <v>116</v>
      </c>
      <c r="C310" s="545" t="s">
        <v>73</v>
      </c>
      <c r="D310" s="549" t="s">
        <v>156</v>
      </c>
      <c r="E310" s="539">
        <f>VLOOKUP(B310,'2-Kosten per locatie'!$A$13:$C$87,3,FALSE)</f>
        <v>2</v>
      </c>
      <c r="F310" s="550"/>
      <c r="G310" s="551" t="s">
        <v>330</v>
      </c>
      <c r="H310" s="552" t="s">
        <v>528</v>
      </c>
      <c r="I310" s="551" t="s">
        <v>171</v>
      </c>
      <c r="J310" s="553">
        <v>76</v>
      </c>
      <c r="K310" s="554"/>
      <c r="L310" s="554">
        <v>180</v>
      </c>
      <c r="M310" s="554"/>
      <c r="N310" s="554"/>
      <c r="O310" s="554"/>
      <c r="P310" s="555"/>
      <c r="Q310" s="555"/>
      <c r="R310" s="555">
        <f>J310</f>
        <v>76</v>
      </c>
      <c r="S310" s="555"/>
      <c r="T310" s="556"/>
    </row>
    <row r="311" spans="1:20" ht="15" customHeight="1">
      <c r="A311" s="286">
        <v>311</v>
      </c>
      <c r="B311" s="544">
        <v>116</v>
      </c>
      <c r="C311" s="545" t="s">
        <v>73</v>
      </c>
      <c r="D311" s="549" t="s">
        <v>156</v>
      </c>
      <c r="E311" s="539">
        <f>VLOOKUP(B311,'2-Kosten per locatie'!$A$13:$C$87,3,FALSE)</f>
        <v>2</v>
      </c>
      <c r="F311" s="550"/>
      <c r="G311" s="551" t="s">
        <v>529</v>
      </c>
      <c r="H311" s="552" t="s">
        <v>530</v>
      </c>
      <c r="I311" s="551" t="s">
        <v>171</v>
      </c>
      <c r="J311" s="553">
        <v>13</v>
      </c>
      <c r="K311" s="554" t="s">
        <v>518</v>
      </c>
      <c r="L311" s="554"/>
      <c r="M311" s="554"/>
      <c r="N311" s="554"/>
      <c r="O311" s="554"/>
      <c r="P311" s="555"/>
      <c r="Q311" s="555"/>
      <c r="R311" s="555">
        <f>J311</f>
        <v>13</v>
      </c>
      <c r="S311" s="555"/>
      <c r="T311" s="556"/>
    </row>
    <row r="312" spans="1:20" ht="15" customHeight="1">
      <c r="A312" s="285">
        <v>312</v>
      </c>
      <c r="B312" s="544">
        <v>116</v>
      </c>
      <c r="C312" s="545" t="s">
        <v>73</v>
      </c>
      <c r="D312" s="549" t="s">
        <v>156</v>
      </c>
      <c r="E312" s="539">
        <f>VLOOKUP(B312,'2-Kosten per locatie'!$A$13:$C$87,3,FALSE)</f>
        <v>2</v>
      </c>
      <c r="F312" s="550"/>
      <c r="G312" s="551" t="s">
        <v>531</v>
      </c>
      <c r="H312" s="552" t="s">
        <v>532</v>
      </c>
      <c r="I312" s="551" t="s">
        <v>171</v>
      </c>
      <c r="J312" s="553">
        <v>1</v>
      </c>
      <c r="K312" s="554"/>
      <c r="L312" s="554"/>
      <c r="M312" s="554">
        <v>8</v>
      </c>
      <c r="N312" s="554"/>
      <c r="O312" s="554"/>
      <c r="P312" s="555"/>
      <c r="Q312" s="555">
        <f>J312</f>
        <v>1</v>
      </c>
      <c r="R312" s="555"/>
      <c r="S312" s="555"/>
      <c r="T312" s="556"/>
    </row>
    <row r="313" spans="1:20" ht="15" customHeight="1">
      <c r="A313" s="286">
        <v>313</v>
      </c>
      <c r="B313" s="544">
        <v>116</v>
      </c>
      <c r="C313" s="545" t="s">
        <v>73</v>
      </c>
      <c r="D313" s="549" t="s">
        <v>156</v>
      </c>
      <c r="E313" s="539">
        <f>VLOOKUP(B313,'2-Kosten per locatie'!$A$13:$C$87,3,FALSE)</f>
        <v>2</v>
      </c>
      <c r="F313" s="550"/>
      <c r="G313" s="551" t="s">
        <v>531</v>
      </c>
      <c r="H313" s="552" t="s">
        <v>533</v>
      </c>
      <c r="I313" s="551" t="s">
        <v>171</v>
      </c>
      <c r="J313" s="553">
        <v>1</v>
      </c>
      <c r="K313" s="554"/>
      <c r="L313" s="554"/>
      <c r="M313" s="554">
        <v>8</v>
      </c>
      <c r="N313" s="554"/>
      <c r="O313" s="554"/>
      <c r="P313" s="555"/>
      <c r="Q313" s="555">
        <f>J313</f>
        <v>1</v>
      </c>
      <c r="R313" s="555"/>
      <c r="S313" s="555"/>
      <c r="T313" s="556"/>
    </row>
    <row r="314" spans="1:20" ht="15" customHeight="1">
      <c r="A314" s="285">
        <v>314</v>
      </c>
      <c r="B314" s="544">
        <v>116</v>
      </c>
      <c r="C314" s="545" t="s">
        <v>73</v>
      </c>
      <c r="D314" s="549" t="s">
        <v>156</v>
      </c>
      <c r="E314" s="539">
        <f>VLOOKUP(B314,'2-Kosten per locatie'!$A$13:$C$87,3,FALSE)</f>
        <v>2</v>
      </c>
      <c r="F314" s="550"/>
      <c r="G314" s="551" t="s">
        <v>534</v>
      </c>
      <c r="H314" s="552" t="s">
        <v>535</v>
      </c>
      <c r="I314" s="551" t="s">
        <v>536</v>
      </c>
      <c r="J314" s="553">
        <v>1</v>
      </c>
      <c r="K314" s="554"/>
      <c r="L314" s="554"/>
      <c r="M314" s="554">
        <v>73</v>
      </c>
      <c r="N314" s="554"/>
      <c r="O314" s="554"/>
      <c r="P314" s="555"/>
      <c r="Q314" s="555">
        <f>J314</f>
        <v>1</v>
      </c>
      <c r="R314" s="555"/>
      <c r="S314" s="555"/>
      <c r="T314" s="556"/>
    </row>
    <row r="315" spans="1:20" ht="15" customHeight="1">
      <c r="A315" s="286">
        <v>315</v>
      </c>
      <c r="B315" s="544">
        <v>116</v>
      </c>
      <c r="C315" s="545" t="s">
        <v>73</v>
      </c>
      <c r="D315" s="549" t="s">
        <v>156</v>
      </c>
      <c r="E315" s="539">
        <f>VLOOKUP(B315,'2-Kosten per locatie'!$A$13:$C$87,3,FALSE)</f>
        <v>2</v>
      </c>
      <c r="F315" s="550"/>
      <c r="G315" s="551" t="s">
        <v>289</v>
      </c>
      <c r="H315" s="552" t="s">
        <v>537</v>
      </c>
      <c r="I315" s="551" t="s">
        <v>290</v>
      </c>
      <c r="J315" s="553">
        <v>1648</v>
      </c>
      <c r="K315" s="554"/>
      <c r="L315" s="554">
        <v>76</v>
      </c>
      <c r="M315" s="554"/>
      <c r="N315" s="554"/>
      <c r="O315" s="554"/>
      <c r="P315" s="555">
        <v>1184</v>
      </c>
      <c r="Q315" s="555"/>
      <c r="R315" s="555"/>
      <c r="S315" s="555"/>
      <c r="T315" s="556"/>
    </row>
    <row r="316" spans="1:20" ht="15" customHeight="1">
      <c r="A316" s="286">
        <v>316</v>
      </c>
      <c r="B316" s="544">
        <v>116</v>
      </c>
      <c r="C316" s="545" t="s">
        <v>73</v>
      </c>
      <c r="D316" s="549" t="s">
        <v>156</v>
      </c>
      <c r="E316" s="539">
        <f>VLOOKUP(B316,'2-Kosten per locatie'!$A$13:$C$87,3,FALSE)</f>
        <v>2</v>
      </c>
      <c r="F316" s="550"/>
      <c r="G316" s="551" t="s">
        <v>390</v>
      </c>
      <c r="H316" s="552" t="s">
        <v>538</v>
      </c>
      <c r="I316" s="551" t="s">
        <v>296</v>
      </c>
      <c r="J316" s="553">
        <v>27</v>
      </c>
      <c r="K316" s="554" t="s">
        <v>507</v>
      </c>
      <c r="L316" s="554"/>
      <c r="M316" s="554"/>
      <c r="N316" s="554"/>
      <c r="O316" s="554"/>
      <c r="P316" s="555"/>
      <c r="Q316" s="555"/>
      <c r="R316" s="555">
        <f>J316</f>
        <v>27</v>
      </c>
      <c r="S316" s="555"/>
      <c r="T316" s="556"/>
    </row>
    <row r="317" spans="1:20" ht="15" customHeight="1">
      <c r="A317" s="285">
        <v>317</v>
      </c>
      <c r="B317" s="544">
        <v>117</v>
      </c>
      <c r="C317" s="545" t="s">
        <v>74</v>
      </c>
      <c r="D317" s="549" t="s">
        <v>156</v>
      </c>
      <c r="E317" s="539">
        <f>VLOOKUP(B317,'2-Kosten per locatie'!$A$13:$C$87,3,FALSE)</f>
        <v>2</v>
      </c>
      <c r="F317" s="550"/>
      <c r="G317" s="551" t="s">
        <v>508</v>
      </c>
      <c r="H317" s="552" t="s">
        <v>539</v>
      </c>
      <c r="I317" s="551" t="s">
        <v>171</v>
      </c>
      <c r="J317" s="553">
        <v>13</v>
      </c>
      <c r="K317" s="554"/>
      <c r="L317" s="554"/>
      <c r="M317" s="554">
        <v>34</v>
      </c>
      <c r="N317" s="554"/>
      <c r="O317" s="554"/>
      <c r="P317" s="555"/>
      <c r="Q317" s="555">
        <f>J317</f>
        <v>13</v>
      </c>
      <c r="R317" s="555"/>
      <c r="S317" s="555"/>
      <c r="T317" s="556"/>
    </row>
    <row r="318" spans="1:20" ht="15" customHeight="1">
      <c r="A318" s="286">
        <v>318</v>
      </c>
      <c r="B318" s="544">
        <v>117</v>
      </c>
      <c r="C318" s="545" t="s">
        <v>74</v>
      </c>
      <c r="D318" s="549" t="s">
        <v>156</v>
      </c>
      <c r="E318" s="539">
        <f>VLOOKUP(B318,'2-Kosten per locatie'!$A$13:$C$87,3,FALSE)</f>
        <v>2</v>
      </c>
      <c r="F318" s="550"/>
      <c r="G318" s="551" t="s">
        <v>508</v>
      </c>
      <c r="H318" s="552" t="s">
        <v>540</v>
      </c>
      <c r="I318" s="551" t="s">
        <v>171</v>
      </c>
      <c r="J318" s="553">
        <v>11</v>
      </c>
      <c r="K318" s="554"/>
      <c r="L318" s="554">
        <v>27</v>
      </c>
      <c r="M318" s="554"/>
      <c r="N318" s="554"/>
      <c r="O318" s="554"/>
      <c r="P318" s="555"/>
      <c r="Q318" s="555"/>
      <c r="R318" s="555">
        <f>J318</f>
        <v>11</v>
      </c>
      <c r="S318" s="555"/>
      <c r="T318" s="556"/>
    </row>
    <row r="319" spans="1:20" ht="15" customHeight="1">
      <c r="A319" s="285">
        <v>319</v>
      </c>
      <c r="B319" s="544">
        <v>117</v>
      </c>
      <c r="C319" s="545" t="s">
        <v>74</v>
      </c>
      <c r="D319" s="549" t="s">
        <v>156</v>
      </c>
      <c r="E319" s="539">
        <f>VLOOKUP(B319,'2-Kosten per locatie'!$A$13:$C$87,3,FALSE)</f>
        <v>2</v>
      </c>
      <c r="F319" s="550"/>
      <c r="G319" s="551" t="s">
        <v>526</v>
      </c>
      <c r="H319" s="552" t="s">
        <v>541</v>
      </c>
      <c r="I319" s="551" t="s">
        <v>162</v>
      </c>
      <c r="J319" s="553">
        <v>26</v>
      </c>
      <c r="K319" s="554"/>
      <c r="L319" s="554">
        <v>65</v>
      </c>
      <c r="M319" s="554"/>
      <c r="N319" s="554"/>
      <c r="O319" s="554"/>
      <c r="P319" s="555"/>
      <c r="Q319" s="555"/>
      <c r="R319" s="555">
        <f>J319</f>
        <v>26</v>
      </c>
      <c r="S319" s="555"/>
      <c r="T319" s="556"/>
    </row>
    <row r="320" spans="1:20" ht="15" customHeight="1">
      <c r="A320" s="286">
        <v>320</v>
      </c>
      <c r="B320" s="544">
        <v>117</v>
      </c>
      <c r="C320" s="545" t="s">
        <v>74</v>
      </c>
      <c r="D320" s="549" t="s">
        <v>156</v>
      </c>
      <c r="E320" s="539">
        <f>VLOOKUP(B320,'2-Kosten per locatie'!$A$13:$C$87,3,FALSE)</f>
        <v>2</v>
      </c>
      <c r="F320" s="550"/>
      <c r="G320" s="551" t="s">
        <v>542</v>
      </c>
      <c r="H320" s="552" t="s">
        <v>543</v>
      </c>
      <c r="I320" s="551" t="s">
        <v>162</v>
      </c>
      <c r="J320" s="553">
        <v>7</v>
      </c>
      <c r="K320" s="554"/>
      <c r="L320" s="554">
        <v>26</v>
      </c>
      <c r="M320" s="554"/>
      <c r="N320" s="554"/>
      <c r="O320" s="554"/>
      <c r="P320" s="555"/>
      <c r="Q320" s="555"/>
      <c r="R320" s="555">
        <f>J320</f>
        <v>7</v>
      </c>
      <c r="S320" s="555"/>
      <c r="T320" s="556"/>
    </row>
    <row r="321" spans="1:20" ht="15" customHeight="1">
      <c r="A321" s="285">
        <v>321</v>
      </c>
      <c r="B321" s="544">
        <v>117</v>
      </c>
      <c r="C321" s="545" t="s">
        <v>74</v>
      </c>
      <c r="D321" s="549" t="s">
        <v>156</v>
      </c>
      <c r="E321" s="539">
        <f>VLOOKUP(B321,'2-Kosten per locatie'!$A$13:$C$87,3,FALSE)</f>
        <v>2</v>
      </c>
      <c r="F321" s="550"/>
      <c r="G321" s="551" t="s">
        <v>342</v>
      </c>
      <c r="H321" s="552" t="s">
        <v>544</v>
      </c>
      <c r="I321" s="551" t="s">
        <v>171</v>
      </c>
      <c r="J321" s="553">
        <v>13</v>
      </c>
      <c r="K321" s="554"/>
      <c r="L321" s="554"/>
      <c r="M321" s="554">
        <v>37</v>
      </c>
      <c r="N321" s="554"/>
      <c r="O321" s="554"/>
      <c r="P321" s="555"/>
      <c r="Q321" s="555">
        <f>J321</f>
        <v>13</v>
      </c>
      <c r="R321" s="555"/>
      <c r="S321" s="555"/>
      <c r="T321" s="556"/>
    </row>
    <row r="322" spans="1:20" ht="15" customHeight="1">
      <c r="A322" s="286">
        <v>322</v>
      </c>
      <c r="B322" s="544">
        <v>117</v>
      </c>
      <c r="C322" s="545" t="s">
        <v>74</v>
      </c>
      <c r="D322" s="549" t="s">
        <v>156</v>
      </c>
      <c r="E322" s="539">
        <f>VLOOKUP(B322,'2-Kosten per locatie'!$A$13:$C$87,3,FALSE)</f>
        <v>2</v>
      </c>
      <c r="F322" s="550"/>
      <c r="G322" s="551" t="s">
        <v>342</v>
      </c>
      <c r="H322" s="552" t="s">
        <v>545</v>
      </c>
      <c r="I322" s="551" t="s">
        <v>171</v>
      </c>
      <c r="J322" s="553">
        <v>19</v>
      </c>
      <c r="K322" s="554"/>
      <c r="L322" s="554"/>
      <c r="M322" s="554">
        <v>44</v>
      </c>
      <c r="N322" s="554"/>
      <c r="O322" s="554"/>
      <c r="P322" s="555"/>
      <c r="Q322" s="555">
        <f>J322</f>
        <v>19</v>
      </c>
      <c r="R322" s="555"/>
      <c r="S322" s="555"/>
      <c r="T322" s="556"/>
    </row>
    <row r="323" spans="1:20" ht="15" customHeight="1">
      <c r="A323" s="286">
        <v>323</v>
      </c>
      <c r="B323" s="544">
        <v>117</v>
      </c>
      <c r="C323" s="545" t="s">
        <v>74</v>
      </c>
      <c r="D323" s="549" t="s">
        <v>156</v>
      </c>
      <c r="E323" s="539">
        <f>VLOOKUP(B323,'2-Kosten per locatie'!$A$13:$C$87,3,FALSE)</f>
        <v>2</v>
      </c>
      <c r="F323" s="550"/>
      <c r="G323" s="551" t="s">
        <v>199</v>
      </c>
      <c r="H323" s="552" t="s">
        <v>546</v>
      </c>
      <c r="I323" s="551" t="s">
        <v>171</v>
      </c>
      <c r="J323" s="553">
        <v>16</v>
      </c>
      <c r="K323" s="554"/>
      <c r="L323" s="554"/>
      <c r="M323" s="554">
        <v>39</v>
      </c>
      <c r="N323" s="554"/>
      <c r="O323" s="554"/>
      <c r="P323" s="555"/>
      <c r="Q323" s="555">
        <f>J323</f>
        <v>16</v>
      </c>
      <c r="R323" s="555"/>
      <c r="S323" s="555"/>
      <c r="T323" s="556"/>
    </row>
    <row r="324" spans="1:20" ht="15" customHeight="1">
      <c r="A324" s="285">
        <v>324</v>
      </c>
      <c r="B324" s="544">
        <v>117</v>
      </c>
      <c r="C324" s="545" t="s">
        <v>74</v>
      </c>
      <c r="D324" s="549" t="s">
        <v>156</v>
      </c>
      <c r="E324" s="539">
        <f>VLOOKUP(B324,'2-Kosten per locatie'!$A$13:$C$87,3,FALSE)</f>
        <v>2</v>
      </c>
      <c r="F324" s="550"/>
      <c r="G324" s="551" t="s">
        <v>547</v>
      </c>
      <c r="H324" s="552" t="s">
        <v>491</v>
      </c>
      <c r="I324" s="551" t="s">
        <v>171</v>
      </c>
      <c r="J324" s="553">
        <v>28</v>
      </c>
      <c r="K324" s="554"/>
      <c r="L324" s="554">
        <v>51</v>
      </c>
      <c r="M324" s="554"/>
      <c r="N324" s="554"/>
      <c r="O324" s="554"/>
      <c r="P324" s="555"/>
      <c r="Q324" s="555"/>
      <c r="R324" s="555">
        <f>J324</f>
        <v>28</v>
      </c>
      <c r="S324" s="555"/>
      <c r="T324" s="556"/>
    </row>
    <row r="325" spans="1:20" ht="15" customHeight="1">
      <c r="A325" s="286">
        <v>325</v>
      </c>
      <c r="B325" s="544">
        <v>117</v>
      </c>
      <c r="C325" s="545" t="s">
        <v>74</v>
      </c>
      <c r="D325" s="549" t="s">
        <v>156</v>
      </c>
      <c r="E325" s="539">
        <f>VLOOKUP(B325,'2-Kosten per locatie'!$A$13:$C$87,3,FALSE)</f>
        <v>2</v>
      </c>
      <c r="F325" s="550"/>
      <c r="G325" s="551" t="s">
        <v>548</v>
      </c>
      <c r="H325" s="552" t="s">
        <v>492</v>
      </c>
      <c r="I325" s="551" t="s">
        <v>159</v>
      </c>
      <c r="J325" s="553">
        <v>10</v>
      </c>
      <c r="K325" s="554"/>
      <c r="L325" s="554">
        <v>29</v>
      </c>
      <c r="M325" s="554"/>
      <c r="N325" s="554"/>
      <c r="O325" s="554"/>
      <c r="P325" s="555"/>
      <c r="Q325" s="555"/>
      <c r="R325" s="555">
        <f>J325</f>
        <v>10</v>
      </c>
      <c r="S325" s="555"/>
      <c r="T325" s="556"/>
    </row>
    <row r="326" spans="1:20" ht="15" customHeight="1">
      <c r="A326" s="285">
        <v>326</v>
      </c>
      <c r="B326" s="544">
        <v>117</v>
      </c>
      <c r="C326" s="545" t="s">
        <v>74</v>
      </c>
      <c r="D326" s="549" t="s">
        <v>156</v>
      </c>
      <c r="E326" s="539">
        <f>VLOOKUP(B326,'2-Kosten per locatie'!$A$13:$C$87,3,FALSE)</f>
        <v>2</v>
      </c>
      <c r="F326" s="550"/>
      <c r="G326" s="551" t="s">
        <v>547</v>
      </c>
      <c r="H326" s="552" t="s">
        <v>549</v>
      </c>
      <c r="I326" s="551" t="s">
        <v>171</v>
      </c>
      <c r="J326" s="553">
        <v>18</v>
      </c>
      <c r="K326" s="554"/>
      <c r="L326" s="554">
        <v>55</v>
      </c>
      <c r="M326" s="554"/>
      <c r="N326" s="554"/>
      <c r="O326" s="554"/>
      <c r="P326" s="555"/>
      <c r="Q326" s="555"/>
      <c r="R326" s="555">
        <f>J326</f>
        <v>18</v>
      </c>
      <c r="S326" s="555"/>
      <c r="T326" s="556"/>
    </row>
    <row r="327" spans="1:20" ht="15" customHeight="1">
      <c r="A327" s="286">
        <v>327</v>
      </c>
      <c r="B327" s="544">
        <v>117</v>
      </c>
      <c r="C327" s="545" t="s">
        <v>74</v>
      </c>
      <c r="D327" s="549" t="s">
        <v>156</v>
      </c>
      <c r="E327" s="539">
        <f>VLOOKUP(B327,'2-Kosten per locatie'!$A$13:$C$87,3,FALSE)</f>
        <v>2</v>
      </c>
      <c r="F327" s="550"/>
      <c r="G327" s="551" t="s">
        <v>550</v>
      </c>
      <c r="H327" s="552" t="s">
        <v>551</v>
      </c>
      <c r="I327" s="551" t="s">
        <v>171</v>
      </c>
      <c r="J327" s="553">
        <v>4</v>
      </c>
      <c r="K327" s="554"/>
      <c r="L327" s="554">
        <v>19</v>
      </c>
      <c r="M327" s="554"/>
      <c r="N327" s="554"/>
      <c r="O327" s="554"/>
      <c r="P327" s="555"/>
      <c r="Q327" s="555"/>
      <c r="R327" s="555">
        <f>J327</f>
        <v>4</v>
      </c>
      <c r="S327" s="555"/>
      <c r="T327" s="556"/>
    </row>
    <row r="328" spans="1:20" ht="15" customHeight="1">
      <c r="A328" s="285">
        <v>328</v>
      </c>
      <c r="B328" s="544">
        <v>117</v>
      </c>
      <c r="C328" s="545" t="s">
        <v>74</v>
      </c>
      <c r="D328" s="549" t="s">
        <v>156</v>
      </c>
      <c r="E328" s="539">
        <f>VLOOKUP(B328,'2-Kosten per locatie'!$A$13:$C$87,3,FALSE)</f>
        <v>2</v>
      </c>
      <c r="F328" s="550"/>
      <c r="G328" s="551" t="s">
        <v>552</v>
      </c>
      <c r="H328" s="552" t="s">
        <v>553</v>
      </c>
      <c r="I328" s="551" t="s">
        <v>214</v>
      </c>
      <c r="J328" s="553">
        <v>4</v>
      </c>
      <c r="K328" s="554"/>
      <c r="L328" s="554"/>
      <c r="M328" s="554">
        <v>4</v>
      </c>
      <c r="N328" s="554"/>
      <c r="O328" s="554"/>
      <c r="P328" s="555"/>
      <c r="Q328" s="555">
        <f>J328</f>
        <v>4</v>
      </c>
      <c r="R328" s="555"/>
      <c r="S328" s="555"/>
      <c r="T328" s="556"/>
    </row>
    <row r="329" spans="1:20" ht="15" customHeight="1">
      <c r="A329" s="286">
        <v>329</v>
      </c>
      <c r="B329" s="544">
        <v>117</v>
      </c>
      <c r="C329" s="545" t="s">
        <v>74</v>
      </c>
      <c r="D329" s="549" t="s">
        <v>156</v>
      </c>
      <c r="E329" s="539">
        <f>VLOOKUP(B329,'2-Kosten per locatie'!$A$13:$C$87,3,FALSE)</f>
        <v>2</v>
      </c>
      <c r="F329" s="550"/>
      <c r="G329" s="551" t="s">
        <v>554</v>
      </c>
      <c r="H329" s="552" t="s">
        <v>494</v>
      </c>
      <c r="I329" s="551" t="s">
        <v>555</v>
      </c>
      <c r="J329" s="553">
        <v>144</v>
      </c>
      <c r="K329" s="554"/>
      <c r="L329" s="554"/>
      <c r="M329" s="554">
        <v>68</v>
      </c>
      <c r="N329" s="554"/>
      <c r="O329" s="554"/>
      <c r="P329" s="555"/>
      <c r="Q329" s="555">
        <f>J329</f>
        <v>144</v>
      </c>
      <c r="R329" s="555"/>
      <c r="S329" s="555"/>
      <c r="T329" s="556"/>
    </row>
    <row r="330" spans="1:20" ht="15" customHeight="1">
      <c r="A330" s="286">
        <v>330</v>
      </c>
      <c r="B330" s="544">
        <v>117</v>
      </c>
      <c r="C330" s="545" t="s">
        <v>74</v>
      </c>
      <c r="D330" s="549" t="s">
        <v>156</v>
      </c>
      <c r="E330" s="539">
        <f>VLOOKUP(B330,'2-Kosten per locatie'!$A$13:$C$87,3,FALSE)</f>
        <v>2</v>
      </c>
      <c r="F330" s="550"/>
      <c r="G330" s="551" t="s">
        <v>495</v>
      </c>
      <c r="H330" s="552" t="s">
        <v>496</v>
      </c>
      <c r="I330" s="551" t="s">
        <v>214</v>
      </c>
      <c r="J330" s="553">
        <v>11</v>
      </c>
      <c r="K330" s="554"/>
      <c r="L330" s="554"/>
      <c r="M330" s="554">
        <v>24</v>
      </c>
      <c r="N330" s="554"/>
      <c r="O330" s="554"/>
      <c r="P330" s="555"/>
      <c r="Q330" s="555">
        <f>J330</f>
        <v>11</v>
      </c>
      <c r="R330" s="555"/>
      <c r="S330" s="555"/>
      <c r="T330" s="556"/>
    </row>
    <row r="331" spans="1:20" ht="15" customHeight="1">
      <c r="A331" s="285">
        <v>331</v>
      </c>
      <c r="B331" s="544">
        <v>117</v>
      </c>
      <c r="C331" s="545" t="s">
        <v>74</v>
      </c>
      <c r="D331" s="549" t="s">
        <v>156</v>
      </c>
      <c r="E331" s="539">
        <f>VLOOKUP(B331,'2-Kosten per locatie'!$A$13:$C$87,3,FALSE)</f>
        <v>2</v>
      </c>
      <c r="F331" s="550"/>
      <c r="G331" s="551" t="s">
        <v>556</v>
      </c>
      <c r="H331" s="552" t="s">
        <v>498</v>
      </c>
      <c r="I331" s="551" t="s">
        <v>214</v>
      </c>
      <c r="J331" s="553">
        <v>19</v>
      </c>
      <c r="K331" s="554"/>
      <c r="L331" s="554"/>
      <c r="M331" s="554">
        <v>23</v>
      </c>
      <c r="N331" s="554"/>
      <c r="O331" s="554"/>
      <c r="P331" s="555"/>
      <c r="Q331" s="555">
        <f>J331</f>
        <v>19</v>
      </c>
      <c r="R331" s="555"/>
      <c r="S331" s="555"/>
      <c r="T331" s="556"/>
    </row>
    <row r="332" spans="1:20" ht="15" customHeight="1">
      <c r="A332" s="286">
        <v>332</v>
      </c>
      <c r="B332" s="544">
        <v>117</v>
      </c>
      <c r="C332" s="545" t="s">
        <v>74</v>
      </c>
      <c r="D332" s="549" t="s">
        <v>156</v>
      </c>
      <c r="E332" s="539">
        <f>VLOOKUP(B332,'2-Kosten per locatie'!$A$13:$C$87,3,FALSE)</f>
        <v>2</v>
      </c>
      <c r="F332" s="550"/>
      <c r="G332" s="551" t="s">
        <v>557</v>
      </c>
      <c r="H332" s="552" t="s">
        <v>500</v>
      </c>
      <c r="I332" s="551" t="s">
        <v>405</v>
      </c>
      <c r="J332" s="553">
        <v>50</v>
      </c>
      <c r="K332" s="554"/>
      <c r="L332" s="554"/>
      <c r="M332" s="554">
        <v>110</v>
      </c>
      <c r="N332" s="554"/>
      <c r="O332" s="554"/>
      <c r="P332" s="555"/>
      <c r="Q332" s="555"/>
      <c r="R332" s="555">
        <f>J332</f>
        <v>50</v>
      </c>
      <c r="S332" s="555"/>
      <c r="T332" s="556"/>
    </row>
    <row r="333" spans="1:20" ht="15" customHeight="1">
      <c r="A333" s="285">
        <v>333</v>
      </c>
      <c r="B333" s="544">
        <v>117</v>
      </c>
      <c r="C333" s="545" t="s">
        <v>74</v>
      </c>
      <c r="D333" s="549" t="s">
        <v>156</v>
      </c>
      <c r="E333" s="539">
        <f>VLOOKUP(B333,'2-Kosten per locatie'!$A$13:$C$87,3,FALSE)</f>
        <v>2</v>
      </c>
      <c r="F333" s="550"/>
      <c r="G333" s="551" t="s">
        <v>298</v>
      </c>
      <c r="H333" s="552" t="s">
        <v>505</v>
      </c>
      <c r="I333" s="551" t="s">
        <v>159</v>
      </c>
      <c r="J333" s="553">
        <v>115</v>
      </c>
      <c r="K333" s="554"/>
      <c r="L333" s="554">
        <v>700</v>
      </c>
      <c r="M333" s="554"/>
      <c r="N333" s="554"/>
      <c r="O333" s="554"/>
      <c r="P333" s="555"/>
      <c r="Q333" s="555"/>
      <c r="R333" s="555">
        <f>J333</f>
        <v>115</v>
      </c>
      <c r="S333" s="555"/>
      <c r="T333" s="556"/>
    </row>
    <row r="334" spans="1:20" ht="15" customHeight="1">
      <c r="A334" s="286">
        <v>334</v>
      </c>
      <c r="B334" s="544">
        <v>117</v>
      </c>
      <c r="C334" s="545" t="s">
        <v>74</v>
      </c>
      <c r="D334" s="549" t="s">
        <v>156</v>
      </c>
      <c r="E334" s="539">
        <f>VLOOKUP(B334,'2-Kosten per locatie'!$A$13:$C$87,3,FALSE)</f>
        <v>2</v>
      </c>
      <c r="F334" s="550"/>
      <c r="G334" s="551" t="s">
        <v>297</v>
      </c>
      <c r="H334" s="552" t="s">
        <v>506</v>
      </c>
      <c r="I334" s="551" t="s">
        <v>159</v>
      </c>
      <c r="J334" s="553">
        <v>67</v>
      </c>
      <c r="K334" s="554"/>
      <c r="L334" s="554">
        <v>365</v>
      </c>
      <c r="M334" s="554"/>
      <c r="N334" s="554"/>
      <c r="O334" s="554"/>
      <c r="P334" s="555"/>
      <c r="Q334" s="555"/>
      <c r="R334" s="555">
        <f>J334</f>
        <v>67</v>
      </c>
      <c r="S334" s="555"/>
      <c r="T334" s="556"/>
    </row>
    <row r="335" spans="1:20" ht="15" customHeight="1">
      <c r="A335" s="285">
        <v>335</v>
      </c>
      <c r="B335" s="544">
        <v>117</v>
      </c>
      <c r="C335" s="545" t="s">
        <v>74</v>
      </c>
      <c r="D335" s="549" t="s">
        <v>156</v>
      </c>
      <c r="E335" s="539">
        <f>VLOOKUP(B335,'2-Kosten per locatie'!$A$13:$C$87,3,FALSE)</f>
        <v>2</v>
      </c>
      <c r="F335" s="550"/>
      <c r="G335" s="551" t="s">
        <v>508</v>
      </c>
      <c r="H335" s="552" t="s">
        <v>158</v>
      </c>
      <c r="I335" s="551" t="s">
        <v>171</v>
      </c>
      <c r="J335" s="553">
        <v>3</v>
      </c>
      <c r="K335" s="554" t="s">
        <v>558</v>
      </c>
      <c r="L335" s="554"/>
      <c r="M335" s="554"/>
      <c r="N335" s="554"/>
      <c r="O335" s="554"/>
      <c r="P335" s="555"/>
      <c r="Q335" s="555">
        <f>J335</f>
        <v>3</v>
      </c>
      <c r="R335" s="555"/>
      <c r="S335" s="555"/>
      <c r="T335" s="556"/>
    </row>
    <row r="336" spans="1:20" ht="15" customHeight="1">
      <c r="A336" s="286">
        <v>336</v>
      </c>
      <c r="B336" s="544">
        <v>117</v>
      </c>
      <c r="C336" s="545" t="s">
        <v>74</v>
      </c>
      <c r="D336" s="549" t="s">
        <v>156</v>
      </c>
      <c r="E336" s="539">
        <f>VLOOKUP(B336,'2-Kosten per locatie'!$A$13:$C$87,3,FALSE)</f>
        <v>2</v>
      </c>
      <c r="F336" s="550"/>
      <c r="G336" s="551" t="s">
        <v>508</v>
      </c>
      <c r="H336" s="552" t="s">
        <v>509</v>
      </c>
      <c r="I336" s="551" t="s">
        <v>159</v>
      </c>
      <c r="J336" s="553">
        <v>7</v>
      </c>
      <c r="K336" s="554"/>
      <c r="L336" s="554">
        <v>50</v>
      </c>
      <c r="M336" s="554"/>
      <c r="N336" s="554"/>
      <c r="O336" s="554"/>
      <c r="P336" s="555"/>
      <c r="Q336" s="555"/>
      <c r="R336" s="555">
        <f>J336</f>
        <v>7</v>
      </c>
      <c r="S336" s="555"/>
      <c r="T336" s="556"/>
    </row>
    <row r="337" spans="1:20" ht="15" customHeight="1">
      <c r="A337" s="286">
        <v>337</v>
      </c>
      <c r="B337" s="544">
        <v>117</v>
      </c>
      <c r="C337" s="545" t="s">
        <v>74</v>
      </c>
      <c r="D337" s="549" t="s">
        <v>156</v>
      </c>
      <c r="E337" s="539">
        <f>VLOOKUP(B337,'2-Kosten per locatie'!$A$13:$C$87,3,FALSE)</f>
        <v>2</v>
      </c>
      <c r="F337" s="550"/>
      <c r="G337" s="551" t="s">
        <v>508</v>
      </c>
      <c r="H337" s="552" t="s">
        <v>559</v>
      </c>
      <c r="I337" s="551" t="s">
        <v>159</v>
      </c>
      <c r="J337" s="553">
        <v>19</v>
      </c>
      <c r="K337" s="554"/>
      <c r="L337" s="554">
        <v>31</v>
      </c>
      <c r="M337" s="554"/>
      <c r="N337" s="554"/>
      <c r="O337" s="554"/>
      <c r="P337" s="555"/>
      <c r="Q337" s="555">
        <f>J337</f>
        <v>19</v>
      </c>
      <c r="R337" s="555"/>
      <c r="S337" s="555"/>
      <c r="T337" s="556"/>
    </row>
    <row r="338" spans="1:20" ht="15" customHeight="1">
      <c r="A338" s="285">
        <v>338</v>
      </c>
      <c r="B338" s="544">
        <v>117</v>
      </c>
      <c r="C338" s="545" t="s">
        <v>74</v>
      </c>
      <c r="D338" s="549" t="s">
        <v>156</v>
      </c>
      <c r="E338" s="539">
        <f>VLOOKUP(B338,'2-Kosten per locatie'!$A$13:$C$87,3,FALSE)</f>
        <v>2</v>
      </c>
      <c r="F338" s="550"/>
      <c r="G338" s="551" t="s">
        <v>560</v>
      </c>
      <c r="H338" s="552" t="s">
        <v>164</v>
      </c>
      <c r="I338" s="551" t="s">
        <v>367</v>
      </c>
      <c r="J338" s="553">
        <v>15</v>
      </c>
      <c r="K338" s="554"/>
      <c r="L338" s="554">
        <v>51</v>
      </c>
      <c r="M338" s="554"/>
      <c r="N338" s="554"/>
      <c r="O338" s="554"/>
      <c r="P338" s="555"/>
      <c r="Q338" s="555"/>
      <c r="R338" s="555">
        <f>J338</f>
        <v>15</v>
      </c>
      <c r="S338" s="555"/>
      <c r="T338" s="556"/>
    </row>
    <row r="339" spans="1:20" ht="15" customHeight="1">
      <c r="A339" s="286">
        <v>339</v>
      </c>
      <c r="B339" s="544">
        <v>117</v>
      </c>
      <c r="C339" s="545" t="s">
        <v>74</v>
      </c>
      <c r="D339" s="549" t="s">
        <v>156</v>
      </c>
      <c r="E339" s="539">
        <f>VLOOKUP(B339,'2-Kosten per locatie'!$A$13:$C$87,3,FALSE)</f>
        <v>2</v>
      </c>
      <c r="F339" s="550"/>
      <c r="G339" s="551" t="s">
        <v>237</v>
      </c>
      <c r="H339" s="552" t="s">
        <v>512</v>
      </c>
      <c r="I339" s="551" t="s">
        <v>171</v>
      </c>
      <c r="J339" s="553">
        <v>3</v>
      </c>
      <c r="K339" s="554"/>
      <c r="L339" s="554">
        <v>19</v>
      </c>
      <c r="M339" s="554"/>
      <c r="N339" s="554"/>
      <c r="O339" s="554"/>
      <c r="P339" s="555"/>
      <c r="Q339" s="555"/>
      <c r="R339" s="555">
        <f>J339</f>
        <v>3</v>
      </c>
      <c r="S339" s="555"/>
      <c r="T339" s="556"/>
    </row>
    <row r="340" spans="1:20" ht="15" customHeight="1">
      <c r="A340" s="285">
        <v>340</v>
      </c>
      <c r="B340" s="544">
        <v>117</v>
      </c>
      <c r="C340" s="545" t="s">
        <v>74</v>
      </c>
      <c r="D340" s="549" t="s">
        <v>156</v>
      </c>
      <c r="E340" s="539">
        <f>VLOOKUP(B340,'2-Kosten per locatie'!$A$13:$C$87,3,FALSE)</f>
        <v>2</v>
      </c>
      <c r="F340" s="550"/>
      <c r="G340" s="551" t="s">
        <v>243</v>
      </c>
      <c r="H340" s="552" t="s">
        <v>515</v>
      </c>
      <c r="I340" s="551" t="s">
        <v>245</v>
      </c>
      <c r="J340" s="553">
        <v>2</v>
      </c>
      <c r="K340" s="554">
        <v>10</v>
      </c>
      <c r="L340" s="554"/>
      <c r="M340" s="554"/>
      <c r="N340" s="554"/>
      <c r="O340" s="554"/>
      <c r="P340" s="555"/>
      <c r="Q340" s="555"/>
      <c r="R340" s="555"/>
      <c r="S340" s="555">
        <f>J340</f>
        <v>2</v>
      </c>
      <c r="T340" s="556"/>
    </row>
    <row r="341" spans="1:20" ht="15" customHeight="1">
      <c r="A341" s="286">
        <v>341</v>
      </c>
      <c r="B341" s="544">
        <v>117</v>
      </c>
      <c r="C341" s="545" t="s">
        <v>74</v>
      </c>
      <c r="D341" s="549" t="s">
        <v>156</v>
      </c>
      <c r="E341" s="539">
        <f>VLOOKUP(B341,'2-Kosten per locatie'!$A$13:$C$87,3,FALSE)</f>
        <v>2</v>
      </c>
      <c r="F341" s="550"/>
      <c r="G341" s="551" t="s">
        <v>246</v>
      </c>
      <c r="H341" s="552" t="s">
        <v>284</v>
      </c>
      <c r="I341" s="551" t="s">
        <v>245</v>
      </c>
      <c r="J341" s="553">
        <v>2</v>
      </c>
      <c r="K341" s="554">
        <v>10</v>
      </c>
      <c r="L341" s="554"/>
      <c r="M341" s="554"/>
      <c r="N341" s="554"/>
      <c r="O341" s="554"/>
      <c r="P341" s="555"/>
      <c r="Q341" s="555"/>
      <c r="R341" s="555"/>
      <c r="S341" s="555">
        <f>J341</f>
        <v>2</v>
      </c>
      <c r="T341" s="556"/>
    </row>
    <row r="342" spans="1:20" ht="15" customHeight="1">
      <c r="A342" s="285">
        <v>342</v>
      </c>
      <c r="B342" s="544">
        <v>117</v>
      </c>
      <c r="C342" s="545" t="s">
        <v>74</v>
      </c>
      <c r="D342" s="549" t="s">
        <v>156</v>
      </c>
      <c r="E342" s="539">
        <f>VLOOKUP(B342,'2-Kosten per locatie'!$A$13:$C$87,3,FALSE)</f>
        <v>2</v>
      </c>
      <c r="F342" s="550"/>
      <c r="G342" s="551" t="s">
        <v>561</v>
      </c>
      <c r="H342" s="552" t="s">
        <v>562</v>
      </c>
      <c r="I342" s="551" t="s">
        <v>159</v>
      </c>
      <c r="J342" s="553">
        <v>5</v>
      </c>
      <c r="K342" s="554"/>
      <c r="L342" s="554">
        <v>21</v>
      </c>
      <c r="M342" s="554"/>
      <c r="N342" s="554"/>
      <c r="O342" s="554"/>
      <c r="P342" s="555"/>
      <c r="Q342" s="555"/>
      <c r="R342" s="555">
        <f>J342</f>
        <v>5</v>
      </c>
      <c r="S342" s="555"/>
      <c r="T342" s="556"/>
    </row>
    <row r="343" spans="1:20" ht="15" customHeight="1">
      <c r="A343" s="286">
        <v>343</v>
      </c>
      <c r="B343" s="544">
        <v>117</v>
      </c>
      <c r="C343" s="545" t="s">
        <v>74</v>
      </c>
      <c r="D343" s="549" t="s">
        <v>156</v>
      </c>
      <c r="E343" s="539">
        <f>VLOOKUP(B343,'2-Kosten per locatie'!$A$13:$C$87,3,FALSE)</f>
        <v>2</v>
      </c>
      <c r="F343" s="550"/>
      <c r="G343" s="551" t="s">
        <v>563</v>
      </c>
      <c r="H343" s="552" t="s">
        <v>564</v>
      </c>
      <c r="I343" s="551" t="s">
        <v>159</v>
      </c>
      <c r="J343" s="553">
        <v>3</v>
      </c>
      <c r="K343" s="554"/>
      <c r="L343" s="554">
        <v>10</v>
      </c>
      <c r="M343" s="554"/>
      <c r="N343" s="554"/>
      <c r="O343" s="554"/>
      <c r="P343" s="555"/>
      <c r="Q343" s="555"/>
      <c r="R343" s="555">
        <f>J343</f>
        <v>3</v>
      </c>
      <c r="S343" s="555"/>
      <c r="T343" s="556"/>
    </row>
    <row r="344" spans="1:20" ht="15" customHeight="1">
      <c r="A344" s="286">
        <v>344</v>
      </c>
      <c r="B344" s="544">
        <v>117</v>
      </c>
      <c r="C344" s="545" t="s">
        <v>74</v>
      </c>
      <c r="D344" s="549" t="s">
        <v>156</v>
      </c>
      <c r="E344" s="539">
        <f>VLOOKUP(B344,'2-Kosten per locatie'!$A$13:$C$87,3,FALSE)</f>
        <v>2</v>
      </c>
      <c r="F344" s="550"/>
      <c r="G344" s="551" t="s">
        <v>565</v>
      </c>
      <c r="H344" s="552" t="s">
        <v>566</v>
      </c>
      <c r="I344" s="551" t="s">
        <v>171</v>
      </c>
      <c r="J344" s="553">
        <v>2</v>
      </c>
      <c r="K344" s="554"/>
      <c r="L344" s="554">
        <v>21</v>
      </c>
      <c r="M344" s="554"/>
      <c r="N344" s="554"/>
      <c r="O344" s="554"/>
      <c r="P344" s="555"/>
      <c r="Q344" s="555">
        <f>J344</f>
        <v>2</v>
      </c>
      <c r="R344" s="555"/>
      <c r="S344" s="555"/>
      <c r="T344" s="556"/>
    </row>
    <row r="345" spans="1:20" ht="15" customHeight="1">
      <c r="A345" s="285">
        <v>345</v>
      </c>
      <c r="B345" s="544">
        <v>117</v>
      </c>
      <c r="C345" s="545" t="s">
        <v>74</v>
      </c>
      <c r="D345" s="549" t="s">
        <v>156</v>
      </c>
      <c r="E345" s="539">
        <f>VLOOKUP(B345,'2-Kosten per locatie'!$A$13:$C$87,3,FALSE)</f>
        <v>2</v>
      </c>
      <c r="F345" s="550"/>
      <c r="G345" s="551" t="s">
        <v>567</v>
      </c>
      <c r="H345" s="552" t="s">
        <v>568</v>
      </c>
      <c r="I345" s="551" t="s">
        <v>162</v>
      </c>
      <c r="J345" s="553">
        <v>23</v>
      </c>
      <c r="K345" s="554"/>
      <c r="L345" s="554">
        <v>32</v>
      </c>
      <c r="M345" s="554"/>
      <c r="N345" s="554"/>
      <c r="O345" s="554"/>
      <c r="P345" s="555"/>
      <c r="Q345" s="555"/>
      <c r="R345" s="555">
        <f>J345</f>
        <v>23</v>
      </c>
      <c r="S345" s="555"/>
      <c r="T345" s="556"/>
    </row>
    <row r="346" spans="1:20" ht="15" customHeight="1">
      <c r="A346" s="286">
        <v>346</v>
      </c>
      <c r="B346" s="544">
        <v>117</v>
      </c>
      <c r="C346" s="545" t="s">
        <v>74</v>
      </c>
      <c r="D346" s="549" t="s">
        <v>156</v>
      </c>
      <c r="E346" s="539">
        <f>VLOOKUP(B346,'2-Kosten per locatie'!$A$13:$C$87,3,FALSE)</f>
        <v>2</v>
      </c>
      <c r="F346" s="550"/>
      <c r="G346" s="551" t="s">
        <v>569</v>
      </c>
      <c r="H346" s="552" t="s">
        <v>570</v>
      </c>
      <c r="I346" s="551" t="s">
        <v>159</v>
      </c>
      <c r="J346" s="553">
        <v>6</v>
      </c>
      <c r="K346" s="554"/>
      <c r="L346" s="554">
        <v>35</v>
      </c>
      <c r="M346" s="554"/>
      <c r="N346" s="554"/>
      <c r="O346" s="554"/>
      <c r="P346" s="555"/>
      <c r="Q346" s="555">
        <f>J346</f>
        <v>6</v>
      </c>
      <c r="R346" s="555"/>
      <c r="S346" s="555"/>
      <c r="T346" s="556"/>
    </row>
    <row r="347" spans="1:20" ht="15" customHeight="1">
      <c r="A347" s="285">
        <v>347</v>
      </c>
      <c r="B347" s="544">
        <v>117</v>
      </c>
      <c r="C347" s="545" t="s">
        <v>74</v>
      </c>
      <c r="D347" s="549" t="s">
        <v>156</v>
      </c>
      <c r="E347" s="539">
        <f>VLOOKUP(B347,'2-Kosten per locatie'!$A$13:$C$87,3,FALSE)</f>
        <v>2</v>
      </c>
      <c r="F347" s="550"/>
      <c r="G347" s="551" t="s">
        <v>571</v>
      </c>
      <c r="H347" s="552" t="s">
        <v>521</v>
      </c>
      <c r="I347" s="551" t="s">
        <v>159</v>
      </c>
      <c r="J347" s="553">
        <v>2</v>
      </c>
      <c r="K347" s="554"/>
      <c r="L347" s="554"/>
      <c r="M347" s="554">
        <v>15</v>
      </c>
      <c r="N347" s="554"/>
      <c r="O347" s="554"/>
      <c r="P347" s="555"/>
      <c r="Q347" s="555">
        <f>J347</f>
        <v>2</v>
      </c>
      <c r="R347" s="555"/>
      <c r="S347" s="555"/>
      <c r="T347" s="556"/>
    </row>
    <row r="348" spans="1:20" ht="15" customHeight="1">
      <c r="A348" s="286">
        <v>348</v>
      </c>
      <c r="B348" s="544">
        <v>117</v>
      </c>
      <c r="C348" s="545" t="s">
        <v>74</v>
      </c>
      <c r="D348" s="549" t="s">
        <v>156</v>
      </c>
      <c r="E348" s="539">
        <f>VLOOKUP(B348,'2-Kosten per locatie'!$A$13:$C$87,3,FALSE)</f>
        <v>2</v>
      </c>
      <c r="F348" s="550"/>
      <c r="G348" s="551" t="s">
        <v>572</v>
      </c>
      <c r="H348" s="552" t="s">
        <v>522</v>
      </c>
      <c r="I348" s="551" t="s">
        <v>214</v>
      </c>
      <c r="J348" s="553">
        <v>6</v>
      </c>
      <c r="K348" s="554"/>
      <c r="L348" s="554"/>
      <c r="M348" s="554">
        <v>29</v>
      </c>
      <c r="N348" s="554"/>
      <c r="O348" s="554"/>
      <c r="P348" s="555"/>
      <c r="Q348" s="555">
        <f>J348</f>
        <v>6</v>
      </c>
      <c r="R348" s="555"/>
      <c r="S348" s="555"/>
      <c r="T348" s="556"/>
    </row>
    <row r="349" spans="1:20" ht="15" customHeight="1">
      <c r="A349" s="285">
        <v>349</v>
      </c>
      <c r="B349" s="544">
        <v>117</v>
      </c>
      <c r="C349" s="545" t="s">
        <v>74</v>
      </c>
      <c r="D349" s="549" t="s">
        <v>156</v>
      </c>
      <c r="E349" s="539">
        <f>VLOOKUP(B349,'2-Kosten per locatie'!$A$13:$C$87,3,FALSE)</f>
        <v>2</v>
      </c>
      <c r="F349" s="550"/>
      <c r="G349" s="551" t="s">
        <v>508</v>
      </c>
      <c r="H349" s="552" t="s">
        <v>573</v>
      </c>
      <c r="I349" s="551" t="s">
        <v>171</v>
      </c>
      <c r="J349" s="553">
        <v>12</v>
      </c>
      <c r="K349" s="554"/>
      <c r="L349" s="554">
        <v>31</v>
      </c>
      <c r="M349" s="554"/>
      <c r="N349" s="554"/>
      <c r="O349" s="554"/>
      <c r="P349" s="555"/>
      <c r="Q349" s="555"/>
      <c r="R349" s="555">
        <f>J349</f>
        <v>12</v>
      </c>
      <c r="S349" s="555"/>
      <c r="T349" s="556"/>
    </row>
    <row r="350" spans="1:20" ht="15" customHeight="1">
      <c r="A350" s="286">
        <v>350</v>
      </c>
      <c r="B350" s="544">
        <v>117</v>
      </c>
      <c r="C350" s="545" t="s">
        <v>74</v>
      </c>
      <c r="D350" s="549" t="s">
        <v>156</v>
      </c>
      <c r="E350" s="539">
        <f>VLOOKUP(B350,'2-Kosten per locatie'!$A$13:$C$87,3,FALSE)</f>
        <v>2</v>
      </c>
      <c r="F350" s="550"/>
      <c r="G350" s="551" t="s">
        <v>375</v>
      </c>
      <c r="H350" s="552" t="s">
        <v>574</v>
      </c>
      <c r="I350" s="551" t="s">
        <v>171</v>
      </c>
      <c r="J350" s="553">
        <v>12</v>
      </c>
      <c r="K350" s="554"/>
      <c r="L350" s="554">
        <v>37</v>
      </c>
      <c r="M350" s="554"/>
      <c r="N350" s="554"/>
      <c r="O350" s="554"/>
      <c r="P350" s="555"/>
      <c r="Q350" s="555"/>
      <c r="R350" s="555">
        <f>J350</f>
        <v>12</v>
      </c>
      <c r="S350" s="555"/>
      <c r="T350" s="556"/>
    </row>
    <row r="351" spans="1:20" ht="15" customHeight="1">
      <c r="A351" s="286">
        <v>351</v>
      </c>
      <c r="B351" s="544">
        <v>117</v>
      </c>
      <c r="C351" s="545" t="s">
        <v>74</v>
      </c>
      <c r="D351" s="549" t="s">
        <v>156</v>
      </c>
      <c r="E351" s="539">
        <f>VLOOKUP(B351,'2-Kosten per locatie'!$A$13:$C$87,3,FALSE)</f>
        <v>2</v>
      </c>
      <c r="F351" s="550"/>
      <c r="G351" s="551" t="s">
        <v>571</v>
      </c>
      <c r="H351" s="552" t="s">
        <v>575</v>
      </c>
      <c r="I351" s="551" t="s">
        <v>214</v>
      </c>
      <c r="J351" s="553">
        <v>9</v>
      </c>
      <c r="K351" s="554"/>
      <c r="L351" s="554">
        <v>39</v>
      </c>
      <c r="M351" s="554"/>
      <c r="N351" s="554"/>
      <c r="O351" s="554"/>
      <c r="P351" s="555"/>
      <c r="Q351" s="555"/>
      <c r="R351" s="555"/>
      <c r="S351" s="555">
        <f>J351</f>
        <v>9</v>
      </c>
      <c r="T351" s="556"/>
    </row>
    <row r="352" spans="1:20" ht="15" customHeight="1">
      <c r="A352" s="285">
        <v>352</v>
      </c>
      <c r="B352" s="544">
        <v>117</v>
      </c>
      <c r="C352" s="545" t="s">
        <v>74</v>
      </c>
      <c r="D352" s="549" t="s">
        <v>156</v>
      </c>
      <c r="E352" s="539">
        <f>VLOOKUP(B352,'2-Kosten per locatie'!$A$13:$C$87,3,FALSE)</f>
        <v>2</v>
      </c>
      <c r="F352" s="550"/>
      <c r="G352" s="551" t="s">
        <v>576</v>
      </c>
      <c r="H352" s="552" t="s">
        <v>577</v>
      </c>
      <c r="I352" s="551" t="s">
        <v>171</v>
      </c>
      <c r="J352" s="553">
        <v>22</v>
      </c>
      <c r="K352" s="554"/>
      <c r="L352" s="554">
        <v>48</v>
      </c>
      <c r="M352" s="554"/>
      <c r="N352" s="554"/>
      <c r="O352" s="554"/>
      <c r="P352" s="555"/>
      <c r="Q352" s="555"/>
      <c r="R352" s="555">
        <f>J352</f>
        <v>22</v>
      </c>
      <c r="S352" s="555"/>
      <c r="T352" s="556"/>
    </row>
    <row r="353" spans="1:20" ht="15" customHeight="1">
      <c r="A353" s="286">
        <v>353</v>
      </c>
      <c r="B353" s="544">
        <v>117</v>
      </c>
      <c r="C353" s="545" t="s">
        <v>74</v>
      </c>
      <c r="D353" s="549" t="s">
        <v>156</v>
      </c>
      <c r="E353" s="539">
        <f>VLOOKUP(B353,'2-Kosten per locatie'!$A$13:$C$87,3,FALSE)</f>
        <v>2</v>
      </c>
      <c r="F353" s="550"/>
      <c r="G353" s="551" t="s">
        <v>508</v>
      </c>
      <c r="H353" s="552" t="s">
        <v>578</v>
      </c>
      <c r="I353" s="551" t="s">
        <v>171</v>
      </c>
      <c r="J353" s="553">
        <v>4</v>
      </c>
      <c r="K353" s="554"/>
      <c r="L353" s="554">
        <v>18</v>
      </c>
      <c r="M353" s="554"/>
      <c r="N353" s="554"/>
      <c r="O353" s="554"/>
      <c r="P353" s="555"/>
      <c r="Q353" s="555"/>
      <c r="R353" s="555">
        <f>J353</f>
        <v>4</v>
      </c>
      <c r="S353" s="555"/>
      <c r="T353" s="556"/>
    </row>
    <row r="354" spans="1:20" ht="15" customHeight="1">
      <c r="A354" s="285">
        <v>354</v>
      </c>
      <c r="B354" s="544">
        <v>117</v>
      </c>
      <c r="C354" s="545" t="s">
        <v>74</v>
      </c>
      <c r="D354" s="549" t="s">
        <v>156</v>
      </c>
      <c r="E354" s="539">
        <f>VLOOKUP(B354,'2-Kosten per locatie'!$A$13:$C$87,3,FALSE)</f>
        <v>2</v>
      </c>
      <c r="F354" s="550"/>
      <c r="G354" s="551" t="s">
        <v>576</v>
      </c>
      <c r="H354" s="552" t="s">
        <v>579</v>
      </c>
      <c r="I354" s="551" t="s">
        <v>171</v>
      </c>
      <c r="J354" s="553">
        <v>20</v>
      </c>
      <c r="K354" s="554"/>
      <c r="L354" s="554">
        <v>59</v>
      </c>
      <c r="M354" s="554"/>
      <c r="N354" s="554"/>
      <c r="O354" s="554"/>
      <c r="P354" s="555"/>
      <c r="Q354" s="555"/>
      <c r="R354" s="555">
        <f>J354</f>
        <v>20</v>
      </c>
      <c r="S354" s="555"/>
      <c r="T354" s="556"/>
    </row>
    <row r="355" spans="1:20" ht="15" customHeight="1">
      <c r="A355" s="286">
        <v>355</v>
      </c>
      <c r="B355" s="544">
        <v>117</v>
      </c>
      <c r="C355" s="545" t="s">
        <v>74</v>
      </c>
      <c r="D355" s="549" t="s">
        <v>156</v>
      </c>
      <c r="E355" s="539">
        <f>VLOOKUP(B355,'2-Kosten per locatie'!$A$13:$C$87,3,FALSE)</f>
        <v>2</v>
      </c>
      <c r="F355" s="550"/>
      <c r="G355" s="551" t="s">
        <v>580</v>
      </c>
      <c r="H355" s="552" t="s">
        <v>532</v>
      </c>
      <c r="I355" s="551" t="s">
        <v>214</v>
      </c>
      <c r="J355" s="553">
        <v>57</v>
      </c>
      <c r="K355" s="554"/>
      <c r="L355" s="554"/>
      <c r="M355" s="554">
        <v>77</v>
      </c>
      <c r="N355" s="554"/>
      <c r="O355" s="554"/>
      <c r="P355" s="555"/>
      <c r="Q355" s="555">
        <f>J355</f>
        <v>57</v>
      </c>
      <c r="R355" s="555"/>
      <c r="S355" s="555"/>
      <c r="T355" s="556"/>
    </row>
    <row r="356" spans="1:20" ht="15" customHeight="1">
      <c r="A356" s="285">
        <v>356</v>
      </c>
      <c r="B356" s="544">
        <v>117</v>
      </c>
      <c r="C356" s="545" t="s">
        <v>74</v>
      </c>
      <c r="D356" s="549" t="s">
        <v>156</v>
      </c>
      <c r="E356" s="539">
        <f>VLOOKUP(B356,'2-Kosten per locatie'!$A$13:$C$87,3,FALSE)</f>
        <v>2</v>
      </c>
      <c r="F356" s="550"/>
      <c r="G356" s="551" t="s">
        <v>581</v>
      </c>
      <c r="H356" s="552" t="s">
        <v>533</v>
      </c>
      <c r="I356" s="551" t="s">
        <v>214</v>
      </c>
      <c r="J356" s="553">
        <v>16</v>
      </c>
      <c r="K356" s="554"/>
      <c r="L356" s="554"/>
      <c r="M356" s="554">
        <v>42</v>
      </c>
      <c r="N356" s="554"/>
      <c r="O356" s="554"/>
      <c r="P356" s="555"/>
      <c r="Q356" s="555">
        <f>J356</f>
        <v>16</v>
      </c>
      <c r="R356" s="555"/>
      <c r="S356" s="555"/>
      <c r="T356" s="556"/>
    </row>
    <row r="357" spans="1:20" ht="15" customHeight="1">
      <c r="A357" s="286">
        <v>357</v>
      </c>
      <c r="B357" s="544">
        <v>117</v>
      </c>
      <c r="C357" s="545" t="s">
        <v>74</v>
      </c>
      <c r="D357" s="549" t="s">
        <v>156</v>
      </c>
      <c r="E357" s="539">
        <f>VLOOKUP(B357,'2-Kosten per locatie'!$A$13:$C$87,3,FALSE)</f>
        <v>2</v>
      </c>
      <c r="F357" s="550"/>
      <c r="G357" s="551" t="s">
        <v>563</v>
      </c>
      <c r="H357" s="552" t="s">
        <v>535</v>
      </c>
      <c r="I357" s="551" t="s">
        <v>171</v>
      </c>
      <c r="J357" s="553">
        <v>4</v>
      </c>
      <c r="K357" s="554"/>
      <c r="L357" s="554">
        <v>10</v>
      </c>
      <c r="M357" s="554"/>
      <c r="N357" s="554"/>
      <c r="O357" s="554"/>
      <c r="P357" s="555"/>
      <c r="Q357" s="555">
        <f>J357</f>
        <v>4</v>
      </c>
      <c r="R357" s="555"/>
      <c r="S357" s="555"/>
      <c r="T357" s="556"/>
    </row>
    <row r="358" spans="1:20" ht="15" customHeight="1">
      <c r="A358" s="286">
        <v>358</v>
      </c>
      <c r="B358" s="544">
        <v>117</v>
      </c>
      <c r="C358" s="545" t="s">
        <v>74</v>
      </c>
      <c r="D358" s="549" t="s">
        <v>156</v>
      </c>
      <c r="E358" s="539">
        <f>VLOOKUP(B358,'2-Kosten per locatie'!$A$13:$C$87,3,FALSE)</f>
        <v>2</v>
      </c>
      <c r="F358" s="550"/>
      <c r="G358" s="551" t="s">
        <v>289</v>
      </c>
      <c r="H358" s="552" t="s">
        <v>582</v>
      </c>
      <c r="I358" s="551" t="s">
        <v>290</v>
      </c>
      <c r="J358" s="553">
        <v>1511</v>
      </c>
      <c r="K358" s="554"/>
      <c r="L358" s="554"/>
      <c r="M358" s="554"/>
      <c r="N358" s="554"/>
      <c r="O358" s="554"/>
      <c r="P358" s="555">
        <v>1793</v>
      </c>
      <c r="Q358" s="555"/>
      <c r="R358" s="555"/>
      <c r="S358" s="555"/>
      <c r="T358" s="556"/>
    </row>
    <row r="359" spans="1:20" ht="15" customHeight="1">
      <c r="A359" s="285">
        <v>359</v>
      </c>
      <c r="B359" s="544">
        <v>117</v>
      </c>
      <c r="C359" s="545" t="s">
        <v>74</v>
      </c>
      <c r="D359" s="549" t="s">
        <v>156</v>
      </c>
      <c r="E359" s="539">
        <f>VLOOKUP(B359,'2-Kosten per locatie'!$A$13:$C$87,3,FALSE)</f>
        <v>2</v>
      </c>
      <c r="F359" s="550"/>
      <c r="G359" s="551" t="s">
        <v>203</v>
      </c>
      <c r="H359" s="552" t="s">
        <v>489</v>
      </c>
      <c r="I359" s="551" t="s">
        <v>317</v>
      </c>
      <c r="J359" s="553">
        <v>4</v>
      </c>
      <c r="K359" s="554"/>
      <c r="L359" s="554"/>
      <c r="M359" s="554"/>
      <c r="N359" s="554">
        <v>15</v>
      </c>
      <c r="O359" s="554"/>
      <c r="P359" s="555"/>
      <c r="Q359" s="555"/>
      <c r="R359" s="555"/>
      <c r="S359" s="555">
        <f>J359</f>
        <v>4</v>
      </c>
      <c r="T359" s="556"/>
    </row>
    <row r="360" spans="1:20" ht="15" customHeight="1">
      <c r="A360" s="286">
        <v>360</v>
      </c>
      <c r="B360" s="544">
        <v>117</v>
      </c>
      <c r="C360" s="545" t="s">
        <v>74</v>
      </c>
      <c r="D360" s="549" t="s">
        <v>156</v>
      </c>
      <c r="E360" s="539">
        <f>VLOOKUP(B360,'2-Kosten per locatie'!$A$13:$C$87,3,FALSE)</f>
        <v>2</v>
      </c>
      <c r="F360" s="550"/>
      <c r="G360" s="551" t="s">
        <v>203</v>
      </c>
      <c r="H360" s="552" t="s">
        <v>583</v>
      </c>
      <c r="I360" s="551" t="s">
        <v>317</v>
      </c>
      <c r="J360" s="553">
        <v>4</v>
      </c>
      <c r="K360" s="554"/>
      <c r="L360" s="554"/>
      <c r="M360" s="554"/>
      <c r="N360" s="554">
        <v>15</v>
      </c>
      <c r="O360" s="554"/>
      <c r="P360" s="555"/>
      <c r="Q360" s="555"/>
      <c r="R360" s="555"/>
      <c r="S360" s="555">
        <f>J360</f>
        <v>4</v>
      </c>
      <c r="T360" s="556"/>
    </row>
    <row r="361" spans="1:20" ht="15" customHeight="1">
      <c r="A361" s="285">
        <v>361</v>
      </c>
      <c r="B361" s="544">
        <v>117</v>
      </c>
      <c r="C361" s="545" t="s">
        <v>74</v>
      </c>
      <c r="D361" s="549" t="s">
        <v>156</v>
      </c>
      <c r="E361" s="539">
        <f>VLOOKUP(B361,'2-Kosten per locatie'!$A$13:$C$87,3,FALSE)</f>
        <v>2</v>
      </c>
      <c r="F361" s="550"/>
      <c r="G361" s="551" t="s">
        <v>390</v>
      </c>
      <c r="H361" s="552" t="s">
        <v>584</v>
      </c>
      <c r="I361" s="551" t="s">
        <v>296</v>
      </c>
      <c r="J361" s="553">
        <v>27</v>
      </c>
      <c r="K361" s="554" t="s">
        <v>507</v>
      </c>
      <c r="L361" s="554"/>
      <c r="M361" s="554"/>
      <c r="N361" s="554"/>
      <c r="O361" s="554"/>
      <c r="P361" s="555"/>
      <c r="Q361" s="555"/>
      <c r="R361" s="555">
        <f t="shared" ref="R361:R366" si="4">J361</f>
        <v>27</v>
      </c>
      <c r="S361" s="555"/>
      <c r="T361" s="556"/>
    </row>
    <row r="362" spans="1:20" ht="15" customHeight="1">
      <c r="A362" s="286">
        <v>362</v>
      </c>
      <c r="B362" s="544">
        <v>117</v>
      </c>
      <c r="C362" s="545" t="s">
        <v>74</v>
      </c>
      <c r="D362" s="549" t="s">
        <v>156</v>
      </c>
      <c r="E362" s="539">
        <f>VLOOKUP(B362,'2-Kosten per locatie'!$A$13:$C$87,3,FALSE)</f>
        <v>2</v>
      </c>
      <c r="F362" s="550"/>
      <c r="G362" s="551" t="s">
        <v>390</v>
      </c>
      <c r="H362" s="552" t="s">
        <v>538</v>
      </c>
      <c r="I362" s="551" t="s">
        <v>296</v>
      </c>
      <c r="J362" s="553">
        <v>27</v>
      </c>
      <c r="K362" s="554" t="s">
        <v>507</v>
      </c>
      <c r="L362" s="554"/>
      <c r="M362" s="554"/>
      <c r="N362" s="554"/>
      <c r="O362" s="554"/>
      <c r="P362" s="555"/>
      <c r="Q362" s="555"/>
      <c r="R362" s="555">
        <f t="shared" si="4"/>
        <v>27</v>
      </c>
      <c r="S362" s="555"/>
      <c r="T362" s="556"/>
    </row>
    <row r="363" spans="1:20" ht="15" customHeight="1">
      <c r="A363" s="285">
        <v>363</v>
      </c>
      <c r="B363" s="544">
        <v>117</v>
      </c>
      <c r="C363" s="545" t="s">
        <v>74</v>
      </c>
      <c r="D363" s="549" t="s">
        <v>156</v>
      </c>
      <c r="E363" s="539">
        <f>VLOOKUP(B363,'2-Kosten per locatie'!$A$13:$C$87,3,FALSE)</f>
        <v>2</v>
      </c>
      <c r="F363" s="550"/>
      <c r="G363" s="551" t="s">
        <v>178</v>
      </c>
      <c r="H363" s="552" t="s">
        <v>585</v>
      </c>
      <c r="I363" s="551" t="s">
        <v>180</v>
      </c>
      <c r="J363" s="553">
        <v>30</v>
      </c>
      <c r="K363" s="554" t="s">
        <v>507</v>
      </c>
      <c r="L363" s="554"/>
      <c r="M363" s="554"/>
      <c r="N363" s="554"/>
      <c r="O363" s="554"/>
      <c r="P363" s="555"/>
      <c r="Q363" s="555"/>
      <c r="R363" s="555">
        <f t="shared" si="4"/>
        <v>30</v>
      </c>
      <c r="S363" s="555"/>
      <c r="T363" s="556"/>
    </row>
    <row r="364" spans="1:20" ht="15" customHeight="1">
      <c r="A364" s="286">
        <v>364</v>
      </c>
      <c r="B364" s="544">
        <v>117</v>
      </c>
      <c r="C364" s="545" t="s">
        <v>74</v>
      </c>
      <c r="D364" s="549" t="s">
        <v>156</v>
      </c>
      <c r="E364" s="539">
        <f>VLOOKUP(B364,'2-Kosten per locatie'!$A$13:$C$87,3,FALSE)</f>
        <v>2</v>
      </c>
      <c r="F364" s="550"/>
      <c r="G364" s="551" t="s">
        <v>178</v>
      </c>
      <c r="H364" s="552" t="s">
        <v>586</v>
      </c>
      <c r="I364" s="551" t="s">
        <v>171</v>
      </c>
      <c r="J364" s="553">
        <v>30</v>
      </c>
      <c r="K364" s="554" t="s">
        <v>507</v>
      </c>
      <c r="L364" s="554"/>
      <c r="M364" s="554"/>
      <c r="N364" s="554"/>
      <c r="O364" s="554"/>
      <c r="P364" s="555"/>
      <c r="Q364" s="555"/>
      <c r="R364" s="555">
        <f t="shared" si="4"/>
        <v>30</v>
      </c>
      <c r="S364" s="555"/>
      <c r="T364" s="556"/>
    </row>
    <row r="365" spans="1:20" ht="15" customHeight="1">
      <c r="A365" s="286">
        <v>365</v>
      </c>
      <c r="B365" s="544">
        <v>118</v>
      </c>
      <c r="C365" s="545" t="s">
        <v>75</v>
      </c>
      <c r="D365" s="549" t="s">
        <v>156</v>
      </c>
      <c r="E365" s="539">
        <f>VLOOKUP(B365,'2-Kosten per locatie'!$A$13:$C$87,3,FALSE)</f>
        <v>2</v>
      </c>
      <c r="F365" s="550"/>
      <c r="G365" s="551" t="s">
        <v>548</v>
      </c>
      <c r="H365" s="552" t="s">
        <v>491</v>
      </c>
      <c r="I365" s="551" t="s">
        <v>159</v>
      </c>
      <c r="J365" s="553">
        <v>5</v>
      </c>
      <c r="K365" s="554"/>
      <c r="L365" s="554">
        <v>17</v>
      </c>
      <c r="M365" s="554"/>
      <c r="N365" s="554"/>
      <c r="O365" s="554"/>
      <c r="P365" s="555"/>
      <c r="Q365" s="555"/>
      <c r="R365" s="555">
        <f t="shared" si="4"/>
        <v>5</v>
      </c>
      <c r="S365" s="555"/>
      <c r="T365" s="556"/>
    </row>
    <row r="366" spans="1:20" ht="15" customHeight="1">
      <c r="A366" s="285">
        <v>366</v>
      </c>
      <c r="B366" s="544">
        <v>118</v>
      </c>
      <c r="C366" s="545" t="s">
        <v>75</v>
      </c>
      <c r="D366" s="549" t="s">
        <v>156</v>
      </c>
      <c r="E366" s="539">
        <f>VLOOKUP(B366,'2-Kosten per locatie'!$A$13:$C$87,3,FALSE)</f>
        <v>2</v>
      </c>
      <c r="F366" s="550"/>
      <c r="G366" s="551" t="s">
        <v>547</v>
      </c>
      <c r="H366" s="552" t="s">
        <v>492</v>
      </c>
      <c r="I366" s="551" t="s">
        <v>171</v>
      </c>
      <c r="J366" s="553">
        <v>40</v>
      </c>
      <c r="K366" s="554"/>
      <c r="L366" s="554">
        <v>29</v>
      </c>
      <c r="M366" s="554"/>
      <c r="N366" s="554"/>
      <c r="O366" s="554"/>
      <c r="P366" s="555"/>
      <c r="Q366" s="555"/>
      <c r="R366" s="555">
        <f t="shared" si="4"/>
        <v>40</v>
      </c>
      <c r="S366" s="555"/>
      <c r="T366" s="556"/>
    </row>
    <row r="367" spans="1:20" ht="15" customHeight="1">
      <c r="A367" s="286">
        <v>367</v>
      </c>
      <c r="B367" s="544">
        <v>118</v>
      </c>
      <c r="C367" s="545" t="s">
        <v>75</v>
      </c>
      <c r="D367" s="549" t="s">
        <v>156</v>
      </c>
      <c r="E367" s="539">
        <f>VLOOKUP(B367,'2-Kosten per locatie'!$A$13:$C$87,3,FALSE)</f>
        <v>2</v>
      </c>
      <c r="F367" s="550"/>
      <c r="G367" s="551" t="s">
        <v>587</v>
      </c>
      <c r="H367" s="552" t="s">
        <v>494</v>
      </c>
      <c r="I367" s="551" t="s">
        <v>214</v>
      </c>
      <c r="J367" s="553">
        <v>36</v>
      </c>
      <c r="K367" s="554"/>
      <c r="L367" s="554"/>
      <c r="M367" s="554">
        <v>31</v>
      </c>
      <c r="N367" s="554"/>
      <c r="O367" s="554"/>
      <c r="P367" s="555"/>
      <c r="Q367" s="555">
        <f>J367</f>
        <v>36</v>
      </c>
      <c r="R367" s="555"/>
      <c r="S367" s="555"/>
      <c r="T367" s="556"/>
    </row>
    <row r="368" spans="1:20" ht="15" customHeight="1">
      <c r="A368" s="285">
        <v>368</v>
      </c>
      <c r="B368" s="544">
        <v>118</v>
      </c>
      <c r="C368" s="545" t="s">
        <v>75</v>
      </c>
      <c r="D368" s="549" t="s">
        <v>156</v>
      </c>
      <c r="E368" s="539">
        <f>VLOOKUP(B368,'2-Kosten per locatie'!$A$13:$C$87,3,FALSE)</f>
        <v>2</v>
      </c>
      <c r="F368" s="550"/>
      <c r="G368" s="551" t="s">
        <v>588</v>
      </c>
      <c r="H368" s="552" t="s">
        <v>496</v>
      </c>
      <c r="I368" s="551" t="s">
        <v>214</v>
      </c>
      <c r="J368" s="553">
        <v>11</v>
      </c>
      <c r="K368" s="554"/>
      <c r="L368" s="554"/>
      <c r="M368" s="554">
        <v>14</v>
      </c>
      <c r="N368" s="554"/>
      <c r="O368" s="554"/>
      <c r="P368" s="555"/>
      <c r="Q368" s="555">
        <f>J368</f>
        <v>11</v>
      </c>
      <c r="R368" s="555"/>
      <c r="S368" s="555"/>
      <c r="T368" s="556"/>
    </row>
    <row r="369" spans="1:20" ht="15" customHeight="1">
      <c r="A369" s="286">
        <v>369</v>
      </c>
      <c r="B369" s="544">
        <v>118</v>
      </c>
      <c r="C369" s="545" t="s">
        <v>75</v>
      </c>
      <c r="D369" s="549" t="s">
        <v>156</v>
      </c>
      <c r="E369" s="539">
        <f>VLOOKUP(B369,'2-Kosten per locatie'!$A$13:$C$87,3,FALSE)</f>
        <v>2</v>
      </c>
      <c r="F369" s="550"/>
      <c r="G369" s="551" t="s">
        <v>589</v>
      </c>
      <c r="H369" s="552" t="s">
        <v>498</v>
      </c>
      <c r="I369" s="551" t="s">
        <v>214</v>
      </c>
      <c r="J369" s="553">
        <v>8</v>
      </c>
      <c r="K369" s="554"/>
      <c r="L369" s="554"/>
      <c r="M369" s="554">
        <v>11</v>
      </c>
      <c r="N369" s="554"/>
      <c r="O369" s="554"/>
      <c r="P369" s="555"/>
      <c r="Q369" s="555">
        <f>J369</f>
        <v>8</v>
      </c>
      <c r="R369" s="555"/>
      <c r="S369" s="555"/>
      <c r="T369" s="556"/>
    </row>
    <row r="370" spans="1:20" ht="15" customHeight="1">
      <c r="A370" s="285">
        <v>370</v>
      </c>
      <c r="B370" s="544">
        <v>118</v>
      </c>
      <c r="C370" s="545" t="s">
        <v>75</v>
      </c>
      <c r="D370" s="549" t="s">
        <v>156</v>
      </c>
      <c r="E370" s="539">
        <f>VLOOKUP(B370,'2-Kosten per locatie'!$A$13:$C$87,3,FALSE)</f>
        <v>2</v>
      </c>
      <c r="F370" s="550"/>
      <c r="G370" s="551" t="s">
        <v>495</v>
      </c>
      <c r="H370" s="552" t="s">
        <v>500</v>
      </c>
      <c r="I370" s="551" t="s">
        <v>214</v>
      </c>
      <c r="J370" s="553">
        <v>9</v>
      </c>
      <c r="K370" s="554"/>
      <c r="L370" s="554"/>
      <c r="M370" s="554">
        <v>11</v>
      </c>
      <c r="N370" s="554"/>
      <c r="O370" s="554"/>
      <c r="P370" s="555"/>
      <c r="Q370" s="555">
        <f>J370</f>
        <v>9</v>
      </c>
      <c r="R370" s="555"/>
      <c r="S370" s="555"/>
      <c r="T370" s="556"/>
    </row>
    <row r="371" spans="1:20" ht="15" customHeight="1">
      <c r="A371" s="286">
        <v>371</v>
      </c>
      <c r="B371" s="544">
        <v>118</v>
      </c>
      <c r="C371" s="545" t="s">
        <v>75</v>
      </c>
      <c r="D371" s="549" t="s">
        <v>156</v>
      </c>
      <c r="E371" s="539">
        <f>VLOOKUP(B371,'2-Kosten per locatie'!$A$13:$C$87,3,FALSE)</f>
        <v>2</v>
      </c>
      <c r="F371" s="550"/>
      <c r="G371" s="551" t="s">
        <v>590</v>
      </c>
      <c r="H371" s="552" t="s">
        <v>504</v>
      </c>
      <c r="I371" s="551" t="s">
        <v>214</v>
      </c>
      <c r="J371" s="553">
        <v>29</v>
      </c>
      <c r="K371" s="554"/>
      <c r="L371" s="554"/>
      <c r="M371" s="554">
        <v>21</v>
      </c>
      <c r="N371" s="554"/>
      <c r="O371" s="554"/>
      <c r="P371" s="555"/>
      <c r="Q371" s="555">
        <f>J371</f>
        <v>29</v>
      </c>
      <c r="R371" s="555"/>
      <c r="S371" s="555"/>
      <c r="T371" s="556"/>
    </row>
    <row r="372" spans="1:20" ht="15" customHeight="1">
      <c r="A372" s="286">
        <v>372</v>
      </c>
      <c r="B372" s="544">
        <v>118</v>
      </c>
      <c r="C372" s="545" t="s">
        <v>75</v>
      </c>
      <c r="D372" s="549" t="s">
        <v>156</v>
      </c>
      <c r="E372" s="539">
        <f>VLOOKUP(B372,'2-Kosten per locatie'!$A$13:$C$87,3,FALSE)</f>
        <v>2</v>
      </c>
      <c r="F372" s="550"/>
      <c r="G372" s="551" t="s">
        <v>187</v>
      </c>
      <c r="H372" s="552" t="s">
        <v>505</v>
      </c>
      <c r="I372" s="551" t="s">
        <v>159</v>
      </c>
      <c r="J372" s="553">
        <v>188</v>
      </c>
      <c r="K372" s="554"/>
      <c r="L372" s="554">
        <v>470</v>
      </c>
      <c r="M372" s="554"/>
      <c r="N372" s="554"/>
      <c r="O372" s="554"/>
      <c r="P372" s="555"/>
      <c r="Q372" s="555"/>
      <c r="R372" s="555">
        <f>J372</f>
        <v>188</v>
      </c>
      <c r="S372" s="555"/>
      <c r="T372" s="556"/>
    </row>
    <row r="373" spans="1:20" ht="15" customHeight="1">
      <c r="A373" s="285">
        <v>373</v>
      </c>
      <c r="B373" s="544">
        <v>118</v>
      </c>
      <c r="C373" s="545" t="s">
        <v>75</v>
      </c>
      <c r="D373" s="549" t="s">
        <v>156</v>
      </c>
      <c r="E373" s="539">
        <f>VLOOKUP(B373,'2-Kosten per locatie'!$A$13:$C$87,3,FALSE)</f>
        <v>2</v>
      </c>
      <c r="F373" s="550"/>
      <c r="G373" s="551" t="s">
        <v>508</v>
      </c>
      <c r="H373" s="552" t="s">
        <v>158</v>
      </c>
      <c r="I373" s="551" t="s">
        <v>159</v>
      </c>
      <c r="J373" s="553">
        <v>6</v>
      </c>
      <c r="K373" s="554"/>
      <c r="L373" s="554">
        <v>31</v>
      </c>
      <c r="M373" s="554"/>
      <c r="N373" s="554"/>
      <c r="O373" s="554"/>
      <c r="P373" s="555"/>
      <c r="Q373" s="555"/>
      <c r="R373" s="555">
        <f>J373</f>
        <v>6</v>
      </c>
      <c r="S373" s="555"/>
      <c r="T373" s="556"/>
    </row>
    <row r="374" spans="1:20" ht="15" customHeight="1">
      <c r="A374" s="286">
        <v>374</v>
      </c>
      <c r="B374" s="544">
        <v>118</v>
      </c>
      <c r="C374" s="545" t="s">
        <v>75</v>
      </c>
      <c r="D374" s="549" t="s">
        <v>156</v>
      </c>
      <c r="E374" s="539">
        <f>VLOOKUP(B374,'2-Kosten per locatie'!$A$13:$C$87,3,FALSE)</f>
        <v>2</v>
      </c>
      <c r="F374" s="550"/>
      <c r="G374" s="551" t="s">
        <v>381</v>
      </c>
      <c r="H374" s="552" t="s">
        <v>164</v>
      </c>
      <c r="I374" s="551" t="s">
        <v>162</v>
      </c>
      <c r="J374" s="553">
        <v>24</v>
      </c>
      <c r="K374" s="554"/>
      <c r="L374" s="554">
        <v>72</v>
      </c>
      <c r="M374" s="554"/>
      <c r="N374" s="554"/>
      <c r="O374" s="554"/>
      <c r="P374" s="555"/>
      <c r="Q374" s="555"/>
      <c r="R374" s="555">
        <f>J374</f>
        <v>24</v>
      </c>
      <c r="S374" s="555"/>
      <c r="T374" s="556"/>
    </row>
    <row r="375" spans="1:20" ht="15" customHeight="1">
      <c r="A375" s="285">
        <v>375</v>
      </c>
      <c r="B375" s="544">
        <v>118</v>
      </c>
      <c r="C375" s="545" t="s">
        <v>75</v>
      </c>
      <c r="D375" s="549" t="s">
        <v>156</v>
      </c>
      <c r="E375" s="539">
        <f>VLOOKUP(B375,'2-Kosten per locatie'!$A$13:$C$87,3,FALSE)</f>
        <v>2</v>
      </c>
      <c r="F375" s="550"/>
      <c r="G375" s="551" t="s">
        <v>197</v>
      </c>
      <c r="H375" s="552" t="s">
        <v>591</v>
      </c>
      <c r="I375" s="551" t="s">
        <v>171</v>
      </c>
      <c r="J375" s="553">
        <v>10</v>
      </c>
      <c r="K375" s="554"/>
      <c r="L375" s="554"/>
      <c r="M375" s="554">
        <v>29</v>
      </c>
      <c r="N375" s="554"/>
      <c r="O375" s="554"/>
      <c r="P375" s="555"/>
      <c r="Q375" s="555">
        <f>J375</f>
        <v>10</v>
      </c>
      <c r="R375" s="555"/>
      <c r="S375" s="555"/>
      <c r="T375" s="556"/>
    </row>
    <row r="376" spans="1:20" ht="15" customHeight="1">
      <c r="A376" s="286">
        <v>376</v>
      </c>
      <c r="B376" s="544">
        <v>118</v>
      </c>
      <c r="C376" s="545" t="s">
        <v>75</v>
      </c>
      <c r="D376" s="549" t="s">
        <v>156</v>
      </c>
      <c r="E376" s="539">
        <f>VLOOKUP(B376,'2-Kosten per locatie'!$A$13:$C$87,3,FALSE)</f>
        <v>2</v>
      </c>
      <c r="F376" s="550"/>
      <c r="G376" s="551" t="s">
        <v>592</v>
      </c>
      <c r="H376" s="552" t="s">
        <v>593</v>
      </c>
      <c r="I376" s="551" t="s">
        <v>171</v>
      </c>
      <c r="J376" s="553">
        <v>7</v>
      </c>
      <c r="K376" s="554"/>
      <c r="L376" s="554"/>
      <c r="M376" s="554">
        <v>26</v>
      </c>
      <c r="N376" s="554"/>
      <c r="O376" s="554"/>
      <c r="P376" s="555"/>
      <c r="Q376" s="555">
        <f>J376</f>
        <v>7</v>
      </c>
      <c r="R376" s="555"/>
      <c r="S376" s="555"/>
      <c r="T376" s="556"/>
    </row>
    <row r="377" spans="1:20" ht="15" customHeight="1">
      <c r="A377" s="285">
        <v>377</v>
      </c>
      <c r="B377" s="544">
        <v>118</v>
      </c>
      <c r="C377" s="545" t="s">
        <v>75</v>
      </c>
      <c r="D377" s="549" t="s">
        <v>156</v>
      </c>
      <c r="E377" s="539">
        <f>VLOOKUP(B377,'2-Kosten per locatie'!$A$13:$C$87,3,FALSE)</f>
        <v>2</v>
      </c>
      <c r="F377" s="550"/>
      <c r="G377" s="551" t="s">
        <v>199</v>
      </c>
      <c r="H377" s="552" t="s">
        <v>510</v>
      </c>
      <c r="I377" s="551" t="s">
        <v>171</v>
      </c>
      <c r="J377" s="553">
        <v>9</v>
      </c>
      <c r="K377" s="554"/>
      <c r="L377" s="554"/>
      <c r="M377" s="554">
        <v>27</v>
      </c>
      <c r="N377" s="554"/>
      <c r="O377" s="554"/>
      <c r="P377" s="555"/>
      <c r="Q377" s="555">
        <f>J377</f>
        <v>9</v>
      </c>
      <c r="R377" s="555"/>
      <c r="S377" s="555"/>
      <c r="T377" s="556"/>
    </row>
    <row r="378" spans="1:20" ht="15" customHeight="1">
      <c r="A378" s="286">
        <v>378</v>
      </c>
      <c r="B378" s="544">
        <v>118</v>
      </c>
      <c r="C378" s="545" t="s">
        <v>75</v>
      </c>
      <c r="D378" s="549" t="s">
        <v>156</v>
      </c>
      <c r="E378" s="539">
        <f>VLOOKUP(B378,'2-Kosten per locatie'!$A$13:$C$87,3,FALSE)</f>
        <v>2</v>
      </c>
      <c r="F378" s="550"/>
      <c r="G378" s="551" t="s">
        <v>594</v>
      </c>
      <c r="H378" s="552" t="s">
        <v>515</v>
      </c>
      <c r="I378" s="551" t="s">
        <v>245</v>
      </c>
      <c r="J378" s="553">
        <v>4</v>
      </c>
      <c r="K378" s="554">
        <v>23</v>
      </c>
      <c r="L378" s="554"/>
      <c r="M378" s="554"/>
      <c r="N378" s="554"/>
      <c r="O378" s="554"/>
      <c r="P378" s="555"/>
      <c r="Q378" s="555"/>
      <c r="R378" s="555"/>
      <c r="S378" s="555">
        <f>J378</f>
        <v>4</v>
      </c>
      <c r="T378" s="556"/>
    </row>
    <row r="379" spans="1:20" ht="15" customHeight="1">
      <c r="A379" s="286">
        <v>379</v>
      </c>
      <c r="B379" s="544">
        <v>118</v>
      </c>
      <c r="C379" s="545" t="s">
        <v>75</v>
      </c>
      <c r="D379" s="549" t="s">
        <v>156</v>
      </c>
      <c r="E379" s="539">
        <f>VLOOKUP(B379,'2-Kosten per locatie'!$A$13:$C$87,3,FALSE)</f>
        <v>2</v>
      </c>
      <c r="F379" s="550"/>
      <c r="G379" s="551" t="s">
        <v>595</v>
      </c>
      <c r="H379" s="552" t="s">
        <v>284</v>
      </c>
      <c r="I379" s="551" t="s">
        <v>245</v>
      </c>
      <c r="J379" s="553">
        <v>4</v>
      </c>
      <c r="K379" s="554">
        <v>23</v>
      </c>
      <c r="L379" s="554"/>
      <c r="M379" s="554"/>
      <c r="N379" s="554"/>
      <c r="O379" s="554"/>
      <c r="P379" s="555"/>
      <c r="Q379" s="555"/>
      <c r="R379" s="555"/>
      <c r="S379" s="555">
        <f>J379</f>
        <v>4</v>
      </c>
      <c r="T379" s="556"/>
    </row>
    <row r="380" spans="1:20" ht="15" customHeight="1">
      <c r="A380" s="285">
        <v>380</v>
      </c>
      <c r="B380" s="544">
        <v>118</v>
      </c>
      <c r="C380" s="545" t="s">
        <v>75</v>
      </c>
      <c r="D380" s="549" t="s">
        <v>156</v>
      </c>
      <c r="E380" s="539">
        <f>VLOOKUP(B380,'2-Kosten per locatie'!$A$13:$C$87,3,FALSE)</f>
        <v>2</v>
      </c>
      <c r="F380" s="550"/>
      <c r="G380" s="551" t="s">
        <v>596</v>
      </c>
      <c r="H380" s="552" t="s">
        <v>517</v>
      </c>
      <c r="I380" s="551" t="s">
        <v>171</v>
      </c>
      <c r="J380" s="553">
        <v>4</v>
      </c>
      <c r="K380" s="554"/>
      <c r="L380" s="554">
        <v>77</v>
      </c>
      <c r="M380" s="554"/>
      <c r="N380" s="554"/>
      <c r="O380" s="554"/>
      <c r="P380" s="555"/>
      <c r="Q380" s="555"/>
      <c r="R380" s="555">
        <f>J380</f>
        <v>4</v>
      </c>
      <c r="S380" s="555"/>
      <c r="T380" s="556"/>
    </row>
    <row r="381" spans="1:20" ht="15" customHeight="1">
      <c r="A381" s="286">
        <v>381</v>
      </c>
      <c r="B381" s="544">
        <v>118</v>
      </c>
      <c r="C381" s="545" t="s">
        <v>75</v>
      </c>
      <c r="D381" s="549" t="s">
        <v>156</v>
      </c>
      <c r="E381" s="539">
        <f>VLOOKUP(B381,'2-Kosten per locatie'!$A$13:$C$87,3,FALSE)</f>
        <v>2</v>
      </c>
      <c r="F381" s="550"/>
      <c r="G381" s="551" t="s">
        <v>203</v>
      </c>
      <c r="H381" s="552" t="s">
        <v>519</v>
      </c>
      <c r="I381" s="551" t="s">
        <v>317</v>
      </c>
      <c r="J381" s="553">
        <v>4</v>
      </c>
      <c r="K381" s="554"/>
      <c r="L381" s="554"/>
      <c r="M381" s="554"/>
      <c r="N381" s="554">
        <v>15</v>
      </c>
      <c r="O381" s="554"/>
      <c r="P381" s="555"/>
      <c r="Q381" s="555"/>
      <c r="R381" s="555"/>
      <c r="S381" s="555">
        <f>J381</f>
        <v>4</v>
      </c>
      <c r="T381" s="556"/>
    </row>
    <row r="382" spans="1:20" ht="15" customHeight="1">
      <c r="A382" s="285">
        <v>382</v>
      </c>
      <c r="B382" s="544">
        <v>118</v>
      </c>
      <c r="C382" s="545" t="s">
        <v>75</v>
      </c>
      <c r="D382" s="549" t="s">
        <v>156</v>
      </c>
      <c r="E382" s="539">
        <f>VLOOKUP(B382,'2-Kosten per locatie'!$A$13:$C$87,3,FALSE)</f>
        <v>2</v>
      </c>
      <c r="F382" s="550"/>
      <c r="G382" s="551" t="s">
        <v>329</v>
      </c>
      <c r="H382" s="552" t="s">
        <v>521</v>
      </c>
      <c r="I382" s="551" t="s">
        <v>171</v>
      </c>
      <c r="J382" s="553">
        <v>13</v>
      </c>
      <c r="K382" s="554"/>
      <c r="L382" s="554">
        <v>49</v>
      </c>
      <c r="M382" s="554"/>
      <c r="N382" s="554"/>
      <c r="O382" s="554"/>
      <c r="P382" s="555"/>
      <c r="Q382" s="555"/>
      <c r="R382" s="555">
        <f>J382</f>
        <v>13</v>
      </c>
      <c r="S382" s="555"/>
      <c r="T382" s="556"/>
    </row>
    <row r="383" spans="1:20" ht="15" customHeight="1">
      <c r="A383" s="286">
        <v>383</v>
      </c>
      <c r="B383" s="544">
        <v>118</v>
      </c>
      <c r="C383" s="545" t="s">
        <v>75</v>
      </c>
      <c r="D383" s="549" t="s">
        <v>156</v>
      </c>
      <c r="E383" s="539">
        <f>VLOOKUP(B383,'2-Kosten per locatie'!$A$13:$C$87,3,FALSE)</f>
        <v>2</v>
      </c>
      <c r="F383" s="550"/>
      <c r="G383" s="551" t="s">
        <v>597</v>
      </c>
      <c r="H383" s="552" t="s">
        <v>522</v>
      </c>
      <c r="I383" s="551" t="s">
        <v>159</v>
      </c>
      <c r="J383" s="553">
        <v>1</v>
      </c>
      <c r="K383" s="554">
        <v>4</v>
      </c>
      <c r="L383" s="554"/>
      <c r="M383" s="554"/>
      <c r="N383" s="554"/>
      <c r="O383" s="554"/>
      <c r="P383" s="555"/>
      <c r="Q383" s="555">
        <f>J383</f>
        <v>1</v>
      </c>
      <c r="R383" s="555"/>
      <c r="S383" s="555"/>
      <c r="T383" s="556"/>
    </row>
    <row r="384" spans="1:20" ht="15" customHeight="1">
      <c r="A384" s="285">
        <v>384</v>
      </c>
      <c r="B384" s="544">
        <v>118</v>
      </c>
      <c r="C384" s="545" t="s">
        <v>75</v>
      </c>
      <c r="D384" s="549" t="s">
        <v>156</v>
      </c>
      <c r="E384" s="539">
        <f>VLOOKUP(B384,'2-Kosten per locatie'!$A$13:$C$87,3,FALSE)</f>
        <v>2</v>
      </c>
      <c r="F384" s="550"/>
      <c r="G384" s="551" t="s">
        <v>289</v>
      </c>
      <c r="H384" s="552" t="s">
        <v>598</v>
      </c>
      <c r="I384" s="551" t="s">
        <v>290</v>
      </c>
      <c r="J384" s="553">
        <v>1340</v>
      </c>
      <c r="K384" s="554"/>
      <c r="L384" s="554"/>
      <c r="M384" s="554"/>
      <c r="N384" s="554"/>
      <c r="O384" s="554"/>
      <c r="P384" s="555">
        <v>536</v>
      </c>
      <c r="Q384" s="555"/>
      <c r="R384" s="555"/>
      <c r="S384" s="555"/>
      <c r="T384" s="556"/>
    </row>
    <row r="385" spans="1:20" ht="15" customHeight="1">
      <c r="A385" s="286">
        <v>385</v>
      </c>
      <c r="B385" s="544">
        <v>118</v>
      </c>
      <c r="C385" s="545" t="s">
        <v>75</v>
      </c>
      <c r="D385" s="549" t="s">
        <v>156</v>
      </c>
      <c r="E385" s="539">
        <f>VLOOKUP(B385,'2-Kosten per locatie'!$A$13:$C$87,3,FALSE)</f>
        <v>2</v>
      </c>
      <c r="F385" s="550"/>
      <c r="G385" s="551" t="s">
        <v>599</v>
      </c>
      <c r="H385" s="552" t="s">
        <v>175</v>
      </c>
      <c r="I385" s="551" t="s">
        <v>180</v>
      </c>
      <c r="J385" s="553">
        <v>30</v>
      </c>
      <c r="K385" s="554" t="s">
        <v>507</v>
      </c>
      <c r="L385" s="554"/>
      <c r="M385" s="554"/>
      <c r="N385" s="554"/>
      <c r="O385" s="554"/>
      <c r="P385" s="555"/>
      <c r="Q385" s="555"/>
      <c r="R385" s="555">
        <f>J385</f>
        <v>30</v>
      </c>
      <c r="S385" s="555"/>
      <c r="T385" s="556"/>
    </row>
    <row r="386" spans="1:20" ht="15" customHeight="1">
      <c r="A386" s="286">
        <v>386</v>
      </c>
      <c r="B386" s="544">
        <v>118</v>
      </c>
      <c r="C386" s="545" t="s">
        <v>75</v>
      </c>
      <c r="D386" s="549" t="s">
        <v>156</v>
      </c>
      <c r="E386" s="539">
        <f>VLOOKUP(B386,'2-Kosten per locatie'!$A$13:$C$87,3,FALSE)</f>
        <v>2</v>
      </c>
      <c r="F386" s="550"/>
      <c r="G386" s="551" t="s">
        <v>600</v>
      </c>
      <c r="H386" s="552" t="s">
        <v>528</v>
      </c>
      <c r="I386" s="551" t="s">
        <v>171</v>
      </c>
      <c r="J386" s="553">
        <v>19</v>
      </c>
      <c r="K386" s="554"/>
      <c r="L386" s="554">
        <v>18</v>
      </c>
      <c r="M386" s="554"/>
      <c r="N386" s="554"/>
      <c r="O386" s="554"/>
      <c r="P386" s="555"/>
      <c r="Q386" s="555"/>
      <c r="R386" s="555">
        <f>J386</f>
        <v>19</v>
      </c>
      <c r="S386" s="555"/>
      <c r="T386" s="556"/>
    </row>
    <row r="387" spans="1:20" ht="15" customHeight="1">
      <c r="A387" s="285">
        <v>387</v>
      </c>
      <c r="B387" s="544">
        <v>118</v>
      </c>
      <c r="C387" s="545" t="s">
        <v>75</v>
      </c>
      <c r="D387" s="549" t="s">
        <v>156</v>
      </c>
      <c r="E387" s="539">
        <f>VLOOKUP(B387,'2-Kosten per locatie'!$A$13:$C$87,3,FALSE)</f>
        <v>2</v>
      </c>
      <c r="F387" s="550"/>
      <c r="G387" s="551" t="s">
        <v>390</v>
      </c>
      <c r="H387" s="552" t="s">
        <v>538</v>
      </c>
      <c r="I387" s="551" t="s">
        <v>296</v>
      </c>
      <c r="J387" s="553">
        <v>27</v>
      </c>
      <c r="K387" s="554" t="s">
        <v>507</v>
      </c>
      <c r="L387" s="554"/>
      <c r="M387" s="554"/>
      <c r="N387" s="554"/>
      <c r="O387" s="554"/>
      <c r="P387" s="555"/>
      <c r="Q387" s="555"/>
      <c r="R387" s="555">
        <f>J387</f>
        <v>27</v>
      </c>
      <c r="S387" s="555"/>
      <c r="T387" s="556"/>
    </row>
    <row r="388" spans="1:20" ht="15" customHeight="1">
      <c r="A388" s="286">
        <v>388</v>
      </c>
      <c r="B388" s="544">
        <v>119</v>
      </c>
      <c r="C388" s="545" t="s">
        <v>76</v>
      </c>
      <c r="D388" s="549" t="s">
        <v>156</v>
      </c>
      <c r="E388" s="539">
        <f>VLOOKUP(B388,'2-Kosten per locatie'!$A$13:$C$87,3,FALSE)</f>
        <v>2</v>
      </c>
      <c r="F388" s="550"/>
      <c r="G388" s="551" t="s">
        <v>187</v>
      </c>
      <c r="H388" s="552" t="s">
        <v>505</v>
      </c>
      <c r="I388" s="551" t="s">
        <v>159</v>
      </c>
      <c r="J388" s="553">
        <v>190</v>
      </c>
      <c r="K388" s="554"/>
      <c r="L388" s="554"/>
      <c r="M388" s="554"/>
      <c r="N388" s="554"/>
      <c r="O388" s="554"/>
      <c r="P388" s="555"/>
      <c r="Q388" s="555"/>
      <c r="R388" s="555"/>
      <c r="S388" s="555">
        <f>J388</f>
        <v>190</v>
      </c>
      <c r="T388" s="556"/>
    </row>
    <row r="389" spans="1:20" ht="15" customHeight="1">
      <c r="A389" s="285">
        <v>389</v>
      </c>
      <c r="B389" s="544">
        <v>119</v>
      </c>
      <c r="C389" s="545" t="s">
        <v>76</v>
      </c>
      <c r="D389" s="549" t="s">
        <v>156</v>
      </c>
      <c r="E389" s="539">
        <f>VLOOKUP(B389,'2-Kosten per locatie'!$A$13:$C$87,3,FALSE)</f>
        <v>2</v>
      </c>
      <c r="F389" s="550"/>
      <c r="G389" s="551" t="s">
        <v>508</v>
      </c>
      <c r="H389" s="552" t="s">
        <v>158</v>
      </c>
      <c r="I389" s="551" t="s">
        <v>162</v>
      </c>
      <c r="J389" s="553">
        <v>37</v>
      </c>
      <c r="K389" s="554"/>
      <c r="L389" s="554">
        <v>111</v>
      </c>
      <c r="M389" s="554"/>
      <c r="N389" s="554"/>
      <c r="O389" s="554"/>
      <c r="P389" s="555"/>
      <c r="Q389" s="555"/>
      <c r="R389" s="555">
        <f>J389</f>
        <v>37</v>
      </c>
      <c r="S389" s="555">
        <f>J389</f>
        <v>37</v>
      </c>
      <c r="T389" s="556"/>
    </row>
    <row r="390" spans="1:20" ht="15" customHeight="1">
      <c r="A390" s="286">
        <v>390</v>
      </c>
      <c r="B390" s="544">
        <v>119</v>
      </c>
      <c r="C390" s="545" t="s">
        <v>76</v>
      </c>
      <c r="D390" s="549" t="s">
        <v>156</v>
      </c>
      <c r="E390" s="539">
        <f>VLOOKUP(B390,'2-Kosten per locatie'!$A$13:$C$87,3,FALSE)</f>
        <v>2</v>
      </c>
      <c r="F390" s="550"/>
      <c r="G390" s="551" t="s">
        <v>178</v>
      </c>
      <c r="H390" s="552" t="s">
        <v>509</v>
      </c>
      <c r="I390" s="551" t="s">
        <v>171</v>
      </c>
      <c r="J390" s="553">
        <v>6</v>
      </c>
      <c r="K390" s="554"/>
      <c r="L390" s="554"/>
      <c r="M390" s="554"/>
      <c r="N390" s="554"/>
      <c r="O390" s="554"/>
      <c r="P390" s="555"/>
      <c r="Q390" s="555"/>
      <c r="R390" s="555"/>
      <c r="S390" s="555">
        <f>J390</f>
        <v>6</v>
      </c>
      <c r="T390" s="556"/>
    </row>
    <row r="391" spans="1:20" ht="15" customHeight="1">
      <c r="A391" s="285">
        <v>391</v>
      </c>
      <c r="B391" s="544">
        <v>119</v>
      </c>
      <c r="C391" s="545" t="s">
        <v>76</v>
      </c>
      <c r="D391" s="549" t="s">
        <v>156</v>
      </c>
      <c r="E391" s="539">
        <f>VLOOKUP(B391,'2-Kosten per locatie'!$A$13:$C$87,3,FALSE)</f>
        <v>2</v>
      </c>
      <c r="F391" s="550"/>
      <c r="G391" s="551" t="s">
        <v>342</v>
      </c>
      <c r="H391" s="552" t="s">
        <v>282</v>
      </c>
      <c r="I391" s="551" t="s">
        <v>171</v>
      </c>
      <c r="J391" s="553">
        <v>9</v>
      </c>
      <c r="K391" s="554"/>
      <c r="L391" s="554"/>
      <c r="M391" s="554">
        <v>39</v>
      </c>
      <c r="N391" s="554"/>
      <c r="O391" s="554"/>
      <c r="P391" s="555"/>
      <c r="Q391" s="555">
        <f>J391</f>
        <v>9</v>
      </c>
      <c r="R391" s="555"/>
      <c r="S391" s="555"/>
      <c r="T391" s="556"/>
    </row>
    <row r="392" spans="1:20" ht="15" customHeight="1">
      <c r="A392" s="286">
        <v>392</v>
      </c>
      <c r="B392" s="544">
        <v>119</v>
      </c>
      <c r="C392" s="545" t="s">
        <v>76</v>
      </c>
      <c r="D392" s="549" t="s">
        <v>156</v>
      </c>
      <c r="E392" s="539">
        <f>VLOOKUP(B392,'2-Kosten per locatie'!$A$13:$C$87,3,FALSE)</f>
        <v>2</v>
      </c>
      <c r="F392" s="550"/>
      <c r="G392" s="551" t="s">
        <v>601</v>
      </c>
      <c r="H392" s="552" t="s">
        <v>593</v>
      </c>
      <c r="I392" s="551" t="s">
        <v>171</v>
      </c>
      <c r="J392" s="553">
        <v>4</v>
      </c>
      <c r="K392" s="554"/>
      <c r="L392" s="554">
        <v>24</v>
      </c>
      <c r="M392" s="554"/>
      <c r="N392" s="554"/>
      <c r="O392" s="554"/>
      <c r="P392" s="555"/>
      <c r="Q392" s="555"/>
      <c r="R392" s="555">
        <f>J392</f>
        <v>4</v>
      </c>
      <c r="S392" s="555"/>
      <c r="T392" s="556"/>
    </row>
    <row r="393" spans="1:20" ht="15" customHeight="1">
      <c r="A393" s="286">
        <v>393</v>
      </c>
      <c r="B393" s="544">
        <v>119</v>
      </c>
      <c r="C393" s="545" t="s">
        <v>76</v>
      </c>
      <c r="D393" s="549" t="s">
        <v>156</v>
      </c>
      <c r="E393" s="539">
        <f>VLOOKUP(B393,'2-Kosten per locatie'!$A$13:$C$87,3,FALSE)</f>
        <v>2</v>
      </c>
      <c r="F393" s="550"/>
      <c r="G393" s="551" t="s">
        <v>602</v>
      </c>
      <c r="H393" s="552" t="s">
        <v>510</v>
      </c>
      <c r="I393" s="551" t="s">
        <v>214</v>
      </c>
      <c r="J393" s="553">
        <v>6</v>
      </c>
      <c r="K393" s="554"/>
      <c r="L393" s="554"/>
      <c r="M393" s="554">
        <v>30</v>
      </c>
      <c r="N393" s="554"/>
      <c r="O393" s="554"/>
      <c r="P393" s="555"/>
      <c r="Q393" s="555">
        <f>J393</f>
        <v>6</v>
      </c>
      <c r="R393" s="555"/>
      <c r="S393" s="555"/>
      <c r="T393" s="556"/>
    </row>
    <row r="394" spans="1:20" ht="15" customHeight="1">
      <c r="A394" s="285">
        <v>394</v>
      </c>
      <c r="B394" s="544">
        <v>119</v>
      </c>
      <c r="C394" s="545" t="s">
        <v>76</v>
      </c>
      <c r="D394" s="549" t="s">
        <v>156</v>
      </c>
      <c r="E394" s="539">
        <f>VLOOKUP(B394,'2-Kosten per locatie'!$A$13:$C$87,3,FALSE)</f>
        <v>2</v>
      </c>
      <c r="F394" s="550"/>
      <c r="G394" s="551" t="s">
        <v>602</v>
      </c>
      <c r="H394" s="552" t="s">
        <v>603</v>
      </c>
      <c r="I394" s="551" t="s">
        <v>214</v>
      </c>
      <c r="J394" s="553">
        <v>6</v>
      </c>
      <c r="K394" s="554"/>
      <c r="L394" s="554"/>
      <c r="M394" s="554">
        <v>30</v>
      </c>
      <c r="N394" s="554"/>
      <c r="O394" s="554"/>
      <c r="P394" s="555"/>
      <c r="Q394" s="555">
        <f>J394</f>
        <v>6</v>
      </c>
      <c r="R394" s="555"/>
      <c r="S394" s="555"/>
      <c r="T394" s="556"/>
    </row>
    <row r="395" spans="1:20" ht="15" customHeight="1">
      <c r="A395" s="286">
        <v>395</v>
      </c>
      <c r="B395" s="544">
        <v>119</v>
      </c>
      <c r="C395" s="545" t="s">
        <v>76</v>
      </c>
      <c r="D395" s="549" t="s">
        <v>156</v>
      </c>
      <c r="E395" s="539">
        <f>VLOOKUP(B395,'2-Kosten per locatie'!$A$13:$C$87,3,FALSE)</f>
        <v>2</v>
      </c>
      <c r="F395" s="550"/>
      <c r="G395" s="551" t="s">
        <v>604</v>
      </c>
      <c r="H395" s="552" t="s">
        <v>512</v>
      </c>
      <c r="I395" s="551" t="s">
        <v>159</v>
      </c>
      <c r="J395" s="553">
        <v>12</v>
      </c>
      <c r="K395" s="554"/>
      <c r="L395" s="554">
        <v>48</v>
      </c>
      <c r="M395" s="554"/>
      <c r="N395" s="554"/>
      <c r="O395" s="554"/>
      <c r="P395" s="555"/>
      <c r="Q395" s="555"/>
      <c r="R395" s="555">
        <f>J395</f>
        <v>12</v>
      </c>
      <c r="S395" s="555"/>
      <c r="T395" s="556"/>
    </row>
    <row r="396" spans="1:20" ht="15" customHeight="1">
      <c r="A396" s="285">
        <v>396</v>
      </c>
      <c r="B396" s="544">
        <v>119</v>
      </c>
      <c r="C396" s="545" t="s">
        <v>76</v>
      </c>
      <c r="D396" s="549" t="s">
        <v>156</v>
      </c>
      <c r="E396" s="539">
        <f>VLOOKUP(B396,'2-Kosten per locatie'!$A$13:$C$87,3,FALSE)</f>
        <v>2</v>
      </c>
      <c r="F396" s="550"/>
      <c r="G396" s="551" t="s">
        <v>605</v>
      </c>
      <c r="H396" s="552" t="s">
        <v>515</v>
      </c>
      <c r="I396" s="551" t="s">
        <v>159</v>
      </c>
      <c r="J396" s="553">
        <v>4</v>
      </c>
      <c r="K396" s="554">
        <v>23</v>
      </c>
      <c r="L396" s="554"/>
      <c r="M396" s="554"/>
      <c r="N396" s="554"/>
      <c r="O396" s="554"/>
      <c r="P396" s="555"/>
      <c r="Q396" s="555"/>
      <c r="R396" s="555"/>
      <c r="S396" s="555">
        <f t="shared" ref="S396:S401" si="5">J396</f>
        <v>4</v>
      </c>
      <c r="T396" s="556"/>
    </row>
    <row r="397" spans="1:20" ht="15" customHeight="1">
      <c r="A397" s="286">
        <v>397</v>
      </c>
      <c r="B397" s="544">
        <v>119</v>
      </c>
      <c r="C397" s="545" t="s">
        <v>76</v>
      </c>
      <c r="D397" s="549" t="s">
        <v>156</v>
      </c>
      <c r="E397" s="539">
        <f>VLOOKUP(B397,'2-Kosten per locatie'!$A$13:$C$87,3,FALSE)</f>
        <v>2</v>
      </c>
      <c r="F397" s="550"/>
      <c r="G397" s="551" t="s">
        <v>606</v>
      </c>
      <c r="H397" s="552" t="s">
        <v>607</v>
      </c>
      <c r="I397" s="551" t="s">
        <v>205</v>
      </c>
      <c r="J397" s="553">
        <v>3</v>
      </c>
      <c r="K397" s="554"/>
      <c r="L397" s="554"/>
      <c r="M397" s="554"/>
      <c r="N397" s="554"/>
      <c r="O397" s="554"/>
      <c r="P397" s="555"/>
      <c r="Q397" s="555"/>
      <c r="R397" s="555"/>
      <c r="S397" s="555">
        <f t="shared" si="5"/>
        <v>3</v>
      </c>
      <c r="T397" s="556"/>
    </row>
    <row r="398" spans="1:20" ht="15" customHeight="1">
      <c r="A398" s="285">
        <v>398</v>
      </c>
      <c r="B398" s="544">
        <v>119</v>
      </c>
      <c r="C398" s="545" t="s">
        <v>76</v>
      </c>
      <c r="D398" s="549" t="s">
        <v>156</v>
      </c>
      <c r="E398" s="539">
        <f>VLOOKUP(B398,'2-Kosten per locatie'!$A$13:$C$87,3,FALSE)</f>
        <v>2</v>
      </c>
      <c r="F398" s="550"/>
      <c r="G398" s="551" t="s">
        <v>608</v>
      </c>
      <c r="H398" s="552" t="s">
        <v>517</v>
      </c>
      <c r="I398" s="551" t="s">
        <v>176</v>
      </c>
      <c r="J398" s="553">
        <v>46</v>
      </c>
      <c r="K398" s="554" t="s">
        <v>507</v>
      </c>
      <c r="L398" s="554"/>
      <c r="M398" s="554"/>
      <c r="N398" s="554"/>
      <c r="O398" s="554"/>
      <c r="P398" s="555"/>
      <c r="Q398" s="555"/>
      <c r="R398" s="555"/>
      <c r="S398" s="555">
        <f t="shared" si="5"/>
        <v>46</v>
      </c>
      <c r="T398" s="556"/>
    </row>
    <row r="399" spans="1:20" ht="15" customHeight="1">
      <c r="A399" s="286">
        <v>399</v>
      </c>
      <c r="B399" s="544">
        <v>119</v>
      </c>
      <c r="C399" s="545" t="s">
        <v>76</v>
      </c>
      <c r="D399" s="549" t="s">
        <v>156</v>
      </c>
      <c r="E399" s="539">
        <f>VLOOKUP(B399,'2-Kosten per locatie'!$A$13:$C$87,3,FALSE)</f>
        <v>2</v>
      </c>
      <c r="F399" s="550"/>
      <c r="G399" s="551" t="s">
        <v>609</v>
      </c>
      <c r="H399" s="552" t="s">
        <v>519</v>
      </c>
      <c r="I399" s="551" t="s">
        <v>176</v>
      </c>
      <c r="J399" s="553">
        <v>46</v>
      </c>
      <c r="K399" s="554" t="s">
        <v>507</v>
      </c>
      <c r="L399" s="554"/>
      <c r="M399" s="554"/>
      <c r="N399" s="554"/>
      <c r="O399" s="554"/>
      <c r="P399" s="555"/>
      <c r="Q399" s="555"/>
      <c r="R399" s="555"/>
      <c r="S399" s="555">
        <f t="shared" si="5"/>
        <v>46</v>
      </c>
      <c r="T399" s="556"/>
    </row>
    <row r="400" spans="1:20" ht="15" customHeight="1">
      <c r="A400" s="286">
        <v>400</v>
      </c>
      <c r="B400" s="544">
        <v>119</v>
      </c>
      <c r="C400" s="545" t="s">
        <v>76</v>
      </c>
      <c r="D400" s="549" t="s">
        <v>156</v>
      </c>
      <c r="E400" s="539">
        <f>VLOOKUP(B400,'2-Kosten per locatie'!$A$13:$C$87,3,FALSE)</f>
        <v>2</v>
      </c>
      <c r="F400" s="550"/>
      <c r="G400" s="551" t="s">
        <v>610</v>
      </c>
      <c r="H400" s="552" t="s">
        <v>611</v>
      </c>
      <c r="I400" s="551" t="s">
        <v>176</v>
      </c>
      <c r="J400" s="553">
        <v>46</v>
      </c>
      <c r="K400" s="554" t="s">
        <v>507</v>
      </c>
      <c r="L400" s="554"/>
      <c r="M400" s="554"/>
      <c r="N400" s="554"/>
      <c r="O400" s="554"/>
      <c r="P400" s="555"/>
      <c r="Q400" s="555"/>
      <c r="R400" s="555"/>
      <c r="S400" s="555">
        <f t="shared" si="5"/>
        <v>46</v>
      </c>
      <c r="T400" s="556"/>
    </row>
    <row r="401" spans="1:20" ht="15" customHeight="1">
      <c r="A401" s="285">
        <v>401</v>
      </c>
      <c r="B401" s="544">
        <v>119</v>
      </c>
      <c r="C401" s="545" t="s">
        <v>76</v>
      </c>
      <c r="D401" s="549" t="s">
        <v>156</v>
      </c>
      <c r="E401" s="539">
        <f>VLOOKUP(B401,'2-Kosten per locatie'!$A$13:$C$87,3,FALSE)</f>
        <v>2</v>
      </c>
      <c r="F401" s="550"/>
      <c r="G401" s="551" t="s">
        <v>178</v>
      </c>
      <c r="H401" s="552" t="s">
        <v>573</v>
      </c>
      <c r="I401" s="551" t="s">
        <v>171</v>
      </c>
      <c r="J401" s="553">
        <v>16</v>
      </c>
      <c r="K401" s="554"/>
      <c r="L401" s="554"/>
      <c r="M401" s="554"/>
      <c r="N401" s="554"/>
      <c r="O401" s="554"/>
      <c r="P401" s="555"/>
      <c r="Q401" s="555"/>
      <c r="R401" s="555"/>
      <c r="S401" s="555">
        <f t="shared" si="5"/>
        <v>16</v>
      </c>
      <c r="T401" s="556"/>
    </row>
    <row r="402" spans="1:20" ht="15" customHeight="1">
      <c r="A402" s="286">
        <v>402</v>
      </c>
      <c r="B402" s="544">
        <v>119</v>
      </c>
      <c r="C402" s="545" t="s">
        <v>76</v>
      </c>
      <c r="D402" s="549" t="s">
        <v>156</v>
      </c>
      <c r="E402" s="539">
        <f>VLOOKUP(B402,'2-Kosten per locatie'!$A$13:$C$87,3,FALSE)</f>
        <v>2</v>
      </c>
      <c r="F402" s="550"/>
      <c r="G402" s="551" t="s">
        <v>612</v>
      </c>
      <c r="H402" s="552" t="s">
        <v>525</v>
      </c>
      <c r="I402" s="551" t="s">
        <v>171</v>
      </c>
      <c r="J402" s="553">
        <v>13</v>
      </c>
      <c r="K402" s="554"/>
      <c r="L402" s="554"/>
      <c r="M402" s="554">
        <v>43</v>
      </c>
      <c r="N402" s="554"/>
      <c r="O402" s="554"/>
      <c r="P402" s="555"/>
      <c r="Q402" s="555"/>
      <c r="R402" s="555">
        <f>J402</f>
        <v>13</v>
      </c>
      <c r="S402" s="555"/>
      <c r="T402" s="556"/>
    </row>
    <row r="403" spans="1:20" ht="15" customHeight="1">
      <c r="A403" s="285">
        <v>403</v>
      </c>
      <c r="B403" s="544">
        <v>119</v>
      </c>
      <c r="C403" s="545" t="s">
        <v>76</v>
      </c>
      <c r="D403" s="549" t="s">
        <v>156</v>
      </c>
      <c r="E403" s="539">
        <f>VLOOKUP(B403,'2-Kosten per locatie'!$A$13:$C$87,3,FALSE)</f>
        <v>2</v>
      </c>
      <c r="F403" s="550"/>
      <c r="G403" s="551" t="s">
        <v>542</v>
      </c>
      <c r="H403" s="552" t="s">
        <v>527</v>
      </c>
      <c r="I403" s="551" t="s">
        <v>171</v>
      </c>
      <c r="J403" s="553">
        <v>15</v>
      </c>
      <c r="K403" s="554"/>
      <c r="L403" s="554">
        <v>47</v>
      </c>
      <c r="M403" s="554"/>
      <c r="N403" s="554"/>
      <c r="O403" s="554"/>
      <c r="P403" s="555"/>
      <c r="Q403" s="555"/>
      <c r="R403" s="555">
        <f>J403</f>
        <v>15</v>
      </c>
      <c r="S403" s="555"/>
      <c r="T403" s="556"/>
    </row>
    <row r="404" spans="1:20" ht="15" customHeight="1">
      <c r="A404" s="286">
        <v>404</v>
      </c>
      <c r="B404" s="544">
        <v>119</v>
      </c>
      <c r="C404" s="545" t="s">
        <v>76</v>
      </c>
      <c r="D404" s="549" t="s">
        <v>156</v>
      </c>
      <c r="E404" s="539">
        <f>VLOOKUP(B404,'2-Kosten per locatie'!$A$13:$C$87,3,FALSE)</f>
        <v>2</v>
      </c>
      <c r="F404" s="550"/>
      <c r="G404" s="551" t="s">
        <v>567</v>
      </c>
      <c r="H404" s="552" t="s">
        <v>613</v>
      </c>
      <c r="I404" s="551" t="s">
        <v>162</v>
      </c>
      <c r="J404" s="553">
        <v>24</v>
      </c>
      <c r="K404" s="554"/>
      <c r="L404" s="554"/>
      <c r="M404" s="554"/>
      <c r="N404" s="554"/>
      <c r="O404" s="554"/>
      <c r="P404" s="555"/>
      <c r="Q404" s="555"/>
      <c r="R404" s="555"/>
      <c r="S404" s="555">
        <f>J404</f>
        <v>24</v>
      </c>
      <c r="T404" s="556"/>
    </row>
    <row r="405" spans="1:20" ht="15" customHeight="1">
      <c r="A405" s="285">
        <v>405</v>
      </c>
      <c r="B405" s="544">
        <v>119</v>
      </c>
      <c r="C405" s="545" t="s">
        <v>76</v>
      </c>
      <c r="D405" s="549" t="s">
        <v>156</v>
      </c>
      <c r="E405" s="539">
        <f>VLOOKUP(B405,'2-Kosten per locatie'!$A$13:$C$87,3,FALSE)</f>
        <v>2</v>
      </c>
      <c r="F405" s="550"/>
      <c r="G405" s="551" t="s">
        <v>178</v>
      </c>
      <c r="H405" s="552" t="s">
        <v>614</v>
      </c>
      <c r="I405" s="551" t="s">
        <v>171</v>
      </c>
      <c r="J405" s="553">
        <v>10</v>
      </c>
      <c r="K405" s="554"/>
      <c r="L405" s="554"/>
      <c r="M405" s="554"/>
      <c r="N405" s="554"/>
      <c r="O405" s="554"/>
      <c r="P405" s="555"/>
      <c r="Q405" s="555"/>
      <c r="R405" s="555"/>
      <c r="S405" s="555">
        <f>J405</f>
        <v>10</v>
      </c>
      <c r="T405" s="556"/>
    </row>
    <row r="406" spans="1:20" ht="15" customHeight="1">
      <c r="A406" s="286">
        <v>406</v>
      </c>
      <c r="B406" s="544">
        <v>119</v>
      </c>
      <c r="C406" s="545" t="s">
        <v>76</v>
      </c>
      <c r="D406" s="549" t="s">
        <v>156</v>
      </c>
      <c r="E406" s="539">
        <f>VLOOKUP(B406,'2-Kosten per locatie'!$A$13:$C$87,3,FALSE)</f>
        <v>2</v>
      </c>
      <c r="F406" s="550"/>
      <c r="G406" s="551" t="s">
        <v>615</v>
      </c>
      <c r="H406" s="552" t="s">
        <v>616</v>
      </c>
      <c r="I406" s="551" t="s">
        <v>222</v>
      </c>
      <c r="J406" s="553">
        <v>20</v>
      </c>
      <c r="K406" s="554"/>
      <c r="L406" s="554"/>
      <c r="M406" s="554">
        <v>54</v>
      </c>
      <c r="N406" s="554"/>
      <c r="O406" s="554"/>
      <c r="P406" s="555"/>
      <c r="Q406" s="555">
        <f>J406</f>
        <v>20</v>
      </c>
      <c r="R406" s="555"/>
      <c r="S406" s="555"/>
      <c r="T406" s="556"/>
    </row>
    <row r="407" spans="1:20" ht="15" customHeight="1">
      <c r="A407" s="286">
        <v>407</v>
      </c>
      <c r="B407" s="544">
        <v>119</v>
      </c>
      <c r="C407" s="545" t="s">
        <v>76</v>
      </c>
      <c r="D407" s="549" t="s">
        <v>156</v>
      </c>
      <c r="E407" s="539">
        <f>VLOOKUP(B407,'2-Kosten per locatie'!$A$13:$C$87,3,FALSE)</f>
        <v>2</v>
      </c>
      <c r="F407" s="550"/>
      <c r="G407" s="551" t="s">
        <v>289</v>
      </c>
      <c r="H407" s="552" t="s">
        <v>617</v>
      </c>
      <c r="I407" s="551" t="s">
        <v>159</v>
      </c>
      <c r="J407" s="553">
        <v>1637</v>
      </c>
      <c r="K407" s="554"/>
      <c r="L407" s="554"/>
      <c r="M407" s="554"/>
      <c r="N407" s="554"/>
      <c r="O407" s="554"/>
      <c r="P407" s="555" t="s">
        <v>618</v>
      </c>
      <c r="Q407" s="555"/>
      <c r="R407" s="555"/>
      <c r="S407" s="555"/>
      <c r="T407" s="556"/>
    </row>
    <row r="408" spans="1:20" ht="15" customHeight="1">
      <c r="A408" s="285">
        <v>408</v>
      </c>
      <c r="B408" s="544">
        <v>119</v>
      </c>
      <c r="C408" s="545" t="s">
        <v>76</v>
      </c>
      <c r="D408" s="549" t="s">
        <v>156</v>
      </c>
      <c r="E408" s="539">
        <f>VLOOKUP(B408,'2-Kosten per locatie'!$A$13:$C$87,3,FALSE)</f>
        <v>2</v>
      </c>
      <c r="F408" s="550"/>
      <c r="G408" s="551" t="s">
        <v>183</v>
      </c>
      <c r="H408" s="552" t="s">
        <v>619</v>
      </c>
      <c r="I408" s="551" t="s">
        <v>214</v>
      </c>
      <c r="J408" s="553">
        <v>3</v>
      </c>
      <c r="K408" s="554"/>
      <c r="L408" s="554"/>
      <c r="M408" s="554">
        <v>15</v>
      </c>
      <c r="N408" s="554"/>
      <c r="O408" s="554"/>
      <c r="P408" s="555"/>
      <c r="Q408" s="555">
        <f>J408</f>
        <v>3</v>
      </c>
      <c r="R408" s="555"/>
      <c r="S408" s="555"/>
      <c r="T408" s="556"/>
    </row>
    <row r="409" spans="1:20" ht="15" customHeight="1">
      <c r="A409" s="286">
        <v>409</v>
      </c>
      <c r="B409" s="544">
        <v>120</v>
      </c>
      <c r="C409" s="545" t="s">
        <v>77</v>
      </c>
      <c r="D409" s="549" t="s">
        <v>156</v>
      </c>
      <c r="E409" s="539">
        <f>VLOOKUP(B409,'2-Kosten per locatie'!$A$13:$C$87,3,FALSE)</f>
        <v>2</v>
      </c>
      <c r="F409" s="550"/>
      <c r="G409" s="551" t="s">
        <v>187</v>
      </c>
      <c r="H409" s="552" t="s">
        <v>505</v>
      </c>
      <c r="I409" s="551" t="s">
        <v>251</v>
      </c>
      <c r="J409" s="553">
        <v>143</v>
      </c>
      <c r="K409" s="554">
        <v>364</v>
      </c>
      <c r="L409" s="554">
        <v>296</v>
      </c>
      <c r="M409" s="554"/>
      <c r="N409" s="554"/>
      <c r="O409" s="554"/>
      <c r="P409" s="555"/>
      <c r="Q409" s="555"/>
      <c r="R409" s="555">
        <f>J409</f>
        <v>143</v>
      </c>
      <c r="S409" s="555"/>
      <c r="T409" s="556"/>
    </row>
    <row r="410" spans="1:20" ht="15" customHeight="1">
      <c r="A410" s="285">
        <v>410</v>
      </c>
      <c r="B410" s="544">
        <v>120</v>
      </c>
      <c r="C410" s="545" t="s">
        <v>77</v>
      </c>
      <c r="D410" s="549" t="s">
        <v>156</v>
      </c>
      <c r="E410" s="539">
        <f>VLOOKUP(B410,'2-Kosten per locatie'!$A$13:$C$87,3,FALSE)</f>
        <v>2</v>
      </c>
      <c r="F410" s="550"/>
      <c r="G410" s="551" t="s">
        <v>620</v>
      </c>
      <c r="H410" s="552" t="s">
        <v>506</v>
      </c>
      <c r="I410" s="551" t="s">
        <v>171</v>
      </c>
      <c r="J410" s="553">
        <v>28</v>
      </c>
      <c r="K410" s="554"/>
      <c r="L410" s="554">
        <v>62</v>
      </c>
      <c r="M410" s="554"/>
      <c r="N410" s="554"/>
      <c r="O410" s="554"/>
      <c r="P410" s="555"/>
      <c r="Q410" s="555">
        <f>J410</f>
        <v>28</v>
      </c>
      <c r="R410" s="555"/>
      <c r="S410" s="555"/>
      <c r="T410" s="556"/>
    </row>
    <row r="411" spans="1:20" ht="15" customHeight="1">
      <c r="A411" s="286">
        <v>411</v>
      </c>
      <c r="B411" s="544">
        <v>120</v>
      </c>
      <c r="C411" s="545" t="s">
        <v>77</v>
      </c>
      <c r="D411" s="549" t="s">
        <v>156</v>
      </c>
      <c r="E411" s="539">
        <f>VLOOKUP(B411,'2-Kosten per locatie'!$A$13:$C$87,3,FALSE)</f>
        <v>2</v>
      </c>
      <c r="F411" s="550"/>
      <c r="G411" s="551" t="s">
        <v>508</v>
      </c>
      <c r="H411" s="552" t="s">
        <v>158</v>
      </c>
      <c r="I411" s="551" t="s">
        <v>251</v>
      </c>
      <c r="J411" s="553">
        <v>75</v>
      </c>
      <c r="K411" s="554"/>
      <c r="L411" s="554">
        <v>509</v>
      </c>
      <c r="M411" s="554"/>
      <c r="N411" s="554"/>
      <c r="O411" s="554"/>
      <c r="P411" s="555"/>
      <c r="Q411" s="555"/>
      <c r="R411" s="555">
        <f>J411</f>
        <v>75</v>
      </c>
      <c r="S411" s="555"/>
      <c r="T411" s="556"/>
    </row>
    <row r="412" spans="1:20" ht="15" customHeight="1">
      <c r="A412" s="285">
        <v>412</v>
      </c>
      <c r="B412" s="544">
        <v>120</v>
      </c>
      <c r="C412" s="545" t="s">
        <v>77</v>
      </c>
      <c r="D412" s="549" t="s">
        <v>156</v>
      </c>
      <c r="E412" s="539">
        <f>VLOOKUP(B412,'2-Kosten per locatie'!$A$13:$C$87,3,FALSE)</f>
        <v>2</v>
      </c>
      <c r="F412" s="550"/>
      <c r="G412" s="551" t="s">
        <v>621</v>
      </c>
      <c r="H412" s="552" t="s">
        <v>509</v>
      </c>
      <c r="I412" s="551" t="s">
        <v>171</v>
      </c>
      <c r="J412" s="553">
        <v>12</v>
      </c>
      <c r="K412" s="554"/>
      <c r="L412" s="554"/>
      <c r="M412" s="554">
        <v>45</v>
      </c>
      <c r="N412" s="554"/>
      <c r="O412" s="554"/>
      <c r="P412" s="555"/>
      <c r="Q412" s="555">
        <f t="shared" ref="Q412:Q419" si="6">J412</f>
        <v>12</v>
      </c>
      <c r="R412" s="555"/>
      <c r="S412" s="555"/>
      <c r="T412" s="556"/>
    </row>
    <row r="413" spans="1:20" ht="15" customHeight="1">
      <c r="A413" s="286">
        <v>413</v>
      </c>
      <c r="B413" s="544">
        <v>120</v>
      </c>
      <c r="C413" s="545" t="s">
        <v>77</v>
      </c>
      <c r="D413" s="549" t="s">
        <v>156</v>
      </c>
      <c r="E413" s="539">
        <f>VLOOKUP(B413,'2-Kosten per locatie'!$A$13:$C$87,3,FALSE)</f>
        <v>2</v>
      </c>
      <c r="F413" s="550"/>
      <c r="G413" s="551" t="s">
        <v>342</v>
      </c>
      <c r="H413" s="552" t="s">
        <v>622</v>
      </c>
      <c r="I413" s="551" t="s">
        <v>171</v>
      </c>
      <c r="J413" s="553">
        <v>15</v>
      </c>
      <c r="K413" s="554"/>
      <c r="L413" s="554"/>
      <c r="M413" s="554">
        <v>50</v>
      </c>
      <c r="N413" s="554"/>
      <c r="O413" s="554"/>
      <c r="P413" s="555"/>
      <c r="Q413" s="555">
        <f t="shared" si="6"/>
        <v>15</v>
      </c>
      <c r="R413" s="555"/>
      <c r="S413" s="555"/>
      <c r="T413" s="556"/>
    </row>
    <row r="414" spans="1:20" ht="15" customHeight="1">
      <c r="A414" s="286">
        <v>414</v>
      </c>
      <c r="B414" s="544">
        <v>120</v>
      </c>
      <c r="C414" s="545" t="s">
        <v>77</v>
      </c>
      <c r="D414" s="549" t="s">
        <v>156</v>
      </c>
      <c r="E414" s="539">
        <f>VLOOKUP(B414,'2-Kosten per locatie'!$A$13:$C$87,3,FALSE)</f>
        <v>2</v>
      </c>
      <c r="F414" s="550"/>
      <c r="G414" s="551" t="s">
        <v>601</v>
      </c>
      <c r="H414" s="552" t="s">
        <v>623</v>
      </c>
      <c r="I414" s="551" t="s">
        <v>171</v>
      </c>
      <c r="J414" s="553">
        <v>8</v>
      </c>
      <c r="K414" s="554"/>
      <c r="L414" s="554"/>
      <c r="M414" s="554">
        <v>37</v>
      </c>
      <c r="N414" s="554"/>
      <c r="O414" s="554"/>
      <c r="P414" s="555"/>
      <c r="Q414" s="555">
        <f t="shared" si="6"/>
        <v>8</v>
      </c>
      <c r="R414" s="555"/>
      <c r="S414" s="555"/>
      <c r="T414" s="556"/>
    </row>
    <row r="415" spans="1:20" ht="15" customHeight="1">
      <c r="A415" s="285">
        <v>415</v>
      </c>
      <c r="B415" s="544">
        <v>120</v>
      </c>
      <c r="C415" s="545" t="s">
        <v>77</v>
      </c>
      <c r="D415" s="549" t="s">
        <v>156</v>
      </c>
      <c r="E415" s="539">
        <f>VLOOKUP(B415,'2-Kosten per locatie'!$A$13:$C$87,3,FALSE)</f>
        <v>2</v>
      </c>
      <c r="F415" s="550"/>
      <c r="G415" s="551" t="s">
        <v>602</v>
      </c>
      <c r="H415" s="552" t="s">
        <v>510</v>
      </c>
      <c r="I415" s="551" t="s">
        <v>171</v>
      </c>
      <c r="J415" s="553">
        <v>12</v>
      </c>
      <c r="K415" s="554"/>
      <c r="L415" s="554"/>
      <c r="M415" s="554">
        <v>42</v>
      </c>
      <c r="N415" s="554"/>
      <c r="O415" s="554"/>
      <c r="P415" s="555"/>
      <c r="Q415" s="555">
        <f t="shared" si="6"/>
        <v>12</v>
      </c>
      <c r="R415" s="555"/>
      <c r="S415" s="555"/>
      <c r="T415" s="556"/>
    </row>
    <row r="416" spans="1:20" ht="15" customHeight="1">
      <c r="A416" s="286">
        <v>416</v>
      </c>
      <c r="B416" s="544">
        <v>120</v>
      </c>
      <c r="C416" s="545" t="s">
        <v>77</v>
      </c>
      <c r="D416" s="549" t="s">
        <v>156</v>
      </c>
      <c r="E416" s="539">
        <f>VLOOKUP(B416,'2-Kosten per locatie'!$A$13:$C$87,3,FALSE)</f>
        <v>2</v>
      </c>
      <c r="F416" s="550"/>
      <c r="G416" s="551" t="s">
        <v>602</v>
      </c>
      <c r="H416" s="552" t="s">
        <v>603</v>
      </c>
      <c r="I416" s="551" t="s">
        <v>171</v>
      </c>
      <c r="J416" s="553">
        <v>12</v>
      </c>
      <c r="K416" s="554"/>
      <c r="L416" s="554"/>
      <c r="M416" s="554">
        <v>42</v>
      </c>
      <c r="N416" s="554"/>
      <c r="O416" s="554"/>
      <c r="P416" s="555"/>
      <c r="Q416" s="555">
        <f t="shared" si="6"/>
        <v>12</v>
      </c>
      <c r="R416" s="555"/>
      <c r="S416" s="555"/>
      <c r="T416" s="556"/>
    </row>
    <row r="417" spans="1:20" ht="15" customHeight="1">
      <c r="A417" s="285">
        <v>417</v>
      </c>
      <c r="B417" s="544">
        <v>120</v>
      </c>
      <c r="C417" s="545" t="s">
        <v>77</v>
      </c>
      <c r="D417" s="549" t="s">
        <v>156</v>
      </c>
      <c r="E417" s="539">
        <f>VLOOKUP(B417,'2-Kosten per locatie'!$A$13:$C$87,3,FALSE)</f>
        <v>2</v>
      </c>
      <c r="F417" s="550"/>
      <c r="G417" s="551" t="s">
        <v>604</v>
      </c>
      <c r="H417" s="552" t="s">
        <v>513</v>
      </c>
      <c r="I417" s="551" t="s">
        <v>171</v>
      </c>
      <c r="J417" s="553">
        <v>5</v>
      </c>
      <c r="K417" s="554"/>
      <c r="L417" s="554"/>
      <c r="M417" s="554">
        <v>26</v>
      </c>
      <c r="N417" s="554"/>
      <c r="O417" s="554"/>
      <c r="P417" s="555"/>
      <c r="Q417" s="555">
        <f t="shared" si="6"/>
        <v>5</v>
      </c>
      <c r="R417" s="555"/>
      <c r="S417" s="555"/>
      <c r="T417" s="556"/>
    </row>
    <row r="418" spans="1:20" ht="15" customHeight="1">
      <c r="A418" s="286">
        <v>418</v>
      </c>
      <c r="B418" s="544">
        <v>120</v>
      </c>
      <c r="C418" s="545" t="s">
        <v>77</v>
      </c>
      <c r="D418" s="549" t="s">
        <v>156</v>
      </c>
      <c r="E418" s="539">
        <f>VLOOKUP(B418,'2-Kosten per locatie'!$A$13:$C$87,3,FALSE)</f>
        <v>2</v>
      </c>
      <c r="F418" s="550"/>
      <c r="G418" s="551" t="s">
        <v>550</v>
      </c>
      <c r="H418" s="552" t="s">
        <v>624</v>
      </c>
      <c r="I418" s="551" t="s">
        <v>171</v>
      </c>
      <c r="J418" s="553">
        <v>10</v>
      </c>
      <c r="K418" s="554"/>
      <c r="L418" s="554"/>
      <c r="M418" s="554">
        <v>38</v>
      </c>
      <c r="N418" s="554"/>
      <c r="O418" s="554"/>
      <c r="P418" s="555"/>
      <c r="Q418" s="555">
        <f t="shared" si="6"/>
        <v>10</v>
      </c>
      <c r="R418" s="555"/>
      <c r="S418" s="555"/>
      <c r="T418" s="556"/>
    </row>
    <row r="419" spans="1:20" ht="15" customHeight="1">
      <c r="A419" s="285">
        <v>419</v>
      </c>
      <c r="B419" s="544">
        <v>120</v>
      </c>
      <c r="C419" s="545" t="s">
        <v>77</v>
      </c>
      <c r="D419" s="549" t="s">
        <v>156</v>
      </c>
      <c r="E419" s="539">
        <f>VLOOKUP(B419,'2-Kosten per locatie'!$A$13:$C$87,3,FALSE)</f>
        <v>2</v>
      </c>
      <c r="F419" s="550"/>
      <c r="G419" s="551" t="s">
        <v>490</v>
      </c>
      <c r="H419" s="552" t="s">
        <v>166</v>
      </c>
      <c r="I419" s="551" t="s">
        <v>171</v>
      </c>
      <c r="J419" s="553">
        <v>50</v>
      </c>
      <c r="K419" s="554"/>
      <c r="L419" s="554"/>
      <c r="M419" s="554">
        <v>71</v>
      </c>
      <c r="N419" s="554"/>
      <c r="O419" s="554"/>
      <c r="P419" s="555"/>
      <c r="Q419" s="555">
        <f t="shared" si="6"/>
        <v>50</v>
      </c>
      <c r="R419" s="555"/>
      <c r="S419" s="555"/>
      <c r="T419" s="556"/>
    </row>
    <row r="420" spans="1:20" ht="15" customHeight="1">
      <c r="A420" s="286">
        <v>420</v>
      </c>
      <c r="B420" s="544">
        <v>120</v>
      </c>
      <c r="C420" s="545" t="s">
        <v>77</v>
      </c>
      <c r="D420" s="549" t="s">
        <v>156</v>
      </c>
      <c r="E420" s="539">
        <f>VLOOKUP(B420,'2-Kosten per locatie'!$A$13:$C$87,3,FALSE)</f>
        <v>2</v>
      </c>
      <c r="F420" s="550"/>
      <c r="G420" s="551" t="s">
        <v>203</v>
      </c>
      <c r="H420" s="552" t="s">
        <v>607</v>
      </c>
      <c r="I420" s="551" t="s">
        <v>205</v>
      </c>
      <c r="J420" s="553">
        <v>4</v>
      </c>
      <c r="K420" s="554"/>
      <c r="L420" s="554"/>
      <c r="M420" s="554"/>
      <c r="N420" s="554"/>
      <c r="O420" s="554"/>
      <c r="P420" s="555"/>
      <c r="Q420" s="555"/>
      <c r="R420" s="555"/>
      <c r="S420" s="555">
        <f>J420</f>
        <v>4</v>
      </c>
      <c r="T420" s="556"/>
    </row>
    <row r="421" spans="1:20" ht="15" customHeight="1">
      <c r="A421" s="286">
        <v>421</v>
      </c>
      <c r="B421" s="544">
        <v>120</v>
      </c>
      <c r="C421" s="545" t="s">
        <v>77</v>
      </c>
      <c r="D421" s="549" t="s">
        <v>156</v>
      </c>
      <c r="E421" s="539">
        <f>VLOOKUP(B421,'2-Kosten per locatie'!$A$13:$C$87,3,FALSE)</f>
        <v>2</v>
      </c>
      <c r="F421" s="550"/>
      <c r="G421" s="551" t="s">
        <v>625</v>
      </c>
      <c r="H421" s="552" t="s">
        <v>626</v>
      </c>
      <c r="I421" s="551" t="s">
        <v>171</v>
      </c>
      <c r="J421" s="553">
        <v>3</v>
      </c>
      <c r="K421" s="554"/>
      <c r="L421" s="554"/>
      <c r="M421" s="554">
        <v>20</v>
      </c>
      <c r="N421" s="554"/>
      <c r="O421" s="554"/>
      <c r="P421" s="555"/>
      <c r="Q421" s="555">
        <f>J421</f>
        <v>3</v>
      </c>
      <c r="R421" s="555"/>
      <c r="S421" s="555"/>
      <c r="T421" s="556"/>
    </row>
    <row r="422" spans="1:20" ht="15" customHeight="1">
      <c r="A422" s="285">
        <v>422</v>
      </c>
      <c r="B422" s="544">
        <v>120</v>
      </c>
      <c r="C422" s="545" t="s">
        <v>77</v>
      </c>
      <c r="D422" s="549" t="s">
        <v>156</v>
      </c>
      <c r="E422" s="539">
        <f>VLOOKUP(B422,'2-Kosten per locatie'!$A$13:$C$87,3,FALSE)</f>
        <v>2</v>
      </c>
      <c r="F422" s="550"/>
      <c r="G422" s="551" t="s">
        <v>621</v>
      </c>
      <c r="H422" s="552" t="s">
        <v>573</v>
      </c>
      <c r="I422" s="551" t="s">
        <v>171</v>
      </c>
      <c r="J422" s="553">
        <v>12</v>
      </c>
      <c r="K422" s="554"/>
      <c r="L422" s="554"/>
      <c r="M422" s="554">
        <v>44</v>
      </c>
      <c r="N422" s="554"/>
      <c r="O422" s="554"/>
      <c r="P422" s="555"/>
      <c r="Q422" s="555">
        <f>J422</f>
        <v>12</v>
      </c>
      <c r="R422" s="555"/>
      <c r="S422" s="555"/>
      <c r="T422" s="556"/>
    </row>
    <row r="423" spans="1:20" ht="15" customHeight="1">
      <c r="A423" s="286">
        <v>423</v>
      </c>
      <c r="B423" s="544">
        <v>120</v>
      </c>
      <c r="C423" s="545" t="s">
        <v>77</v>
      </c>
      <c r="D423" s="549" t="s">
        <v>156</v>
      </c>
      <c r="E423" s="539">
        <f>VLOOKUP(B423,'2-Kosten per locatie'!$A$13:$C$87,3,FALSE)</f>
        <v>2</v>
      </c>
      <c r="F423" s="550"/>
      <c r="G423" s="551" t="s">
        <v>542</v>
      </c>
      <c r="H423" s="552" t="s">
        <v>627</v>
      </c>
      <c r="I423" s="551" t="s">
        <v>171</v>
      </c>
      <c r="J423" s="553">
        <v>34</v>
      </c>
      <c r="K423" s="554"/>
      <c r="L423" s="554"/>
      <c r="M423" s="554">
        <v>71</v>
      </c>
      <c r="N423" s="554"/>
      <c r="O423" s="554"/>
      <c r="P423" s="555"/>
      <c r="Q423" s="555">
        <f>J423</f>
        <v>34</v>
      </c>
      <c r="R423" s="555"/>
      <c r="S423" s="555"/>
      <c r="T423" s="556"/>
    </row>
    <row r="424" spans="1:20" ht="15" customHeight="1">
      <c r="A424" s="285">
        <v>424</v>
      </c>
      <c r="B424" s="544">
        <v>120</v>
      </c>
      <c r="C424" s="545" t="s">
        <v>77</v>
      </c>
      <c r="D424" s="549" t="s">
        <v>156</v>
      </c>
      <c r="E424" s="539">
        <f>VLOOKUP(B424,'2-Kosten per locatie'!$A$13:$C$87,3,FALSE)</f>
        <v>2</v>
      </c>
      <c r="F424" s="550"/>
      <c r="G424" s="551" t="s">
        <v>615</v>
      </c>
      <c r="H424" s="552" t="s">
        <v>628</v>
      </c>
      <c r="I424" s="551" t="s">
        <v>171</v>
      </c>
      <c r="J424" s="553">
        <v>26</v>
      </c>
      <c r="K424" s="554"/>
      <c r="L424" s="554"/>
      <c r="M424" s="554">
        <v>37</v>
      </c>
      <c r="N424" s="554"/>
      <c r="O424" s="554"/>
      <c r="P424" s="555"/>
      <c r="Q424" s="555"/>
      <c r="R424" s="555">
        <f>J424</f>
        <v>26</v>
      </c>
      <c r="S424" s="555"/>
      <c r="T424" s="556"/>
    </row>
    <row r="425" spans="1:20" ht="15" customHeight="1">
      <c r="A425" s="286">
        <v>425</v>
      </c>
      <c r="B425" s="544">
        <v>120</v>
      </c>
      <c r="C425" s="545" t="s">
        <v>77</v>
      </c>
      <c r="D425" s="549" t="s">
        <v>156</v>
      </c>
      <c r="E425" s="539">
        <f>VLOOKUP(B425,'2-Kosten per locatie'!$A$13:$C$87,3,FALSE)</f>
        <v>2</v>
      </c>
      <c r="F425" s="550"/>
      <c r="G425" s="551" t="s">
        <v>621</v>
      </c>
      <c r="H425" s="552" t="s">
        <v>614</v>
      </c>
      <c r="I425" s="551" t="s">
        <v>171</v>
      </c>
      <c r="J425" s="553">
        <v>10</v>
      </c>
      <c r="K425" s="554"/>
      <c r="L425" s="554"/>
      <c r="M425" s="554">
        <v>37</v>
      </c>
      <c r="N425" s="554"/>
      <c r="O425" s="554"/>
      <c r="P425" s="555"/>
      <c r="Q425" s="555">
        <f>J425</f>
        <v>10</v>
      </c>
      <c r="R425" s="555"/>
      <c r="S425" s="555"/>
      <c r="T425" s="556"/>
    </row>
    <row r="426" spans="1:20" ht="15" customHeight="1">
      <c r="A426" s="285">
        <v>426</v>
      </c>
      <c r="B426" s="544">
        <v>120</v>
      </c>
      <c r="C426" s="545" t="s">
        <v>77</v>
      </c>
      <c r="D426" s="549" t="s">
        <v>156</v>
      </c>
      <c r="E426" s="539">
        <f>VLOOKUP(B426,'2-Kosten per locatie'!$A$13:$C$87,3,FALSE)</f>
        <v>2</v>
      </c>
      <c r="F426" s="550"/>
      <c r="G426" s="551" t="s">
        <v>567</v>
      </c>
      <c r="H426" s="552" t="s">
        <v>629</v>
      </c>
      <c r="I426" s="551" t="s">
        <v>171</v>
      </c>
      <c r="J426" s="553">
        <v>21</v>
      </c>
      <c r="K426" s="554"/>
      <c r="L426" s="554"/>
      <c r="M426" s="554">
        <v>55</v>
      </c>
      <c r="N426" s="554"/>
      <c r="O426" s="554"/>
      <c r="P426" s="555"/>
      <c r="Q426" s="555"/>
      <c r="R426" s="555">
        <f>J426</f>
        <v>21</v>
      </c>
      <c r="S426" s="555"/>
      <c r="T426" s="556"/>
    </row>
    <row r="427" spans="1:20" ht="15" customHeight="1">
      <c r="A427" s="286">
        <v>427</v>
      </c>
      <c r="B427" s="544">
        <v>120</v>
      </c>
      <c r="C427" s="545" t="s">
        <v>77</v>
      </c>
      <c r="D427" s="549" t="s">
        <v>156</v>
      </c>
      <c r="E427" s="539">
        <f>VLOOKUP(B427,'2-Kosten per locatie'!$A$13:$C$87,3,FALSE)</f>
        <v>2</v>
      </c>
      <c r="F427" s="550"/>
      <c r="G427" s="551" t="s">
        <v>605</v>
      </c>
      <c r="H427" s="552" t="s">
        <v>630</v>
      </c>
      <c r="I427" s="551" t="s">
        <v>171</v>
      </c>
      <c r="J427" s="553">
        <v>2</v>
      </c>
      <c r="K427" s="554"/>
      <c r="L427" s="554">
        <v>14</v>
      </c>
      <c r="M427" s="554"/>
      <c r="N427" s="554"/>
      <c r="O427" s="554"/>
      <c r="P427" s="555"/>
      <c r="Q427" s="555"/>
      <c r="R427" s="555">
        <f>J427</f>
        <v>2</v>
      </c>
      <c r="S427" s="555"/>
      <c r="T427" s="556"/>
    </row>
    <row r="428" spans="1:20" ht="15" customHeight="1">
      <c r="A428" s="286">
        <v>428</v>
      </c>
      <c r="B428" s="544">
        <v>120</v>
      </c>
      <c r="C428" s="545" t="s">
        <v>77</v>
      </c>
      <c r="D428" s="549" t="s">
        <v>156</v>
      </c>
      <c r="E428" s="539">
        <f>VLOOKUP(B428,'2-Kosten per locatie'!$A$13:$C$87,3,FALSE)</f>
        <v>2</v>
      </c>
      <c r="F428" s="550"/>
      <c r="G428" s="551" t="s">
        <v>289</v>
      </c>
      <c r="H428" s="552" t="s">
        <v>617</v>
      </c>
      <c r="I428" s="551" t="s">
        <v>631</v>
      </c>
      <c r="J428" s="553">
        <v>1881</v>
      </c>
      <c r="K428" s="554"/>
      <c r="L428" s="554"/>
      <c r="M428" s="554"/>
      <c r="N428" s="554"/>
      <c r="O428" s="554"/>
      <c r="P428" s="555">
        <v>1023</v>
      </c>
      <c r="Q428" s="555"/>
      <c r="R428" s="555"/>
      <c r="S428" s="555"/>
      <c r="T428" s="556"/>
    </row>
    <row r="429" spans="1:20" ht="15" customHeight="1">
      <c r="A429" s="285">
        <v>429</v>
      </c>
      <c r="B429" s="544">
        <v>120</v>
      </c>
      <c r="C429" s="545" t="s">
        <v>77</v>
      </c>
      <c r="D429" s="549" t="s">
        <v>156</v>
      </c>
      <c r="E429" s="539">
        <f>VLOOKUP(B429,'2-Kosten per locatie'!$A$13:$C$87,3,FALSE)</f>
        <v>2</v>
      </c>
      <c r="F429" s="550"/>
      <c r="G429" s="551" t="s">
        <v>390</v>
      </c>
      <c r="H429" s="552" t="s">
        <v>632</v>
      </c>
      <c r="I429" s="551" t="s">
        <v>176</v>
      </c>
      <c r="J429" s="553">
        <v>41</v>
      </c>
      <c r="K429" s="554" t="s">
        <v>507</v>
      </c>
      <c r="L429" s="554"/>
      <c r="M429" s="554"/>
      <c r="N429" s="554"/>
      <c r="O429" s="554"/>
      <c r="P429" s="555"/>
      <c r="Q429" s="555"/>
      <c r="R429" s="555"/>
      <c r="S429" s="555"/>
      <c r="T429" s="556"/>
    </row>
    <row r="430" spans="1:20" ht="15" customHeight="1">
      <c r="A430" s="286">
        <v>430</v>
      </c>
      <c r="B430" s="544">
        <v>120</v>
      </c>
      <c r="C430" s="545" t="s">
        <v>77</v>
      </c>
      <c r="D430" s="549" t="s">
        <v>156</v>
      </c>
      <c r="E430" s="539">
        <f>VLOOKUP(B430,'2-Kosten per locatie'!$A$13:$C$87,3,FALSE)</f>
        <v>2</v>
      </c>
      <c r="F430" s="550"/>
      <c r="G430" s="551" t="s">
        <v>390</v>
      </c>
      <c r="H430" s="552" t="s">
        <v>633</v>
      </c>
      <c r="I430" s="551" t="s">
        <v>176</v>
      </c>
      <c r="J430" s="553">
        <v>41</v>
      </c>
      <c r="K430" s="554" t="s">
        <v>507</v>
      </c>
      <c r="L430" s="554"/>
      <c r="M430" s="554"/>
      <c r="N430" s="554"/>
      <c r="O430" s="554"/>
      <c r="P430" s="555"/>
      <c r="Q430" s="555"/>
      <c r="R430" s="555"/>
      <c r="S430" s="555"/>
      <c r="T430" s="556"/>
    </row>
    <row r="431" spans="1:20" ht="15" customHeight="1">
      <c r="A431" s="285">
        <v>431</v>
      </c>
      <c r="B431" s="544">
        <v>120</v>
      </c>
      <c r="C431" s="545" t="s">
        <v>77</v>
      </c>
      <c r="D431" s="549" t="s">
        <v>156</v>
      </c>
      <c r="E431" s="539">
        <f>VLOOKUP(B431,'2-Kosten per locatie'!$A$13:$C$87,3,FALSE)</f>
        <v>2</v>
      </c>
      <c r="F431" s="550"/>
      <c r="G431" s="551" t="s">
        <v>390</v>
      </c>
      <c r="H431" s="552" t="s">
        <v>584</v>
      </c>
      <c r="I431" s="551" t="s">
        <v>176</v>
      </c>
      <c r="J431" s="553">
        <v>41</v>
      </c>
      <c r="K431" s="554" t="s">
        <v>507</v>
      </c>
      <c r="L431" s="554"/>
      <c r="M431" s="554"/>
      <c r="N431" s="554"/>
      <c r="O431" s="554"/>
      <c r="P431" s="555"/>
      <c r="Q431" s="555"/>
      <c r="R431" s="555"/>
      <c r="S431" s="555"/>
      <c r="T431" s="556"/>
    </row>
    <row r="432" spans="1:20" ht="15" customHeight="1">
      <c r="A432" s="286">
        <v>432</v>
      </c>
      <c r="B432" s="544">
        <v>121</v>
      </c>
      <c r="C432" s="545" t="s">
        <v>78</v>
      </c>
      <c r="D432" s="549" t="s">
        <v>156</v>
      </c>
      <c r="E432" s="539">
        <f>VLOOKUP(B432,'2-Kosten per locatie'!$A$13:$C$87,3,FALSE)</f>
        <v>2</v>
      </c>
      <c r="F432" s="550"/>
      <c r="G432" s="551" t="s">
        <v>187</v>
      </c>
      <c r="H432" s="552" t="s">
        <v>505</v>
      </c>
      <c r="I432" s="551" t="s">
        <v>159</v>
      </c>
      <c r="J432" s="553">
        <v>170</v>
      </c>
      <c r="K432" s="554"/>
      <c r="L432" s="554">
        <v>470</v>
      </c>
      <c r="M432" s="554"/>
      <c r="N432" s="554"/>
      <c r="O432" s="554"/>
      <c r="P432" s="555"/>
      <c r="Q432" s="555"/>
      <c r="R432" s="555">
        <v>170</v>
      </c>
      <c r="S432" s="555"/>
      <c r="T432" s="556"/>
    </row>
    <row r="433" spans="1:20" ht="15" customHeight="1">
      <c r="A433" s="285">
        <v>433</v>
      </c>
      <c r="B433" s="544">
        <v>121</v>
      </c>
      <c r="C433" s="545" t="s">
        <v>78</v>
      </c>
      <c r="D433" s="549" t="s">
        <v>156</v>
      </c>
      <c r="E433" s="539">
        <f>VLOOKUP(B433,'2-Kosten per locatie'!$A$13:$C$87,3,FALSE)</f>
        <v>2</v>
      </c>
      <c r="F433" s="550"/>
      <c r="G433" s="551" t="s">
        <v>508</v>
      </c>
      <c r="H433" s="552" t="s">
        <v>158</v>
      </c>
      <c r="I433" s="551" t="s">
        <v>171</v>
      </c>
      <c r="J433" s="553">
        <v>9</v>
      </c>
      <c r="K433" s="554"/>
      <c r="L433" s="554"/>
      <c r="M433" s="554">
        <v>31</v>
      </c>
      <c r="N433" s="554"/>
      <c r="O433" s="554"/>
      <c r="P433" s="555"/>
      <c r="Q433" s="555">
        <v>9</v>
      </c>
      <c r="R433" s="555"/>
      <c r="S433" s="555"/>
      <c r="T433" s="556"/>
    </row>
    <row r="434" spans="1:20" ht="15" customHeight="1">
      <c r="A434" s="286">
        <v>434</v>
      </c>
      <c r="B434" s="544">
        <v>121</v>
      </c>
      <c r="C434" s="545" t="s">
        <v>78</v>
      </c>
      <c r="D434" s="549" t="s">
        <v>156</v>
      </c>
      <c r="E434" s="539">
        <f>VLOOKUP(B434,'2-Kosten per locatie'!$A$13:$C$87,3,FALSE)</f>
        <v>2</v>
      </c>
      <c r="F434" s="550"/>
      <c r="G434" s="551" t="s">
        <v>508</v>
      </c>
      <c r="H434" s="552" t="s">
        <v>509</v>
      </c>
      <c r="I434" s="551" t="s">
        <v>159</v>
      </c>
      <c r="J434" s="553">
        <v>6.55</v>
      </c>
      <c r="K434" s="554"/>
      <c r="L434" s="554">
        <v>48</v>
      </c>
      <c r="M434" s="554"/>
      <c r="N434" s="554"/>
      <c r="O434" s="554"/>
      <c r="P434" s="555"/>
      <c r="Q434" s="555"/>
      <c r="R434" s="555">
        <f>J434</f>
        <v>6.55</v>
      </c>
      <c r="S434" s="555"/>
      <c r="T434" s="556"/>
    </row>
    <row r="435" spans="1:20" ht="15" customHeight="1">
      <c r="A435" s="286">
        <v>435</v>
      </c>
      <c r="B435" s="544">
        <v>121</v>
      </c>
      <c r="C435" s="545" t="s">
        <v>78</v>
      </c>
      <c r="D435" s="549" t="s">
        <v>156</v>
      </c>
      <c r="E435" s="539">
        <f>VLOOKUP(B435,'2-Kosten per locatie'!$A$13:$C$87,3,FALSE)</f>
        <v>2</v>
      </c>
      <c r="F435" s="550"/>
      <c r="G435" s="551" t="s">
        <v>508</v>
      </c>
      <c r="H435" s="552" t="s">
        <v>559</v>
      </c>
      <c r="I435" s="551" t="s">
        <v>171</v>
      </c>
      <c r="J435" s="553">
        <v>8.7200000000000006</v>
      </c>
      <c r="K435" s="554"/>
      <c r="L435" s="554"/>
      <c r="M435" s="554">
        <v>27</v>
      </c>
      <c r="N435" s="554"/>
      <c r="O435" s="554"/>
      <c r="P435" s="555"/>
      <c r="Q435" s="555">
        <f>J435</f>
        <v>8.7200000000000006</v>
      </c>
      <c r="R435" s="555"/>
      <c r="S435" s="555"/>
      <c r="T435" s="556"/>
    </row>
    <row r="436" spans="1:20" ht="15" customHeight="1">
      <c r="A436" s="285">
        <v>436</v>
      </c>
      <c r="B436" s="544">
        <v>121</v>
      </c>
      <c r="C436" s="545" t="s">
        <v>78</v>
      </c>
      <c r="D436" s="549" t="s">
        <v>156</v>
      </c>
      <c r="E436" s="539">
        <f>VLOOKUP(B436,'2-Kosten per locatie'!$A$13:$C$87,3,FALSE)</f>
        <v>2</v>
      </c>
      <c r="F436" s="550"/>
      <c r="G436" s="551" t="s">
        <v>508</v>
      </c>
      <c r="H436" s="552" t="s">
        <v>634</v>
      </c>
      <c r="I436" s="551" t="s">
        <v>162</v>
      </c>
      <c r="J436" s="553">
        <v>17.940000000000001</v>
      </c>
      <c r="K436" s="554"/>
      <c r="L436" s="554">
        <v>48</v>
      </c>
      <c r="M436" s="554"/>
      <c r="N436" s="554"/>
      <c r="O436" s="554"/>
      <c r="P436" s="555"/>
      <c r="Q436" s="555"/>
      <c r="R436" s="555">
        <f t="shared" ref="R436:R441" si="7">J436</f>
        <v>17.940000000000001</v>
      </c>
      <c r="S436" s="555"/>
      <c r="T436" s="556"/>
    </row>
    <row r="437" spans="1:20" ht="15" customHeight="1">
      <c r="A437" s="286">
        <v>437</v>
      </c>
      <c r="B437" s="544">
        <v>121</v>
      </c>
      <c r="C437" s="545" t="s">
        <v>78</v>
      </c>
      <c r="D437" s="549" t="s">
        <v>156</v>
      </c>
      <c r="E437" s="539">
        <f>VLOOKUP(B437,'2-Kosten per locatie'!$A$13:$C$87,3,FALSE)</f>
        <v>2</v>
      </c>
      <c r="F437" s="550"/>
      <c r="G437" s="551" t="s">
        <v>381</v>
      </c>
      <c r="H437" s="552" t="s">
        <v>635</v>
      </c>
      <c r="I437" s="551" t="s">
        <v>162</v>
      </c>
      <c r="J437" s="553">
        <v>41</v>
      </c>
      <c r="K437" s="554"/>
      <c r="L437" s="554">
        <v>110</v>
      </c>
      <c r="M437" s="554"/>
      <c r="N437" s="554"/>
      <c r="O437" s="554"/>
      <c r="P437" s="555"/>
      <c r="Q437" s="555"/>
      <c r="R437" s="555">
        <f t="shared" si="7"/>
        <v>41</v>
      </c>
      <c r="S437" s="555"/>
      <c r="T437" s="556"/>
    </row>
    <row r="438" spans="1:20" ht="15" customHeight="1">
      <c r="A438" s="285">
        <v>438</v>
      </c>
      <c r="B438" s="544">
        <v>121</v>
      </c>
      <c r="C438" s="545" t="s">
        <v>78</v>
      </c>
      <c r="D438" s="549" t="s">
        <v>156</v>
      </c>
      <c r="E438" s="539">
        <f>VLOOKUP(B438,'2-Kosten per locatie'!$A$13:$C$87,3,FALSE)</f>
        <v>2</v>
      </c>
      <c r="F438" s="550"/>
      <c r="G438" s="551" t="s">
        <v>636</v>
      </c>
      <c r="H438" s="552" t="s">
        <v>637</v>
      </c>
      <c r="I438" s="551" t="s">
        <v>162</v>
      </c>
      <c r="J438" s="553">
        <v>13.66</v>
      </c>
      <c r="K438" s="554"/>
      <c r="L438" s="554">
        <v>37</v>
      </c>
      <c r="M438" s="554"/>
      <c r="N438" s="554"/>
      <c r="O438" s="554"/>
      <c r="P438" s="555"/>
      <c r="Q438" s="555"/>
      <c r="R438" s="555">
        <f t="shared" si="7"/>
        <v>13.66</v>
      </c>
      <c r="S438" s="555"/>
      <c r="T438" s="556"/>
    </row>
    <row r="439" spans="1:20" ht="15" customHeight="1">
      <c r="A439" s="286">
        <v>439</v>
      </c>
      <c r="B439" s="544">
        <v>121</v>
      </c>
      <c r="C439" s="545" t="s">
        <v>78</v>
      </c>
      <c r="D439" s="549" t="s">
        <v>156</v>
      </c>
      <c r="E439" s="539">
        <f>VLOOKUP(B439,'2-Kosten per locatie'!$A$13:$C$87,3,FALSE)</f>
        <v>2</v>
      </c>
      <c r="F439" s="550"/>
      <c r="G439" s="551" t="s">
        <v>375</v>
      </c>
      <c r="H439" s="552" t="s">
        <v>638</v>
      </c>
      <c r="I439" s="551" t="s">
        <v>171</v>
      </c>
      <c r="J439" s="553">
        <v>13</v>
      </c>
      <c r="K439" s="554"/>
      <c r="L439" s="554">
        <v>37</v>
      </c>
      <c r="M439" s="554"/>
      <c r="N439" s="554"/>
      <c r="O439" s="554"/>
      <c r="P439" s="555"/>
      <c r="Q439" s="555"/>
      <c r="R439" s="555">
        <f t="shared" si="7"/>
        <v>13</v>
      </c>
      <c r="S439" s="555"/>
      <c r="T439" s="556"/>
    </row>
    <row r="440" spans="1:20" ht="15" customHeight="1">
      <c r="A440" s="285">
        <v>440</v>
      </c>
      <c r="B440" s="544">
        <v>121</v>
      </c>
      <c r="C440" s="545" t="s">
        <v>78</v>
      </c>
      <c r="D440" s="549" t="s">
        <v>156</v>
      </c>
      <c r="E440" s="539">
        <f>VLOOKUP(B440,'2-Kosten per locatie'!$A$13:$C$87,3,FALSE)</f>
        <v>2</v>
      </c>
      <c r="F440" s="550"/>
      <c r="G440" s="551" t="s">
        <v>254</v>
      </c>
      <c r="H440" s="552" t="s">
        <v>161</v>
      </c>
      <c r="I440" s="551" t="s">
        <v>162</v>
      </c>
      <c r="J440" s="553">
        <v>16</v>
      </c>
      <c r="K440" s="554"/>
      <c r="L440" s="554">
        <v>39</v>
      </c>
      <c r="M440" s="554"/>
      <c r="N440" s="554"/>
      <c r="O440" s="554"/>
      <c r="P440" s="555"/>
      <c r="Q440" s="555"/>
      <c r="R440" s="555">
        <f t="shared" si="7"/>
        <v>16</v>
      </c>
      <c r="S440" s="555"/>
      <c r="T440" s="556"/>
    </row>
    <row r="441" spans="1:20" ht="15" customHeight="1">
      <c r="A441" s="286">
        <v>441</v>
      </c>
      <c r="B441" s="544">
        <v>121</v>
      </c>
      <c r="C441" s="545" t="s">
        <v>78</v>
      </c>
      <c r="D441" s="549" t="s">
        <v>156</v>
      </c>
      <c r="E441" s="539">
        <f>VLOOKUP(B441,'2-Kosten per locatie'!$A$13:$C$87,3,FALSE)</f>
        <v>2</v>
      </c>
      <c r="F441" s="550"/>
      <c r="G441" s="551" t="s">
        <v>195</v>
      </c>
      <c r="H441" s="552" t="s">
        <v>639</v>
      </c>
      <c r="I441" s="551" t="s">
        <v>162</v>
      </c>
      <c r="J441" s="553">
        <v>32.47</v>
      </c>
      <c r="K441" s="554"/>
      <c r="L441" s="554">
        <v>70</v>
      </c>
      <c r="M441" s="554"/>
      <c r="N441" s="554"/>
      <c r="O441" s="554"/>
      <c r="P441" s="555"/>
      <c r="Q441" s="555"/>
      <c r="R441" s="555">
        <f t="shared" si="7"/>
        <v>32.47</v>
      </c>
      <c r="S441" s="555"/>
      <c r="T441" s="556"/>
    </row>
    <row r="442" spans="1:20" ht="15" customHeight="1">
      <c r="A442" s="286">
        <v>442</v>
      </c>
      <c r="B442" s="544">
        <v>121</v>
      </c>
      <c r="C442" s="545" t="s">
        <v>78</v>
      </c>
      <c r="D442" s="549" t="s">
        <v>156</v>
      </c>
      <c r="E442" s="539">
        <f>VLOOKUP(B442,'2-Kosten per locatie'!$A$13:$C$87,3,FALSE)</f>
        <v>2</v>
      </c>
      <c r="F442" s="550"/>
      <c r="G442" s="551" t="s">
        <v>640</v>
      </c>
      <c r="H442" s="552" t="s">
        <v>282</v>
      </c>
      <c r="I442" s="551" t="s">
        <v>171</v>
      </c>
      <c r="J442" s="553">
        <v>20</v>
      </c>
      <c r="K442" s="554"/>
      <c r="L442" s="554"/>
      <c r="M442" s="554">
        <v>56</v>
      </c>
      <c r="N442" s="554"/>
      <c r="O442" s="554"/>
      <c r="P442" s="555"/>
      <c r="Q442" s="555">
        <f>J442</f>
        <v>20</v>
      </c>
      <c r="R442" s="555"/>
      <c r="S442" s="555"/>
      <c r="T442" s="556"/>
    </row>
    <row r="443" spans="1:20" ht="15" customHeight="1">
      <c r="A443" s="285">
        <v>443</v>
      </c>
      <c r="B443" s="544">
        <v>121</v>
      </c>
      <c r="C443" s="545" t="s">
        <v>78</v>
      </c>
      <c r="D443" s="549" t="s">
        <v>156</v>
      </c>
      <c r="E443" s="539">
        <f>VLOOKUP(B443,'2-Kosten per locatie'!$A$13:$C$87,3,FALSE)</f>
        <v>2</v>
      </c>
      <c r="F443" s="550"/>
      <c r="G443" s="551" t="s">
        <v>197</v>
      </c>
      <c r="H443" s="552" t="s">
        <v>593</v>
      </c>
      <c r="I443" s="551" t="s">
        <v>171</v>
      </c>
      <c r="J443" s="553">
        <v>13</v>
      </c>
      <c r="K443" s="554"/>
      <c r="L443" s="554"/>
      <c r="M443" s="554">
        <v>49</v>
      </c>
      <c r="N443" s="554"/>
      <c r="O443" s="554"/>
      <c r="P443" s="555"/>
      <c r="Q443" s="555">
        <f>J443</f>
        <v>13</v>
      </c>
      <c r="R443" s="555"/>
      <c r="S443" s="555"/>
      <c r="T443" s="556"/>
    </row>
    <row r="444" spans="1:20" ht="15" customHeight="1">
      <c r="A444" s="286">
        <v>444</v>
      </c>
      <c r="B444" s="544">
        <v>121</v>
      </c>
      <c r="C444" s="545" t="s">
        <v>78</v>
      </c>
      <c r="D444" s="549" t="s">
        <v>156</v>
      </c>
      <c r="E444" s="539">
        <f>VLOOKUP(B444,'2-Kosten per locatie'!$A$13:$C$87,3,FALSE)</f>
        <v>2</v>
      </c>
      <c r="F444" s="550"/>
      <c r="G444" s="551" t="s">
        <v>303</v>
      </c>
      <c r="H444" s="552" t="s">
        <v>641</v>
      </c>
      <c r="I444" s="551" t="s">
        <v>171</v>
      </c>
      <c r="J444" s="553">
        <v>9</v>
      </c>
      <c r="K444" s="554"/>
      <c r="L444" s="554"/>
      <c r="M444" s="554">
        <v>29</v>
      </c>
      <c r="N444" s="554"/>
      <c r="O444" s="554"/>
      <c r="P444" s="555"/>
      <c r="Q444" s="555">
        <f>J444</f>
        <v>9</v>
      </c>
      <c r="R444" s="555"/>
      <c r="S444" s="555"/>
      <c r="T444" s="556"/>
    </row>
    <row r="445" spans="1:20" ht="15" customHeight="1">
      <c r="A445" s="285">
        <v>445</v>
      </c>
      <c r="B445" s="544">
        <v>121</v>
      </c>
      <c r="C445" s="545" t="s">
        <v>78</v>
      </c>
      <c r="D445" s="549" t="s">
        <v>156</v>
      </c>
      <c r="E445" s="539">
        <f>VLOOKUP(B445,'2-Kosten per locatie'!$A$13:$C$87,3,FALSE)</f>
        <v>2</v>
      </c>
      <c r="F445" s="550"/>
      <c r="G445" s="551" t="s">
        <v>199</v>
      </c>
      <c r="H445" s="552" t="s">
        <v>510</v>
      </c>
      <c r="I445" s="551" t="s">
        <v>171</v>
      </c>
      <c r="J445" s="553">
        <v>18</v>
      </c>
      <c r="K445" s="554"/>
      <c r="L445" s="554"/>
      <c r="M445" s="554">
        <v>44</v>
      </c>
      <c r="N445" s="554"/>
      <c r="O445" s="554"/>
      <c r="P445" s="555"/>
      <c r="Q445" s="555">
        <f>J445</f>
        <v>18</v>
      </c>
      <c r="R445" s="555"/>
      <c r="S445" s="555"/>
      <c r="T445" s="556"/>
    </row>
    <row r="446" spans="1:20" ht="15" customHeight="1">
      <c r="A446" s="286">
        <v>446</v>
      </c>
      <c r="B446" s="544">
        <v>121</v>
      </c>
      <c r="C446" s="545" t="s">
        <v>78</v>
      </c>
      <c r="D446" s="549" t="s">
        <v>156</v>
      </c>
      <c r="E446" s="539">
        <f>VLOOKUP(B446,'2-Kosten per locatie'!$A$13:$C$87,3,FALSE)</f>
        <v>2</v>
      </c>
      <c r="F446" s="550"/>
      <c r="G446" s="551" t="s">
        <v>642</v>
      </c>
      <c r="H446" s="552" t="s">
        <v>643</v>
      </c>
      <c r="I446" s="551" t="s">
        <v>171</v>
      </c>
      <c r="J446" s="553">
        <v>8</v>
      </c>
      <c r="K446" s="554"/>
      <c r="L446" s="554"/>
      <c r="M446" s="554">
        <v>27</v>
      </c>
      <c r="N446" s="554"/>
      <c r="O446" s="554"/>
      <c r="P446" s="555"/>
      <c r="Q446" s="555">
        <f>J446</f>
        <v>8</v>
      </c>
      <c r="R446" s="555"/>
      <c r="S446" s="555"/>
      <c r="T446" s="556"/>
    </row>
    <row r="447" spans="1:20" ht="15" customHeight="1">
      <c r="A447" s="285">
        <v>447</v>
      </c>
      <c r="B447" s="544">
        <v>121</v>
      </c>
      <c r="C447" s="545" t="s">
        <v>78</v>
      </c>
      <c r="D447" s="549" t="s">
        <v>156</v>
      </c>
      <c r="E447" s="539">
        <f>VLOOKUP(B447,'2-Kosten per locatie'!$A$13:$C$87,3,FALSE)</f>
        <v>2</v>
      </c>
      <c r="F447" s="550"/>
      <c r="G447" s="551" t="s">
        <v>414</v>
      </c>
      <c r="H447" s="552" t="s">
        <v>512</v>
      </c>
      <c r="I447" s="551" t="s">
        <v>171</v>
      </c>
      <c r="J447" s="553">
        <v>10</v>
      </c>
      <c r="K447" s="554"/>
      <c r="L447" s="554">
        <v>29</v>
      </c>
      <c r="M447" s="554"/>
      <c r="N447" s="554"/>
      <c r="O447" s="554"/>
      <c r="P447" s="555"/>
      <c r="Q447" s="555"/>
      <c r="R447" s="555">
        <f>J447</f>
        <v>10</v>
      </c>
      <c r="S447" s="555"/>
      <c r="T447" s="556"/>
    </row>
    <row r="448" spans="1:20" ht="15" customHeight="1">
      <c r="A448" s="286">
        <v>448</v>
      </c>
      <c r="B448" s="544">
        <v>121</v>
      </c>
      <c r="C448" s="545" t="s">
        <v>78</v>
      </c>
      <c r="D448" s="549" t="s">
        <v>156</v>
      </c>
      <c r="E448" s="539">
        <f>VLOOKUP(B448,'2-Kosten per locatie'!$A$13:$C$87,3,FALSE)</f>
        <v>2</v>
      </c>
      <c r="F448" s="550"/>
      <c r="G448" s="551" t="s">
        <v>644</v>
      </c>
      <c r="H448" s="552" t="s">
        <v>513</v>
      </c>
      <c r="I448" s="551" t="s">
        <v>171</v>
      </c>
      <c r="J448" s="553">
        <v>7</v>
      </c>
      <c r="K448" s="554"/>
      <c r="L448" s="554"/>
      <c r="M448" s="554">
        <v>26</v>
      </c>
      <c r="N448" s="554"/>
      <c r="O448" s="554"/>
      <c r="P448" s="555"/>
      <c r="Q448" s="555">
        <f>J448</f>
        <v>7</v>
      </c>
      <c r="R448" s="555"/>
      <c r="S448" s="555"/>
      <c r="T448" s="556"/>
    </row>
    <row r="449" spans="1:20" ht="15" customHeight="1">
      <c r="A449" s="286">
        <v>449</v>
      </c>
      <c r="B449" s="544">
        <v>121</v>
      </c>
      <c r="C449" s="545" t="s">
        <v>78</v>
      </c>
      <c r="D449" s="549" t="s">
        <v>156</v>
      </c>
      <c r="E449" s="539">
        <f>VLOOKUP(B449,'2-Kosten per locatie'!$A$13:$C$87,3,FALSE)</f>
        <v>2</v>
      </c>
      <c r="F449" s="550"/>
      <c r="G449" s="551" t="s">
        <v>237</v>
      </c>
      <c r="H449" s="552" t="s">
        <v>645</v>
      </c>
      <c r="I449" s="551" t="s">
        <v>171</v>
      </c>
      <c r="J449" s="553">
        <v>16</v>
      </c>
      <c r="K449" s="554"/>
      <c r="L449" s="554">
        <v>39</v>
      </c>
      <c r="M449" s="554"/>
      <c r="N449" s="554"/>
      <c r="O449" s="554"/>
      <c r="P449" s="555"/>
      <c r="Q449" s="555"/>
      <c r="R449" s="555">
        <f>J449</f>
        <v>16</v>
      </c>
      <c r="S449" s="555"/>
      <c r="T449" s="556"/>
    </row>
    <row r="450" spans="1:20" ht="15" customHeight="1">
      <c r="A450" s="285">
        <v>450</v>
      </c>
      <c r="B450" s="544">
        <v>121</v>
      </c>
      <c r="C450" s="545" t="s">
        <v>78</v>
      </c>
      <c r="D450" s="549" t="s">
        <v>156</v>
      </c>
      <c r="E450" s="539">
        <f>VLOOKUP(B450,'2-Kosten per locatie'!$A$13:$C$87,3,FALSE)</f>
        <v>2</v>
      </c>
      <c r="F450" s="550"/>
      <c r="G450" s="551" t="s">
        <v>243</v>
      </c>
      <c r="H450" s="552" t="s">
        <v>515</v>
      </c>
      <c r="I450" s="551" t="s">
        <v>245</v>
      </c>
      <c r="J450" s="553">
        <v>4</v>
      </c>
      <c r="K450" s="554">
        <v>24</v>
      </c>
      <c r="L450" s="554"/>
      <c r="M450" s="554"/>
      <c r="N450" s="554"/>
      <c r="O450" s="554"/>
      <c r="P450" s="555"/>
      <c r="Q450" s="555"/>
      <c r="R450" s="555"/>
      <c r="S450" s="555">
        <f>J450</f>
        <v>4</v>
      </c>
      <c r="T450" s="556"/>
    </row>
    <row r="451" spans="1:20" ht="15" customHeight="1">
      <c r="A451" s="286">
        <v>451</v>
      </c>
      <c r="B451" s="544">
        <v>121</v>
      </c>
      <c r="C451" s="545" t="s">
        <v>78</v>
      </c>
      <c r="D451" s="549" t="s">
        <v>156</v>
      </c>
      <c r="E451" s="539">
        <f>VLOOKUP(B451,'2-Kosten per locatie'!$A$13:$C$87,3,FALSE)</f>
        <v>2</v>
      </c>
      <c r="F451" s="550"/>
      <c r="G451" s="551" t="s">
        <v>246</v>
      </c>
      <c r="H451" s="552" t="s">
        <v>284</v>
      </c>
      <c r="I451" s="551" t="s">
        <v>245</v>
      </c>
      <c r="J451" s="553">
        <v>4</v>
      </c>
      <c r="K451" s="554">
        <v>24</v>
      </c>
      <c r="L451" s="554"/>
      <c r="M451" s="554"/>
      <c r="N451" s="554"/>
      <c r="O451" s="554"/>
      <c r="P451" s="555"/>
      <c r="Q451" s="555"/>
      <c r="R451" s="555"/>
      <c r="S451" s="555">
        <f>J451</f>
        <v>4</v>
      </c>
      <c r="T451" s="556"/>
    </row>
    <row r="452" spans="1:20" ht="15" customHeight="1">
      <c r="A452" s="285">
        <v>452</v>
      </c>
      <c r="B452" s="544">
        <v>121</v>
      </c>
      <c r="C452" s="545" t="s">
        <v>78</v>
      </c>
      <c r="D452" s="549" t="s">
        <v>156</v>
      </c>
      <c r="E452" s="539">
        <f>VLOOKUP(B452,'2-Kosten per locatie'!$A$13:$C$87,3,FALSE)</f>
        <v>2</v>
      </c>
      <c r="F452" s="550"/>
      <c r="G452" s="551" t="s">
        <v>646</v>
      </c>
      <c r="H452" s="552" t="s">
        <v>166</v>
      </c>
      <c r="I452" s="551" t="s">
        <v>171</v>
      </c>
      <c r="J452" s="553">
        <v>45</v>
      </c>
      <c r="K452" s="554"/>
      <c r="L452" s="554">
        <v>193</v>
      </c>
      <c r="M452" s="554"/>
      <c r="N452" s="554"/>
      <c r="O452" s="554"/>
      <c r="P452" s="555"/>
      <c r="Q452" s="555"/>
      <c r="R452" s="555">
        <f>J452</f>
        <v>45</v>
      </c>
      <c r="S452" s="555"/>
      <c r="T452" s="556"/>
    </row>
    <row r="453" spans="1:20" ht="15" customHeight="1">
      <c r="A453" s="286">
        <v>453</v>
      </c>
      <c r="B453" s="544">
        <v>121</v>
      </c>
      <c r="C453" s="545" t="s">
        <v>78</v>
      </c>
      <c r="D453" s="549" t="s">
        <v>156</v>
      </c>
      <c r="E453" s="539">
        <f>VLOOKUP(B453,'2-Kosten per locatie'!$A$13:$C$87,3,FALSE)</f>
        <v>2</v>
      </c>
      <c r="F453" s="550"/>
      <c r="G453" s="551" t="s">
        <v>316</v>
      </c>
      <c r="H453" s="552" t="s">
        <v>607</v>
      </c>
      <c r="I453" s="551" t="s">
        <v>317</v>
      </c>
      <c r="J453" s="553">
        <v>6</v>
      </c>
      <c r="K453" s="554"/>
      <c r="L453" s="554"/>
      <c r="M453" s="554"/>
      <c r="N453" s="554">
        <v>15</v>
      </c>
      <c r="O453" s="554"/>
      <c r="P453" s="555"/>
      <c r="Q453" s="555"/>
      <c r="R453" s="555"/>
      <c r="S453" s="555">
        <f>J453</f>
        <v>6</v>
      </c>
      <c r="T453" s="556"/>
    </row>
    <row r="454" spans="1:20" ht="15" customHeight="1">
      <c r="A454" s="285">
        <v>454</v>
      </c>
      <c r="B454" s="544">
        <v>121</v>
      </c>
      <c r="C454" s="545" t="s">
        <v>78</v>
      </c>
      <c r="D454" s="549" t="s">
        <v>156</v>
      </c>
      <c r="E454" s="539">
        <f>VLOOKUP(B454,'2-Kosten per locatie'!$A$13:$C$87,3,FALSE)</f>
        <v>2</v>
      </c>
      <c r="F454" s="550"/>
      <c r="G454" s="551" t="s">
        <v>385</v>
      </c>
      <c r="H454" s="552" t="s">
        <v>517</v>
      </c>
      <c r="I454" s="551" t="s">
        <v>162</v>
      </c>
      <c r="J454" s="553">
        <v>6</v>
      </c>
      <c r="K454" s="554"/>
      <c r="L454" s="554">
        <v>77</v>
      </c>
      <c r="M454" s="554"/>
      <c r="N454" s="554"/>
      <c r="O454" s="554"/>
      <c r="P454" s="555"/>
      <c r="Q454" s="555"/>
      <c r="R454" s="555">
        <f>J454</f>
        <v>6</v>
      </c>
      <c r="S454" s="555"/>
      <c r="T454" s="556"/>
    </row>
    <row r="455" spans="1:20" ht="15" customHeight="1">
      <c r="A455" s="286">
        <v>455</v>
      </c>
      <c r="B455" s="544">
        <v>121</v>
      </c>
      <c r="C455" s="545" t="s">
        <v>78</v>
      </c>
      <c r="D455" s="549" t="s">
        <v>156</v>
      </c>
      <c r="E455" s="539">
        <f>VLOOKUP(B455,'2-Kosten per locatie'!$A$13:$C$87,3,FALSE)</f>
        <v>2</v>
      </c>
      <c r="F455" s="550"/>
      <c r="G455" s="551" t="s">
        <v>647</v>
      </c>
      <c r="H455" s="552" t="s">
        <v>648</v>
      </c>
      <c r="I455" s="551" t="s">
        <v>159</v>
      </c>
      <c r="J455" s="553">
        <v>6</v>
      </c>
      <c r="K455" s="554"/>
      <c r="L455" s="554">
        <v>35</v>
      </c>
      <c r="M455" s="554"/>
      <c r="N455" s="554"/>
      <c r="O455" s="554"/>
      <c r="P455" s="555"/>
      <c r="Q455" s="555"/>
      <c r="R455" s="555">
        <f>J455</f>
        <v>6</v>
      </c>
      <c r="S455" s="555"/>
      <c r="T455" s="556"/>
    </row>
    <row r="456" spans="1:20" ht="15" customHeight="1">
      <c r="A456" s="286">
        <v>456</v>
      </c>
      <c r="B456" s="544">
        <v>121</v>
      </c>
      <c r="C456" s="545" t="s">
        <v>78</v>
      </c>
      <c r="D456" s="549" t="s">
        <v>156</v>
      </c>
      <c r="E456" s="539">
        <f>VLOOKUP(B456,'2-Kosten per locatie'!$A$13:$C$87,3,FALSE)</f>
        <v>2</v>
      </c>
      <c r="F456" s="550"/>
      <c r="G456" s="551" t="s">
        <v>215</v>
      </c>
      <c r="H456" s="552" t="s">
        <v>649</v>
      </c>
      <c r="I456" s="551" t="s">
        <v>171</v>
      </c>
      <c r="J456" s="553">
        <v>26</v>
      </c>
      <c r="K456" s="554"/>
      <c r="L456" s="554">
        <v>58</v>
      </c>
      <c r="M456" s="554"/>
      <c r="N456" s="554"/>
      <c r="O456" s="554"/>
      <c r="P456" s="555"/>
      <c r="Q456" s="555"/>
      <c r="R456" s="555">
        <f>J456</f>
        <v>26</v>
      </c>
      <c r="S456" s="555"/>
      <c r="T456" s="556"/>
    </row>
    <row r="457" spans="1:20" ht="15" customHeight="1">
      <c r="A457" s="285">
        <v>457</v>
      </c>
      <c r="B457" s="544">
        <v>121</v>
      </c>
      <c r="C457" s="545" t="s">
        <v>78</v>
      </c>
      <c r="D457" s="549" t="s">
        <v>156</v>
      </c>
      <c r="E457" s="539">
        <f>VLOOKUP(B457,'2-Kosten per locatie'!$A$13:$C$87,3,FALSE)</f>
        <v>2</v>
      </c>
      <c r="F457" s="550"/>
      <c r="G457" s="551" t="s">
        <v>650</v>
      </c>
      <c r="H457" s="552" t="s">
        <v>651</v>
      </c>
      <c r="I457" s="551" t="s">
        <v>162</v>
      </c>
      <c r="J457" s="553">
        <v>25</v>
      </c>
      <c r="K457" s="554"/>
      <c r="L457" s="554">
        <v>75</v>
      </c>
      <c r="M457" s="554"/>
      <c r="N457" s="554"/>
      <c r="O457" s="554"/>
      <c r="P457" s="555"/>
      <c r="Q457" s="555"/>
      <c r="R457" s="555">
        <f>J457</f>
        <v>25</v>
      </c>
      <c r="S457" s="555"/>
      <c r="T457" s="556"/>
    </row>
    <row r="458" spans="1:20" ht="15" customHeight="1">
      <c r="A458" s="286">
        <v>458</v>
      </c>
      <c r="B458" s="544">
        <v>121</v>
      </c>
      <c r="C458" s="545" t="s">
        <v>78</v>
      </c>
      <c r="D458" s="549" t="s">
        <v>156</v>
      </c>
      <c r="E458" s="539">
        <f>VLOOKUP(B458,'2-Kosten per locatie'!$A$13:$C$87,3,FALSE)</f>
        <v>2</v>
      </c>
      <c r="F458" s="550"/>
      <c r="G458" s="551" t="s">
        <v>652</v>
      </c>
      <c r="H458" s="552" t="s">
        <v>653</v>
      </c>
      <c r="I458" s="551" t="s">
        <v>162</v>
      </c>
      <c r="J458" s="553">
        <v>14</v>
      </c>
      <c r="K458" s="554"/>
      <c r="L458" s="554">
        <v>35</v>
      </c>
      <c r="M458" s="554"/>
      <c r="N458" s="554"/>
      <c r="O458" s="554"/>
      <c r="P458" s="555"/>
      <c r="Q458" s="555"/>
      <c r="R458" s="555">
        <f>J458</f>
        <v>14</v>
      </c>
      <c r="S458" s="555"/>
      <c r="T458" s="556"/>
    </row>
    <row r="459" spans="1:20" ht="15" customHeight="1">
      <c r="A459" s="285">
        <v>459</v>
      </c>
      <c r="B459" s="544">
        <v>121</v>
      </c>
      <c r="C459" s="545" t="s">
        <v>78</v>
      </c>
      <c r="D459" s="549" t="s">
        <v>156</v>
      </c>
      <c r="E459" s="539">
        <f>VLOOKUP(B459,'2-Kosten per locatie'!$A$13:$C$87,3,FALSE)</f>
        <v>2</v>
      </c>
      <c r="F459" s="550"/>
      <c r="G459" s="551" t="s">
        <v>289</v>
      </c>
      <c r="H459" s="552" t="s">
        <v>598</v>
      </c>
      <c r="I459" s="551" t="s">
        <v>290</v>
      </c>
      <c r="J459" s="553">
        <v>1428</v>
      </c>
      <c r="K459" s="554"/>
      <c r="L459" s="554"/>
      <c r="M459" s="554"/>
      <c r="N459" s="554"/>
      <c r="O459" s="554"/>
      <c r="P459" s="555">
        <v>513</v>
      </c>
      <c r="Q459" s="555"/>
      <c r="R459" s="555"/>
      <c r="S459" s="555"/>
      <c r="T459" s="556"/>
    </row>
    <row r="460" spans="1:20" ht="15" customHeight="1">
      <c r="A460" s="286">
        <v>460</v>
      </c>
      <c r="B460" s="544">
        <v>121</v>
      </c>
      <c r="C460" s="545" t="s">
        <v>78</v>
      </c>
      <c r="D460" s="549" t="s">
        <v>156</v>
      </c>
      <c r="E460" s="539">
        <f>VLOOKUP(B460,'2-Kosten per locatie'!$A$13:$C$87,3,FALSE)</f>
        <v>2</v>
      </c>
      <c r="F460" s="550"/>
      <c r="G460" s="551" t="s">
        <v>178</v>
      </c>
      <c r="H460" s="552" t="s">
        <v>524</v>
      </c>
      <c r="I460" s="551" t="s">
        <v>180</v>
      </c>
      <c r="J460" s="553">
        <v>35</v>
      </c>
      <c r="K460" s="554" t="s">
        <v>507</v>
      </c>
      <c r="L460" s="554"/>
      <c r="M460" s="554"/>
      <c r="N460" s="554"/>
      <c r="O460" s="554"/>
      <c r="P460" s="555"/>
      <c r="Q460" s="555"/>
      <c r="R460" s="555">
        <f>J460</f>
        <v>35</v>
      </c>
      <c r="S460" s="555"/>
      <c r="T460" s="556"/>
    </row>
    <row r="461" spans="1:20" ht="15" customHeight="1">
      <c r="A461" s="285">
        <v>461</v>
      </c>
      <c r="B461" s="544">
        <v>121</v>
      </c>
      <c r="C461" s="545" t="s">
        <v>78</v>
      </c>
      <c r="D461" s="549" t="s">
        <v>156</v>
      </c>
      <c r="E461" s="539">
        <f>VLOOKUP(B461,'2-Kosten per locatie'!$A$13:$C$87,3,FALSE)</f>
        <v>2</v>
      </c>
      <c r="F461" s="550"/>
      <c r="G461" s="551" t="s">
        <v>389</v>
      </c>
      <c r="H461" s="552" t="s">
        <v>584</v>
      </c>
      <c r="I461" s="551" t="s">
        <v>296</v>
      </c>
      <c r="J461" s="553">
        <v>27</v>
      </c>
      <c r="K461" s="554" t="s">
        <v>507</v>
      </c>
      <c r="L461" s="554"/>
      <c r="M461" s="554"/>
      <c r="N461" s="554"/>
      <c r="O461" s="554"/>
      <c r="P461" s="555"/>
      <c r="Q461" s="555"/>
      <c r="R461" s="555">
        <f>J461</f>
        <v>27</v>
      </c>
      <c r="S461" s="555"/>
      <c r="T461" s="556"/>
    </row>
    <row r="462" spans="1:20" ht="15" customHeight="1">
      <c r="A462" s="286">
        <v>462</v>
      </c>
      <c r="B462" s="544">
        <v>201</v>
      </c>
      <c r="C462" s="545" t="s">
        <v>79</v>
      </c>
      <c r="D462" s="549" t="s">
        <v>654</v>
      </c>
      <c r="E462" s="539">
        <f>VLOOKUP(B462,'2-Kosten per locatie'!$A$13:$C$87,3,FALSE)</f>
        <v>2</v>
      </c>
      <c r="F462" s="550"/>
      <c r="G462" s="551" t="s">
        <v>289</v>
      </c>
      <c r="H462" s="552" t="s">
        <v>655</v>
      </c>
      <c r="I462" s="551" t="s">
        <v>656</v>
      </c>
      <c r="J462" s="553">
        <v>507</v>
      </c>
      <c r="K462" s="554"/>
      <c r="L462" s="554"/>
      <c r="M462" s="554"/>
      <c r="N462" s="554"/>
      <c r="O462" s="554"/>
      <c r="P462" s="555"/>
      <c r="Q462" s="555"/>
      <c r="R462" s="555"/>
      <c r="S462" s="555"/>
      <c r="T462" s="556"/>
    </row>
    <row r="463" spans="1:20" ht="15" customHeight="1">
      <c r="A463" s="286">
        <v>463</v>
      </c>
      <c r="B463" s="544">
        <v>202</v>
      </c>
      <c r="C463" s="545" t="s">
        <v>80</v>
      </c>
      <c r="D463" s="549" t="s">
        <v>654</v>
      </c>
      <c r="E463" s="539">
        <f>VLOOKUP(B463,'2-Kosten per locatie'!$A$13:$C$87,3,FALSE)</f>
        <v>2</v>
      </c>
      <c r="F463" s="550"/>
      <c r="G463" s="551" t="s">
        <v>289</v>
      </c>
      <c r="H463" s="552" t="s">
        <v>655</v>
      </c>
      <c r="I463" s="551" t="s">
        <v>656</v>
      </c>
      <c r="J463" s="553">
        <v>671</v>
      </c>
      <c r="K463" s="554"/>
      <c r="L463" s="554"/>
      <c r="M463" s="554"/>
      <c r="N463" s="554"/>
      <c r="O463" s="554"/>
      <c r="P463" s="555"/>
      <c r="Q463" s="555"/>
      <c r="R463" s="555"/>
      <c r="S463" s="555"/>
      <c r="T463" s="556"/>
    </row>
    <row r="464" spans="1:20" ht="15" customHeight="1">
      <c r="A464" s="285">
        <v>464</v>
      </c>
      <c r="B464" s="544">
        <v>203</v>
      </c>
      <c r="C464" s="545" t="s">
        <v>81</v>
      </c>
      <c r="D464" s="549" t="s">
        <v>654</v>
      </c>
      <c r="E464" s="539">
        <f>VLOOKUP(B464,'2-Kosten per locatie'!$A$13:$C$87,3,FALSE)</f>
        <v>2</v>
      </c>
      <c r="F464" s="550"/>
      <c r="G464" s="551" t="s">
        <v>289</v>
      </c>
      <c r="H464" s="552" t="s">
        <v>657</v>
      </c>
      <c r="I464" s="551" t="s">
        <v>656</v>
      </c>
      <c r="J464" s="553">
        <v>507</v>
      </c>
      <c r="K464" s="554"/>
      <c r="L464" s="554"/>
      <c r="M464" s="554"/>
      <c r="N464" s="554"/>
      <c r="O464" s="554"/>
      <c r="P464" s="555"/>
      <c r="Q464" s="555"/>
      <c r="R464" s="555"/>
      <c r="S464" s="555"/>
      <c r="T464" s="556"/>
    </row>
    <row r="465" spans="1:20" ht="15" customHeight="1">
      <c r="A465" s="286">
        <v>465</v>
      </c>
      <c r="B465" s="544">
        <v>203</v>
      </c>
      <c r="C465" s="545" t="s">
        <v>81</v>
      </c>
      <c r="D465" s="549" t="s">
        <v>654</v>
      </c>
      <c r="E465" s="539">
        <f>VLOOKUP(B465,'2-Kosten per locatie'!$A$13:$C$87,3,FALSE)</f>
        <v>2</v>
      </c>
      <c r="F465" s="550"/>
      <c r="G465" s="551" t="s">
        <v>658</v>
      </c>
      <c r="H465" s="552" t="s">
        <v>506</v>
      </c>
      <c r="I465" s="551" t="s">
        <v>659</v>
      </c>
      <c r="J465" s="553">
        <v>78</v>
      </c>
      <c r="K465" s="554"/>
      <c r="L465" s="554"/>
      <c r="M465" s="554"/>
      <c r="N465" s="554"/>
      <c r="O465" s="554"/>
      <c r="P465" s="555"/>
      <c r="Q465" s="555"/>
      <c r="R465" s="555"/>
      <c r="S465" s="555"/>
      <c r="T465" s="556"/>
    </row>
    <row r="466" spans="1:20" ht="15" customHeight="1">
      <c r="A466" s="285">
        <v>466</v>
      </c>
      <c r="B466" s="544">
        <v>203</v>
      </c>
      <c r="C466" s="545" t="s">
        <v>81</v>
      </c>
      <c r="D466" s="549" t="s">
        <v>654</v>
      </c>
      <c r="E466" s="539">
        <f>VLOOKUP(B466,'2-Kosten per locatie'!$A$13:$C$87,3,FALSE)</f>
        <v>2</v>
      </c>
      <c r="F466" s="550"/>
      <c r="G466" s="551" t="s">
        <v>606</v>
      </c>
      <c r="H466" s="552" t="s">
        <v>607</v>
      </c>
      <c r="I466" s="551" t="s">
        <v>660</v>
      </c>
      <c r="J466" s="553">
        <v>4</v>
      </c>
      <c r="K466" s="554"/>
      <c r="L466" s="554"/>
      <c r="M466" s="554"/>
      <c r="N466" s="554">
        <v>19</v>
      </c>
      <c r="O466" s="554"/>
      <c r="P466" s="555"/>
      <c r="Q466" s="555"/>
      <c r="R466" s="555"/>
      <c r="S466" s="555"/>
      <c r="T466" s="556"/>
    </row>
    <row r="467" spans="1:20" ht="15" customHeight="1">
      <c r="A467" s="286">
        <v>467</v>
      </c>
      <c r="B467" s="544">
        <v>204</v>
      </c>
      <c r="C467" s="545" t="s">
        <v>82</v>
      </c>
      <c r="D467" s="549" t="s">
        <v>654</v>
      </c>
      <c r="E467" s="539">
        <f>VLOOKUP(B467,'2-Kosten per locatie'!$A$13:$C$87,3,FALSE)</f>
        <v>2</v>
      </c>
      <c r="F467" s="550"/>
      <c r="G467" s="551" t="s">
        <v>349</v>
      </c>
      <c r="H467" s="552" t="s">
        <v>655</v>
      </c>
      <c r="I467" s="551" t="s">
        <v>661</v>
      </c>
      <c r="J467" s="553">
        <v>581</v>
      </c>
      <c r="K467" s="554"/>
      <c r="L467" s="554"/>
      <c r="M467" s="554"/>
      <c r="N467" s="554">
        <v>120</v>
      </c>
      <c r="O467" s="554"/>
      <c r="P467" s="555"/>
      <c r="Q467" s="555">
        <v>151</v>
      </c>
      <c r="R467" s="555"/>
      <c r="S467" s="555"/>
      <c r="T467" s="556"/>
    </row>
    <row r="468" spans="1:20" ht="15" customHeight="1">
      <c r="A468" s="285">
        <v>468</v>
      </c>
      <c r="B468" s="544">
        <v>204</v>
      </c>
      <c r="C468" s="545" t="s">
        <v>82</v>
      </c>
      <c r="D468" s="549" t="s">
        <v>654</v>
      </c>
      <c r="E468" s="539">
        <f>VLOOKUP(B468,'2-Kosten per locatie'!$A$13:$C$87,3,FALSE)</f>
        <v>2</v>
      </c>
      <c r="F468" s="550"/>
      <c r="G468" s="551" t="s">
        <v>662</v>
      </c>
      <c r="H468" s="552"/>
      <c r="I468" s="551" t="s">
        <v>659</v>
      </c>
      <c r="J468" s="553">
        <v>77</v>
      </c>
      <c r="K468" s="554"/>
      <c r="L468" s="554"/>
      <c r="M468" s="554"/>
      <c r="N468" s="554"/>
      <c r="O468" s="554"/>
      <c r="P468" s="555"/>
      <c r="Q468" s="555"/>
      <c r="R468" s="555"/>
      <c r="S468" s="555"/>
      <c r="T468" s="556"/>
    </row>
    <row r="469" spans="1:20" ht="15" customHeight="1">
      <c r="A469" s="286">
        <v>469</v>
      </c>
      <c r="B469" s="544">
        <v>204</v>
      </c>
      <c r="C469" s="545" t="s">
        <v>82</v>
      </c>
      <c r="D469" s="549" t="s">
        <v>654</v>
      </c>
      <c r="E469" s="539">
        <f>VLOOKUP(B469,'2-Kosten per locatie'!$A$13:$C$87,3,FALSE)</f>
        <v>2</v>
      </c>
      <c r="F469" s="550"/>
      <c r="G469" s="551" t="s">
        <v>606</v>
      </c>
      <c r="H469" s="552" t="s">
        <v>607</v>
      </c>
      <c r="I469" s="551" t="s">
        <v>660</v>
      </c>
      <c r="J469" s="553">
        <v>4</v>
      </c>
      <c r="K469" s="554"/>
      <c r="L469" s="554"/>
      <c r="M469" s="554"/>
      <c r="N469" s="554">
        <v>19</v>
      </c>
      <c r="O469" s="554"/>
      <c r="P469" s="555"/>
      <c r="Q469" s="555"/>
      <c r="R469" s="555"/>
      <c r="S469" s="555"/>
      <c r="T469" s="556"/>
    </row>
    <row r="470" spans="1:20" ht="15" customHeight="1">
      <c r="A470" s="286">
        <v>470</v>
      </c>
      <c r="B470" s="544">
        <v>205</v>
      </c>
      <c r="C470" s="545" t="s">
        <v>83</v>
      </c>
      <c r="D470" s="549" t="s">
        <v>654</v>
      </c>
      <c r="E470" s="539">
        <f>VLOOKUP(B470,'2-Kosten per locatie'!$A$13:$C$87,3,FALSE)</f>
        <v>2</v>
      </c>
      <c r="F470" s="550"/>
      <c r="G470" s="551" t="s">
        <v>349</v>
      </c>
      <c r="H470" s="552" t="s">
        <v>663</v>
      </c>
      <c r="I470" s="551" t="s">
        <v>661</v>
      </c>
      <c r="J470" s="553">
        <v>581</v>
      </c>
      <c r="K470" s="554"/>
      <c r="L470" s="554"/>
      <c r="M470" s="554"/>
      <c r="N470" s="554">
        <v>120</v>
      </c>
      <c r="O470" s="554"/>
      <c r="P470" s="555"/>
      <c r="Q470" s="555">
        <v>151</v>
      </c>
      <c r="R470" s="555"/>
      <c r="S470" s="555"/>
      <c r="T470" s="556"/>
    </row>
    <row r="471" spans="1:20" ht="15" customHeight="1">
      <c r="A471" s="285">
        <v>471</v>
      </c>
      <c r="B471" s="544">
        <v>205</v>
      </c>
      <c r="C471" s="545" t="s">
        <v>83</v>
      </c>
      <c r="D471" s="549" t="s">
        <v>654</v>
      </c>
      <c r="E471" s="539">
        <f>VLOOKUP(B471,'2-Kosten per locatie'!$A$13:$C$87,3,FALSE)</f>
        <v>2</v>
      </c>
      <c r="F471" s="550"/>
      <c r="G471" s="551" t="s">
        <v>662</v>
      </c>
      <c r="H471" s="552"/>
      <c r="I471" s="551" t="s">
        <v>659</v>
      </c>
      <c r="J471" s="553">
        <v>77</v>
      </c>
      <c r="K471" s="554"/>
      <c r="L471" s="554"/>
      <c r="M471" s="554"/>
      <c r="N471" s="554"/>
      <c r="O471" s="554"/>
      <c r="P471" s="555"/>
      <c r="Q471" s="555"/>
      <c r="R471" s="555"/>
      <c r="S471" s="555"/>
      <c r="T471" s="556"/>
    </row>
    <row r="472" spans="1:20" ht="15" customHeight="1">
      <c r="A472" s="286">
        <v>472</v>
      </c>
      <c r="B472" s="544">
        <v>205</v>
      </c>
      <c r="C472" s="545" t="s">
        <v>83</v>
      </c>
      <c r="D472" s="549" t="s">
        <v>654</v>
      </c>
      <c r="E472" s="539">
        <f>VLOOKUP(B472,'2-Kosten per locatie'!$A$13:$C$87,3,FALSE)</f>
        <v>2</v>
      </c>
      <c r="F472" s="550"/>
      <c r="G472" s="551" t="s">
        <v>606</v>
      </c>
      <c r="H472" s="552" t="s">
        <v>607</v>
      </c>
      <c r="I472" s="551" t="s">
        <v>660</v>
      </c>
      <c r="J472" s="553">
        <v>4</v>
      </c>
      <c r="K472" s="554"/>
      <c r="L472" s="554"/>
      <c r="M472" s="554"/>
      <c r="N472" s="554">
        <v>19</v>
      </c>
      <c r="O472" s="554"/>
      <c r="P472" s="555"/>
      <c r="Q472" s="555"/>
      <c r="R472" s="555"/>
      <c r="S472" s="555"/>
      <c r="T472" s="556"/>
    </row>
    <row r="473" spans="1:20" ht="15" customHeight="1">
      <c r="A473" s="285">
        <v>473</v>
      </c>
      <c r="B473" s="544">
        <v>206</v>
      </c>
      <c r="C473" s="545" t="s">
        <v>84</v>
      </c>
      <c r="D473" s="549" t="s">
        <v>654</v>
      </c>
      <c r="E473" s="539">
        <f>VLOOKUP(B473,'2-Kosten per locatie'!$A$13:$C$87,3,FALSE)</f>
        <v>2</v>
      </c>
      <c r="F473" s="550"/>
      <c r="G473" s="551" t="s">
        <v>289</v>
      </c>
      <c r="H473" s="552" t="s">
        <v>657</v>
      </c>
      <c r="I473" s="551" t="s">
        <v>661</v>
      </c>
      <c r="J473" s="553">
        <v>462</v>
      </c>
      <c r="K473" s="554"/>
      <c r="L473" s="554"/>
      <c r="M473" s="554">
        <v>100</v>
      </c>
      <c r="N473" s="554"/>
      <c r="O473" s="554"/>
      <c r="P473" s="555"/>
      <c r="Q473" s="555"/>
      <c r="R473" s="555"/>
      <c r="S473" s="555"/>
      <c r="T473" s="556"/>
    </row>
    <row r="474" spans="1:20" ht="15" customHeight="1">
      <c r="A474" s="286">
        <v>474</v>
      </c>
      <c r="B474" s="544">
        <v>206</v>
      </c>
      <c r="C474" s="545" t="s">
        <v>84</v>
      </c>
      <c r="D474" s="549" t="s">
        <v>654</v>
      </c>
      <c r="E474" s="539">
        <f>VLOOKUP(B474,'2-Kosten per locatie'!$A$13:$C$87,3,FALSE)</f>
        <v>2</v>
      </c>
      <c r="F474" s="550"/>
      <c r="G474" s="551" t="s">
        <v>664</v>
      </c>
      <c r="H474" s="552" t="s">
        <v>506</v>
      </c>
      <c r="I474" s="551" t="s">
        <v>659</v>
      </c>
      <c r="J474" s="553">
        <v>64</v>
      </c>
      <c r="K474" s="554"/>
      <c r="L474" s="554"/>
      <c r="M474" s="554"/>
      <c r="N474" s="554"/>
      <c r="O474" s="554"/>
      <c r="P474" s="555"/>
      <c r="Q474" s="555"/>
      <c r="R474" s="555"/>
      <c r="S474" s="555"/>
      <c r="T474" s="556"/>
    </row>
    <row r="475" spans="1:20" ht="15" customHeight="1">
      <c r="A475" s="285">
        <v>475</v>
      </c>
      <c r="B475" s="544">
        <v>206</v>
      </c>
      <c r="C475" s="545" t="s">
        <v>84</v>
      </c>
      <c r="D475" s="549" t="s">
        <v>654</v>
      </c>
      <c r="E475" s="539">
        <f>VLOOKUP(B475,'2-Kosten per locatie'!$A$13:$C$87,3,FALSE)</f>
        <v>2</v>
      </c>
      <c r="F475" s="550"/>
      <c r="G475" s="551" t="s">
        <v>606</v>
      </c>
      <c r="H475" s="552" t="s">
        <v>607</v>
      </c>
      <c r="I475" s="551" t="s">
        <v>660</v>
      </c>
      <c r="J475" s="553">
        <v>4</v>
      </c>
      <c r="K475" s="554"/>
      <c r="L475" s="554"/>
      <c r="M475" s="554"/>
      <c r="N475" s="554">
        <v>19</v>
      </c>
      <c r="O475" s="554"/>
      <c r="P475" s="555"/>
      <c r="Q475" s="555"/>
      <c r="R475" s="555"/>
      <c r="S475" s="555"/>
      <c r="T475" s="556"/>
    </row>
    <row r="476" spans="1:20" ht="15" customHeight="1">
      <c r="A476" s="286">
        <v>476</v>
      </c>
      <c r="B476" s="544">
        <v>207</v>
      </c>
      <c r="C476" s="545" t="s">
        <v>85</v>
      </c>
      <c r="D476" s="549" t="s">
        <v>654</v>
      </c>
      <c r="E476" s="539">
        <f>VLOOKUP(B476,'2-Kosten per locatie'!$A$13:$C$87,3,FALSE)</f>
        <v>2</v>
      </c>
      <c r="F476" s="550"/>
      <c r="G476" s="551" t="s">
        <v>289</v>
      </c>
      <c r="H476" s="552" t="s">
        <v>657</v>
      </c>
      <c r="I476" s="551" t="s">
        <v>661</v>
      </c>
      <c r="J476" s="553">
        <v>532</v>
      </c>
      <c r="K476" s="554"/>
      <c r="L476" s="554"/>
      <c r="M476" s="554">
        <v>177</v>
      </c>
      <c r="N476" s="554">
        <v>13</v>
      </c>
      <c r="O476" s="554"/>
      <c r="P476" s="555"/>
      <c r="Q476" s="555"/>
      <c r="R476" s="555"/>
      <c r="S476" s="555"/>
      <c r="T476" s="556"/>
    </row>
    <row r="477" spans="1:20" ht="15" customHeight="1">
      <c r="A477" s="286">
        <v>477</v>
      </c>
      <c r="B477" s="544">
        <v>207</v>
      </c>
      <c r="C477" s="545" t="s">
        <v>85</v>
      </c>
      <c r="D477" s="549" t="s">
        <v>654</v>
      </c>
      <c r="E477" s="539">
        <f>VLOOKUP(B477,'2-Kosten per locatie'!$A$13:$C$87,3,FALSE)</f>
        <v>2</v>
      </c>
      <c r="F477" s="550"/>
      <c r="G477" s="551" t="s">
        <v>658</v>
      </c>
      <c r="H477" s="552" t="s">
        <v>665</v>
      </c>
      <c r="I477" s="551" t="s">
        <v>659</v>
      </c>
      <c r="J477" s="553">
        <v>64</v>
      </c>
      <c r="K477" s="554"/>
      <c r="L477" s="554"/>
      <c r="M477" s="554"/>
      <c r="N477" s="554"/>
      <c r="O477" s="554"/>
      <c r="P477" s="555"/>
      <c r="Q477" s="555"/>
      <c r="R477" s="555"/>
      <c r="S477" s="555"/>
      <c r="T477" s="556"/>
    </row>
    <row r="478" spans="1:20" ht="15" customHeight="1">
      <c r="A478" s="285">
        <v>478</v>
      </c>
      <c r="B478" s="544">
        <v>207</v>
      </c>
      <c r="C478" s="545" t="s">
        <v>85</v>
      </c>
      <c r="D478" s="549" t="s">
        <v>654</v>
      </c>
      <c r="E478" s="539">
        <f>VLOOKUP(B478,'2-Kosten per locatie'!$A$13:$C$87,3,FALSE)</f>
        <v>2</v>
      </c>
      <c r="F478" s="550"/>
      <c r="G478" s="551" t="s">
        <v>606</v>
      </c>
      <c r="H478" s="552" t="s">
        <v>607</v>
      </c>
      <c r="I478" s="551" t="s">
        <v>660</v>
      </c>
      <c r="J478" s="553">
        <v>4</v>
      </c>
      <c r="K478" s="554"/>
      <c r="L478" s="554"/>
      <c r="M478" s="554"/>
      <c r="N478" s="554">
        <v>19</v>
      </c>
      <c r="O478" s="554"/>
      <c r="P478" s="555"/>
      <c r="Q478" s="555"/>
      <c r="R478" s="555"/>
      <c r="S478" s="555"/>
      <c r="T478" s="556"/>
    </row>
    <row r="479" spans="1:20" ht="15" customHeight="1">
      <c r="A479" s="286">
        <v>479</v>
      </c>
      <c r="B479" s="544">
        <v>208</v>
      </c>
      <c r="C479" s="545" t="s">
        <v>86</v>
      </c>
      <c r="D479" s="549" t="s">
        <v>654</v>
      </c>
      <c r="E479" s="539">
        <f>VLOOKUP(B479,'2-Kosten per locatie'!$A$13:$C$87,3,FALSE)</f>
        <v>2</v>
      </c>
      <c r="F479" s="550"/>
      <c r="G479" s="551" t="s">
        <v>289</v>
      </c>
      <c r="H479" s="552" t="s">
        <v>655</v>
      </c>
      <c r="I479" s="551" t="s">
        <v>656</v>
      </c>
      <c r="J479" s="553">
        <v>609</v>
      </c>
      <c r="K479" s="554"/>
      <c r="L479" s="554"/>
      <c r="M479" s="554"/>
      <c r="N479" s="554"/>
      <c r="O479" s="554"/>
      <c r="P479" s="555"/>
      <c r="Q479" s="555"/>
      <c r="R479" s="555"/>
      <c r="S479" s="555"/>
      <c r="T479" s="556"/>
    </row>
    <row r="480" spans="1:20" ht="15" customHeight="1">
      <c r="A480" s="285">
        <v>480</v>
      </c>
      <c r="B480" s="544">
        <v>209</v>
      </c>
      <c r="C480" s="545" t="s">
        <v>87</v>
      </c>
      <c r="D480" s="549" t="s">
        <v>654</v>
      </c>
      <c r="E480" s="539">
        <f>VLOOKUP(B480,'2-Kosten per locatie'!$A$13:$C$87,3,FALSE)</f>
        <v>2</v>
      </c>
      <c r="F480" s="550"/>
      <c r="G480" s="551" t="s">
        <v>289</v>
      </c>
      <c r="H480" s="552" t="s">
        <v>657</v>
      </c>
      <c r="I480" s="551" t="s">
        <v>666</v>
      </c>
      <c r="J480" s="553">
        <v>836</v>
      </c>
      <c r="K480" s="554"/>
      <c r="L480" s="554"/>
      <c r="M480" s="554"/>
      <c r="N480" s="554">
        <v>104</v>
      </c>
      <c r="O480" s="554"/>
      <c r="P480" s="555"/>
      <c r="Q480" s="555">
        <v>40</v>
      </c>
      <c r="R480" s="555"/>
      <c r="S480" s="555"/>
      <c r="T480" s="556"/>
    </row>
    <row r="481" spans="1:20" ht="15" customHeight="1">
      <c r="A481" s="286">
        <v>481</v>
      </c>
      <c r="B481" s="544">
        <v>209</v>
      </c>
      <c r="C481" s="545" t="s">
        <v>87</v>
      </c>
      <c r="D481" s="549" t="s">
        <v>654</v>
      </c>
      <c r="E481" s="539">
        <f>VLOOKUP(B481,'2-Kosten per locatie'!$A$13:$C$87,3,FALSE)</f>
        <v>2</v>
      </c>
      <c r="F481" s="550"/>
      <c r="G481" s="551" t="s">
        <v>658</v>
      </c>
      <c r="H481" s="552" t="s">
        <v>665</v>
      </c>
      <c r="I481" s="551" t="s">
        <v>659</v>
      </c>
      <c r="J481" s="553">
        <v>63</v>
      </c>
      <c r="K481" s="554"/>
      <c r="L481" s="554"/>
      <c r="M481" s="554"/>
      <c r="N481" s="554"/>
      <c r="O481" s="554"/>
      <c r="P481" s="555"/>
      <c r="Q481" s="555"/>
      <c r="R481" s="555"/>
      <c r="S481" s="555"/>
      <c r="T481" s="556"/>
    </row>
    <row r="482" spans="1:20" ht="15" customHeight="1">
      <c r="A482" s="285">
        <v>482</v>
      </c>
      <c r="B482" s="544">
        <v>209</v>
      </c>
      <c r="C482" s="545" t="s">
        <v>87</v>
      </c>
      <c r="D482" s="549" t="s">
        <v>654</v>
      </c>
      <c r="E482" s="539">
        <f>VLOOKUP(B482,'2-Kosten per locatie'!$A$13:$C$87,3,FALSE)</f>
        <v>2</v>
      </c>
      <c r="F482" s="550"/>
      <c r="G482" s="551" t="s">
        <v>606</v>
      </c>
      <c r="H482" s="552" t="s">
        <v>607</v>
      </c>
      <c r="I482" s="551" t="s">
        <v>660</v>
      </c>
      <c r="J482" s="553">
        <v>4</v>
      </c>
      <c r="K482" s="554"/>
      <c r="L482" s="554"/>
      <c r="M482" s="554"/>
      <c r="N482" s="554"/>
      <c r="O482" s="554"/>
      <c r="P482" s="555"/>
      <c r="Q482" s="555"/>
      <c r="R482" s="555"/>
      <c r="S482" s="555"/>
      <c r="T482" s="556"/>
    </row>
    <row r="483" spans="1:20" ht="15" customHeight="1">
      <c r="A483" s="286">
        <v>483</v>
      </c>
      <c r="B483" s="544">
        <v>210</v>
      </c>
      <c r="C483" s="545" t="s">
        <v>88</v>
      </c>
      <c r="D483" s="549" t="s">
        <v>654</v>
      </c>
      <c r="E483" s="539">
        <f>VLOOKUP(B483,'2-Kosten per locatie'!$A$13:$C$87,3,FALSE)</f>
        <v>2</v>
      </c>
      <c r="F483" s="550"/>
      <c r="G483" s="551" t="s">
        <v>289</v>
      </c>
      <c r="H483" s="552" t="s">
        <v>657</v>
      </c>
      <c r="I483" s="551" t="s">
        <v>666</v>
      </c>
      <c r="J483" s="553">
        <v>581</v>
      </c>
      <c r="K483" s="554"/>
      <c r="L483" s="554"/>
      <c r="M483" s="554"/>
      <c r="N483" s="554">
        <v>120</v>
      </c>
      <c r="O483" s="554"/>
      <c r="P483" s="555"/>
      <c r="Q483" s="555">
        <v>151</v>
      </c>
      <c r="R483" s="555"/>
      <c r="S483" s="555"/>
      <c r="T483" s="556"/>
    </row>
    <row r="484" spans="1:20" ht="15" customHeight="1">
      <c r="A484" s="286">
        <v>484</v>
      </c>
      <c r="B484" s="544">
        <v>210</v>
      </c>
      <c r="C484" s="545" t="s">
        <v>88</v>
      </c>
      <c r="D484" s="549" t="s">
        <v>654</v>
      </c>
      <c r="E484" s="539">
        <f>VLOOKUP(B484,'2-Kosten per locatie'!$A$13:$C$87,3,FALSE)</f>
        <v>2</v>
      </c>
      <c r="F484" s="550"/>
      <c r="G484" s="551" t="s">
        <v>658</v>
      </c>
      <c r="H484" s="552" t="s">
        <v>665</v>
      </c>
      <c r="I484" s="551" t="s">
        <v>659</v>
      </c>
      <c r="J484" s="553">
        <v>77</v>
      </c>
      <c r="K484" s="554"/>
      <c r="L484" s="554"/>
      <c r="M484" s="554"/>
      <c r="N484" s="554"/>
      <c r="O484" s="554"/>
      <c r="P484" s="555"/>
      <c r="Q484" s="555"/>
      <c r="R484" s="555"/>
      <c r="S484" s="555"/>
      <c r="T484" s="556"/>
    </row>
    <row r="485" spans="1:20" ht="15" customHeight="1">
      <c r="A485" s="285">
        <v>485</v>
      </c>
      <c r="B485" s="544">
        <v>210</v>
      </c>
      <c r="C485" s="545" t="s">
        <v>88</v>
      </c>
      <c r="D485" s="549" t="s">
        <v>654</v>
      </c>
      <c r="E485" s="539">
        <f>VLOOKUP(B485,'2-Kosten per locatie'!$A$13:$C$87,3,FALSE)</f>
        <v>2</v>
      </c>
      <c r="F485" s="550"/>
      <c r="G485" s="551" t="s">
        <v>606</v>
      </c>
      <c r="H485" s="552" t="s">
        <v>607</v>
      </c>
      <c r="I485" s="551" t="s">
        <v>660</v>
      </c>
      <c r="J485" s="553">
        <v>4</v>
      </c>
      <c r="K485" s="554"/>
      <c r="L485" s="554"/>
      <c r="M485" s="554"/>
      <c r="N485" s="554">
        <v>19</v>
      </c>
      <c r="O485" s="554"/>
      <c r="P485" s="555"/>
      <c r="Q485" s="555"/>
      <c r="R485" s="555"/>
      <c r="S485" s="555"/>
      <c r="T485" s="556"/>
    </row>
    <row r="486" spans="1:20" ht="15" customHeight="1">
      <c r="A486" s="286">
        <v>486</v>
      </c>
      <c r="B486" s="544">
        <v>211</v>
      </c>
      <c r="C486" s="545" t="s">
        <v>89</v>
      </c>
      <c r="D486" s="549" t="s">
        <v>654</v>
      </c>
      <c r="E486" s="539">
        <f>VLOOKUP(B486,'2-Kosten per locatie'!$A$13:$C$87,3,FALSE)</f>
        <v>2</v>
      </c>
      <c r="F486" s="550"/>
      <c r="G486" s="551" t="s">
        <v>289</v>
      </c>
      <c r="H486" s="552" t="s">
        <v>657</v>
      </c>
      <c r="I486" s="551" t="s">
        <v>656</v>
      </c>
      <c r="J486" s="553">
        <v>334</v>
      </c>
      <c r="K486" s="554"/>
      <c r="L486" s="554"/>
      <c r="M486" s="554">
        <v>40</v>
      </c>
      <c r="N486" s="554"/>
      <c r="O486" s="554"/>
      <c r="P486" s="555"/>
      <c r="Q486" s="555"/>
      <c r="R486" s="555"/>
      <c r="S486" s="555"/>
      <c r="T486" s="556"/>
    </row>
    <row r="487" spans="1:20" ht="15" customHeight="1">
      <c r="A487" s="285">
        <v>487</v>
      </c>
      <c r="B487" s="544">
        <v>211</v>
      </c>
      <c r="C487" s="545" t="s">
        <v>89</v>
      </c>
      <c r="D487" s="549" t="s">
        <v>654</v>
      </c>
      <c r="E487" s="539">
        <f>VLOOKUP(B487,'2-Kosten per locatie'!$A$13:$C$87,3,FALSE)</f>
        <v>2</v>
      </c>
      <c r="F487" s="550"/>
      <c r="G487" s="551" t="s">
        <v>658</v>
      </c>
      <c r="H487" s="552" t="s">
        <v>665</v>
      </c>
      <c r="I487" s="551" t="s">
        <v>659</v>
      </c>
      <c r="J487" s="553">
        <v>60</v>
      </c>
      <c r="K487" s="554"/>
      <c r="L487" s="554"/>
      <c r="M487" s="554"/>
      <c r="N487" s="554"/>
      <c r="O487" s="554"/>
      <c r="P487" s="555"/>
      <c r="Q487" s="555"/>
      <c r="R487" s="555"/>
      <c r="S487" s="555"/>
      <c r="T487" s="556"/>
    </row>
    <row r="488" spans="1:20" ht="15" customHeight="1">
      <c r="A488" s="286">
        <v>488</v>
      </c>
      <c r="B488" s="544">
        <v>211</v>
      </c>
      <c r="C488" s="545" t="s">
        <v>89</v>
      </c>
      <c r="D488" s="549" t="s">
        <v>654</v>
      </c>
      <c r="E488" s="539">
        <f>VLOOKUP(B488,'2-Kosten per locatie'!$A$13:$C$87,3,FALSE)</f>
        <v>2</v>
      </c>
      <c r="F488" s="550"/>
      <c r="G488" s="551" t="s">
        <v>606</v>
      </c>
      <c r="H488" s="552" t="s">
        <v>607</v>
      </c>
      <c r="I488" s="551" t="s">
        <v>660</v>
      </c>
      <c r="J488" s="553">
        <v>4</v>
      </c>
      <c r="K488" s="554"/>
      <c r="L488" s="554"/>
      <c r="M488" s="554"/>
      <c r="N488" s="554"/>
      <c r="O488" s="554"/>
      <c r="P488" s="555"/>
      <c r="Q488" s="555"/>
      <c r="R488" s="555"/>
      <c r="S488" s="555"/>
      <c r="T488" s="556"/>
    </row>
    <row r="489" spans="1:20" ht="15" customHeight="1">
      <c r="A489" s="285">
        <v>489</v>
      </c>
      <c r="B489" s="544">
        <v>212</v>
      </c>
      <c r="C489" s="545" t="s">
        <v>90</v>
      </c>
      <c r="D489" s="549" t="s">
        <v>654</v>
      </c>
      <c r="E489" s="539">
        <f>VLOOKUP(B489,'2-Kosten per locatie'!$A$13:$C$87,3,FALSE)</f>
        <v>2</v>
      </c>
      <c r="F489" s="550"/>
      <c r="G489" s="551" t="s">
        <v>289</v>
      </c>
      <c r="H489" s="552" t="s">
        <v>655</v>
      </c>
      <c r="I489" s="551" t="s">
        <v>666</v>
      </c>
      <c r="J489" s="553">
        <v>378</v>
      </c>
      <c r="K489" s="554"/>
      <c r="L489" s="554"/>
      <c r="M489" s="554"/>
      <c r="N489" s="554"/>
      <c r="O489" s="554"/>
      <c r="P489" s="555"/>
      <c r="Q489" s="555"/>
      <c r="R489" s="555"/>
      <c r="S489" s="555"/>
      <c r="T489" s="556"/>
    </row>
    <row r="490" spans="1:20" ht="15" customHeight="1">
      <c r="A490" s="286">
        <v>490</v>
      </c>
      <c r="B490" s="544">
        <v>213</v>
      </c>
      <c r="C490" s="545" t="s">
        <v>91</v>
      </c>
      <c r="D490" s="549" t="s">
        <v>654</v>
      </c>
      <c r="E490" s="539">
        <f>VLOOKUP(B490,'2-Kosten per locatie'!$A$13:$C$87,3,FALSE)</f>
        <v>2</v>
      </c>
      <c r="F490" s="550"/>
      <c r="G490" s="551" t="s">
        <v>289</v>
      </c>
      <c r="H490" s="552" t="s">
        <v>655</v>
      </c>
      <c r="I490" s="551" t="s">
        <v>666</v>
      </c>
      <c r="J490" s="553">
        <v>492</v>
      </c>
      <c r="K490" s="554"/>
      <c r="L490" s="554"/>
      <c r="M490" s="554"/>
      <c r="N490" s="554"/>
      <c r="O490" s="554"/>
      <c r="P490" s="555"/>
      <c r="Q490" s="555"/>
      <c r="R490" s="555"/>
      <c r="S490" s="555"/>
      <c r="T490" s="556"/>
    </row>
    <row r="491" spans="1:20" ht="15" customHeight="1">
      <c r="A491" s="286">
        <v>491</v>
      </c>
      <c r="B491" s="544">
        <v>214</v>
      </c>
      <c r="C491" s="545" t="s">
        <v>92</v>
      </c>
      <c r="D491" s="549" t="s">
        <v>654</v>
      </c>
      <c r="E491" s="539">
        <f>VLOOKUP(B491,'2-Kosten per locatie'!$A$13:$C$87,3,FALSE)</f>
        <v>2</v>
      </c>
      <c r="F491" s="550"/>
      <c r="G491" s="551" t="s">
        <v>289</v>
      </c>
      <c r="H491" s="552" t="s">
        <v>655</v>
      </c>
      <c r="I491" s="551" t="s">
        <v>666</v>
      </c>
      <c r="J491" s="553">
        <v>467</v>
      </c>
      <c r="K491" s="554"/>
      <c r="L491" s="554"/>
      <c r="M491" s="554"/>
      <c r="N491" s="554"/>
      <c r="O491" s="554"/>
      <c r="P491" s="555"/>
      <c r="Q491" s="555"/>
      <c r="R491" s="555"/>
      <c r="S491" s="555"/>
      <c r="T491" s="556"/>
    </row>
    <row r="492" spans="1:20" ht="15.6" customHeight="1">
      <c r="A492" s="285">
        <v>492</v>
      </c>
      <c r="B492" s="544">
        <v>215</v>
      </c>
      <c r="C492" s="545" t="s">
        <v>93</v>
      </c>
      <c r="D492" s="549" t="s">
        <v>654</v>
      </c>
      <c r="E492" s="539">
        <f>VLOOKUP(B492,'2-Kosten per locatie'!$A$13:$C$87,3,FALSE)</f>
        <v>2</v>
      </c>
      <c r="F492" s="550"/>
      <c r="G492" s="551" t="s">
        <v>289</v>
      </c>
      <c r="H492" s="552" t="s">
        <v>655</v>
      </c>
      <c r="I492" s="551" t="s">
        <v>666</v>
      </c>
      <c r="J492" s="553">
        <v>510</v>
      </c>
      <c r="K492" s="554"/>
      <c r="L492" s="554"/>
      <c r="M492" s="554"/>
      <c r="N492" s="554"/>
      <c r="O492" s="554"/>
      <c r="P492" s="555"/>
      <c r="Q492" s="555"/>
      <c r="R492" s="555"/>
      <c r="S492" s="555"/>
      <c r="T492" s="556"/>
    </row>
    <row r="493" spans="1:20" ht="15.6" customHeight="1">
      <c r="A493" s="286">
        <v>493</v>
      </c>
      <c r="B493" s="544" t="s">
        <v>94</v>
      </c>
      <c r="C493" s="551" t="s">
        <v>95</v>
      </c>
      <c r="D493" s="549" t="s">
        <v>654</v>
      </c>
      <c r="E493" s="539">
        <f>VLOOKUP(B493,'2-Kosten per locatie'!$A$13:$C$87,3,FALSE)</f>
        <v>2</v>
      </c>
      <c r="F493" s="550"/>
      <c r="G493" s="551" t="s">
        <v>289</v>
      </c>
      <c r="H493" s="552" t="s">
        <v>655</v>
      </c>
      <c r="I493" s="551" t="s">
        <v>666</v>
      </c>
      <c r="J493" s="553">
        <v>348</v>
      </c>
      <c r="K493" s="554"/>
      <c r="L493" s="554"/>
      <c r="M493" s="554"/>
      <c r="N493" s="554"/>
      <c r="O493" s="554"/>
      <c r="P493" s="555"/>
      <c r="Q493" s="555"/>
      <c r="R493" s="555"/>
      <c r="S493" s="555"/>
      <c r="T493" s="556"/>
    </row>
    <row r="494" spans="1:20" ht="15.6" customHeight="1">
      <c r="A494" s="285">
        <v>494</v>
      </c>
      <c r="B494" s="544" t="s">
        <v>96</v>
      </c>
      <c r="C494" s="551" t="s">
        <v>97</v>
      </c>
      <c r="D494" s="549" t="s">
        <v>654</v>
      </c>
      <c r="E494" s="539">
        <f>VLOOKUP(B494,'2-Kosten per locatie'!$A$13:$C$87,3,FALSE)</f>
        <v>2</v>
      </c>
      <c r="F494" s="550"/>
      <c r="G494" s="551" t="s">
        <v>289</v>
      </c>
      <c r="H494" s="552" t="s">
        <v>655</v>
      </c>
      <c r="I494" s="551" t="s">
        <v>666</v>
      </c>
      <c r="J494" s="553">
        <v>360</v>
      </c>
      <c r="K494" s="554"/>
      <c r="L494" s="554"/>
      <c r="M494" s="554"/>
      <c r="N494" s="554"/>
      <c r="O494" s="554"/>
      <c r="P494" s="555"/>
      <c r="Q494" s="555"/>
      <c r="R494" s="555"/>
      <c r="S494" s="555"/>
      <c r="T494" s="556"/>
    </row>
    <row r="495" spans="1:20" ht="15.6" customHeight="1">
      <c r="A495" s="286">
        <v>495</v>
      </c>
      <c r="B495" s="544" t="s">
        <v>98</v>
      </c>
      <c r="C495" s="551" t="s">
        <v>99</v>
      </c>
      <c r="D495" s="549" t="s">
        <v>654</v>
      </c>
      <c r="E495" s="539">
        <f>VLOOKUP(B495,'2-Kosten per locatie'!$A$13:$C$87,3,FALSE)</f>
        <v>2</v>
      </c>
      <c r="F495" s="550"/>
      <c r="G495" s="551" t="s">
        <v>289</v>
      </c>
      <c r="H495" s="552" t="s">
        <v>655</v>
      </c>
      <c r="I495" s="551" t="s">
        <v>666</v>
      </c>
      <c r="J495" s="553">
        <v>364</v>
      </c>
      <c r="K495" s="554"/>
      <c r="L495" s="554"/>
      <c r="M495" s="554"/>
      <c r="N495" s="554"/>
      <c r="O495" s="554"/>
      <c r="P495" s="555"/>
      <c r="Q495" s="555"/>
      <c r="R495" s="555"/>
      <c r="S495" s="555"/>
      <c r="T495" s="556"/>
    </row>
    <row r="496" spans="1:20" ht="15" customHeight="1">
      <c r="A496" s="285">
        <v>496</v>
      </c>
      <c r="B496" s="544">
        <v>301</v>
      </c>
      <c r="C496" s="545" t="s">
        <v>100</v>
      </c>
      <c r="D496" s="549" t="s">
        <v>667</v>
      </c>
      <c r="E496" s="539">
        <f>VLOOKUP(B496,'2-Kosten per locatie'!$A$13:$C$87,3,FALSE)</f>
        <v>2</v>
      </c>
      <c r="F496" s="550"/>
      <c r="G496" s="551" t="s">
        <v>668</v>
      </c>
      <c r="H496" s="552" t="s">
        <v>598</v>
      </c>
      <c r="I496" s="551" t="s">
        <v>180</v>
      </c>
      <c r="J496" s="553">
        <v>108</v>
      </c>
      <c r="K496" s="554"/>
      <c r="L496" s="554"/>
      <c r="M496" s="554"/>
      <c r="N496" s="554"/>
      <c r="O496" s="554"/>
      <c r="P496" s="555"/>
      <c r="Q496" s="555"/>
      <c r="R496" s="555"/>
      <c r="S496" s="555"/>
      <c r="T496" s="556"/>
    </row>
    <row r="497" spans="1:20" ht="15" customHeight="1">
      <c r="A497" s="286">
        <v>497</v>
      </c>
      <c r="B497" s="544">
        <v>301</v>
      </c>
      <c r="C497" s="545" t="s">
        <v>100</v>
      </c>
      <c r="D497" s="549" t="s">
        <v>667</v>
      </c>
      <c r="E497" s="539">
        <f>VLOOKUP(B497,'2-Kosten per locatie'!$A$13:$C$87,3,FALSE)</f>
        <v>2</v>
      </c>
      <c r="F497" s="550"/>
      <c r="G497" s="551" t="s">
        <v>669</v>
      </c>
      <c r="H497" s="552" t="s">
        <v>670</v>
      </c>
      <c r="I497" s="551" t="s">
        <v>251</v>
      </c>
      <c r="J497" s="553">
        <v>1400</v>
      </c>
      <c r="K497" s="554"/>
      <c r="L497" s="554"/>
      <c r="M497" s="554"/>
      <c r="N497" s="554"/>
      <c r="O497" s="554"/>
      <c r="P497" s="555"/>
      <c r="Q497" s="555"/>
      <c r="R497" s="555"/>
      <c r="S497" s="555"/>
      <c r="T497" s="556"/>
    </row>
    <row r="498" spans="1:20" ht="15" customHeight="1">
      <c r="A498" s="286">
        <v>498</v>
      </c>
      <c r="B498" s="544">
        <v>301</v>
      </c>
      <c r="C498" s="545" t="s">
        <v>100</v>
      </c>
      <c r="D498" s="549" t="s">
        <v>667</v>
      </c>
      <c r="E498" s="539">
        <f>VLOOKUP(B498,'2-Kosten per locatie'!$A$13:$C$87,3,FALSE)</f>
        <v>2</v>
      </c>
      <c r="F498" s="550"/>
      <c r="G498" s="551" t="s">
        <v>671</v>
      </c>
      <c r="H498" s="552" t="s">
        <v>161</v>
      </c>
      <c r="I498" s="551" t="s">
        <v>159</v>
      </c>
      <c r="J498" s="553">
        <v>20</v>
      </c>
      <c r="K498" s="554"/>
      <c r="L498" s="554">
        <v>72</v>
      </c>
      <c r="M498" s="554"/>
      <c r="N498" s="554"/>
      <c r="O498" s="554"/>
      <c r="P498" s="555"/>
      <c r="Q498" s="555"/>
      <c r="R498" s="555">
        <v>20</v>
      </c>
      <c r="S498" s="555"/>
      <c r="T498" s="556"/>
    </row>
    <row r="499" spans="1:20" ht="15" customHeight="1">
      <c r="A499" s="285">
        <v>499</v>
      </c>
      <c r="B499" s="544">
        <v>301</v>
      </c>
      <c r="C499" s="545" t="s">
        <v>100</v>
      </c>
      <c r="D499" s="549" t="s">
        <v>667</v>
      </c>
      <c r="E499" s="539">
        <f>VLOOKUP(B499,'2-Kosten per locatie'!$A$13:$C$87,3,FALSE)</f>
        <v>2</v>
      </c>
      <c r="F499" s="550"/>
      <c r="G499" s="551" t="s">
        <v>672</v>
      </c>
      <c r="H499" s="552" t="s">
        <v>282</v>
      </c>
      <c r="I499" s="551" t="s">
        <v>159</v>
      </c>
      <c r="J499" s="553">
        <v>2</v>
      </c>
      <c r="K499" s="554"/>
      <c r="L499" s="554"/>
      <c r="M499" s="554">
        <v>19</v>
      </c>
      <c r="N499" s="554"/>
      <c r="O499" s="554"/>
      <c r="P499" s="555"/>
      <c r="Q499" s="555"/>
      <c r="R499" s="555"/>
      <c r="S499" s="555">
        <v>2</v>
      </c>
      <c r="T499" s="556"/>
    </row>
    <row r="500" spans="1:20" ht="15" customHeight="1">
      <c r="A500" s="286">
        <v>500</v>
      </c>
      <c r="B500" s="544">
        <v>301</v>
      </c>
      <c r="C500" s="545" t="s">
        <v>100</v>
      </c>
      <c r="D500" s="549" t="s">
        <v>667</v>
      </c>
      <c r="E500" s="539">
        <f>VLOOKUP(B500,'2-Kosten per locatie'!$A$13:$C$87,3,FALSE)</f>
        <v>2</v>
      </c>
      <c r="F500" s="550"/>
      <c r="G500" s="551" t="s">
        <v>473</v>
      </c>
      <c r="H500" s="552" t="s">
        <v>513</v>
      </c>
      <c r="I500" s="551" t="s">
        <v>159</v>
      </c>
      <c r="J500" s="553">
        <v>2</v>
      </c>
      <c r="K500" s="554">
        <v>12</v>
      </c>
      <c r="L500" s="554"/>
      <c r="M500" s="554"/>
      <c r="N500" s="554"/>
      <c r="O500" s="554"/>
      <c r="P500" s="555"/>
      <c r="Q500" s="555"/>
      <c r="R500" s="555"/>
      <c r="S500" s="555">
        <v>2</v>
      </c>
      <c r="T500" s="556"/>
    </row>
    <row r="501" spans="1:20" ht="15" customHeight="1">
      <c r="A501" s="285">
        <v>501</v>
      </c>
      <c r="B501" s="544">
        <v>301</v>
      </c>
      <c r="C501" s="545" t="s">
        <v>100</v>
      </c>
      <c r="D501" s="549" t="s">
        <v>667</v>
      </c>
      <c r="E501" s="539">
        <f>VLOOKUP(B501,'2-Kosten per locatie'!$A$13:$C$87,3,FALSE)</f>
        <v>2</v>
      </c>
      <c r="F501" s="550"/>
      <c r="G501" s="551" t="s">
        <v>463</v>
      </c>
      <c r="H501" s="552" t="s">
        <v>512</v>
      </c>
      <c r="I501" s="551" t="s">
        <v>159</v>
      </c>
      <c r="J501" s="553">
        <v>2</v>
      </c>
      <c r="K501" s="554">
        <v>12</v>
      </c>
      <c r="L501" s="554"/>
      <c r="M501" s="554"/>
      <c r="N501" s="554"/>
      <c r="O501" s="554"/>
      <c r="P501" s="555"/>
      <c r="Q501" s="555"/>
      <c r="R501" s="555"/>
      <c r="S501" s="555">
        <v>2</v>
      </c>
      <c r="T501" s="556"/>
    </row>
    <row r="502" spans="1:20" ht="15" customHeight="1">
      <c r="A502" s="286">
        <v>502</v>
      </c>
      <c r="B502" s="544">
        <v>301</v>
      </c>
      <c r="C502" s="545" t="s">
        <v>100</v>
      </c>
      <c r="D502" s="549" t="s">
        <v>667</v>
      </c>
      <c r="E502" s="539">
        <f>VLOOKUP(B502,'2-Kosten per locatie'!$A$13:$C$87,3,FALSE)</f>
        <v>2</v>
      </c>
      <c r="F502" s="550"/>
      <c r="G502" s="551" t="s">
        <v>467</v>
      </c>
      <c r="H502" s="552" t="s">
        <v>166</v>
      </c>
      <c r="I502" s="551" t="s">
        <v>159</v>
      </c>
      <c r="J502" s="553">
        <v>8</v>
      </c>
      <c r="K502" s="554"/>
      <c r="L502" s="554">
        <v>26</v>
      </c>
      <c r="M502" s="554"/>
      <c r="N502" s="554"/>
      <c r="O502" s="554"/>
      <c r="P502" s="555"/>
      <c r="Q502" s="555"/>
      <c r="R502" s="555"/>
      <c r="S502" s="555">
        <v>8</v>
      </c>
      <c r="T502" s="556"/>
    </row>
    <row r="503" spans="1:20" ht="15" customHeight="1">
      <c r="A503" s="285">
        <v>503</v>
      </c>
      <c r="B503" s="544">
        <v>301</v>
      </c>
      <c r="C503" s="545" t="s">
        <v>100</v>
      </c>
      <c r="D503" s="549" t="s">
        <v>667</v>
      </c>
      <c r="E503" s="539">
        <f>VLOOKUP(B503,'2-Kosten per locatie'!$A$13:$C$87,3,FALSE)</f>
        <v>2</v>
      </c>
      <c r="F503" s="550"/>
      <c r="G503" s="551" t="s">
        <v>467</v>
      </c>
      <c r="H503" s="552" t="s">
        <v>607</v>
      </c>
      <c r="I503" s="551" t="s">
        <v>159</v>
      </c>
      <c r="J503" s="553">
        <v>6</v>
      </c>
      <c r="K503" s="554"/>
      <c r="L503" s="554">
        <v>35</v>
      </c>
      <c r="M503" s="554"/>
      <c r="N503" s="554"/>
      <c r="O503" s="554"/>
      <c r="P503" s="555"/>
      <c r="Q503" s="555"/>
      <c r="R503" s="555"/>
      <c r="S503" s="555">
        <v>6</v>
      </c>
      <c r="T503" s="556"/>
    </row>
    <row r="504" spans="1:20" ht="15" customHeight="1">
      <c r="A504" s="286">
        <v>504</v>
      </c>
      <c r="B504" s="544">
        <v>301</v>
      </c>
      <c r="C504" s="545" t="s">
        <v>100</v>
      </c>
      <c r="D504" s="549" t="s">
        <v>667</v>
      </c>
      <c r="E504" s="539">
        <f>VLOOKUP(B504,'2-Kosten per locatie'!$A$13:$C$87,3,FALSE)</f>
        <v>2</v>
      </c>
      <c r="F504" s="550"/>
      <c r="G504" s="551" t="s">
        <v>673</v>
      </c>
      <c r="H504" s="552" t="s">
        <v>651</v>
      </c>
      <c r="I504" s="551" t="s">
        <v>322</v>
      </c>
      <c r="J504" s="553">
        <v>0.5</v>
      </c>
      <c r="K504" s="554"/>
      <c r="L504" s="554"/>
      <c r="M504" s="554">
        <v>3</v>
      </c>
      <c r="N504" s="554"/>
      <c r="O504" s="554"/>
      <c r="P504" s="555"/>
      <c r="Q504" s="555"/>
      <c r="R504" s="555"/>
      <c r="S504" s="555">
        <v>1</v>
      </c>
      <c r="T504" s="556"/>
    </row>
    <row r="505" spans="1:20" ht="15" customHeight="1">
      <c r="A505" s="286">
        <v>505</v>
      </c>
      <c r="B505" s="544">
        <v>301</v>
      </c>
      <c r="C505" s="545" t="s">
        <v>100</v>
      </c>
      <c r="D505" s="549" t="s">
        <v>667</v>
      </c>
      <c r="E505" s="539">
        <f>VLOOKUP(B505,'2-Kosten per locatie'!$A$13:$C$87,3,FALSE)</f>
        <v>2</v>
      </c>
      <c r="F505" s="550"/>
      <c r="G505" s="551" t="s">
        <v>674</v>
      </c>
      <c r="H505" s="552"/>
      <c r="I505" s="551" t="s">
        <v>251</v>
      </c>
      <c r="J505" s="553">
        <v>335</v>
      </c>
      <c r="K505" s="554"/>
      <c r="L505" s="554"/>
      <c r="M505" s="554">
        <v>3</v>
      </c>
      <c r="N505" s="554"/>
      <c r="O505" s="554"/>
      <c r="P505" s="555"/>
      <c r="Q505" s="555"/>
      <c r="R505" s="555"/>
      <c r="S505" s="555"/>
      <c r="T505" s="556"/>
    </row>
    <row r="506" spans="1:20" ht="15" customHeight="1">
      <c r="A506" s="285">
        <v>506</v>
      </c>
      <c r="B506" s="544">
        <v>301</v>
      </c>
      <c r="C506" s="545" t="s">
        <v>100</v>
      </c>
      <c r="D506" s="549" t="s">
        <v>667</v>
      </c>
      <c r="E506" s="539">
        <f>VLOOKUP(B506,'2-Kosten per locatie'!$A$13:$C$87,3,FALSE)</f>
        <v>2</v>
      </c>
      <c r="F506" s="550"/>
      <c r="G506" s="551" t="s">
        <v>675</v>
      </c>
      <c r="H506" s="552" t="s">
        <v>676</v>
      </c>
      <c r="I506" s="551" t="s">
        <v>205</v>
      </c>
      <c r="J506" s="553">
        <v>5</v>
      </c>
      <c r="K506" s="554"/>
      <c r="L506" s="554"/>
      <c r="M506" s="554"/>
      <c r="N506" s="554">
        <v>15</v>
      </c>
      <c r="O506" s="554"/>
      <c r="P506" s="555"/>
      <c r="Q506" s="555"/>
      <c r="R506" s="555"/>
      <c r="S506" s="555"/>
      <c r="T506" s="556"/>
    </row>
    <row r="507" spans="1:20" ht="15" customHeight="1">
      <c r="A507" s="286">
        <v>507</v>
      </c>
      <c r="B507" s="544">
        <v>301</v>
      </c>
      <c r="C507" s="545" t="s">
        <v>100</v>
      </c>
      <c r="D507" s="549" t="s">
        <v>667</v>
      </c>
      <c r="E507" s="539">
        <f>VLOOKUP(B507,'2-Kosten per locatie'!$A$13:$C$87,3,FALSE)</f>
        <v>2</v>
      </c>
      <c r="F507" s="550"/>
      <c r="G507" s="551" t="s">
        <v>677</v>
      </c>
      <c r="H507" s="552" t="s">
        <v>678</v>
      </c>
      <c r="I507" s="551" t="s">
        <v>205</v>
      </c>
      <c r="J507" s="553">
        <v>5</v>
      </c>
      <c r="K507" s="554"/>
      <c r="L507" s="554"/>
      <c r="M507" s="554"/>
      <c r="N507" s="554">
        <v>15</v>
      </c>
      <c r="O507" s="554"/>
      <c r="P507" s="555"/>
      <c r="Q507" s="555"/>
      <c r="R507" s="555"/>
      <c r="S507" s="555"/>
      <c r="T507" s="556"/>
    </row>
    <row r="508" spans="1:20" ht="15" customHeight="1">
      <c r="A508" s="285">
        <v>508</v>
      </c>
      <c r="B508" s="544">
        <v>302</v>
      </c>
      <c r="C508" s="545" t="s">
        <v>101</v>
      </c>
      <c r="D508" s="549" t="s">
        <v>667</v>
      </c>
      <c r="E508" s="539">
        <f>VLOOKUP(B508,'2-Kosten per locatie'!$A$13:$C$87,3,FALSE)</f>
        <v>2</v>
      </c>
      <c r="F508" s="550"/>
      <c r="G508" s="551" t="s">
        <v>668</v>
      </c>
      <c r="H508" s="552" t="s">
        <v>598</v>
      </c>
      <c r="I508" s="551" t="s">
        <v>180</v>
      </c>
      <c r="J508" s="553">
        <v>48</v>
      </c>
      <c r="K508" s="554" t="s">
        <v>507</v>
      </c>
      <c r="L508" s="554"/>
      <c r="M508" s="554"/>
      <c r="N508" s="554"/>
      <c r="O508" s="554"/>
      <c r="P508" s="555"/>
      <c r="Q508" s="555"/>
      <c r="R508" s="555"/>
      <c r="S508" s="555"/>
      <c r="T508" s="556"/>
    </row>
    <row r="509" spans="1:20" ht="15" customHeight="1">
      <c r="A509" s="286">
        <v>509</v>
      </c>
      <c r="B509" s="544">
        <v>302</v>
      </c>
      <c r="C509" s="545" t="s">
        <v>101</v>
      </c>
      <c r="D509" s="549" t="s">
        <v>667</v>
      </c>
      <c r="E509" s="539">
        <f>VLOOKUP(B509,'2-Kosten per locatie'!$A$13:$C$87,3,FALSE)</f>
        <v>2</v>
      </c>
      <c r="F509" s="550"/>
      <c r="G509" s="551" t="s">
        <v>669</v>
      </c>
      <c r="H509" s="552" t="s">
        <v>670</v>
      </c>
      <c r="I509" s="551" t="s">
        <v>214</v>
      </c>
      <c r="J509" s="553">
        <v>1178</v>
      </c>
      <c r="K509" s="554"/>
      <c r="L509" s="554"/>
      <c r="M509" s="554"/>
      <c r="N509" s="554"/>
      <c r="O509" s="554"/>
      <c r="P509" s="555"/>
      <c r="Q509" s="555"/>
      <c r="R509" s="555"/>
      <c r="S509" s="555"/>
      <c r="T509" s="556"/>
    </row>
    <row r="510" spans="1:20" ht="15" customHeight="1">
      <c r="A510" s="285">
        <v>510</v>
      </c>
      <c r="B510" s="544">
        <v>302</v>
      </c>
      <c r="C510" s="545" t="s">
        <v>101</v>
      </c>
      <c r="D510" s="549" t="s">
        <v>667</v>
      </c>
      <c r="E510" s="539">
        <f>VLOOKUP(B510,'2-Kosten per locatie'!$A$13:$C$87,3,FALSE)</f>
        <v>2</v>
      </c>
      <c r="F510" s="550"/>
      <c r="G510" s="551" t="s">
        <v>679</v>
      </c>
      <c r="H510" s="552" t="s">
        <v>158</v>
      </c>
      <c r="I510" s="551" t="s">
        <v>162</v>
      </c>
      <c r="J510" s="553">
        <v>35</v>
      </c>
      <c r="K510" s="554">
        <v>20</v>
      </c>
      <c r="L510" s="554">
        <v>19</v>
      </c>
      <c r="M510" s="554">
        <v>10</v>
      </c>
      <c r="N510" s="554"/>
      <c r="O510" s="554"/>
      <c r="P510" s="555"/>
      <c r="Q510" s="555"/>
      <c r="R510" s="555"/>
      <c r="S510" s="555">
        <v>35</v>
      </c>
      <c r="T510" s="556" t="s">
        <v>680</v>
      </c>
    </row>
    <row r="511" spans="1:20" ht="15" customHeight="1">
      <c r="A511" s="286">
        <v>511</v>
      </c>
      <c r="B511" s="544">
        <v>302</v>
      </c>
      <c r="C511" s="545" t="s">
        <v>101</v>
      </c>
      <c r="D511" s="549" t="s">
        <v>667</v>
      </c>
      <c r="E511" s="539">
        <f>VLOOKUP(B511,'2-Kosten per locatie'!$A$13:$C$87,3,FALSE)</f>
        <v>2</v>
      </c>
      <c r="F511" s="550"/>
      <c r="G511" s="551" t="s">
        <v>681</v>
      </c>
      <c r="H511" s="552" t="s">
        <v>682</v>
      </c>
      <c r="I511" s="551" t="s">
        <v>176</v>
      </c>
      <c r="J511" s="553">
        <v>29</v>
      </c>
      <c r="K511" s="554"/>
      <c r="L511" s="554"/>
      <c r="M511" s="554"/>
      <c r="N511" s="554">
        <v>20</v>
      </c>
      <c r="O511" s="554"/>
      <c r="P511" s="555"/>
      <c r="Q511" s="555"/>
      <c r="R511" s="555"/>
      <c r="S511" s="555"/>
      <c r="T511" s="556"/>
    </row>
    <row r="512" spans="1:20" ht="15" customHeight="1">
      <c r="A512" s="286">
        <v>512</v>
      </c>
      <c r="B512" s="544">
        <v>302</v>
      </c>
      <c r="C512" s="545" t="s">
        <v>101</v>
      </c>
      <c r="D512" s="549" t="s">
        <v>667</v>
      </c>
      <c r="E512" s="539">
        <f>VLOOKUP(B512,'2-Kosten per locatie'!$A$13:$C$87,3,FALSE)</f>
        <v>2</v>
      </c>
      <c r="F512" s="550"/>
      <c r="G512" s="551" t="s">
        <v>683</v>
      </c>
      <c r="H512" s="552" t="s">
        <v>505</v>
      </c>
      <c r="I512" s="551" t="s">
        <v>159</v>
      </c>
      <c r="J512" s="553">
        <v>181</v>
      </c>
      <c r="K512" s="554">
        <v>13</v>
      </c>
      <c r="L512" s="554">
        <v>98</v>
      </c>
      <c r="M512" s="554"/>
      <c r="N512" s="554">
        <v>8</v>
      </c>
      <c r="O512" s="554"/>
      <c r="P512" s="555"/>
      <c r="Q512" s="555"/>
      <c r="R512" s="555"/>
      <c r="S512" s="555">
        <v>181</v>
      </c>
      <c r="T512" s="556" t="s">
        <v>684</v>
      </c>
    </row>
    <row r="513" spans="1:20" ht="15" customHeight="1">
      <c r="A513" s="285">
        <v>513</v>
      </c>
      <c r="B513" s="544">
        <v>302</v>
      </c>
      <c r="C513" s="545" t="s">
        <v>101</v>
      </c>
      <c r="D513" s="549" t="s">
        <v>667</v>
      </c>
      <c r="E513" s="539">
        <f>VLOOKUP(B513,'2-Kosten per locatie'!$A$13:$C$87,3,FALSE)</f>
        <v>2</v>
      </c>
      <c r="F513" s="550"/>
      <c r="G513" s="551" t="s">
        <v>685</v>
      </c>
      <c r="H513" s="552" t="s">
        <v>161</v>
      </c>
      <c r="I513" s="551" t="s">
        <v>214</v>
      </c>
      <c r="J513" s="553">
        <v>10</v>
      </c>
      <c r="K513" s="554"/>
      <c r="L513" s="554"/>
      <c r="M513" s="554">
        <v>53</v>
      </c>
      <c r="N513" s="554"/>
      <c r="O513" s="554"/>
      <c r="P513" s="555"/>
      <c r="Q513" s="555">
        <v>10</v>
      </c>
      <c r="R513" s="555"/>
      <c r="S513" s="555"/>
      <c r="T513" s="556" t="s">
        <v>686</v>
      </c>
    </row>
    <row r="514" spans="1:20" ht="15" customHeight="1">
      <c r="A514" s="286">
        <v>514</v>
      </c>
      <c r="B514" s="544">
        <v>302</v>
      </c>
      <c r="C514" s="545" t="s">
        <v>101</v>
      </c>
      <c r="D514" s="549" t="s">
        <v>667</v>
      </c>
      <c r="E514" s="539">
        <f>VLOOKUP(B514,'2-Kosten per locatie'!$A$13:$C$87,3,FALSE)</f>
        <v>2</v>
      </c>
      <c r="F514" s="550"/>
      <c r="G514" s="551" t="s">
        <v>687</v>
      </c>
      <c r="H514" s="552" t="s">
        <v>166</v>
      </c>
      <c r="I514" s="551" t="s">
        <v>159</v>
      </c>
      <c r="J514" s="553">
        <v>30</v>
      </c>
      <c r="K514" s="554"/>
      <c r="L514" s="554">
        <v>45</v>
      </c>
      <c r="M514" s="554"/>
      <c r="N514" s="554"/>
      <c r="O514" s="554"/>
      <c r="P514" s="555"/>
      <c r="Q514" s="555"/>
      <c r="R514" s="555">
        <v>30</v>
      </c>
      <c r="S514" s="555"/>
      <c r="T514" s="556"/>
    </row>
    <row r="515" spans="1:20" ht="15" customHeight="1">
      <c r="A515" s="285">
        <v>515</v>
      </c>
      <c r="B515" s="544">
        <v>302</v>
      </c>
      <c r="C515" s="545" t="s">
        <v>101</v>
      </c>
      <c r="D515" s="549" t="s">
        <v>667</v>
      </c>
      <c r="E515" s="539">
        <f>VLOOKUP(B515,'2-Kosten per locatie'!$A$13:$C$87,3,FALSE)</f>
        <v>2</v>
      </c>
      <c r="F515" s="550"/>
      <c r="G515" s="551" t="s">
        <v>688</v>
      </c>
      <c r="H515" s="552" t="s">
        <v>607</v>
      </c>
      <c r="I515" s="551" t="s">
        <v>159</v>
      </c>
      <c r="J515" s="553">
        <v>45</v>
      </c>
      <c r="K515" s="554"/>
      <c r="L515" s="554">
        <v>88</v>
      </c>
      <c r="M515" s="554"/>
      <c r="N515" s="554"/>
      <c r="O515" s="554"/>
      <c r="P515" s="555"/>
      <c r="Q515" s="555"/>
      <c r="R515" s="555">
        <v>45</v>
      </c>
      <c r="S515" s="555"/>
      <c r="T515" s="556"/>
    </row>
    <row r="516" spans="1:20" ht="15" customHeight="1">
      <c r="A516" s="286">
        <v>516</v>
      </c>
      <c r="B516" s="544">
        <v>302</v>
      </c>
      <c r="C516" s="545" t="s">
        <v>101</v>
      </c>
      <c r="D516" s="549" t="s">
        <v>667</v>
      </c>
      <c r="E516" s="539">
        <f>VLOOKUP(B516,'2-Kosten per locatie'!$A$13:$C$87,3,FALSE)</f>
        <v>2</v>
      </c>
      <c r="F516" s="550"/>
      <c r="G516" s="551" t="s">
        <v>689</v>
      </c>
      <c r="H516" s="552" t="s">
        <v>517</v>
      </c>
      <c r="I516" s="551" t="s">
        <v>205</v>
      </c>
      <c r="J516" s="553">
        <v>5</v>
      </c>
      <c r="K516" s="554"/>
      <c r="L516" s="554"/>
      <c r="M516" s="554"/>
      <c r="N516" s="554">
        <v>15</v>
      </c>
      <c r="O516" s="554"/>
      <c r="P516" s="555"/>
      <c r="Q516" s="555"/>
      <c r="R516" s="555"/>
      <c r="S516" s="555"/>
      <c r="T516" s="556"/>
    </row>
    <row r="517" spans="1:20" ht="15" customHeight="1">
      <c r="A517" s="285">
        <v>517</v>
      </c>
      <c r="B517" s="544">
        <v>303</v>
      </c>
      <c r="C517" s="545" t="s">
        <v>102</v>
      </c>
      <c r="D517" s="549" t="s">
        <v>667</v>
      </c>
      <c r="E517" s="539">
        <f>VLOOKUP(B517,'2-Kosten per locatie'!$A$13:$C$87,3,FALSE)</f>
        <v>2</v>
      </c>
      <c r="F517" s="550"/>
      <c r="G517" s="551" t="s">
        <v>690</v>
      </c>
      <c r="H517" s="552" t="s">
        <v>598</v>
      </c>
      <c r="I517" s="551" t="s">
        <v>180</v>
      </c>
      <c r="J517" s="553">
        <v>104</v>
      </c>
      <c r="K517" s="554" t="s">
        <v>691</v>
      </c>
      <c r="L517" s="554"/>
      <c r="M517" s="554"/>
      <c r="N517" s="554"/>
      <c r="O517" s="554"/>
      <c r="P517" s="555"/>
      <c r="Q517" s="555"/>
      <c r="R517" s="555"/>
      <c r="S517" s="555"/>
      <c r="T517" s="556"/>
    </row>
    <row r="518" spans="1:20" ht="15" customHeight="1">
      <c r="A518" s="286">
        <v>518</v>
      </c>
      <c r="B518" s="544">
        <v>303</v>
      </c>
      <c r="C518" s="545" t="s">
        <v>102</v>
      </c>
      <c r="D518" s="549" t="s">
        <v>667</v>
      </c>
      <c r="E518" s="539">
        <f>VLOOKUP(B518,'2-Kosten per locatie'!$A$13:$C$87,3,FALSE)</f>
        <v>2</v>
      </c>
      <c r="F518" s="550"/>
      <c r="G518" s="551" t="s">
        <v>669</v>
      </c>
      <c r="H518" s="552" t="s">
        <v>670</v>
      </c>
      <c r="I518" s="551" t="s">
        <v>214</v>
      </c>
      <c r="J518" s="553">
        <v>731</v>
      </c>
      <c r="K518" s="554"/>
      <c r="L518" s="554"/>
      <c r="M518" s="554"/>
      <c r="N518" s="554"/>
      <c r="O518" s="554"/>
      <c r="P518" s="555"/>
      <c r="Q518" s="555"/>
      <c r="R518" s="555"/>
      <c r="S518" s="555"/>
      <c r="T518" s="556"/>
    </row>
    <row r="519" spans="1:20" ht="15" customHeight="1">
      <c r="A519" s="286">
        <v>519</v>
      </c>
      <c r="B519" s="544">
        <v>303</v>
      </c>
      <c r="C519" s="545" t="s">
        <v>102</v>
      </c>
      <c r="D519" s="549" t="s">
        <v>667</v>
      </c>
      <c r="E519" s="539">
        <f>VLOOKUP(B519,'2-Kosten per locatie'!$A$13:$C$87,3,FALSE)</f>
        <v>2</v>
      </c>
      <c r="F519" s="550"/>
      <c r="G519" s="551" t="s">
        <v>669</v>
      </c>
      <c r="H519" s="552" t="s">
        <v>524</v>
      </c>
      <c r="I519" s="551" t="s">
        <v>214</v>
      </c>
      <c r="J519" s="553">
        <v>803</v>
      </c>
      <c r="K519" s="554"/>
      <c r="L519" s="554"/>
      <c r="M519" s="554"/>
      <c r="N519" s="554"/>
      <c r="O519" s="554"/>
      <c r="P519" s="555"/>
      <c r="Q519" s="555"/>
      <c r="R519" s="555"/>
      <c r="S519" s="555"/>
      <c r="T519" s="556"/>
    </row>
    <row r="520" spans="1:20" ht="15" customHeight="1">
      <c r="A520" s="285">
        <v>520</v>
      </c>
      <c r="B520" s="544">
        <v>303</v>
      </c>
      <c r="C520" s="545" t="s">
        <v>102</v>
      </c>
      <c r="D520" s="549" t="s">
        <v>667</v>
      </c>
      <c r="E520" s="539">
        <f>VLOOKUP(B520,'2-Kosten per locatie'!$A$13:$C$87,3,FALSE)</f>
        <v>2</v>
      </c>
      <c r="F520" s="550"/>
      <c r="G520" s="551" t="s">
        <v>349</v>
      </c>
      <c r="H520" s="552" t="s">
        <v>692</v>
      </c>
      <c r="I520" s="551" t="s">
        <v>693</v>
      </c>
      <c r="J520" s="553">
        <v>47</v>
      </c>
      <c r="K520" s="554"/>
      <c r="L520" s="554"/>
      <c r="M520" s="554"/>
      <c r="N520" s="554"/>
      <c r="O520" s="554"/>
      <c r="P520" s="555"/>
      <c r="Q520" s="555"/>
      <c r="R520" s="555"/>
      <c r="S520" s="555"/>
      <c r="T520" s="556"/>
    </row>
    <row r="521" spans="1:20" ht="15" customHeight="1">
      <c r="A521" s="286">
        <v>521</v>
      </c>
      <c r="B521" s="544">
        <v>303</v>
      </c>
      <c r="C521" s="545" t="s">
        <v>102</v>
      </c>
      <c r="D521" s="549" t="s">
        <v>667</v>
      </c>
      <c r="E521" s="539">
        <f>VLOOKUP(B521,'2-Kosten per locatie'!$A$13:$C$87,3,FALSE)</f>
        <v>2</v>
      </c>
      <c r="F521" s="550"/>
      <c r="G521" s="551" t="s">
        <v>669</v>
      </c>
      <c r="H521" s="552" t="s">
        <v>694</v>
      </c>
      <c r="I521" s="551" t="s">
        <v>214</v>
      </c>
      <c r="J521" s="553">
        <v>122</v>
      </c>
      <c r="K521" s="554"/>
      <c r="L521" s="554"/>
      <c r="M521" s="554"/>
      <c r="N521" s="554"/>
      <c r="O521" s="554"/>
      <c r="P521" s="555"/>
      <c r="Q521" s="555"/>
      <c r="R521" s="555"/>
      <c r="S521" s="555"/>
      <c r="T521" s="556"/>
    </row>
    <row r="522" spans="1:20" ht="15" customHeight="1">
      <c r="A522" s="285">
        <v>522</v>
      </c>
      <c r="B522" s="544">
        <v>303</v>
      </c>
      <c r="C522" s="545" t="s">
        <v>102</v>
      </c>
      <c r="D522" s="549" t="s">
        <v>667</v>
      </c>
      <c r="E522" s="539">
        <f>VLOOKUP(B522,'2-Kosten per locatie'!$A$13:$C$87,3,FALSE)</f>
        <v>2</v>
      </c>
      <c r="F522" s="550"/>
      <c r="G522" s="551" t="s">
        <v>695</v>
      </c>
      <c r="H522" s="552" t="s">
        <v>696</v>
      </c>
      <c r="I522" s="551" t="s">
        <v>159</v>
      </c>
      <c r="J522" s="553">
        <v>49</v>
      </c>
      <c r="K522" s="554"/>
      <c r="L522" s="554">
        <v>32</v>
      </c>
      <c r="M522" s="554">
        <v>26</v>
      </c>
      <c r="N522" s="554"/>
      <c r="O522" s="554"/>
      <c r="P522" s="555"/>
      <c r="Q522" s="555"/>
      <c r="R522" s="555"/>
      <c r="S522" s="555">
        <v>49</v>
      </c>
      <c r="T522" s="556"/>
    </row>
    <row r="523" spans="1:20" ht="15" customHeight="1">
      <c r="A523" s="286">
        <v>523</v>
      </c>
      <c r="B523" s="544">
        <v>303</v>
      </c>
      <c r="C523" s="545" t="s">
        <v>102</v>
      </c>
      <c r="D523" s="549" t="s">
        <v>667</v>
      </c>
      <c r="E523" s="539">
        <f>VLOOKUP(B523,'2-Kosten per locatie'!$A$13:$C$87,3,FALSE)</f>
        <v>2</v>
      </c>
      <c r="F523" s="550"/>
      <c r="G523" s="551" t="s">
        <v>681</v>
      </c>
      <c r="H523" s="552" t="s">
        <v>682</v>
      </c>
      <c r="I523" s="551" t="s">
        <v>176</v>
      </c>
      <c r="J523" s="553">
        <v>31</v>
      </c>
      <c r="K523" s="554"/>
      <c r="L523" s="554"/>
      <c r="M523" s="554"/>
      <c r="N523" s="554"/>
      <c r="O523" s="554"/>
      <c r="P523" s="555"/>
      <c r="Q523" s="555"/>
      <c r="R523" s="555"/>
      <c r="S523" s="555"/>
      <c r="T523" s="556"/>
    </row>
    <row r="524" spans="1:20" ht="15" customHeight="1">
      <c r="A524" s="285">
        <v>524</v>
      </c>
      <c r="B524" s="544">
        <v>303</v>
      </c>
      <c r="C524" s="545" t="s">
        <v>102</v>
      </c>
      <c r="D524" s="549" t="s">
        <v>667</v>
      </c>
      <c r="E524" s="539">
        <f>VLOOKUP(B524,'2-Kosten per locatie'!$A$13:$C$87,3,FALSE)</f>
        <v>2</v>
      </c>
      <c r="F524" s="550"/>
      <c r="G524" s="551" t="s">
        <v>681</v>
      </c>
      <c r="H524" s="552"/>
      <c r="I524" s="551" t="s">
        <v>176</v>
      </c>
      <c r="J524" s="553">
        <v>31</v>
      </c>
      <c r="K524" s="554"/>
      <c r="L524" s="554"/>
      <c r="M524" s="554"/>
      <c r="N524" s="554"/>
      <c r="O524" s="554"/>
      <c r="P524" s="555"/>
      <c r="Q524" s="555"/>
      <c r="R524" s="555"/>
      <c r="S524" s="555"/>
      <c r="T524" s="556"/>
    </row>
    <row r="525" spans="1:20" ht="15" customHeight="1">
      <c r="A525" s="286">
        <v>525</v>
      </c>
      <c r="B525" s="544">
        <v>303</v>
      </c>
      <c r="C525" s="545" t="s">
        <v>102</v>
      </c>
      <c r="D525" s="549" t="s">
        <v>667</v>
      </c>
      <c r="E525" s="539">
        <f>VLOOKUP(B525,'2-Kosten per locatie'!$A$13:$C$87,3,FALSE)</f>
        <v>2</v>
      </c>
      <c r="F525" s="550"/>
      <c r="G525" s="551" t="s">
        <v>697</v>
      </c>
      <c r="H525" s="552" t="s">
        <v>158</v>
      </c>
      <c r="I525" s="551" t="s">
        <v>159</v>
      </c>
      <c r="J525" s="553">
        <v>1013</v>
      </c>
      <c r="K525" s="554">
        <v>92</v>
      </c>
      <c r="L525" s="554">
        <v>59</v>
      </c>
      <c r="M525" s="554"/>
      <c r="N525" s="554"/>
      <c r="O525" s="554"/>
      <c r="P525" s="555"/>
      <c r="Q525" s="555"/>
      <c r="R525" s="555"/>
      <c r="S525" s="555">
        <v>119</v>
      </c>
      <c r="T525" s="556" t="s">
        <v>698</v>
      </c>
    </row>
    <row r="526" spans="1:20" ht="15" customHeight="1">
      <c r="A526" s="286">
        <v>526</v>
      </c>
      <c r="B526" s="544">
        <v>303</v>
      </c>
      <c r="C526" s="545" t="s">
        <v>102</v>
      </c>
      <c r="D526" s="549" t="s">
        <v>667</v>
      </c>
      <c r="E526" s="539">
        <f>VLOOKUP(B526,'2-Kosten per locatie'!$A$13:$C$87,3,FALSE)</f>
        <v>2</v>
      </c>
      <c r="F526" s="550"/>
      <c r="G526" s="551" t="s">
        <v>699</v>
      </c>
      <c r="H526" s="552" t="s">
        <v>700</v>
      </c>
      <c r="I526" s="551" t="s">
        <v>214</v>
      </c>
      <c r="J526" s="553">
        <v>7</v>
      </c>
      <c r="K526" s="554"/>
      <c r="L526" s="554"/>
      <c r="M526" s="554">
        <v>25</v>
      </c>
      <c r="N526" s="554"/>
      <c r="O526" s="554"/>
      <c r="P526" s="555"/>
      <c r="Q526" s="555"/>
      <c r="R526" s="555">
        <v>7</v>
      </c>
      <c r="S526" s="555"/>
      <c r="T526" s="556"/>
    </row>
    <row r="527" spans="1:20" ht="15" customHeight="1">
      <c r="A527" s="285">
        <v>527</v>
      </c>
      <c r="B527" s="544">
        <v>303</v>
      </c>
      <c r="C527" s="545" t="s">
        <v>102</v>
      </c>
      <c r="D527" s="549" t="s">
        <v>667</v>
      </c>
      <c r="E527" s="539">
        <f>VLOOKUP(B527,'2-Kosten per locatie'!$A$13:$C$87,3,FALSE)</f>
        <v>2</v>
      </c>
      <c r="F527" s="550"/>
      <c r="G527" s="551" t="s">
        <v>671</v>
      </c>
      <c r="H527" s="552" t="s">
        <v>161</v>
      </c>
      <c r="I527" s="551" t="s">
        <v>214</v>
      </c>
      <c r="J527" s="553">
        <v>17</v>
      </c>
      <c r="K527" s="554"/>
      <c r="L527" s="554"/>
      <c r="M527" s="554">
        <v>45</v>
      </c>
      <c r="N527" s="554"/>
      <c r="O527" s="554"/>
      <c r="P527" s="555"/>
      <c r="Q527" s="555"/>
      <c r="R527" s="555">
        <v>17</v>
      </c>
      <c r="S527" s="555"/>
      <c r="T527" s="556"/>
    </row>
    <row r="528" spans="1:20" ht="15" customHeight="1">
      <c r="A528" s="286">
        <v>528</v>
      </c>
      <c r="B528" s="544">
        <v>303</v>
      </c>
      <c r="C528" s="545" t="s">
        <v>102</v>
      </c>
      <c r="D528" s="549" t="s">
        <v>667</v>
      </c>
      <c r="E528" s="539">
        <f>VLOOKUP(B528,'2-Kosten per locatie'!$A$13:$C$87,3,FALSE)</f>
        <v>2</v>
      </c>
      <c r="F528" s="550"/>
      <c r="G528" s="551" t="s">
        <v>672</v>
      </c>
      <c r="H528" s="552" t="s">
        <v>282</v>
      </c>
      <c r="I528" s="551" t="s">
        <v>214</v>
      </c>
      <c r="J528" s="553">
        <v>9</v>
      </c>
      <c r="K528" s="554"/>
      <c r="L528" s="554"/>
      <c r="M528" s="554">
        <v>30</v>
      </c>
      <c r="N528" s="554"/>
      <c r="O528" s="554"/>
      <c r="P528" s="555"/>
      <c r="Q528" s="555"/>
      <c r="R528" s="555">
        <v>9</v>
      </c>
      <c r="S528" s="555"/>
      <c r="T528" s="556"/>
    </row>
    <row r="529" spans="1:20" ht="15" customHeight="1">
      <c r="A529" s="285">
        <v>529</v>
      </c>
      <c r="B529" s="544">
        <v>303</v>
      </c>
      <c r="C529" s="545" t="s">
        <v>102</v>
      </c>
      <c r="D529" s="549" t="s">
        <v>667</v>
      </c>
      <c r="E529" s="539">
        <f>VLOOKUP(B529,'2-Kosten per locatie'!$A$13:$C$87,3,FALSE)</f>
        <v>2</v>
      </c>
      <c r="F529" s="550"/>
      <c r="G529" s="551" t="s">
        <v>157</v>
      </c>
      <c r="H529" s="552" t="s">
        <v>701</v>
      </c>
      <c r="I529" s="551" t="s">
        <v>214</v>
      </c>
      <c r="J529" s="553">
        <v>4</v>
      </c>
      <c r="K529" s="554"/>
      <c r="L529" s="554"/>
      <c r="M529" s="554">
        <v>25</v>
      </c>
      <c r="N529" s="554"/>
      <c r="O529" s="554"/>
      <c r="P529" s="555"/>
      <c r="Q529" s="555"/>
      <c r="R529" s="555">
        <v>4</v>
      </c>
      <c r="S529" s="555"/>
      <c r="T529" s="556"/>
    </row>
    <row r="530" spans="1:20" ht="15" customHeight="1">
      <c r="A530" s="286">
        <v>530</v>
      </c>
      <c r="B530" s="544">
        <v>303</v>
      </c>
      <c r="C530" s="545" t="s">
        <v>102</v>
      </c>
      <c r="D530" s="549" t="s">
        <v>667</v>
      </c>
      <c r="E530" s="539">
        <f>VLOOKUP(B530,'2-Kosten per locatie'!$A$13:$C$87,3,FALSE)</f>
        <v>2</v>
      </c>
      <c r="F530" s="550"/>
      <c r="G530" s="551" t="s">
        <v>157</v>
      </c>
      <c r="H530" s="552" t="s">
        <v>702</v>
      </c>
      <c r="I530" s="551" t="s">
        <v>171</v>
      </c>
      <c r="J530" s="553">
        <v>16</v>
      </c>
      <c r="K530" s="554"/>
      <c r="L530" s="554"/>
      <c r="M530" s="554">
        <v>40</v>
      </c>
      <c r="N530" s="554"/>
      <c r="O530" s="554"/>
      <c r="P530" s="555"/>
      <c r="Q530" s="555"/>
      <c r="R530" s="555">
        <v>16</v>
      </c>
      <c r="S530" s="555"/>
      <c r="T530" s="556"/>
    </row>
    <row r="531" spans="1:20" ht="15" customHeight="1">
      <c r="A531" s="285">
        <v>531</v>
      </c>
      <c r="B531" s="544">
        <v>303</v>
      </c>
      <c r="C531" s="545" t="s">
        <v>102</v>
      </c>
      <c r="D531" s="549" t="s">
        <v>667</v>
      </c>
      <c r="E531" s="539">
        <f>VLOOKUP(B531,'2-Kosten per locatie'!$A$13:$C$87,3,FALSE)</f>
        <v>2</v>
      </c>
      <c r="F531" s="550"/>
      <c r="G531" s="551" t="s">
        <v>157</v>
      </c>
      <c r="H531" s="552" t="s">
        <v>703</v>
      </c>
      <c r="I531" s="551" t="s">
        <v>171</v>
      </c>
      <c r="J531" s="553">
        <v>7</v>
      </c>
      <c r="K531" s="554"/>
      <c r="L531" s="554"/>
      <c r="M531" s="554">
        <v>36</v>
      </c>
      <c r="N531" s="554"/>
      <c r="O531" s="554"/>
      <c r="P531" s="555"/>
      <c r="Q531" s="555"/>
      <c r="R531" s="555">
        <v>7</v>
      </c>
      <c r="S531" s="555"/>
      <c r="T531" s="556"/>
    </row>
    <row r="532" spans="1:20" ht="15" customHeight="1">
      <c r="A532" s="286">
        <v>532</v>
      </c>
      <c r="B532" s="544">
        <v>303</v>
      </c>
      <c r="C532" s="545" t="s">
        <v>102</v>
      </c>
      <c r="D532" s="549" t="s">
        <v>667</v>
      </c>
      <c r="E532" s="539">
        <f>VLOOKUP(B532,'2-Kosten per locatie'!$A$13:$C$87,3,FALSE)</f>
        <v>2</v>
      </c>
      <c r="F532" s="550"/>
      <c r="G532" s="551" t="s">
        <v>463</v>
      </c>
      <c r="H532" s="552" t="s">
        <v>512</v>
      </c>
      <c r="I532" s="551" t="s">
        <v>159</v>
      </c>
      <c r="J532" s="553">
        <v>6</v>
      </c>
      <c r="K532" s="554">
        <v>2</v>
      </c>
      <c r="L532" s="554">
        <v>38</v>
      </c>
      <c r="M532" s="554"/>
      <c r="N532" s="554"/>
      <c r="O532" s="554"/>
      <c r="P532" s="555"/>
      <c r="Q532" s="555"/>
      <c r="R532" s="555">
        <v>6</v>
      </c>
      <c r="S532" s="555"/>
      <c r="T532" s="556"/>
    </row>
    <row r="533" spans="1:20" ht="15" customHeight="1">
      <c r="A533" s="286">
        <v>533</v>
      </c>
      <c r="B533" s="544">
        <v>303</v>
      </c>
      <c r="C533" s="545" t="s">
        <v>102</v>
      </c>
      <c r="D533" s="549" t="s">
        <v>667</v>
      </c>
      <c r="E533" s="539">
        <f>VLOOKUP(B533,'2-Kosten per locatie'!$A$13:$C$87,3,FALSE)</f>
        <v>2</v>
      </c>
      <c r="F533" s="550"/>
      <c r="G533" s="551" t="s">
        <v>704</v>
      </c>
      <c r="H533" s="552" t="s">
        <v>166</v>
      </c>
      <c r="I533" s="551" t="s">
        <v>159</v>
      </c>
      <c r="J533" s="553">
        <v>64</v>
      </c>
      <c r="K533" s="554"/>
      <c r="L533" s="554">
        <v>195</v>
      </c>
      <c r="M533" s="554"/>
      <c r="N533" s="554"/>
      <c r="O533" s="554"/>
      <c r="P533" s="555"/>
      <c r="Q533" s="555"/>
      <c r="R533" s="555">
        <v>64</v>
      </c>
      <c r="S533" s="555"/>
      <c r="T533" s="556"/>
    </row>
    <row r="534" spans="1:20" ht="15" customHeight="1">
      <c r="A534" s="285">
        <v>534</v>
      </c>
      <c r="B534" s="544">
        <v>303</v>
      </c>
      <c r="C534" s="545" t="s">
        <v>102</v>
      </c>
      <c r="D534" s="549" t="s">
        <v>667</v>
      </c>
      <c r="E534" s="539">
        <f>VLOOKUP(B534,'2-Kosten per locatie'!$A$13:$C$87,3,FALSE)</f>
        <v>2</v>
      </c>
      <c r="F534" s="550"/>
      <c r="G534" s="551" t="s">
        <v>704</v>
      </c>
      <c r="H534" s="552" t="s">
        <v>607</v>
      </c>
      <c r="I534" s="551" t="s">
        <v>159</v>
      </c>
      <c r="J534" s="553">
        <v>50</v>
      </c>
      <c r="K534" s="554"/>
      <c r="L534" s="554">
        <v>190</v>
      </c>
      <c r="M534" s="554"/>
      <c r="N534" s="554"/>
      <c r="O534" s="554"/>
      <c r="P534" s="555"/>
      <c r="Q534" s="555"/>
      <c r="R534" s="555">
        <v>50</v>
      </c>
      <c r="S534" s="555"/>
      <c r="T534" s="556"/>
    </row>
    <row r="535" spans="1:20" ht="15" customHeight="1">
      <c r="A535" s="286">
        <v>535</v>
      </c>
      <c r="B535" s="544">
        <v>303</v>
      </c>
      <c r="C535" s="545" t="s">
        <v>102</v>
      </c>
      <c r="D535" s="549" t="s">
        <v>667</v>
      </c>
      <c r="E535" s="539">
        <f>VLOOKUP(B535,'2-Kosten per locatie'!$A$13:$C$87,3,FALSE)</f>
        <v>2</v>
      </c>
      <c r="F535" s="550"/>
      <c r="G535" s="551" t="s">
        <v>705</v>
      </c>
      <c r="H535" s="552"/>
      <c r="I535" s="551" t="s">
        <v>214</v>
      </c>
      <c r="J535" s="553">
        <v>10</v>
      </c>
      <c r="K535" s="554"/>
      <c r="L535" s="554"/>
      <c r="M535" s="554">
        <v>30</v>
      </c>
      <c r="N535" s="554"/>
      <c r="O535" s="554"/>
      <c r="P535" s="555"/>
      <c r="Q535" s="555">
        <v>10</v>
      </c>
      <c r="R535" s="555"/>
      <c r="S535" s="555"/>
      <c r="T535" s="556"/>
    </row>
    <row r="536" spans="1:20" ht="15" customHeight="1">
      <c r="A536" s="285">
        <v>536</v>
      </c>
      <c r="B536" s="544">
        <v>303</v>
      </c>
      <c r="C536" s="545" t="s">
        <v>102</v>
      </c>
      <c r="D536" s="549" t="s">
        <v>667</v>
      </c>
      <c r="E536" s="539">
        <f>VLOOKUP(B536,'2-Kosten per locatie'!$A$13:$C$87,3,FALSE)</f>
        <v>2</v>
      </c>
      <c r="F536" s="550"/>
      <c r="G536" s="551" t="s">
        <v>606</v>
      </c>
      <c r="H536" s="552"/>
      <c r="I536" s="551" t="s">
        <v>205</v>
      </c>
      <c r="J536" s="553">
        <v>5</v>
      </c>
      <c r="K536" s="554"/>
      <c r="L536" s="554"/>
      <c r="M536" s="554">
        <v>0</v>
      </c>
      <c r="N536" s="554"/>
      <c r="O536" s="554"/>
      <c r="P536" s="555"/>
      <c r="Q536" s="555"/>
      <c r="R536" s="555"/>
      <c r="S536" s="555"/>
      <c r="T536" s="556"/>
    </row>
    <row r="537" spans="1:20" ht="15" customHeight="1">
      <c r="A537" s="286">
        <v>537</v>
      </c>
      <c r="B537" s="544" t="s">
        <v>103</v>
      </c>
      <c r="C537" s="545" t="s">
        <v>104</v>
      </c>
      <c r="D537" s="549" t="s">
        <v>667</v>
      </c>
      <c r="E537" s="539">
        <f>VLOOKUP(B537,'2-Kosten per locatie'!$A$13:$C$87,3,FALSE)</f>
        <v>2</v>
      </c>
      <c r="F537" s="550"/>
      <c r="G537" s="551" t="s">
        <v>706</v>
      </c>
      <c r="H537" s="552" t="s">
        <v>707</v>
      </c>
      <c r="I537" s="551" t="s">
        <v>205</v>
      </c>
      <c r="J537" s="553">
        <v>7</v>
      </c>
      <c r="K537" s="554"/>
      <c r="L537" s="554"/>
      <c r="M537" s="554">
        <v>92</v>
      </c>
      <c r="N537" s="554"/>
      <c r="O537" s="554"/>
      <c r="P537" s="555"/>
      <c r="Q537" s="555"/>
      <c r="R537" s="555"/>
      <c r="S537" s="555"/>
      <c r="T537" s="556"/>
    </row>
    <row r="538" spans="1:20" ht="15" customHeight="1">
      <c r="A538" s="285">
        <v>538</v>
      </c>
      <c r="B538" s="544">
        <v>304</v>
      </c>
      <c r="C538" s="545" t="s">
        <v>105</v>
      </c>
      <c r="D538" s="549" t="s">
        <v>667</v>
      </c>
      <c r="E538" s="539">
        <f>VLOOKUP(B538,'2-Kosten per locatie'!$A$13:$C$87,3,FALSE)</f>
        <v>2</v>
      </c>
      <c r="F538" s="550"/>
      <c r="G538" s="551" t="s">
        <v>668</v>
      </c>
      <c r="H538" s="552" t="s">
        <v>708</v>
      </c>
      <c r="I538" s="551" t="s">
        <v>180</v>
      </c>
      <c r="J538" s="553">
        <v>152</v>
      </c>
      <c r="K538" s="554"/>
      <c r="L538" s="554"/>
      <c r="M538" s="554"/>
      <c r="N538" s="554"/>
      <c r="O538" s="554"/>
      <c r="P538" s="555"/>
      <c r="Q538" s="555"/>
      <c r="R538" s="555"/>
      <c r="S538" s="555"/>
      <c r="T538" s="556"/>
    </row>
    <row r="539" spans="1:20" ht="15" customHeight="1">
      <c r="A539" s="286">
        <v>539</v>
      </c>
      <c r="B539" s="544">
        <v>304</v>
      </c>
      <c r="C539" s="545" t="s">
        <v>105</v>
      </c>
      <c r="D539" s="549" t="s">
        <v>667</v>
      </c>
      <c r="E539" s="539">
        <f>VLOOKUP(B539,'2-Kosten per locatie'!$A$13:$C$87,3,FALSE)</f>
        <v>2</v>
      </c>
      <c r="F539" s="550"/>
      <c r="G539" s="551" t="s">
        <v>669</v>
      </c>
      <c r="H539" s="552" t="s">
        <v>670</v>
      </c>
      <c r="I539" s="551" t="s">
        <v>709</v>
      </c>
      <c r="J539" s="553">
        <v>1279</v>
      </c>
      <c r="K539" s="554"/>
      <c r="L539" s="554"/>
      <c r="M539" s="554"/>
      <c r="N539" s="554"/>
      <c r="O539" s="554"/>
      <c r="P539" s="555"/>
      <c r="Q539" s="555"/>
      <c r="R539" s="555"/>
      <c r="S539" s="555"/>
      <c r="T539" s="556"/>
    </row>
    <row r="540" spans="1:20" ht="15" customHeight="1">
      <c r="A540" s="286">
        <v>540</v>
      </c>
      <c r="B540" s="544">
        <v>304</v>
      </c>
      <c r="C540" s="545" t="s">
        <v>105</v>
      </c>
      <c r="D540" s="549" t="s">
        <v>667</v>
      </c>
      <c r="E540" s="539">
        <f>VLOOKUP(B540,'2-Kosten per locatie'!$A$13:$C$87,3,FALSE)</f>
        <v>2</v>
      </c>
      <c r="F540" s="550"/>
      <c r="G540" s="551" t="s">
        <v>710</v>
      </c>
      <c r="H540" s="552" t="s">
        <v>670</v>
      </c>
      <c r="I540" s="551" t="s">
        <v>711</v>
      </c>
      <c r="J540" s="553">
        <v>165</v>
      </c>
      <c r="K540" s="554"/>
      <c r="L540" s="554"/>
      <c r="M540" s="554"/>
      <c r="N540" s="554"/>
      <c r="O540" s="554"/>
      <c r="P540" s="555"/>
      <c r="Q540" s="555"/>
      <c r="R540" s="555"/>
      <c r="S540" s="555"/>
      <c r="T540" s="556"/>
    </row>
    <row r="541" spans="1:20" ht="15" customHeight="1">
      <c r="A541" s="285">
        <v>541</v>
      </c>
      <c r="B541" s="544">
        <v>304</v>
      </c>
      <c r="C541" s="545" t="s">
        <v>105</v>
      </c>
      <c r="D541" s="549" t="s">
        <v>667</v>
      </c>
      <c r="E541" s="539">
        <f>VLOOKUP(B541,'2-Kosten per locatie'!$A$13:$C$87,3,FALSE)</f>
        <v>2</v>
      </c>
      <c r="F541" s="550"/>
      <c r="G541" s="551" t="s">
        <v>712</v>
      </c>
      <c r="H541" s="552" t="s">
        <v>670</v>
      </c>
      <c r="I541" s="551" t="s">
        <v>214</v>
      </c>
      <c r="J541" s="553">
        <v>241</v>
      </c>
      <c r="K541" s="554"/>
      <c r="L541" s="554"/>
      <c r="M541" s="554"/>
      <c r="N541" s="554"/>
      <c r="O541" s="554"/>
      <c r="P541" s="555"/>
      <c r="Q541" s="555"/>
      <c r="R541" s="555"/>
      <c r="S541" s="555"/>
      <c r="T541" s="556"/>
    </row>
    <row r="542" spans="1:20" ht="15" customHeight="1">
      <c r="A542" s="286">
        <v>542</v>
      </c>
      <c r="B542" s="544">
        <v>304</v>
      </c>
      <c r="C542" s="545" t="s">
        <v>105</v>
      </c>
      <c r="D542" s="549" t="s">
        <v>667</v>
      </c>
      <c r="E542" s="539">
        <f>VLOOKUP(B542,'2-Kosten per locatie'!$A$13:$C$87,3,FALSE)</f>
        <v>2</v>
      </c>
      <c r="F542" s="550"/>
      <c r="G542" s="551" t="s">
        <v>713</v>
      </c>
      <c r="H542" s="552" t="s">
        <v>714</v>
      </c>
      <c r="I542" s="551" t="s">
        <v>162</v>
      </c>
      <c r="J542" s="553">
        <v>1</v>
      </c>
      <c r="K542" s="554"/>
      <c r="L542" s="554"/>
      <c r="M542" s="554"/>
      <c r="N542" s="554">
        <v>22</v>
      </c>
      <c r="O542" s="554">
        <v>17</v>
      </c>
      <c r="P542" s="555"/>
      <c r="Q542" s="555"/>
      <c r="R542" s="555"/>
      <c r="S542" s="555">
        <v>9</v>
      </c>
      <c r="T542" s="556"/>
    </row>
    <row r="543" spans="1:20" ht="15" customHeight="1">
      <c r="A543" s="285">
        <v>543</v>
      </c>
      <c r="B543" s="544">
        <v>304</v>
      </c>
      <c r="C543" s="545" t="s">
        <v>105</v>
      </c>
      <c r="D543" s="549" t="s">
        <v>667</v>
      </c>
      <c r="E543" s="539">
        <f>VLOOKUP(B543,'2-Kosten per locatie'!$A$13:$C$87,3,FALSE)</f>
        <v>2</v>
      </c>
      <c r="F543" s="550"/>
      <c r="G543" s="551" t="s">
        <v>713</v>
      </c>
      <c r="H543" s="552" t="s">
        <v>714</v>
      </c>
      <c r="I543" s="551" t="s">
        <v>162</v>
      </c>
      <c r="J543" s="553">
        <v>8</v>
      </c>
      <c r="K543" s="554"/>
      <c r="L543" s="554"/>
      <c r="M543" s="554"/>
      <c r="N543" s="554">
        <v>22</v>
      </c>
      <c r="O543" s="554">
        <v>17</v>
      </c>
      <c r="P543" s="555"/>
      <c r="Q543" s="555"/>
      <c r="R543" s="555"/>
      <c r="S543" s="555">
        <v>9</v>
      </c>
      <c r="T543" s="556"/>
    </row>
    <row r="544" spans="1:20" ht="15" customHeight="1">
      <c r="A544" s="286">
        <v>544</v>
      </c>
      <c r="B544" s="544">
        <v>304</v>
      </c>
      <c r="C544" s="545" t="s">
        <v>105</v>
      </c>
      <c r="D544" s="549" t="s">
        <v>667</v>
      </c>
      <c r="E544" s="539">
        <f>VLOOKUP(B544,'2-Kosten per locatie'!$A$13:$C$87,3,FALSE)</f>
        <v>2</v>
      </c>
      <c r="F544" s="550"/>
      <c r="G544" s="551" t="s">
        <v>681</v>
      </c>
      <c r="H544" s="552" t="s">
        <v>715</v>
      </c>
      <c r="I544" s="551" t="s">
        <v>176</v>
      </c>
      <c r="J544" s="553">
        <v>62</v>
      </c>
      <c r="K544" s="554"/>
      <c r="L544" s="554"/>
      <c r="M544" s="554"/>
      <c r="N544" s="554">
        <v>36</v>
      </c>
      <c r="O544" s="554"/>
      <c r="P544" s="555"/>
      <c r="Q544" s="555"/>
      <c r="R544" s="555"/>
      <c r="S544" s="555"/>
      <c r="T544" s="556"/>
    </row>
    <row r="545" spans="1:20" ht="15" customHeight="1">
      <c r="A545" s="285">
        <v>545</v>
      </c>
      <c r="B545" s="544">
        <v>304</v>
      </c>
      <c r="C545" s="545" t="s">
        <v>105</v>
      </c>
      <c r="D545" s="549" t="s">
        <v>667</v>
      </c>
      <c r="E545" s="539">
        <f>VLOOKUP(B545,'2-Kosten per locatie'!$A$13:$C$87,3,FALSE)</f>
        <v>2</v>
      </c>
      <c r="F545" s="550"/>
      <c r="G545" s="551" t="s">
        <v>473</v>
      </c>
      <c r="H545" s="552" t="s">
        <v>158</v>
      </c>
      <c r="I545" s="551" t="s">
        <v>159</v>
      </c>
      <c r="J545" s="553">
        <v>12</v>
      </c>
      <c r="K545" s="554"/>
      <c r="L545" s="554">
        <v>49</v>
      </c>
      <c r="M545" s="554"/>
      <c r="N545" s="554"/>
      <c r="O545" s="554"/>
      <c r="P545" s="555"/>
      <c r="Q545" s="555"/>
      <c r="R545" s="555">
        <v>12</v>
      </c>
      <c r="S545" s="555"/>
      <c r="T545" s="556"/>
    </row>
    <row r="546" spans="1:20" ht="15" customHeight="1">
      <c r="A546" s="286">
        <v>546</v>
      </c>
      <c r="B546" s="544">
        <v>304</v>
      </c>
      <c r="C546" s="545" t="s">
        <v>105</v>
      </c>
      <c r="D546" s="549" t="s">
        <v>667</v>
      </c>
      <c r="E546" s="539">
        <f>VLOOKUP(B546,'2-Kosten per locatie'!$A$13:$C$87,3,FALSE)</f>
        <v>2</v>
      </c>
      <c r="F546" s="550"/>
      <c r="G546" s="551" t="s">
        <v>398</v>
      </c>
      <c r="H546" s="552" t="s">
        <v>509</v>
      </c>
      <c r="I546" s="551" t="s">
        <v>159</v>
      </c>
      <c r="J546" s="553">
        <v>8</v>
      </c>
      <c r="K546" s="554"/>
      <c r="L546" s="554">
        <v>33</v>
      </c>
      <c r="M546" s="554"/>
      <c r="N546" s="554"/>
      <c r="O546" s="554"/>
      <c r="P546" s="555"/>
      <c r="Q546" s="555"/>
      <c r="R546" s="555">
        <v>8</v>
      </c>
      <c r="S546" s="555"/>
      <c r="T546" s="556"/>
    </row>
    <row r="547" spans="1:20" ht="15" customHeight="1">
      <c r="A547" s="286">
        <v>547</v>
      </c>
      <c r="B547" s="544">
        <v>304</v>
      </c>
      <c r="C547" s="545" t="s">
        <v>105</v>
      </c>
      <c r="D547" s="549" t="s">
        <v>667</v>
      </c>
      <c r="E547" s="539">
        <f>VLOOKUP(B547,'2-Kosten per locatie'!$A$13:$C$87,3,FALSE)</f>
        <v>2</v>
      </c>
      <c r="F547" s="550"/>
      <c r="G547" s="551" t="s">
        <v>671</v>
      </c>
      <c r="H547" s="552" t="s">
        <v>161</v>
      </c>
      <c r="I547" s="551" t="s">
        <v>159</v>
      </c>
      <c r="J547" s="553">
        <v>10</v>
      </c>
      <c r="K547" s="554"/>
      <c r="L547" s="554">
        <v>45</v>
      </c>
      <c r="M547" s="554"/>
      <c r="N547" s="554"/>
      <c r="O547" s="554"/>
      <c r="P547" s="555"/>
      <c r="Q547" s="555"/>
      <c r="R547" s="555">
        <v>10</v>
      </c>
      <c r="S547" s="555"/>
      <c r="T547" s="556"/>
    </row>
    <row r="548" spans="1:20" ht="15" customHeight="1">
      <c r="A548" s="285">
        <v>548</v>
      </c>
      <c r="B548" s="544">
        <v>304</v>
      </c>
      <c r="C548" s="545" t="s">
        <v>105</v>
      </c>
      <c r="D548" s="549" t="s">
        <v>667</v>
      </c>
      <c r="E548" s="539">
        <f>VLOOKUP(B548,'2-Kosten per locatie'!$A$13:$C$87,3,FALSE)</f>
        <v>2</v>
      </c>
      <c r="F548" s="550"/>
      <c r="G548" s="551" t="s">
        <v>672</v>
      </c>
      <c r="H548" s="552" t="s">
        <v>282</v>
      </c>
      <c r="I548" s="551" t="s">
        <v>159</v>
      </c>
      <c r="J548" s="553">
        <v>8</v>
      </c>
      <c r="K548" s="554"/>
      <c r="L548" s="554">
        <v>38</v>
      </c>
      <c r="M548" s="554"/>
      <c r="N548" s="554"/>
      <c r="O548" s="554"/>
      <c r="P548" s="555"/>
      <c r="Q548" s="555"/>
      <c r="R548" s="555">
        <v>8</v>
      </c>
      <c r="S548" s="555"/>
      <c r="T548" s="556"/>
    </row>
    <row r="549" spans="1:20" ht="15" customHeight="1">
      <c r="A549" s="286">
        <v>549</v>
      </c>
      <c r="B549" s="544">
        <v>304</v>
      </c>
      <c r="C549" s="545" t="s">
        <v>105</v>
      </c>
      <c r="D549" s="549" t="s">
        <v>667</v>
      </c>
      <c r="E549" s="539">
        <f>VLOOKUP(B549,'2-Kosten per locatie'!$A$13:$C$87,3,FALSE)</f>
        <v>2</v>
      </c>
      <c r="F549" s="550"/>
      <c r="G549" s="551" t="s">
        <v>672</v>
      </c>
      <c r="H549" s="552" t="s">
        <v>593</v>
      </c>
      <c r="I549" s="551" t="s">
        <v>159</v>
      </c>
      <c r="J549" s="553">
        <v>1</v>
      </c>
      <c r="K549" s="554"/>
      <c r="L549" s="554">
        <v>13</v>
      </c>
      <c r="M549" s="554"/>
      <c r="N549" s="554"/>
      <c r="O549" s="554"/>
      <c r="P549" s="555"/>
      <c r="Q549" s="555"/>
      <c r="R549" s="555">
        <v>1</v>
      </c>
      <c r="S549" s="555"/>
      <c r="T549" s="556"/>
    </row>
    <row r="550" spans="1:20" ht="15" customHeight="1">
      <c r="A550" s="285">
        <v>550</v>
      </c>
      <c r="B550" s="544">
        <v>304</v>
      </c>
      <c r="C550" s="545" t="s">
        <v>105</v>
      </c>
      <c r="D550" s="549" t="s">
        <v>667</v>
      </c>
      <c r="E550" s="539">
        <f>VLOOKUP(B550,'2-Kosten per locatie'!$A$13:$C$87,3,FALSE)</f>
        <v>2</v>
      </c>
      <c r="F550" s="550"/>
      <c r="G550" s="551" t="s">
        <v>716</v>
      </c>
      <c r="H550" s="552" t="s">
        <v>510</v>
      </c>
      <c r="I550" s="551" t="s">
        <v>159</v>
      </c>
      <c r="J550" s="553">
        <v>10</v>
      </c>
      <c r="K550" s="554"/>
      <c r="L550" s="554">
        <v>13</v>
      </c>
      <c r="M550" s="554"/>
      <c r="N550" s="554"/>
      <c r="O550" s="554"/>
      <c r="P550" s="555"/>
      <c r="Q550" s="555"/>
      <c r="R550" s="555">
        <v>10</v>
      </c>
      <c r="S550" s="555"/>
      <c r="T550" s="556"/>
    </row>
    <row r="551" spans="1:20" ht="15" customHeight="1">
      <c r="A551" s="286">
        <v>551</v>
      </c>
      <c r="B551" s="544">
        <v>304</v>
      </c>
      <c r="C551" s="545" t="s">
        <v>105</v>
      </c>
      <c r="D551" s="549" t="s">
        <v>667</v>
      </c>
      <c r="E551" s="539">
        <f>VLOOKUP(B551,'2-Kosten per locatie'!$A$13:$C$87,3,FALSE)</f>
        <v>2</v>
      </c>
      <c r="F551" s="550"/>
      <c r="G551" s="551" t="s">
        <v>463</v>
      </c>
      <c r="H551" s="552" t="s">
        <v>512</v>
      </c>
      <c r="I551" s="551" t="s">
        <v>159</v>
      </c>
      <c r="J551" s="553">
        <v>10</v>
      </c>
      <c r="K551" s="554"/>
      <c r="L551" s="554">
        <v>45</v>
      </c>
      <c r="M551" s="554"/>
      <c r="N551" s="554"/>
      <c r="O551" s="554"/>
      <c r="P551" s="555"/>
      <c r="Q551" s="555"/>
      <c r="R551" s="555">
        <v>10</v>
      </c>
      <c r="S551" s="555"/>
      <c r="T551" s="556"/>
    </row>
    <row r="552" spans="1:20" ht="15" customHeight="1">
      <c r="A552" s="285">
        <v>552</v>
      </c>
      <c r="B552" s="544">
        <v>304</v>
      </c>
      <c r="C552" s="545" t="s">
        <v>105</v>
      </c>
      <c r="D552" s="549" t="s">
        <v>667</v>
      </c>
      <c r="E552" s="539">
        <f>VLOOKUP(B552,'2-Kosten per locatie'!$A$13:$C$87,3,FALSE)</f>
        <v>2</v>
      </c>
      <c r="F552" s="550"/>
      <c r="G552" s="551" t="s">
        <v>704</v>
      </c>
      <c r="H552" s="552" t="s">
        <v>166</v>
      </c>
      <c r="I552" s="551" t="s">
        <v>159</v>
      </c>
      <c r="J552" s="553">
        <v>15</v>
      </c>
      <c r="K552" s="554"/>
      <c r="L552" s="554">
        <v>60</v>
      </c>
      <c r="M552" s="554"/>
      <c r="N552" s="554"/>
      <c r="O552" s="554"/>
      <c r="P552" s="555"/>
      <c r="Q552" s="555"/>
      <c r="R552" s="555">
        <v>15</v>
      </c>
      <c r="S552" s="555"/>
      <c r="T552" s="556"/>
    </row>
    <row r="553" spans="1:20" ht="15" customHeight="1">
      <c r="A553" s="286">
        <v>553</v>
      </c>
      <c r="B553" s="544">
        <v>304</v>
      </c>
      <c r="C553" s="545" t="s">
        <v>105</v>
      </c>
      <c r="D553" s="549" t="s">
        <v>667</v>
      </c>
      <c r="E553" s="539">
        <f>VLOOKUP(B553,'2-Kosten per locatie'!$A$13:$C$87,3,FALSE)</f>
        <v>2</v>
      </c>
      <c r="F553" s="550"/>
      <c r="G553" s="551" t="s">
        <v>704</v>
      </c>
      <c r="H553" s="552" t="s">
        <v>607</v>
      </c>
      <c r="I553" s="551" t="s">
        <v>159</v>
      </c>
      <c r="J553" s="553">
        <v>11</v>
      </c>
      <c r="K553" s="554"/>
      <c r="L553" s="554">
        <v>54</v>
      </c>
      <c r="M553" s="554"/>
      <c r="N553" s="554"/>
      <c r="O553" s="554"/>
      <c r="P553" s="555"/>
      <c r="Q553" s="555"/>
      <c r="R553" s="555">
        <v>11</v>
      </c>
      <c r="S553" s="555"/>
      <c r="T553" s="556"/>
    </row>
    <row r="554" spans="1:20" ht="15" customHeight="1">
      <c r="A554" s="286">
        <v>554</v>
      </c>
      <c r="B554" s="544">
        <v>304</v>
      </c>
      <c r="C554" s="545" t="s">
        <v>105</v>
      </c>
      <c r="D554" s="549" t="s">
        <v>667</v>
      </c>
      <c r="E554" s="539">
        <f>VLOOKUP(B554,'2-Kosten per locatie'!$A$13:$C$87,3,FALSE)</f>
        <v>2</v>
      </c>
      <c r="F554" s="550"/>
      <c r="G554" s="551" t="s">
        <v>717</v>
      </c>
      <c r="H554" s="552" t="s">
        <v>718</v>
      </c>
      <c r="I554" s="551" t="s">
        <v>251</v>
      </c>
      <c r="J554" s="553">
        <v>90</v>
      </c>
      <c r="K554" s="554"/>
      <c r="L554" s="554"/>
      <c r="M554" s="554"/>
      <c r="N554" s="554"/>
      <c r="O554" s="554"/>
      <c r="P554" s="555"/>
      <c r="Q554" s="555"/>
      <c r="R554" s="555"/>
      <c r="S554" s="555"/>
      <c r="T554" s="556" t="s">
        <v>719</v>
      </c>
    </row>
    <row r="555" spans="1:20" ht="15" customHeight="1">
      <c r="A555" s="285">
        <v>555</v>
      </c>
      <c r="B555" s="544">
        <v>304</v>
      </c>
      <c r="C555" s="545" t="s">
        <v>105</v>
      </c>
      <c r="D555" s="549" t="s">
        <v>667</v>
      </c>
      <c r="E555" s="539">
        <f>VLOOKUP(B555,'2-Kosten per locatie'!$A$13:$C$87,3,FALSE)</f>
        <v>2</v>
      </c>
      <c r="F555" s="550"/>
      <c r="G555" s="551" t="s">
        <v>689</v>
      </c>
      <c r="H555" s="552" t="s">
        <v>517</v>
      </c>
      <c r="I555" s="551" t="s">
        <v>205</v>
      </c>
      <c r="J555" s="553">
        <v>5</v>
      </c>
      <c r="K555" s="554"/>
      <c r="L555" s="554"/>
      <c r="M555" s="554"/>
      <c r="N555" s="554"/>
      <c r="O555" s="554"/>
      <c r="P555" s="555"/>
      <c r="Q555" s="555"/>
      <c r="R555" s="555"/>
      <c r="S555" s="555"/>
      <c r="T555" s="556"/>
    </row>
    <row r="556" spans="1:20" s="536" customFormat="1" ht="15" customHeight="1">
      <c r="A556" s="286">
        <v>556</v>
      </c>
      <c r="B556" s="620">
        <v>304</v>
      </c>
      <c r="C556" s="545" t="s">
        <v>105</v>
      </c>
      <c r="D556" s="631" t="s">
        <v>667</v>
      </c>
      <c r="E556" s="632">
        <f>VLOOKUP(B556,'2-Kosten per locatie'!$A$13:$C$87,3,FALSE)</f>
        <v>2</v>
      </c>
      <c r="F556" s="633"/>
      <c r="G556" s="622" t="s">
        <v>689</v>
      </c>
      <c r="H556" s="634"/>
      <c r="I556" s="622" t="s">
        <v>205</v>
      </c>
      <c r="J556" s="635">
        <v>5</v>
      </c>
      <c r="K556" s="636"/>
      <c r="L556" s="636"/>
      <c r="M556" s="636"/>
      <c r="N556" s="636"/>
      <c r="O556" s="636"/>
      <c r="P556" s="637"/>
      <c r="Q556" s="637"/>
      <c r="R556" s="637"/>
      <c r="S556" s="637"/>
      <c r="T556" s="638"/>
    </row>
    <row r="557" spans="1:20" ht="15" customHeight="1">
      <c r="A557" s="285">
        <v>557</v>
      </c>
      <c r="B557" s="544">
        <v>305</v>
      </c>
      <c r="C557" s="545" t="s">
        <v>106</v>
      </c>
      <c r="D557" s="549" t="s">
        <v>667</v>
      </c>
      <c r="E557" s="539">
        <f>VLOOKUP(B557,'2-Kosten per locatie'!$A$13:$C$87,3,FALSE)</f>
        <v>2</v>
      </c>
      <c r="F557" s="550"/>
      <c r="G557" s="551" t="s">
        <v>349</v>
      </c>
      <c r="H557" s="552" t="s">
        <v>720</v>
      </c>
      <c r="I557" s="551" t="s">
        <v>709</v>
      </c>
      <c r="J557" s="553">
        <v>608</v>
      </c>
      <c r="K557" s="554"/>
      <c r="L557" s="554"/>
      <c r="M557" s="554"/>
      <c r="N557" s="554"/>
      <c r="O557" s="554"/>
      <c r="P557" s="555"/>
      <c r="Q557" s="555"/>
      <c r="R557" s="555"/>
      <c r="S557" s="555"/>
      <c r="T557" s="556"/>
    </row>
    <row r="558" spans="1:20" ht="15" customHeight="1">
      <c r="A558" s="286">
        <v>558</v>
      </c>
      <c r="B558" s="544">
        <v>305</v>
      </c>
      <c r="C558" s="545" t="s">
        <v>106</v>
      </c>
      <c r="D558" s="549" t="s">
        <v>667</v>
      </c>
      <c r="E558" s="539">
        <f>VLOOKUP(B558,'2-Kosten per locatie'!$A$13:$C$87,3,FALSE)</f>
        <v>2</v>
      </c>
      <c r="F558" s="550"/>
      <c r="G558" s="551" t="s">
        <v>710</v>
      </c>
      <c r="H558" s="552" t="s">
        <v>720</v>
      </c>
      <c r="I558" s="551" t="s">
        <v>711</v>
      </c>
      <c r="J558" s="553">
        <v>358</v>
      </c>
      <c r="K558" s="554"/>
      <c r="L558" s="554"/>
      <c r="M558" s="554"/>
      <c r="N558" s="554"/>
      <c r="O558" s="554"/>
      <c r="P558" s="555"/>
      <c r="Q558" s="555"/>
      <c r="R558" s="555"/>
      <c r="S558" s="555"/>
      <c r="T558" s="556"/>
    </row>
    <row r="559" spans="1:20" ht="15" customHeight="1">
      <c r="A559" s="285">
        <v>559</v>
      </c>
      <c r="B559" s="544">
        <v>305</v>
      </c>
      <c r="C559" s="545" t="s">
        <v>106</v>
      </c>
      <c r="D559" s="549" t="s">
        <v>667</v>
      </c>
      <c r="E559" s="539">
        <f>VLOOKUP(B559,'2-Kosten per locatie'!$A$13:$C$87,3,FALSE)</f>
        <v>2</v>
      </c>
      <c r="F559" s="550"/>
      <c r="G559" s="551" t="s">
        <v>712</v>
      </c>
      <c r="H559" s="552" t="s">
        <v>720</v>
      </c>
      <c r="I559" s="551" t="s">
        <v>214</v>
      </c>
      <c r="J559" s="553">
        <v>204</v>
      </c>
      <c r="K559" s="554"/>
      <c r="L559" s="554"/>
      <c r="M559" s="554"/>
      <c r="N559" s="554"/>
      <c r="O559" s="554"/>
      <c r="P559" s="555"/>
      <c r="Q559" s="555"/>
      <c r="R559" s="555"/>
      <c r="S559" s="555"/>
      <c r="T559" s="556"/>
    </row>
    <row r="560" spans="1:20" ht="15" customHeight="1">
      <c r="A560" s="286">
        <v>560</v>
      </c>
      <c r="B560" s="544">
        <v>305</v>
      </c>
      <c r="C560" s="545" t="s">
        <v>106</v>
      </c>
      <c r="D560" s="549" t="s">
        <v>667</v>
      </c>
      <c r="E560" s="539">
        <f>VLOOKUP(B560,'2-Kosten per locatie'!$A$13:$C$87,3,FALSE)</f>
        <v>2</v>
      </c>
      <c r="F560" s="550"/>
      <c r="G560" s="551" t="s">
        <v>721</v>
      </c>
      <c r="H560" s="552"/>
      <c r="I560" s="551" t="s">
        <v>251</v>
      </c>
      <c r="J560" s="553">
        <v>146</v>
      </c>
      <c r="K560" s="554" t="s">
        <v>722</v>
      </c>
      <c r="L560" s="554"/>
      <c r="M560" s="554"/>
      <c r="N560" s="554"/>
      <c r="O560" s="554"/>
      <c r="P560" s="555"/>
      <c r="Q560" s="555"/>
      <c r="R560" s="555"/>
      <c r="S560" s="555"/>
      <c r="T560" s="556"/>
    </row>
    <row r="561" spans="1:20" ht="15" customHeight="1">
      <c r="A561" s="286">
        <v>561</v>
      </c>
      <c r="B561" s="544">
        <v>305</v>
      </c>
      <c r="C561" s="545" t="s">
        <v>106</v>
      </c>
      <c r="D561" s="549" t="s">
        <v>667</v>
      </c>
      <c r="E561" s="539">
        <f>VLOOKUP(B561,'2-Kosten per locatie'!$A$13:$C$87,3,FALSE)</f>
        <v>2</v>
      </c>
      <c r="F561" s="550"/>
      <c r="G561" s="551" t="s">
        <v>662</v>
      </c>
      <c r="H561" s="552" t="s">
        <v>723</v>
      </c>
      <c r="I561" s="551" t="s">
        <v>180</v>
      </c>
      <c r="J561" s="553">
        <v>51</v>
      </c>
      <c r="K561" s="554" t="s">
        <v>722</v>
      </c>
      <c r="L561" s="554"/>
      <c r="M561" s="554"/>
      <c r="N561" s="554"/>
      <c r="O561" s="554"/>
      <c r="P561" s="555"/>
      <c r="Q561" s="555"/>
      <c r="R561" s="555"/>
      <c r="S561" s="555"/>
      <c r="T561" s="556"/>
    </row>
    <row r="562" spans="1:20" ht="15" customHeight="1">
      <c r="A562" s="285">
        <v>562</v>
      </c>
      <c r="B562" s="544">
        <v>305</v>
      </c>
      <c r="C562" s="545" t="s">
        <v>106</v>
      </c>
      <c r="D562" s="549" t="s">
        <v>667</v>
      </c>
      <c r="E562" s="539">
        <f>VLOOKUP(B562,'2-Kosten per locatie'!$A$13:$C$87,3,FALSE)</f>
        <v>2</v>
      </c>
      <c r="F562" s="550"/>
      <c r="G562" s="551" t="s">
        <v>662</v>
      </c>
      <c r="H562" s="552" t="s">
        <v>724</v>
      </c>
      <c r="I562" s="551" t="s">
        <v>180</v>
      </c>
      <c r="J562" s="553">
        <v>51</v>
      </c>
      <c r="K562" s="554" t="s">
        <v>722</v>
      </c>
      <c r="L562" s="554"/>
      <c r="M562" s="554"/>
      <c r="N562" s="554"/>
      <c r="O562" s="554"/>
      <c r="P562" s="555"/>
      <c r="Q562" s="555"/>
      <c r="R562" s="555"/>
      <c r="S562" s="555"/>
      <c r="T562" s="556"/>
    </row>
    <row r="563" spans="1:20" ht="15" customHeight="1">
      <c r="A563" s="286">
        <v>563</v>
      </c>
      <c r="B563" s="544">
        <v>305</v>
      </c>
      <c r="C563" s="545" t="s">
        <v>106</v>
      </c>
      <c r="D563" s="549" t="s">
        <v>667</v>
      </c>
      <c r="E563" s="539">
        <f>VLOOKUP(B563,'2-Kosten per locatie'!$A$13:$C$87,3,FALSE)</f>
        <v>2</v>
      </c>
      <c r="F563" s="550"/>
      <c r="G563" s="551" t="s">
        <v>725</v>
      </c>
      <c r="H563" s="552" t="s">
        <v>726</v>
      </c>
      <c r="I563" s="551" t="s">
        <v>353</v>
      </c>
      <c r="J563" s="553">
        <v>1</v>
      </c>
      <c r="K563" s="554"/>
      <c r="L563" s="554"/>
      <c r="M563" s="554"/>
      <c r="N563" s="554">
        <v>22</v>
      </c>
      <c r="O563" s="554">
        <v>17</v>
      </c>
      <c r="P563" s="555"/>
      <c r="Q563" s="555"/>
      <c r="R563" s="555"/>
      <c r="S563" s="555">
        <v>9</v>
      </c>
      <c r="T563" s="556"/>
    </row>
    <row r="564" spans="1:20" ht="15" customHeight="1">
      <c r="A564" s="285">
        <v>564</v>
      </c>
      <c r="B564" s="544">
        <v>305</v>
      </c>
      <c r="C564" s="545" t="s">
        <v>106</v>
      </c>
      <c r="D564" s="549" t="s">
        <v>667</v>
      </c>
      <c r="E564" s="539">
        <f>VLOOKUP(B564,'2-Kosten per locatie'!$A$13:$C$87,3,FALSE)</f>
        <v>2</v>
      </c>
      <c r="F564" s="550"/>
      <c r="G564" s="551" t="s">
        <v>725</v>
      </c>
      <c r="H564" s="552" t="s">
        <v>726</v>
      </c>
      <c r="I564" s="551" t="s">
        <v>353</v>
      </c>
      <c r="J564" s="553">
        <v>8</v>
      </c>
      <c r="K564" s="554"/>
      <c r="L564" s="554"/>
      <c r="M564" s="554"/>
      <c r="N564" s="554">
        <v>22</v>
      </c>
      <c r="O564" s="554">
        <v>17</v>
      </c>
      <c r="P564" s="555"/>
      <c r="Q564" s="555"/>
      <c r="R564" s="555"/>
      <c r="S564" s="555">
        <v>9</v>
      </c>
      <c r="T564" s="556"/>
    </row>
    <row r="565" spans="1:20" ht="15" customHeight="1">
      <c r="A565" s="286">
        <v>565</v>
      </c>
      <c r="B565" s="544">
        <v>305</v>
      </c>
      <c r="C565" s="545" t="s">
        <v>106</v>
      </c>
      <c r="D565" s="549" t="s">
        <v>667</v>
      </c>
      <c r="E565" s="539">
        <f>VLOOKUP(B565,'2-Kosten per locatie'!$A$13:$C$87,3,FALSE)</f>
        <v>2</v>
      </c>
      <c r="F565" s="550"/>
      <c r="G565" s="551" t="s">
        <v>467</v>
      </c>
      <c r="H565" s="552" t="s">
        <v>727</v>
      </c>
      <c r="I565" s="551" t="s">
        <v>159</v>
      </c>
      <c r="J565" s="553">
        <v>10</v>
      </c>
      <c r="K565" s="554"/>
      <c r="L565" s="554">
        <v>46</v>
      </c>
      <c r="M565" s="554"/>
      <c r="N565" s="554"/>
      <c r="O565" s="554"/>
      <c r="P565" s="555"/>
      <c r="Q565" s="555"/>
      <c r="R565" s="555">
        <v>10</v>
      </c>
      <c r="S565" s="555"/>
      <c r="T565" s="556"/>
    </row>
    <row r="566" spans="1:20" ht="15" customHeight="1">
      <c r="A566" s="285">
        <v>566</v>
      </c>
      <c r="B566" s="544">
        <v>305</v>
      </c>
      <c r="C566" s="545" t="s">
        <v>106</v>
      </c>
      <c r="D566" s="549" t="s">
        <v>667</v>
      </c>
      <c r="E566" s="539">
        <f>VLOOKUP(B566,'2-Kosten per locatie'!$A$13:$C$87,3,FALSE)</f>
        <v>2</v>
      </c>
      <c r="F566" s="550"/>
      <c r="G566" s="551" t="s">
        <v>398</v>
      </c>
      <c r="H566" s="552" t="s">
        <v>728</v>
      </c>
      <c r="I566" s="551" t="s">
        <v>159</v>
      </c>
      <c r="J566" s="553">
        <v>6</v>
      </c>
      <c r="K566" s="554"/>
      <c r="L566" s="554">
        <v>34</v>
      </c>
      <c r="M566" s="554"/>
      <c r="N566" s="554"/>
      <c r="O566" s="554"/>
      <c r="P566" s="555"/>
      <c r="Q566" s="555"/>
      <c r="R566" s="555">
        <v>6</v>
      </c>
      <c r="S566" s="555"/>
      <c r="T566" s="556"/>
    </row>
    <row r="567" spans="1:20" ht="15" customHeight="1">
      <c r="A567" s="286">
        <v>567</v>
      </c>
      <c r="B567" s="544">
        <v>305</v>
      </c>
      <c r="C567" s="545" t="s">
        <v>106</v>
      </c>
      <c r="D567" s="549" t="s">
        <v>667</v>
      </c>
      <c r="E567" s="539">
        <f>VLOOKUP(B567,'2-Kosten per locatie'!$A$13:$C$87,3,FALSE)</f>
        <v>2</v>
      </c>
      <c r="F567" s="550"/>
      <c r="G567" s="551" t="s">
        <v>457</v>
      </c>
      <c r="H567" s="552" t="s">
        <v>729</v>
      </c>
      <c r="I567" s="551" t="s">
        <v>159</v>
      </c>
      <c r="J567" s="553">
        <v>11</v>
      </c>
      <c r="K567" s="554"/>
      <c r="L567" s="554">
        <v>50</v>
      </c>
      <c r="M567" s="554"/>
      <c r="N567" s="554"/>
      <c r="O567" s="554"/>
      <c r="P567" s="555"/>
      <c r="Q567" s="555"/>
      <c r="R567" s="555">
        <v>11</v>
      </c>
      <c r="S567" s="555"/>
      <c r="T567" s="556"/>
    </row>
    <row r="568" spans="1:20" ht="15" customHeight="1">
      <c r="A568" s="286">
        <v>568</v>
      </c>
      <c r="B568" s="544">
        <v>305</v>
      </c>
      <c r="C568" s="545" t="s">
        <v>106</v>
      </c>
      <c r="D568" s="549" t="s">
        <v>667</v>
      </c>
      <c r="E568" s="539">
        <f>VLOOKUP(B568,'2-Kosten per locatie'!$A$13:$C$87,3,FALSE)</f>
        <v>2</v>
      </c>
      <c r="F568" s="550"/>
      <c r="G568" s="551" t="s">
        <v>463</v>
      </c>
      <c r="H568" s="552" t="s">
        <v>730</v>
      </c>
      <c r="I568" s="551" t="s">
        <v>159</v>
      </c>
      <c r="J568" s="553">
        <v>5</v>
      </c>
      <c r="K568" s="554">
        <v>2</v>
      </c>
      <c r="L568" s="554">
        <v>34</v>
      </c>
      <c r="M568" s="554"/>
      <c r="N568" s="554"/>
      <c r="O568" s="554"/>
      <c r="P568" s="555"/>
      <c r="Q568" s="555"/>
      <c r="R568" s="555">
        <v>5</v>
      </c>
      <c r="S568" s="555"/>
      <c r="T568" s="556"/>
    </row>
    <row r="569" spans="1:20" ht="15" customHeight="1">
      <c r="A569" s="285">
        <v>569</v>
      </c>
      <c r="B569" s="544">
        <v>305</v>
      </c>
      <c r="C569" s="545" t="s">
        <v>106</v>
      </c>
      <c r="D569" s="549" t="s">
        <v>667</v>
      </c>
      <c r="E569" s="539">
        <f>VLOOKUP(B569,'2-Kosten per locatie'!$A$13:$C$87,3,FALSE)</f>
        <v>2</v>
      </c>
      <c r="F569" s="550"/>
      <c r="G569" s="551" t="s">
        <v>731</v>
      </c>
      <c r="H569" s="552" t="s">
        <v>732</v>
      </c>
      <c r="I569" s="551" t="s">
        <v>159</v>
      </c>
      <c r="J569" s="553">
        <v>2</v>
      </c>
      <c r="K569" s="554"/>
      <c r="L569" s="554">
        <v>16</v>
      </c>
      <c r="M569" s="554"/>
      <c r="N569" s="554"/>
      <c r="O569" s="554"/>
      <c r="P569" s="555"/>
      <c r="Q569" s="555"/>
      <c r="R569" s="555">
        <v>2</v>
      </c>
      <c r="S569" s="555"/>
      <c r="T569" s="556"/>
    </row>
    <row r="570" spans="1:20" ht="15" customHeight="1">
      <c r="A570" s="286">
        <v>570</v>
      </c>
      <c r="B570" s="544">
        <v>305</v>
      </c>
      <c r="C570" s="545" t="s">
        <v>106</v>
      </c>
      <c r="D570" s="549" t="s">
        <v>667</v>
      </c>
      <c r="E570" s="539">
        <f>VLOOKUP(B570,'2-Kosten per locatie'!$A$13:$C$87,3,FALSE)</f>
        <v>2</v>
      </c>
      <c r="F570" s="550"/>
      <c r="G570" s="551" t="s">
        <v>704</v>
      </c>
      <c r="H570" s="552" t="s">
        <v>166</v>
      </c>
      <c r="I570" s="551" t="s">
        <v>159</v>
      </c>
      <c r="J570" s="553">
        <v>11</v>
      </c>
      <c r="K570" s="554"/>
      <c r="L570" s="554">
        <v>46</v>
      </c>
      <c r="M570" s="554"/>
      <c r="N570" s="554"/>
      <c r="O570" s="554"/>
      <c r="P570" s="555"/>
      <c r="Q570" s="555"/>
      <c r="R570" s="555">
        <v>11</v>
      </c>
      <c r="S570" s="555"/>
      <c r="T570" s="556"/>
    </row>
    <row r="571" spans="1:20" ht="15" customHeight="1">
      <c r="A571" s="285">
        <v>571</v>
      </c>
      <c r="B571" s="544">
        <v>305</v>
      </c>
      <c r="C571" s="545" t="s">
        <v>106</v>
      </c>
      <c r="D571" s="549" t="s">
        <v>667</v>
      </c>
      <c r="E571" s="539">
        <f>VLOOKUP(B571,'2-Kosten per locatie'!$A$13:$C$87,3,FALSE)</f>
        <v>2</v>
      </c>
      <c r="F571" s="550"/>
      <c r="G571" s="551" t="s">
        <v>689</v>
      </c>
      <c r="H571" s="552"/>
      <c r="I571" s="551" t="s">
        <v>205</v>
      </c>
      <c r="J571" s="553">
        <v>5</v>
      </c>
      <c r="K571" s="554"/>
      <c r="L571" s="554"/>
      <c r="M571" s="554"/>
      <c r="N571" s="554"/>
      <c r="O571" s="554"/>
      <c r="P571" s="555"/>
      <c r="Q571" s="555"/>
      <c r="R571" s="555"/>
      <c r="S571" s="555"/>
      <c r="T571" s="556"/>
    </row>
    <row r="572" spans="1:20" ht="15" customHeight="1">
      <c r="A572" s="286">
        <v>572</v>
      </c>
      <c r="B572" s="544">
        <v>305</v>
      </c>
      <c r="C572" s="545" t="s">
        <v>106</v>
      </c>
      <c r="D572" s="549" t="s">
        <v>667</v>
      </c>
      <c r="E572" s="539">
        <f>VLOOKUP(B572,'2-Kosten per locatie'!$A$13:$C$87,3,FALSE)</f>
        <v>2</v>
      </c>
      <c r="F572" s="550"/>
      <c r="G572" s="551" t="s">
        <v>733</v>
      </c>
      <c r="H572" s="552"/>
      <c r="I572" s="551" t="s">
        <v>176</v>
      </c>
      <c r="J572" s="553">
        <v>33</v>
      </c>
      <c r="K572" s="554"/>
      <c r="L572" s="554"/>
      <c r="M572" s="554"/>
      <c r="N572" s="554">
        <v>18</v>
      </c>
      <c r="O572" s="554"/>
      <c r="P572" s="555"/>
      <c r="Q572" s="555"/>
      <c r="R572" s="555"/>
      <c r="S572" s="555"/>
      <c r="T572" s="556"/>
    </row>
    <row r="573" spans="1:20" ht="15" customHeight="1">
      <c r="A573" s="285">
        <v>573</v>
      </c>
      <c r="B573" s="544">
        <v>306</v>
      </c>
      <c r="C573" s="545" t="s">
        <v>107</v>
      </c>
      <c r="D573" s="549" t="s">
        <v>667</v>
      </c>
      <c r="E573" s="539">
        <f>VLOOKUP(B573,'2-Kosten per locatie'!$A$13:$C$87,3,FALSE)</f>
        <v>2</v>
      </c>
      <c r="F573" s="550"/>
      <c r="G573" s="551" t="s">
        <v>349</v>
      </c>
      <c r="H573" s="552" t="s">
        <v>720</v>
      </c>
      <c r="I573" s="551" t="s">
        <v>709</v>
      </c>
      <c r="J573" s="553">
        <v>975</v>
      </c>
      <c r="K573" s="554"/>
      <c r="L573" s="554"/>
      <c r="M573" s="554"/>
      <c r="N573" s="554"/>
      <c r="O573" s="554"/>
      <c r="P573" s="555"/>
      <c r="Q573" s="555"/>
      <c r="R573" s="555"/>
      <c r="S573" s="555"/>
      <c r="T573" s="556"/>
    </row>
    <row r="574" spans="1:20" ht="15" customHeight="1">
      <c r="A574" s="286">
        <v>574</v>
      </c>
      <c r="B574" s="544">
        <v>306</v>
      </c>
      <c r="C574" s="545" t="s">
        <v>107</v>
      </c>
      <c r="D574" s="549" t="s">
        <v>667</v>
      </c>
      <c r="E574" s="539">
        <f>VLOOKUP(B574,'2-Kosten per locatie'!$A$13:$C$87,3,FALSE)</f>
        <v>2</v>
      </c>
      <c r="F574" s="550"/>
      <c r="G574" s="551" t="s">
        <v>710</v>
      </c>
      <c r="H574" s="552" t="s">
        <v>720</v>
      </c>
      <c r="I574" s="551" t="s">
        <v>711</v>
      </c>
      <c r="J574" s="553">
        <v>347</v>
      </c>
      <c r="K574" s="554"/>
      <c r="L574" s="554"/>
      <c r="M574" s="554"/>
      <c r="N574" s="554"/>
      <c r="O574" s="554"/>
      <c r="P574" s="555"/>
      <c r="Q574" s="555"/>
      <c r="R574" s="555"/>
      <c r="S574" s="555"/>
      <c r="T574" s="556"/>
    </row>
    <row r="575" spans="1:20" ht="15" customHeight="1">
      <c r="A575" s="286">
        <v>575</v>
      </c>
      <c r="B575" s="544">
        <v>306</v>
      </c>
      <c r="C575" s="545" t="s">
        <v>107</v>
      </c>
      <c r="D575" s="549" t="s">
        <v>667</v>
      </c>
      <c r="E575" s="539">
        <f>VLOOKUP(B575,'2-Kosten per locatie'!$A$13:$C$87,3,FALSE)</f>
        <v>2</v>
      </c>
      <c r="F575" s="550"/>
      <c r="G575" s="551" t="s">
        <v>712</v>
      </c>
      <c r="H575" s="552" t="s">
        <v>720</v>
      </c>
      <c r="I575" s="551" t="s">
        <v>214</v>
      </c>
      <c r="J575" s="553">
        <v>203</v>
      </c>
      <c r="K575" s="554"/>
      <c r="L575" s="554"/>
      <c r="M575" s="554"/>
      <c r="N575" s="554"/>
      <c r="O575" s="554"/>
      <c r="P575" s="555"/>
      <c r="Q575" s="555"/>
      <c r="R575" s="555"/>
      <c r="S575" s="555"/>
      <c r="T575" s="556"/>
    </row>
    <row r="576" spans="1:20" ht="15" customHeight="1">
      <c r="A576" s="285">
        <v>576</v>
      </c>
      <c r="B576" s="544">
        <v>306</v>
      </c>
      <c r="C576" s="545" t="s">
        <v>107</v>
      </c>
      <c r="D576" s="549" t="s">
        <v>667</v>
      </c>
      <c r="E576" s="539">
        <f>VLOOKUP(B576,'2-Kosten per locatie'!$A$13:$C$87,3,FALSE)</f>
        <v>2</v>
      </c>
      <c r="F576" s="550"/>
      <c r="G576" s="551" t="s">
        <v>704</v>
      </c>
      <c r="H576" s="552" t="s">
        <v>166</v>
      </c>
      <c r="I576" s="551" t="s">
        <v>159</v>
      </c>
      <c r="J576" s="553">
        <v>11</v>
      </c>
      <c r="K576" s="554"/>
      <c r="L576" s="554">
        <v>46</v>
      </c>
      <c r="M576" s="554"/>
      <c r="N576" s="554"/>
      <c r="O576" s="554"/>
      <c r="P576" s="555"/>
      <c r="Q576" s="555"/>
      <c r="R576" s="555">
        <v>11</v>
      </c>
      <c r="S576" s="555"/>
      <c r="T576" s="556"/>
    </row>
    <row r="577" spans="1:20" ht="15" customHeight="1">
      <c r="A577" s="286">
        <v>577</v>
      </c>
      <c r="B577" s="544">
        <v>306</v>
      </c>
      <c r="C577" s="545" t="s">
        <v>107</v>
      </c>
      <c r="D577" s="549" t="s">
        <v>667</v>
      </c>
      <c r="E577" s="539">
        <f>VLOOKUP(B577,'2-Kosten per locatie'!$A$13:$C$87,3,FALSE)</f>
        <v>2</v>
      </c>
      <c r="F577" s="550"/>
      <c r="G577" s="551" t="s">
        <v>689</v>
      </c>
      <c r="H577" s="552"/>
      <c r="I577" s="551" t="s">
        <v>205</v>
      </c>
      <c r="J577" s="553">
        <v>5</v>
      </c>
      <c r="K577" s="554"/>
      <c r="L577" s="554"/>
      <c r="M577" s="554"/>
      <c r="N577" s="554"/>
      <c r="O577" s="554"/>
      <c r="P577" s="555"/>
      <c r="Q577" s="555"/>
      <c r="R577" s="555"/>
      <c r="S577" s="555"/>
      <c r="T577" s="556"/>
    </row>
    <row r="578" spans="1:20" ht="15" customHeight="1">
      <c r="A578" s="285">
        <v>578</v>
      </c>
      <c r="B578" s="544">
        <v>306</v>
      </c>
      <c r="C578" s="545" t="s">
        <v>107</v>
      </c>
      <c r="D578" s="549" t="s">
        <v>667</v>
      </c>
      <c r="E578" s="539">
        <f>VLOOKUP(B578,'2-Kosten per locatie'!$A$13:$C$87,3,FALSE)</f>
        <v>2</v>
      </c>
      <c r="F578" s="550"/>
      <c r="G578" s="551" t="s">
        <v>721</v>
      </c>
      <c r="H578" s="552"/>
      <c r="I578" s="551" t="s">
        <v>251</v>
      </c>
      <c r="J578" s="553">
        <v>32</v>
      </c>
      <c r="K578" s="554" t="s">
        <v>722</v>
      </c>
      <c r="L578" s="554"/>
      <c r="M578" s="554"/>
      <c r="N578" s="554"/>
      <c r="O578" s="554"/>
      <c r="P578" s="555"/>
      <c r="Q578" s="555"/>
      <c r="R578" s="555"/>
      <c r="S578" s="555"/>
      <c r="T578" s="556"/>
    </row>
    <row r="579" spans="1:20" ht="15" customHeight="1">
      <c r="A579" s="286">
        <v>579</v>
      </c>
      <c r="B579" s="544">
        <v>306</v>
      </c>
      <c r="C579" s="545" t="s">
        <v>107</v>
      </c>
      <c r="D579" s="549" t="s">
        <v>667</v>
      </c>
      <c r="E579" s="539">
        <f>VLOOKUP(B579,'2-Kosten per locatie'!$A$13:$C$87,3,FALSE)</f>
        <v>2</v>
      </c>
      <c r="F579" s="550"/>
      <c r="G579" s="551" t="s">
        <v>662</v>
      </c>
      <c r="H579" s="552" t="s">
        <v>723</v>
      </c>
      <c r="I579" s="551" t="s">
        <v>180</v>
      </c>
      <c r="J579" s="553">
        <v>50</v>
      </c>
      <c r="K579" s="554" t="s">
        <v>722</v>
      </c>
      <c r="L579" s="554"/>
      <c r="M579" s="554"/>
      <c r="N579" s="554"/>
      <c r="O579" s="554"/>
      <c r="P579" s="555"/>
      <c r="Q579" s="555"/>
      <c r="R579" s="555"/>
      <c r="S579" s="555"/>
      <c r="T579" s="556"/>
    </row>
    <row r="580" spans="1:20" ht="15" customHeight="1">
      <c r="A580" s="285">
        <v>580</v>
      </c>
      <c r="B580" s="544">
        <v>306</v>
      </c>
      <c r="C580" s="545" t="s">
        <v>107</v>
      </c>
      <c r="D580" s="549" t="s">
        <v>667</v>
      </c>
      <c r="E580" s="539">
        <f>VLOOKUP(B580,'2-Kosten per locatie'!$A$13:$C$87,3,FALSE)</f>
        <v>2</v>
      </c>
      <c r="F580" s="550"/>
      <c r="G580" s="551" t="s">
        <v>725</v>
      </c>
      <c r="H580" s="552" t="s">
        <v>726</v>
      </c>
      <c r="I580" s="551" t="s">
        <v>353</v>
      </c>
      <c r="J580" s="553">
        <v>1</v>
      </c>
      <c r="K580" s="554"/>
      <c r="L580" s="554"/>
      <c r="M580" s="554"/>
      <c r="N580" s="554">
        <v>22</v>
      </c>
      <c r="O580" s="554">
        <v>17</v>
      </c>
      <c r="P580" s="555"/>
      <c r="Q580" s="555"/>
      <c r="R580" s="555"/>
      <c r="S580" s="555">
        <v>9</v>
      </c>
      <c r="T580" s="556"/>
    </row>
    <row r="581" spans="1:20" ht="15" customHeight="1">
      <c r="A581" s="286">
        <v>581</v>
      </c>
      <c r="B581" s="544">
        <v>306</v>
      </c>
      <c r="C581" s="545" t="s">
        <v>107</v>
      </c>
      <c r="D581" s="549" t="s">
        <v>667</v>
      </c>
      <c r="E581" s="539">
        <f>VLOOKUP(B581,'2-Kosten per locatie'!$A$13:$C$87,3,FALSE)</f>
        <v>2</v>
      </c>
      <c r="F581" s="550"/>
      <c r="G581" s="551" t="s">
        <v>725</v>
      </c>
      <c r="H581" s="552" t="s">
        <v>726</v>
      </c>
      <c r="I581" s="551" t="s">
        <v>353</v>
      </c>
      <c r="J581" s="553">
        <v>8</v>
      </c>
      <c r="K581" s="554"/>
      <c r="L581" s="554"/>
      <c r="M581" s="554"/>
      <c r="N581" s="554">
        <v>22</v>
      </c>
      <c r="O581" s="554">
        <v>17</v>
      </c>
      <c r="P581" s="555"/>
      <c r="Q581" s="555"/>
      <c r="R581" s="555"/>
      <c r="S581" s="555">
        <v>9</v>
      </c>
      <c r="T581" s="556"/>
    </row>
    <row r="582" spans="1:20" ht="15" customHeight="1">
      <c r="A582" s="286">
        <v>582</v>
      </c>
      <c r="B582" s="544">
        <v>306</v>
      </c>
      <c r="C582" s="545" t="s">
        <v>107</v>
      </c>
      <c r="D582" s="549" t="s">
        <v>667</v>
      </c>
      <c r="E582" s="539">
        <f>VLOOKUP(B582,'2-Kosten per locatie'!$A$13:$C$87,3,FALSE)</f>
        <v>2</v>
      </c>
      <c r="F582" s="550"/>
      <c r="G582" s="551" t="s">
        <v>467</v>
      </c>
      <c r="H582" s="552" t="s">
        <v>727</v>
      </c>
      <c r="I582" s="551" t="s">
        <v>159</v>
      </c>
      <c r="J582" s="553">
        <v>15</v>
      </c>
      <c r="K582" s="554"/>
      <c r="L582" s="554">
        <v>40</v>
      </c>
      <c r="M582" s="554"/>
      <c r="N582" s="554"/>
      <c r="O582" s="554"/>
      <c r="P582" s="555"/>
      <c r="Q582" s="555"/>
      <c r="R582" s="555">
        <v>15</v>
      </c>
      <c r="S582" s="555"/>
      <c r="T582" s="556"/>
    </row>
    <row r="583" spans="1:20" ht="15" customHeight="1">
      <c r="A583" s="285">
        <v>583</v>
      </c>
      <c r="B583" s="544">
        <v>306</v>
      </c>
      <c r="C583" s="545" t="s">
        <v>107</v>
      </c>
      <c r="D583" s="549" t="s">
        <v>667</v>
      </c>
      <c r="E583" s="539">
        <f>VLOOKUP(B583,'2-Kosten per locatie'!$A$13:$C$87,3,FALSE)</f>
        <v>2</v>
      </c>
      <c r="F583" s="550"/>
      <c r="G583" s="551" t="s">
        <v>398</v>
      </c>
      <c r="H583" s="552" t="s">
        <v>734</v>
      </c>
      <c r="I583" s="551" t="s">
        <v>159</v>
      </c>
      <c r="J583" s="553">
        <v>7</v>
      </c>
      <c r="K583" s="554"/>
      <c r="L583" s="554">
        <v>32</v>
      </c>
      <c r="M583" s="554"/>
      <c r="N583" s="554"/>
      <c r="O583" s="554"/>
      <c r="P583" s="555"/>
      <c r="Q583" s="555"/>
      <c r="R583" s="555">
        <v>7</v>
      </c>
      <c r="S583" s="555"/>
      <c r="T583" s="556"/>
    </row>
    <row r="584" spans="1:20" ht="15" customHeight="1">
      <c r="A584" s="286">
        <v>584</v>
      </c>
      <c r="B584" s="544">
        <v>306</v>
      </c>
      <c r="C584" s="545" t="s">
        <v>107</v>
      </c>
      <c r="D584" s="549" t="s">
        <v>667</v>
      </c>
      <c r="E584" s="539">
        <f>VLOOKUP(B584,'2-Kosten per locatie'!$A$13:$C$87,3,FALSE)</f>
        <v>2</v>
      </c>
      <c r="F584" s="550"/>
      <c r="G584" s="551" t="s">
        <v>457</v>
      </c>
      <c r="H584" s="552" t="s">
        <v>729</v>
      </c>
      <c r="I584" s="551" t="s">
        <v>159</v>
      </c>
      <c r="J584" s="553">
        <v>12</v>
      </c>
      <c r="K584" s="554"/>
      <c r="L584" s="554">
        <v>42</v>
      </c>
      <c r="M584" s="554"/>
      <c r="N584" s="554"/>
      <c r="O584" s="554"/>
      <c r="P584" s="555"/>
      <c r="Q584" s="555"/>
      <c r="R584" s="555">
        <v>12</v>
      </c>
      <c r="S584" s="555"/>
      <c r="T584" s="556"/>
    </row>
    <row r="585" spans="1:20" ht="15" customHeight="1">
      <c r="A585" s="285">
        <v>585</v>
      </c>
      <c r="B585" s="544">
        <v>306</v>
      </c>
      <c r="C585" s="545" t="s">
        <v>107</v>
      </c>
      <c r="D585" s="549" t="s">
        <v>667</v>
      </c>
      <c r="E585" s="539">
        <f>VLOOKUP(B585,'2-Kosten per locatie'!$A$13:$C$87,3,FALSE)</f>
        <v>2</v>
      </c>
      <c r="F585" s="550"/>
      <c r="G585" s="551" t="s">
        <v>463</v>
      </c>
      <c r="H585" s="552" t="s">
        <v>730</v>
      </c>
      <c r="I585" s="551" t="s">
        <v>159</v>
      </c>
      <c r="J585" s="553">
        <v>6</v>
      </c>
      <c r="K585" s="554">
        <v>2</v>
      </c>
      <c r="L585" s="554">
        <v>26</v>
      </c>
      <c r="M585" s="554"/>
      <c r="N585" s="554"/>
      <c r="O585" s="554"/>
      <c r="P585" s="555"/>
      <c r="Q585" s="555"/>
      <c r="R585" s="555">
        <v>6</v>
      </c>
      <c r="S585" s="555"/>
      <c r="T585" s="556"/>
    </row>
    <row r="586" spans="1:20" ht="15" customHeight="1">
      <c r="A586" s="286">
        <v>586</v>
      </c>
      <c r="B586" s="544">
        <v>306</v>
      </c>
      <c r="C586" s="545" t="s">
        <v>107</v>
      </c>
      <c r="D586" s="549" t="s">
        <v>667</v>
      </c>
      <c r="E586" s="539">
        <f>VLOOKUP(B586,'2-Kosten per locatie'!$A$13:$C$87,3,FALSE)</f>
        <v>2</v>
      </c>
      <c r="F586" s="550"/>
      <c r="G586" s="551" t="s">
        <v>731</v>
      </c>
      <c r="H586" s="552" t="s">
        <v>732</v>
      </c>
      <c r="I586" s="551" t="s">
        <v>159</v>
      </c>
      <c r="J586" s="553">
        <v>2</v>
      </c>
      <c r="K586" s="554"/>
      <c r="L586" s="554">
        <v>18</v>
      </c>
      <c r="M586" s="554"/>
      <c r="N586" s="554"/>
      <c r="O586" s="554"/>
      <c r="P586" s="555"/>
      <c r="Q586" s="555"/>
      <c r="R586" s="555">
        <v>2</v>
      </c>
      <c r="S586" s="555"/>
      <c r="T586" s="556"/>
    </row>
    <row r="587" spans="1:20" ht="15" customHeight="1">
      <c r="A587" s="285">
        <v>587</v>
      </c>
      <c r="B587" s="544">
        <v>306</v>
      </c>
      <c r="C587" s="545" t="s">
        <v>107</v>
      </c>
      <c r="D587" s="549" t="s">
        <v>667</v>
      </c>
      <c r="E587" s="539">
        <f>VLOOKUP(B587,'2-Kosten per locatie'!$A$13:$C$87,3,FALSE)</f>
        <v>2</v>
      </c>
      <c r="F587" s="550"/>
      <c r="G587" s="551" t="s">
        <v>735</v>
      </c>
      <c r="H587" s="552" t="s">
        <v>736</v>
      </c>
      <c r="I587" s="551" t="s">
        <v>159</v>
      </c>
      <c r="J587" s="553">
        <v>13</v>
      </c>
      <c r="K587" s="554"/>
      <c r="L587" s="554">
        <v>44</v>
      </c>
      <c r="M587" s="554"/>
      <c r="N587" s="554"/>
      <c r="O587" s="554"/>
      <c r="P587" s="555"/>
      <c r="Q587" s="555"/>
      <c r="R587" s="555">
        <v>13</v>
      </c>
      <c r="S587" s="555"/>
      <c r="T587" s="556"/>
    </row>
    <row r="588" spans="1:20" ht="15" customHeight="1">
      <c r="A588" s="286">
        <v>588</v>
      </c>
      <c r="B588" s="544" t="s">
        <v>127</v>
      </c>
      <c r="C588" s="551" t="s">
        <v>107</v>
      </c>
      <c r="D588" s="549" t="s">
        <v>737</v>
      </c>
      <c r="E588" s="539">
        <f>VLOOKUP(B588,'2-Kosten per locatie'!$A$13:$C$87,3,FALSE)</f>
        <v>2</v>
      </c>
      <c r="F588" s="550"/>
      <c r="G588" s="551"/>
      <c r="H588" s="552"/>
      <c r="I588" s="551" t="s">
        <v>159</v>
      </c>
      <c r="J588" s="553">
        <v>42</v>
      </c>
      <c r="K588" s="554"/>
      <c r="L588" s="554"/>
      <c r="M588" s="554"/>
      <c r="N588" s="554"/>
      <c r="O588" s="554"/>
      <c r="P588" s="555"/>
      <c r="Q588" s="555"/>
      <c r="R588" s="555"/>
      <c r="S588" s="555"/>
      <c r="T588" s="556"/>
    </row>
    <row r="589" spans="1:20" ht="15" customHeight="1">
      <c r="A589" s="286">
        <v>589</v>
      </c>
      <c r="B589" s="544" t="s">
        <v>128</v>
      </c>
      <c r="C589" s="551" t="s">
        <v>109</v>
      </c>
      <c r="D589" s="549" t="s">
        <v>737</v>
      </c>
      <c r="E589" s="539">
        <f>VLOOKUP(B589,'2-Kosten per locatie'!$A$13:$C$87,3,FALSE)</f>
        <v>2</v>
      </c>
      <c r="F589" s="550"/>
      <c r="G589" s="551"/>
      <c r="H589" s="552"/>
      <c r="I589" s="551" t="s">
        <v>159</v>
      </c>
      <c r="J589" s="553">
        <v>41</v>
      </c>
      <c r="K589" s="554"/>
      <c r="L589" s="554"/>
      <c r="M589" s="554"/>
      <c r="N589" s="554"/>
      <c r="O589" s="554"/>
      <c r="P589" s="555"/>
      <c r="Q589" s="555"/>
      <c r="R589" s="555"/>
      <c r="S589" s="555"/>
      <c r="T589" s="556"/>
    </row>
    <row r="590" spans="1:20" ht="15" customHeight="1">
      <c r="A590" s="285">
        <v>590</v>
      </c>
      <c r="B590" s="544">
        <v>413</v>
      </c>
      <c r="C590" s="545" t="s">
        <v>107</v>
      </c>
      <c r="D590" s="549" t="s">
        <v>737</v>
      </c>
      <c r="E590" s="539">
        <f>VLOOKUP(B590,'2-Kosten per locatie'!$A$13:$C$87,3,FALSE)</f>
        <v>2</v>
      </c>
      <c r="F590" s="550"/>
      <c r="G590" s="551" t="s">
        <v>738</v>
      </c>
      <c r="H590" s="552" t="s">
        <v>739</v>
      </c>
      <c r="I590" s="551" t="s">
        <v>214</v>
      </c>
      <c r="J590" s="553">
        <v>11</v>
      </c>
      <c r="K590" s="554"/>
      <c r="L590" s="554">
        <v>35</v>
      </c>
      <c r="M590" s="554"/>
      <c r="N590" s="554"/>
      <c r="O590" s="554"/>
      <c r="P590" s="555"/>
      <c r="Q590" s="555"/>
      <c r="R590" s="555">
        <v>11</v>
      </c>
      <c r="S590" s="555"/>
      <c r="T590" s="556"/>
    </row>
    <row r="591" spans="1:20" ht="15" customHeight="1">
      <c r="A591" s="286">
        <v>591</v>
      </c>
      <c r="B591" s="544">
        <v>413</v>
      </c>
      <c r="C591" s="545" t="s">
        <v>107</v>
      </c>
      <c r="D591" s="549" t="s">
        <v>737</v>
      </c>
      <c r="E591" s="539">
        <f>VLOOKUP(B591,'2-Kosten per locatie'!$A$13:$C$87,3,FALSE)</f>
        <v>2</v>
      </c>
      <c r="F591" s="550"/>
      <c r="G591" s="551" t="s">
        <v>740</v>
      </c>
      <c r="H591" s="552" t="s">
        <v>741</v>
      </c>
      <c r="I591" s="551" t="s">
        <v>214</v>
      </c>
      <c r="J591" s="553">
        <v>31</v>
      </c>
      <c r="K591" s="554"/>
      <c r="L591" s="554">
        <v>57</v>
      </c>
      <c r="M591" s="554"/>
      <c r="N591" s="554"/>
      <c r="O591" s="554"/>
      <c r="P591" s="555"/>
      <c r="Q591" s="555"/>
      <c r="R591" s="555">
        <v>31</v>
      </c>
      <c r="S591" s="555"/>
      <c r="T591" s="556"/>
    </row>
    <row r="592" spans="1:20" ht="15" customHeight="1">
      <c r="A592" s="285">
        <v>592</v>
      </c>
      <c r="B592" s="544">
        <v>306</v>
      </c>
      <c r="C592" s="545" t="s">
        <v>107</v>
      </c>
      <c r="D592" s="549" t="s">
        <v>667</v>
      </c>
      <c r="E592" s="539">
        <f>VLOOKUP(B592,'2-Kosten per locatie'!$A$13:$C$87,3,FALSE)</f>
        <v>2</v>
      </c>
      <c r="F592" s="550"/>
      <c r="G592" s="551" t="s">
        <v>681</v>
      </c>
      <c r="H592" s="552"/>
      <c r="I592" s="551" t="s">
        <v>176</v>
      </c>
      <c r="J592" s="553">
        <v>33</v>
      </c>
      <c r="K592" s="554"/>
      <c r="L592" s="554"/>
      <c r="M592" s="554"/>
      <c r="N592" s="554">
        <v>18</v>
      </c>
      <c r="O592" s="554"/>
      <c r="P592" s="555"/>
      <c r="Q592" s="555"/>
      <c r="R592" s="555"/>
      <c r="S592" s="555"/>
      <c r="T592" s="556"/>
    </row>
    <row r="593" spans="1:20" ht="15" customHeight="1">
      <c r="A593" s="286">
        <v>593</v>
      </c>
      <c r="B593" s="544">
        <v>307</v>
      </c>
      <c r="C593" s="545" t="s">
        <v>108</v>
      </c>
      <c r="D593" s="549" t="s">
        <v>667</v>
      </c>
      <c r="E593" s="539">
        <f>VLOOKUP(B593,'2-Kosten per locatie'!$A$13:$C$87,3,FALSE)</f>
        <v>2</v>
      </c>
      <c r="F593" s="550"/>
      <c r="G593" s="551" t="s">
        <v>742</v>
      </c>
      <c r="H593" s="552"/>
      <c r="I593" s="551" t="s">
        <v>251</v>
      </c>
      <c r="J593" s="553">
        <v>366</v>
      </c>
      <c r="K593" s="554">
        <v>60</v>
      </c>
      <c r="L593" s="554"/>
      <c r="M593" s="554"/>
      <c r="N593" s="554"/>
      <c r="O593" s="554"/>
      <c r="P593" s="555"/>
      <c r="Q593" s="555"/>
      <c r="R593" s="555"/>
      <c r="S593" s="555"/>
      <c r="T593" s="556"/>
    </row>
    <row r="594" spans="1:20" ht="15" customHeight="1">
      <c r="A594" s="285">
        <v>594</v>
      </c>
      <c r="B594" s="544">
        <v>307</v>
      </c>
      <c r="C594" s="545" t="s">
        <v>108</v>
      </c>
      <c r="D594" s="549" t="s">
        <v>667</v>
      </c>
      <c r="E594" s="539">
        <f>VLOOKUP(B594,'2-Kosten per locatie'!$A$13:$C$87,3,FALSE)</f>
        <v>2</v>
      </c>
      <c r="F594" s="550"/>
      <c r="G594" s="551" t="s">
        <v>349</v>
      </c>
      <c r="H594" s="552" t="s">
        <v>743</v>
      </c>
      <c r="I594" s="551" t="s">
        <v>365</v>
      </c>
      <c r="J594" s="553">
        <v>472</v>
      </c>
      <c r="K594" s="554"/>
      <c r="L594" s="554"/>
      <c r="M594" s="554"/>
      <c r="N594" s="554"/>
      <c r="O594" s="554"/>
      <c r="P594" s="555"/>
      <c r="Q594" s="555"/>
      <c r="R594" s="555">
        <v>50</v>
      </c>
      <c r="S594" s="555"/>
      <c r="T594" s="556"/>
    </row>
    <row r="595" spans="1:20" ht="15" customHeight="1">
      <c r="A595" s="286">
        <v>595</v>
      </c>
      <c r="B595" s="544">
        <v>307</v>
      </c>
      <c r="C595" s="545" t="s">
        <v>108</v>
      </c>
      <c r="D595" s="549" t="s">
        <v>667</v>
      </c>
      <c r="E595" s="539">
        <f>VLOOKUP(B595,'2-Kosten per locatie'!$A$13:$C$87,3,FALSE)</f>
        <v>2</v>
      </c>
      <c r="F595" s="550"/>
      <c r="G595" s="551" t="s">
        <v>349</v>
      </c>
      <c r="H595" s="552" t="s">
        <v>598</v>
      </c>
      <c r="I595" s="551" t="s">
        <v>709</v>
      </c>
      <c r="J595" s="553">
        <v>966</v>
      </c>
      <c r="K595" s="554"/>
      <c r="L595" s="554"/>
      <c r="M595" s="554"/>
      <c r="N595" s="554"/>
      <c r="O595" s="554"/>
      <c r="P595" s="555"/>
      <c r="Q595" s="555"/>
      <c r="R595" s="555">
        <v>966</v>
      </c>
      <c r="S595" s="555"/>
      <c r="T595" s="556"/>
    </row>
    <row r="596" spans="1:20" ht="15" customHeight="1">
      <c r="A596" s="286">
        <v>596</v>
      </c>
      <c r="B596" s="544">
        <v>307</v>
      </c>
      <c r="C596" s="545" t="s">
        <v>108</v>
      </c>
      <c r="D596" s="549" t="s">
        <v>667</v>
      </c>
      <c r="E596" s="539">
        <f>VLOOKUP(B596,'2-Kosten per locatie'!$A$13:$C$87,3,FALSE)</f>
        <v>2</v>
      </c>
      <c r="F596" s="550"/>
      <c r="G596" s="551" t="s">
        <v>349</v>
      </c>
      <c r="H596" s="552" t="s">
        <v>598</v>
      </c>
      <c r="I596" s="551" t="s">
        <v>251</v>
      </c>
      <c r="J596" s="553">
        <v>188</v>
      </c>
      <c r="K596" s="554"/>
      <c r="L596" s="554"/>
      <c r="M596" s="554"/>
      <c r="N596" s="554"/>
      <c r="O596" s="554"/>
      <c r="P596" s="555"/>
      <c r="Q596" s="555"/>
      <c r="R596" s="555">
        <v>188</v>
      </c>
      <c r="S596" s="555"/>
      <c r="T596" s="556"/>
    </row>
    <row r="597" spans="1:20" ht="15" customHeight="1">
      <c r="A597" s="285">
        <v>597</v>
      </c>
      <c r="B597" s="544">
        <v>307</v>
      </c>
      <c r="C597" s="545" t="s">
        <v>108</v>
      </c>
      <c r="D597" s="549" t="s">
        <v>667</v>
      </c>
      <c r="E597" s="539">
        <f>VLOOKUP(B597,'2-Kosten per locatie'!$A$13:$C$87,3,FALSE)</f>
        <v>2</v>
      </c>
      <c r="F597" s="550"/>
      <c r="G597" s="551" t="s">
        <v>744</v>
      </c>
      <c r="H597" s="552" t="s">
        <v>745</v>
      </c>
      <c r="I597" s="551" t="s">
        <v>162</v>
      </c>
      <c r="J597" s="553">
        <v>53.8</v>
      </c>
      <c r="K597" s="554">
        <v>10</v>
      </c>
      <c r="L597" s="554">
        <v>84</v>
      </c>
      <c r="M597" s="554"/>
      <c r="N597" s="554"/>
      <c r="O597" s="554"/>
      <c r="P597" s="555"/>
      <c r="Q597" s="555"/>
      <c r="R597" s="555"/>
      <c r="S597" s="555"/>
      <c r="T597" s="556"/>
    </row>
    <row r="598" spans="1:20" ht="15" customHeight="1">
      <c r="A598" s="286">
        <v>598</v>
      </c>
      <c r="B598" s="544">
        <v>307</v>
      </c>
      <c r="C598" s="545" t="s">
        <v>108</v>
      </c>
      <c r="D598" s="549" t="s">
        <v>667</v>
      </c>
      <c r="E598" s="539">
        <f>VLOOKUP(B598,'2-Kosten per locatie'!$A$13:$C$87,3,FALSE)</f>
        <v>2</v>
      </c>
      <c r="F598" s="550"/>
      <c r="G598" s="551" t="s">
        <v>350</v>
      </c>
      <c r="H598" s="552" t="s">
        <v>505</v>
      </c>
      <c r="I598" s="551" t="s">
        <v>251</v>
      </c>
      <c r="J598" s="553">
        <v>135</v>
      </c>
      <c r="K598" s="554">
        <v>130</v>
      </c>
      <c r="L598" s="554"/>
      <c r="M598" s="554"/>
      <c r="N598" s="554"/>
      <c r="O598" s="554"/>
      <c r="P598" s="555"/>
      <c r="Q598" s="555"/>
      <c r="R598" s="555"/>
      <c r="S598" s="555">
        <v>43</v>
      </c>
      <c r="T598" s="556"/>
    </row>
    <row r="599" spans="1:20" ht="15" customHeight="1">
      <c r="A599" s="285">
        <v>599</v>
      </c>
      <c r="B599" s="544">
        <v>307</v>
      </c>
      <c r="C599" s="545" t="s">
        <v>108</v>
      </c>
      <c r="D599" s="549" t="s">
        <v>667</v>
      </c>
      <c r="E599" s="539">
        <f>VLOOKUP(B599,'2-Kosten per locatie'!$A$13:$C$87,3,FALSE)</f>
        <v>2</v>
      </c>
      <c r="F599" s="550"/>
      <c r="G599" s="551" t="s">
        <v>746</v>
      </c>
      <c r="H599" s="552" t="s">
        <v>166</v>
      </c>
      <c r="I599" s="551" t="s">
        <v>159</v>
      </c>
      <c r="J599" s="553">
        <v>31</v>
      </c>
      <c r="K599" s="554"/>
      <c r="L599" s="554">
        <v>27</v>
      </c>
      <c r="M599" s="554"/>
      <c r="N599" s="554"/>
      <c r="O599" s="554"/>
      <c r="P599" s="555"/>
      <c r="Q599" s="555"/>
      <c r="R599" s="555">
        <v>31</v>
      </c>
      <c r="S599" s="555"/>
      <c r="T599" s="556"/>
    </row>
    <row r="600" spans="1:20" ht="15" customHeight="1">
      <c r="A600" s="286">
        <v>600</v>
      </c>
      <c r="B600" s="544">
        <v>307</v>
      </c>
      <c r="C600" s="545" t="s">
        <v>108</v>
      </c>
      <c r="D600" s="549" t="s">
        <v>667</v>
      </c>
      <c r="E600" s="539">
        <f>VLOOKUP(B600,'2-Kosten per locatie'!$A$13:$C$87,3,FALSE)</f>
        <v>2</v>
      </c>
      <c r="F600" s="550"/>
      <c r="G600" s="551" t="s">
        <v>746</v>
      </c>
      <c r="H600" s="552" t="s">
        <v>607</v>
      </c>
      <c r="I600" s="551" t="s">
        <v>159</v>
      </c>
      <c r="J600" s="553">
        <v>5</v>
      </c>
      <c r="K600" s="554"/>
      <c r="L600" s="554">
        <v>38</v>
      </c>
      <c r="M600" s="554"/>
      <c r="N600" s="554"/>
      <c r="O600" s="554"/>
      <c r="P600" s="555"/>
      <c r="Q600" s="555"/>
      <c r="R600" s="555">
        <v>5</v>
      </c>
      <c r="S600" s="555"/>
      <c r="T600" s="556"/>
    </row>
    <row r="601" spans="1:20" ht="15" customHeight="1">
      <c r="A601" s="285">
        <v>601</v>
      </c>
      <c r="B601" s="544">
        <v>307</v>
      </c>
      <c r="C601" s="545" t="s">
        <v>108</v>
      </c>
      <c r="D601" s="549" t="s">
        <v>667</v>
      </c>
      <c r="E601" s="539">
        <f>VLOOKUP(B601,'2-Kosten per locatie'!$A$13:$C$87,3,FALSE)</f>
        <v>2</v>
      </c>
      <c r="F601" s="550"/>
      <c r="G601" s="551" t="s">
        <v>746</v>
      </c>
      <c r="H601" s="552" t="s">
        <v>517</v>
      </c>
      <c r="I601" s="551" t="s">
        <v>159</v>
      </c>
      <c r="J601" s="553">
        <v>36</v>
      </c>
      <c r="K601" s="554"/>
      <c r="L601" s="554">
        <v>38</v>
      </c>
      <c r="M601" s="554"/>
      <c r="N601" s="554"/>
      <c r="O601" s="554"/>
      <c r="P601" s="555"/>
      <c r="Q601" s="555"/>
      <c r="R601" s="555">
        <v>36</v>
      </c>
      <c r="S601" s="555"/>
      <c r="T601" s="556"/>
    </row>
    <row r="602" spans="1:20" ht="15" customHeight="1">
      <c r="A602" s="286">
        <v>602</v>
      </c>
      <c r="B602" s="544">
        <v>307</v>
      </c>
      <c r="C602" s="545" t="s">
        <v>108</v>
      </c>
      <c r="D602" s="549" t="s">
        <v>667</v>
      </c>
      <c r="E602" s="539">
        <f>VLOOKUP(B602,'2-Kosten per locatie'!$A$13:$C$87,3,FALSE)</f>
        <v>2</v>
      </c>
      <c r="F602" s="550"/>
      <c r="G602" s="551" t="s">
        <v>746</v>
      </c>
      <c r="H602" s="552" t="s">
        <v>519</v>
      </c>
      <c r="I602" s="551" t="s">
        <v>159</v>
      </c>
      <c r="J602" s="553">
        <v>11</v>
      </c>
      <c r="K602" s="554"/>
      <c r="L602" s="554">
        <v>38</v>
      </c>
      <c r="M602" s="554"/>
      <c r="N602" s="554"/>
      <c r="O602" s="554"/>
      <c r="P602" s="555"/>
      <c r="Q602" s="555"/>
      <c r="R602" s="555">
        <v>11</v>
      </c>
      <c r="S602" s="555"/>
      <c r="T602" s="556"/>
    </row>
    <row r="603" spans="1:20" ht="15" customHeight="1">
      <c r="A603" s="286">
        <v>603</v>
      </c>
      <c r="B603" s="544">
        <v>307</v>
      </c>
      <c r="C603" s="545" t="s">
        <v>108</v>
      </c>
      <c r="D603" s="549" t="s">
        <v>667</v>
      </c>
      <c r="E603" s="539">
        <f>VLOOKUP(B603,'2-Kosten per locatie'!$A$13:$C$87,3,FALSE)</f>
        <v>2</v>
      </c>
      <c r="F603" s="550"/>
      <c r="G603" s="551" t="s">
        <v>157</v>
      </c>
      <c r="H603" s="552" t="s">
        <v>509</v>
      </c>
      <c r="I603" s="551" t="s">
        <v>159</v>
      </c>
      <c r="J603" s="553">
        <v>3</v>
      </c>
      <c r="K603" s="554"/>
      <c r="L603" s="554">
        <v>4</v>
      </c>
      <c r="M603" s="554"/>
      <c r="N603" s="554"/>
      <c r="O603" s="554"/>
      <c r="P603" s="555"/>
      <c r="Q603" s="555"/>
      <c r="R603" s="555"/>
      <c r="S603" s="555">
        <v>3</v>
      </c>
      <c r="T603" s="556"/>
    </row>
    <row r="604" spans="1:20" ht="15" customHeight="1">
      <c r="A604" s="285">
        <v>604</v>
      </c>
      <c r="B604" s="544">
        <v>307</v>
      </c>
      <c r="C604" s="545" t="s">
        <v>108</v>
      </c>
      <c r="D604" s="549" t="s">
        <v>667</v>
      </c>
      <c r="E604" s="539">
        <f>VLOOKUP(B604,'2-Kosten per locatie'!$A$13:$C$87,3,FALSE)</f>
        <v>2</v>
      </c>
      <c r="F604" s="550"/>
      <c r="G604" s="551" t="s">
        <v>747</v>
      </c>
      <c r="H604" s="552" t="s">
        <v>284</v>
      </c>
      <c r="I604" s="551" t="s">
        <v>159</v>
      </c>
      <c r="J604" s="553">
        <v>2</v>
      </c>
      <c r="K604" s="554">
        <v>14</v>
      </c>
      <c r="L604" s="554"/>
      <c r="M604" s="554"/>
      <c r="N604" s="554"/>
      <c r="O604" s="554"/>
      <c r="P604" s="555"/>
      <c r="Q604" s="555"/>
      <c r="R604" s="555"/>
      <c r="S604" s="555">
        <v>2</v>
      </c>
      <c r="T604" s="556"/>
    </row>
    <row r="605" spans="1:20" ht="15" customHeight="1">
      <c r="A605" s="286">
        <v>605</v>
      </c>
      <c r="B605" s="544">
        <v>307</v>
      </c>
      <c r="C605" s="545" t="s">
        <v>108</v>
      </c>
      <c r="D605" s="549" t="s">
        <v>667</v>
      </c>
      <c r="E605" s="539">
        <f>VLOOKUP(B605,'2-Kosten per locatie'!$A$13:$C$87,3,FALSE)</f>
        <v>2</v>
      </c>
      <c r="F605" s="550"/>
      <c r="G605" s="551" t="s">
        <v>747</v>
      </c>
      <c r="H605" s="552" t="s">
        <v>515</v>
      </c>
      <c r="I605" s="551" t="s">
        <v>159</v>
      </c>
      <c r="J605" s="553">
        <v>2.4</v>
      </c>
      <c r="K605" s="554">
        <v>14</v>
      </c>
      <c r="L605" s="554"/>
      <c r="M605" s="554"/>
      <c r="N605" s="554"/>
      <c r="O605" s="554"/>
      <c r="P605" s="555"/>
      <c r="Q605" s="555"/>
      <c r="R605" s="555"/>
      <c r="S605" s="555">
        <v>2</v>
      </c>
      <c r="T605" s="556"/>
    </row>
    <row r="606" spans="1:20" ht="15" customHeight="1">
      <c r="A606" s="285">
        <v>606</v>
      </c>
      <c r="B606" s="544">
        <v>307</v>
      </c>
      <c r="C606" s="545" t="s">
        <v>108</v>
      </c>
      <c r="D606" s="549" t="s">
        <v>667</v>
      </c>
      <c r="E606" s="539">
        <f>VLOOKUP(B606,'2-Kosten per locatie'!$A$13:$C$87,3,FALSE)</f>
        <v>2</v>
      </c>
      <c r="F606" s="550"/>
      <c r="G606" s="551" t="s">
        <v>748</v>
      </c>
      <c r="H606" s="552" t="s">
        <v>512</v>
      </c>
      <c r="I606" s="551" t="s">
        <v>159</v>
      </c>
      <c r="J606" s="553">
        <v>3</v>
      </c>
      <c r="K606" s="554">
        <v>17</v>
      </c>
      <c r="L606" s="554"/>
      <c r="M606" s="554"/>
      <c r="N606" s="554"/>
      <c r="O606" s="554"/>
      <c r="P606" s="555"/>
      <c r="Q606" s="555"/>
      <c r="R606" s="555"/>
      <c r="S606" s="555">
        <v>3</v>
      </c>
      <c r="T606" s="556"/>
    </row>
    <row r="607" spans="1:20" ht="15" customHeight="1">
      <c r="A607" s="286">
        <v>607</v>
      </c>
      <c r="B607" s="544">
        <v>307</v>
      </c>
      <c r="C607" s="545" t="s">
        <v>108</v>
      </c>
      <c r="D607" s="549" t="s">
        <v>667</v>
      </c>
      <c r="E607" s="539">
        <f>VLOOKUP(B607,'2-Kosten per locatie'!$A$13:$C$87,3,FALSE)</f>
        <v>2</v>
      </c>
      <c r="F607" s="550"/>
      <c r="G607" s="551" t="s">
        <v>749</v>
      </c>
      <c r="H607" s="552" t="s">
        <v>750</v>
      </c>
      <c r="I607" s="551" t="s">
        <v>159</v>
      </c>
      <c r="J607" s="553">
        <v>9</v>
      </c>
      <c r="K607" s="554">
        <v>16</v>
      </c>
      <c r="L607" s="554">
        <v>16</v>
      </c>
      <c r="M607" s="554"/>
      <c r="N607" s="554"/>
      <c r="O607" s="554"/>
      <c r="P607" s="555"/>
      <c r="Q607" s="555"/>
      <c r="R607" s="555"/>
      <c r="S607" s="555">
        <v>9</v>
      </c>
      <c r="T607" s="556"/>
    </row>
    <row r="608" spans="1:20" ht="15" customHeight="1">
      <c r="A608" s="285">
        <v>608</v>
      </c>
      <c r="B608" s="544">
        <v>307</v>
      </c>
      <c r="C608" s="545" t="s">
        <v>108</v>
      </c>
      <c r="D608" s="549" t="s">
        <v>667</v>
      </c>
      <c r="E608" s="539">
        <f>VLOOKUP(B608,'2-Kosten per locatie'!$A$13:$C$87,3,FALSE)</f>
        <v>2</v>
      </c>
      <c r="F608" s="550"/>
      <c r="G608" s="551" t="s">
        <v>160</v>
      </c>
      <c r="H608" s="552" t="s">
        <v>161</v>
      </c>
      <c r="I608" s="551" t="s">
        <v>159</v>
      </c>
      <c r="J608" s="553">
        <v>13</v>
      </c>
      <c r="K608" s="554"/>
      <c r="L608" s="554">
        <v>35</v>
      </c>
      <c r="M608" s="554"/>
      <c r="N608" s="554"/>
      <c r="O608" s="554"/>
      <c r="P608" s="555"/>
      <c r="Q608" s="555"/>
      <c r="R608" s="555"/>
      <c r="S608" s="555">
        <v>13</v>
      </c>
      <c r="T608" s="556"/>
    </row>
    <row r="609" spans="1:20" ht="15" customHeight="1">
      <c r="A609" s="286">
        <v>609</v>
      </c>
      <c r="B609" s="544">
        <v>307</v>
      </c>
      <c r="C609" s="545" t="s">
        <v>108</v>
      </c>
      <c r="D609" s="549" t="s">
        <v>667</v>
      </c>
      <c r="E609" s="539">
        <f>VLOOKUP(B609,'2-Kosten per locatie'!$A$13:$C$87,3,FALSE)</f>
        <v>2</v>
      </c>
      <c r="F609" s="550"/>
      <c r="G609" s="551" t="s">
        <v>751</v>
      </c>
      <c r="H609" s="552" t="s">
        <v>282</v>
      </c>
      <c r="I609" s="551" t="s">
        <v>159</v>
      </c>
      <c r="J609" s="553">
        <v>6</v>
      </c>
      <c r="K609" s="554"/>
      <c r="L609" s="554">
        <v>21</v>
      </c>
      <c r="M609" s="554"/>
      <c r="N609" s="554"/>
      <c r="O609" s="554"/>
      <c r="P609" s="555"/>
      <c r="Q609" s="555"/>
      <c r="R609" s="555"/>
      <c r="S609" s="555">
        <v>6</v>
      </c>
      <c r="T609" s="556"/>
    </row>
    <row r="610" spans="1:20" ht="15" customHeight="1">
      <c r="A610" s="286">
        <v>610</v>
      </c>
      <c r="B610" s="544">
        <v>307</v>
      </c>
      <c r="C610" s="545" t="s">
        <v>108</v>
      </c>
      <c r="D610" s="549" t="s">
        <v>667</v>
      </c>
      <c r="E610" s="539">
        <f>VLOOKUP(B610,'2-Kosten per locatie'!$A$13:$C$87,3,FALSE)</f>
        <v>2</v>
      </c>
      <c r="F610" s="550"/>
      <c r="G610" s="551" t="s">
        <v>390</v>
      </c>
      <c r="H610" s="552"/>
      <c r="I610" s="551" t="s">
        <v>176</v>
      </c>
      <c r="J610" s="553">
        <v>33</v>
      </c>
      <c r="K610" s="554"/>
      <c r="L610" s="554"/>
      <c r="M610" s="554"/>
      <c r="N610" s="554">
        <v>26</v>
      </c>
      <c r="O610" s="554"/>
      <c r="P610" s="555"/>
      <c r="Q610" s="555"/>
      <c r="R610" s="555"/>
      <c r="S610" s="555"/>
      <c r="T610" s="556"/>
    </row>
    <row r="611" spans="1:20" ht="15" customHeight="1">
      <c r="A611" s="285">
        <v>611</v>
      </c>
      <c r="B611" s="544">
        <v>307</v>
      </c>
      <c r="C611" s="545" t="s">
        <v>108</v>
      </c>
      <c r="D611" s="549" t="s">
        <v>667</v>
      </c>
      <c r="E611" s="539">
        <f>VLOOKUP(B611,'2-Kosten per locatie'!$A$13:$C$87,3,FALSE)</f>
        <v>2</v>
      </c>
      <c r="F611" s="550"/>
      <c r="G611" s="551" t="s">
        <v>390</v>
      </c>
      <c r="H611" s="552"/>
      <c r="I611" s="551" t="s">
        <v>176</v>
      </c>
      <c r="J611" s="553">
        <v>33</v>
      </c>
      <c r="K611" s="554"/>
      <c r="L611" s="554"/>
      <c r="M611" s="554"/>
      <c r="N611" s="554">
        <v>26</v>
      </c>
      <c r="O611" s="554"/>
      <c r="P611" s="555"/>
      <c r="Q611" s="555"/>
      <c r="R611" s="555"/>
      <c r="S611" s="555"/>
      <c r="T611" s="556"/>
    </row>
    <row r="612" spans="1:20" ht="15" customHeight="1">
      <c r="A612" s="286">
        <v>612</v>
      </c>
      <c r="B612" s="544">
        <v>307</v>
      </c>
      <c r="C612" s="545" t="s">
        <v>108</v>
      </c>
      <c r="D612" s="549" t="s">
        <v>667</v>
      </c>
      <c r="E612" s="539">
        <f>VLOOKUP(B612,'2-Kosten per locatie'!$A$13:$C$87,3,FALSE)</f>
        <v>2</v>
      </c>
      <c r="F612" s="550"/>
      <c r="G612" s="551" t="s">
        <v>390</v>
      </c>
      <c r="H612" s="552"/>
      <c r="I612" s="551" t="s">
        <v>176</v>
      </c>
      <c r="J612" s="553">
        <v>33</v>
      </c>
      <c r="K612" s="554"/>
      <c r="L612" s="554"/>
      <c r="M612" s="554"/>
      <c r="N612" s="554">
        <v>26</v>
      </c>
      <c r="O612" s="554"/>
      <c r="P612" s="555"/>
      <c r="Q612" s="555"/>
      <c r="R612" s="555"/>
      <c r="S612" s="555"/>
      <c r="T612" s="556"/>
    </row>
    <row r="613" spans="1:20" ht="15" customHeight="1">
      <c r="A613" s="285">
        <v>613</v>
      </c>
      <c r="B613" s="544">
        <v>307</v>
      </c>
      <c r="C613" s="545" t="s">
        <v>108</v>
      </c>
      <c r="D613" s="549" t="s">
        <v>667</v>
      </c>
      <c r="E613" s="539">
        <f>VLOOKUP(B613,'2-Kosten per locatie'!$A$13:$C$87,3,FALSE)</f>
        <v>2</v>
      </c>
      <c r="F613" s="550"/>
      <c r="G613" s="551" t="s">
        <v>662</v>
      </c>
      <c r="H613" s="552" t="s">
        <v>752</v>
      </c>
      <c r="I613" s="551" t="s">
        <v>180</v>
      </c>
      <c r="J613" s="553">
        <v>147</v>
      </c>
      <c r="K613" s="554">
        <v>180</v>
      </c>
      <c r="L613" s="554"/>
      <c r="M613" s="554"/>
      <c r="N613" s="554"/>
      <c r="O613" s="554"/>
      <c r="P613" s="555"/>
      <c r="Q613" s="555"/>
      <c r="R613" s="555"/>
      <c r="S613" s="555"/>
      <c r="T613" s="556"/>
    </row>
    <row r="614" spans="1:20" ht="15" customHeight="1">
      <c r="A614" s="286">
        <v>614</v>
      </c>
      <c r="B614" s="544">
        <v>307</v>
      </c>
      <c r="C614" s="545" t="s">
        <v>108</v>
      </c>
      <c r="D614" s="549" t="s">
        <v>667</v>
      </c>
      <c r="E614" s="539">
        <f>VLOOKUP(B614,'2-Kosten per locatie'!$A$13:$C$87,3,FALSE)</f>
        <v>2</v>
      </c>
      <c r="F614" s="550"/>
      <c r="G614" s="551" t="s">
        <v>350</v>
      </c>
      <c r="H614" s="552" t="s">
        <v>505</v>
      </c>
      <c r="I614" s="551" t="s">
        <v>251</v>
      </c>
      <c r="J614" s="553">
        <v>391</v>
      </c>
      <c r="K614" s="554"/>
      <c r="L614" s="554"/>
      <c r="M614" s="554"/>
      <c r="N614" s="554"/>
      <c r="O614" s="554"/>
      <c r="P614" s="555"/>
      <c r="Q614" s="555"/>
      <c r="R614" s="555"/>
      <c r="S614" s="555"/>
      <c r="T614" s="556"/>
    </row>
    <row r="615" spans="1:20" ht="15" customHeight="1">
      <c r="A615" s="285">
        <v>615</v>
      </c>
      <c r="B615" s="544">
        <v>307</v>
      </c>
      <c r="C615" s="545" t="s">
        <v>108</v>
      </c>
      <c r="D615" s="549" t="s">
        <v>667</v>
      </c>
      <c r="E615" s="539">
        <f>VLOOKUP(B615,'2-Kosten per locatie'!$A$13:$C$87,3,FALSE)</f>
        <v>2</v>
      </c>
      <c r="F615" s="550"/>
      <c r="G615" s="551" t="s">
        <v>606</v>
      </c>
      <c r="H615" s="552"/>
      <c r="I615" s="551" t="s">
        <v>205</v>
      </c>
      <c r="J615" s="553">
        <v>5</v>
      </c>
      <c r="K615" s="554"/>
      <c r="L615" s="554"/>
      <c r="M615" s="554"/>
      <c r="N615" s="554"/>
      <c r="O615" s="554"/>
      <c r="P615" s="555"/>
      <c r="Q615" s="555"/>
      <c r="R615" s="555"/>
      <c r="S615" s="555"/>
      <c r="T615" s="556"/>
    </row>
    <row r="616" spans="1:20" ht="15" customHeight="1">
      <c r="A616" s="286">
        <v>616</v>
      </c>
      <c r="B616" s="544">
        <v>307</v>
      </c>
      <c r="C616" s="545" t="s">
        <v>108</v>
      </c>
      <c r="D616" s="549" t="s">
        <v>667</v>
      </c>
      <c r="E616" s="539">
        <f>VLOOKUP(B616,'2-Kosten per locatie'!$A$13:$C$87,3,FALSE)</f>
        <v>2</v>
      </c>
      <c r="F616" s="550"/>
      <c r="G616" s="551" t="s">
        <v>606</v>
      </c>
      <c r="H616" s="552"/>
      <c r="I616" s="551" t="s">
        <v>205</v>
      </c>
      <c r="J616" s="553">
        <v>5</v>
      </c>
      <c r="K616" s="554"/>
      <c r="L616" s="554"/>
      <c r="M616" s="554"/>
      <c r="N616" s="554"/>
      <c r="O616" s="554"/>
      <c r="P616" s="555"/>
      <c r="Q616" s="555"/>
      <c r="R616" s="555"/>
      <c r="S616" s="555"/>
      <c r="T616" s="556"/>
    </row>
    <row r="617" spans="1:20" ht="15" customHeight="1">
      <c r="A617" s="286">
        <v>617</v>
      </c>
      <c r="B617" s="544">
        <v>308</v>
      </c>
      <c r="C617" s="545" t="s">
        <v>109</v>
      </c>
      <c r="D617" s="549" t="s">
        <v>667</v>
      </c>
      <c r="E617" s="539">
        <f>VLOOKUP(B617,'2-Kosten per locatie'!$A$13:$C$87,3,FALSE)</f>
        <v>2</v>
      </c>
      <c r="F617" s="550"/>
      <c r="G617" s="551" t="s">
        <v>668</v>
      </c>
      <c r="H617" s="552" t="s">
        <v>598</v>
      </c>
      <c r="I617" s="551" t="s">
        <v>180</v>
      </c>
      <c r="J617" s="553">
        <v>42</v>
      </c>
      <c r="K617" s="554" t="s">
        <v>722</v>
      </c>
      <c r="L617" s="554"/>
      <c r="M617" s="554"/>
      <c r="N617" s="554"/>
      <c r="O617" s="554"/>
      <c r="P617" s="555"/>
      <c r="Q617" s="555"/>
      <c r="R617" s="555"/>
      <c r="S617" s="555"/>
      <c r="T617" s="556"/>
    </row>
    <row r="618" spans="1:20" ht="15" customHeight="1">
      <c r="A618" s="285">
        <v>618</v>
      </c>
      <c r="B618" s="544">
        <v>308</v>
      </c>
      <c r="C618" s="545" t="s">
        <v>109</v>
      </c>
      <c r="D618" s="549" t="s">
        <v>667</v>
      </c>
      <c r="E618" s="539">
        <f>VLOOKUP(B618,'2-Kosten per locatie'!$A$13:$C$87,3,FALSE)</f>
        <v>2</v>
      </c>
      <c r="F618" s="550"/>
      <c r="G618" s="551" t="s">
        <v>669</v>
      </c>
      <c r="H618" s="552" t="s">
        <v>670</v>
      </c>
      <c r="I618" s="551" t="s">
        <v>709</v>
      </c>
      <c r="J618" s="553">
        <v>623</v>
      </c>
      <c r="K618" s="554"/>
      <c r="L618" s="554"/>
      <c r="M618" s="554"/>
      <c r="N618" s="554"/>
      <c r="O618" s="554"/>
      <c r="P618" s="555"/>
      <c r="Q618" s="555"/>
      <c r="R618" s="555"/>
      <c r="S618" s="555"/>
      <c r="T618" s="556"/>
    </row>
    <row r="619" spans="1:20" ht="15" customHeight="1">
      <c r="A619" s="286">
        <v>619</v>
      </c>
      <c r="B619" s="544">
        <v>308</v>
      </c>
      <c r="C619" s="545" t="s">
        <v>109</v>
      </c>
      <c r="D619" s="549" t="s">
        <v>667</v>
      </c>
      <c r="E619" s="539">
        <f>VLOOKUP(B619,'2-Kosten per locatie'!$A$13:$C$87,3,FALSE)</f>
        <v>2</v>
      </c>
      <c r="F619" s="550"/>
      <c r="G619" s="551" t="s">
        <v>710</v>
      </c>
      <c r="H619" s="552" t="s">
        <v>670</v>
      </c>
      <c r="I619" s="551" t="s">
        <v>711</v>
      </c>
      <c r="J619" s="553">
        <v>421</v>
      </c>
      <c r="K619" s="554"/>
      <c r="L619" s="554"/>
      <c r="M619" s="554"/>
      <c r="N619" s="554"/>
      <c r="O619" s="554"/>
      <c r="P619" s="555"/>
      <c r="Q619" s="555"/>
      <c r="R619" s="555"/>
      <c r="S619" s="555"/>
      <c r="T619" s="556"/>
    </row>
    <row r="620" spans="1:20" ht="15" customHeight="1">
      <c r="A620" s="285">
        <v>620</v>
      </c>
      <c r="B620" s="544">
        <v>308</v>
      </c>
      <c r="C620" s="545" t="s">
        <v>109</v>
      </c>
      <c r="D620" s="549" t="s">
        <v>667</v>
      </c>
      <c r="E620" s="539">
        <f>VLOOKUP(B620,'2-Kosten per locatie'!$A$13:$C$87,3,FALSE)</f>
        <v>2</v>
      </c>
      <c r="F620" s="550"/>
      <c r="G620" s="551" t="s">
        <v>712</v>
      </c>
      <c r="H620" s="552" t="s">
        <v>670</v>
      </c>
      <c r="I620" s="551" t="s">
        <v>214</v>
      </c>
      <c r="J620" s="553">
        <v>199</v>
      </c>
      <c r="K620" s="554"/>
      <c r="L620" s="554"/>
      <c r="M620" s="554"/>
      <c r="N620" s="554"/>
      <c r="O620" s="554"/>
      <c r="P620" s="555"/>
      <c r="Q620" s="555"/>
      <c r="R620" s="555"/>
      <c r="S620" s="555"/>
      <c r="T620" s="556"/>
    </row>
    <row r="621" spans="1:20" ht="15" customHeight="1">
      <c r="A621" s="286">
        <v>621</v>
      </c>
      <c r="B621" s="544">
        <v>308</v>
      </c>
      <c r="C621" s="545" t="s">
        <v>109</v>
      </c>
      <c r="D621" s="549" t="s">
        <v>667</v>
      </c>
      <c r="E621" s="539">
        <f>VLOOKUP(B621,'2-Kosten per locatie'!$A$13:$C$87,3,FALSE)</f>
        <v>2</v>
      </c>
      <c r="F621" s="550"/>
      <c r="G621" s="551" t="s">
        <v>713</v>
      </c>
      <c r="H621" s="552" t="s">
        <v>714</v>
      </c>
      <c r="I621" s="551" t="s">
        <v>162</v>
      </c>
      <c r="J621" s="553">
        <v>1</v>
      </c>
      <c r="K621" s="554"/>
      <c r="L621" s="554"/>
      <c r="M621" s="554"/>
      <c r="N621" s="554">
        <v>22</v>
      </c>
      <c r="O621" s="554">
        <v>17</v>
      </c>
      <c r="P621" s="555"/>
      <c r="Q621" s="555"/>
      <c r="R621" s="555"/>
      <c r="S621" s="555">
        <v>9</v>
      </c>
      <c r="T621" s="556"/>
    </row>
    <row r="622" spans="1:20" ht="15" customHeight="1">
      <c r="A622" s="285">
        <v>622</v>
      </c>
      <c r="B622" s="544">
        <v>308</v>
      </c>
      <c r="C622" s="545" t="s">
        <v>109</v>
      </c>
      <c r="D622" s="549" t="s">
        <v>667</v>
      </c>
      <c r="E622" s="539">
        <f>VLOOKUP(B622,'2-Kosten per locatie'!$A$13:$C$87,3,FALSE)</f>
        <v>2</v>
      </c>
      <c r="F622" s="550"/>
      <c r="G622" s="551" t="s">
        <v>713</v>
      </c>
      <c r="H622" s="552" t="s">
        <v>714</v>
      </c>
      <c r="I622" s="551" t="s">
        <v>162</v>
      </c>
      <c r="J622" s="553">
        <v>8</v>
      </c>
      <c r="K622" s="554"/>
      <c r="L622" s="554"/>
      <c r="M622" s="554"/>
      <c r="N622" s="554">
        <v>22</v>
      </c>
      <c r="O622" s="554">
        <v>17</v>
      </c>
      <c r="P622" s="555"/>
      <c r="Q622" s="555"/>
      <c r="R622" s="555"/>
      <c r="S622" s="555">
        <v>9</v>
      </c>
      <c r="T622" s="556"/>
    </row>
    <row r="623" spans="1:20" ht="15" customHeight="1">
      <c r="A623" s="286">
        <v>623</v>
      </c>
      <c r="B623" s="544">
        <v>308</v>
      </c>
      <c r="C623" s="545" t="s">
        <v>109</v>
      </c>
      <c r="D623" s="549" t="s">
        <v>667</v>
      </c>
      <c r="E623" s="539">
        <f>VLOOKUP(B623,'2-Kosten per locatie'!$A$13:$C$87,3,FALSE)</f>
        <v>2</v>
      </c>
      <c r="F623" s="550"/>
      <c r="G623" s="551" t="s">
        <v>681</v>
      </c>
      <c r="H623" s="552" t="s">
        <v>682</v>
      </c>
      <c r="I623" s="551" t="s">
        <v>176</v>
      </c>
      <c r="J623" s="553">
        <v>33</v>
      </c>
      <c r="K623" s="554"/>
      <c r="L623" s="554"/>
      <c r="M623" s="554"/>
      <c r="N623" s="554">
        <v>18</v>
      </c>
      <c r="O623" s="554"/>
      <c r="P623" s="555"/>
      <c r="Q623" s="555"/>
      <c r="R623" s="555"/>
      <c r="S623" s="555"/>
      <c r="T623" s="556"/>
    </row>
    <row r="624" spans="1:20" ht="15" customHeight="1">
      <c r="A624" s="286">
        <v>624</v>
      </c>
      <c r="B624" s="544">
        <v>308</v>
      </c>
      <c r="C624" s="545" t="s">
        <v>109</v>
      </c>
      <c r="D624" s="549" t="s">
        <v>667</v>
      </c>
      <c r="E624" s="539">
        <f>VLOOKUP(B624,'2-Kosten per locatie'!$A$13:$C$87,3,FALSE)</f>
        <v>2</v>
      </c>
      <c r="F624" s="550"/>
      <c r="G624" s="551" t="s">
        <v>683</v>
      </c>
      <c r="H624" s="552" t="s">
        <v>158</v>
      </c>
      <c r="I624" s="551" t="s">
        <v>251</v>
      </c>
      <c r="J624" s="553">
        <v>6.41</v>
      </c>
      <c r="K624" s="554"/>
      <c r="L624" s="554">
        <v>34</v>
      </c>
      <c r="M624" s="554"/>
      <c r="N624" s="554"/>
      <c r="O624" s="554"/>
      <c r="P624" s="555"/>
      <c r="Q624" s="555"/>
      <c r="R624" s="555">
        <v>6</v>
      </c>
      <c r="S624" s="555"/>
      <c r="T624" s="556"/>
    </row>
    <row r="625" spans="1:20" ht="15" customHeight="1">
      <c r="A625" s="285">
        <v>625</v>
      </c>
      <c r="B625" s="544">
        <v>308</v>
      </c>
      <c r="C625" s="545" t="s">
        <v>109</v>
      </c>
      <c r="D625" s="549" t="s">
        <v>667</v>
      </c>
      <c r="E625" s="539">
        <f>VLOOKUP(B625,'2-Kosten per locatie'!$A$13:$C$87,3,FALSE)</f>
        <v>2</v>
      </c>
      <c r="F625" s="550"/>
      <c r="G625" s="551" t="s">
        <v>671</v>
      </c>
      <c r="H625" s="552" t="s">
        <v>161</v>
      </c>
      <c r="I625" s="551" t="s">
        <v>159</v>
      </c>
      <c r="J625" s="553">
        <v>11</v>
      </c>
      <c r="K625" s="554"/>
      <c r="L625" s="554">
        <v>50</v>
      </c>
      <c r="M625" s="554"/>
      <c r="N625" s="554"/>
      <c r="O625" s="554"/>
      <c r="P625" s="555"/>
      <c r="Q625" s="555"/>
      <c r="R625" s="555">
        <v>11</v>
      </c>
      <c r="S625" s="555"/>
      <c r="T625" s="556"/>
    </row>
    <row r="626" spans="1:20" ht="15" customHeight="1">
      <c r="A626" s="286">
        <v>626</v>
      </c>
      <c r="B626" s="544">
        <v>308</v>
      </c>
      <c r="C626" s="545" t="s">
        <v>109</v>
      </c>
      <c r="D626" s="549" t="s">
        <v>667</v>
      </c>
      <c r="E626" s="539">
        <f>VLOOKUP(B626,'2-Kosten per locatie'!$A$13:$C$87,3,FALSE)</f>
        <v>2</v>
      </c>
      <c r="F626" s="550"/>
      <c r="G626" s="551" t="s">
        <v>672</v>
      </c>
      <c r="H626" s="552" t="s">
        <v>282</v>
      </c>
      <c r="I626" s="551" t="s">
        <v>159</v>
      </c>
      <c r="J626" s="553">
        <v>2</v>
      </c>
      <c r="K626" s="554"/>
      <c r="L626" s="554">
        <v>16</v>
      </c>
      <c r="M626" s="554"/>
      <c r="N626" s="554"/>
      <c r="O626" s="554"/>
      <c r="P626" s="555"/>
      <c r="Q626" s="555"/>
      <c r="R626" s="555">
        <v>2</v>
      </c>
      <c r="S626" s="555"/>
      <c r="T626" s="556"/>
    </row>
    <row r="627" spans="1:20" ht="15" customHeight="1">
      <c r="A627" s="285">
        <v>627</v>
      </c>
      <c r="B627" s="544">
        <v>414</v>
      </c>
      <c r="C627" s="545" t="s">
        <v>109</v>
      </c>
      <c r="D627" s="549" t="s">
        <v>737</v>
      </c>
      <c r="E627" s="539">
        <f>VLOOKUP(B627,'2-Kosten per locatie'!$A$13:$C$87,3,FALSE)</f>
        <v>2</v>
      </c>
      <c r="F627" s="550"/>
      <c r="G627" s="551" t="s">
        <v>753</v>
      </c>
      <c r="H627" s="552" t="s">
        <v>510</v>
      </c>
      <c r="I627" s="551" t="s">
        <v>214</v>
      </c>
      <c r="J627" s="553">
        <v>11</v>
      </c>
      <c r="K627" s="554"/>
      <c r="L627" s="554">
        <v>35</v>
      </c>
      <c r="M627" s="554"/>
      <c r="N627" s="554"/>
      <c r="O627" s="554"/>
      <c r="P627" s="555"/>
      <c r="Q627" s="555"/>
      <c r="R627" s="555">
        <v>11</v>
      </c>
      <c r="S627" s="555"/>
      <c r="T627" s="556"/>
    </row>
    <row r="628" spans="1:20" ht="15" customHeight="1">
      <c r="A628" s="286">
        <v>628</v>
      </c>
      <c r="B628" s="544">
        <v>414</v>
      </c>
      <c r="C628" s="545" t="s">
        <v>109</v>
      </c>
      <c r="D628" s="549" t="s">
        <v>737</v>
      </c>
      <c r="E628" s="539">
        <f>VLOOKUP(B628,'2-Kosten per locatie'!$A$13:$C$87,3,FALSE)</f>
        <v>2</v>
      </c>
      <c r="F628" s="550"/>
      <c r="G628" s="551" t="s">
        <v>754</v>
      </c>
      <c r="H628" s="552" t="s">
        <v>741</v>
      </c>
      <c r="I628" s="551" t="s">
        <v>214</v>
      </c>
      <c r="J628" s="553">
        <v>30</v>
      </c>
      <c r="K628" s="554"/>
      <c r="L628" s="554">
        <v>69</v>
      </c>
      <c r="M628" s="554"/>
      <c r="N628" s="554"/>
      <c r="O628" s="554"/>
      <c r="P628" s="555"/>
      <c r="Q628" s="555"/>
      <c r="R628" s="555">
        <v>30</v>
      </c>
      <c r="S628" s="555"/>
      <c r="T628" s="556"/>
    </row>
    <row r="629" spans="1:20" ht="15" customHeight="1">
      <c r="A629" s="285">
        <v>629</v>
      </c>
      <c r="B629" s="544">
        <v>308</v>
      </c>
      <c r="C629" s="545" t="s">
        <v>109</v>
      </c>
      <c r="D629" s="549" t="s">
        <v>667</v>
      </c>
      <c r="E629" s="539">
        <f>VLOOKUP(B629,'2-Kosten per locatie'!$A$13:$C$87,3,FALSE)</f>
        <v>2</v>
      </c>
      <c r="F629" s="550"/>
      <c r="G629" s="551" t="s">
        <v>463</v>
      </c>
      <c r="H629" s="552" t="s">
        <v>512</v>
      </c>
      <c r="I629" s="551" t="s">
        <v>159</v>
      </c>
      <c r="J629" s="553">
        <v>6</v>
      </c>
      <c r="K629" s="554">
        <v>2</v>
      </c>
      <c r="L629" s="554">
        <v>38</v>
      </c>
      <c r="M629" s="554"/>
      <c r="N629" s="554"/>
      <c r="O629" s="554"/>
      <c r="P629" s="555"/>
      <c r="Q629" s="555"/>
      <c r="R629" s="555">
        <v>6</v>
      </c>
      <c r="S629" s="555"/>
      <c r="T629" s="556"/>
    </row>
    <row r="630" spans="1:20" ht="15" customHeight="1">
      <c r="A630" s="286">
        <v>630</v>
      </c>
      <c r="B630" s="544">
        <v>308</v>
      </c>
      <c r="C630" s="545" t="s">
        <v>109</v>
      </c>
      <c r="D630" s="549" t="s">
        <v>667</v>
      </c>
      <c r="E630" s="539">
        <f>VLOOKUP(B630,'2-Kosten per locatie'!$A$13:$C$87,3,FALSE)</f>
        <v>2</v>
      </c>
      <c r="F630" s="550"/>
      <c r="G630" s="551" t="s">
        <v>704</v>
      </c>
      <c r="H630" s="552" t="s">
        <v>166</v>
      </c>
      <c r="I630" s="551" t="s">
        <v>159</v>
      </c>
      <c r="J630" s="553">
        <v>11</v>
      </c>
      <c r="K630" s="554"/>
      <c r="L630" s="554">
        <v>46</v>
      </c>
      <c r="M630" s="554"/>
      <c r="N630" s="554"/>
      <c r="O630" s="554"/>
      <c r="P630" s="555"/>
      <c r="Q630" s="555"/>
      <c r="R630" s="555">
        <v>11</v>
      </c>
      <c r="S630" s="555"/>
      <c r="T630" s="556"/>
    </row>
    <row r="631" spans="1:20" ht="15" customHeight="1">
      <c r="A631" s="286">
        <v>631</v>
      </c>
      <c r="B631" s="544">
        <v>308</v>
      </c>
      <c r="C631" s="545" t="s">
        <v>109</v>
      </c>
      <c r="D631" s="549" t="s">
        <v>667</v>
      </c>
      <c r="E631" s="539">
        <f>VLOOKUP(B631,'2-Kosten per locatie'!$A$13:$C$87,3,FALSE)</f>
        <v>2</v>
      </c>
      <c r="F631" s="550"/>
      <c r="G631" s="551" t="s">
        <v>717</v>
      </c>
      <c r="H631" s="552"/>
      <c r="I631" s="551" t="s">
        <v>251</v>
      </c>
      <c r="J631" s="553">
        <v>32</v>
      </c>
      <c r="K631" s="554"/>
      <c r="L631" s="554"/>
      <c r="M631" s="554"/>
      <c r="N631" s="554"/>
      <c r="O631" s="554"/>
      <c r="P631" s="555"/>
      <c r="Q631" s="555"/>
      <c r="R631" s="555"/>
      <c r="S631" s="555"/>
      <c r="T631" s="556"/>
    </row>
    <row r="632" spans="1:20" ht="15" customHeight="1">
      <c r="A632" s="285">
        <v>632</v>
      </c>
      <c r="B632" s="544">
        <v>308</v>
      </c>
      <c r="C632" s="545" t="s">
        <v>109</v>
      </c>
      <c r="D632" s="549" t="s">
        <v>667</v>
      </c>
      <c r="E632" s="539">
        <f>VLOOKUP(B632,'2-Kosten per locatie'!$A$13:$C$87,3,FALSE)</f>
        <v>2</v>
      </c>
      <c r="F632" s="550"/>
      <c r="G632" s="551" t="s">
        <v>689</v>
      </c>
      <c r="H632" s="552" t="s">
        <v>517</v>
      </c>
      <c r="I632" s="551" t="s">
        <v>205</v>
      </c>
      <c r="J632" s="553">
        <v>5</v>
      </c>
      <c r="K632" s="554"/>
      <c r="L632" s="554"/>
      <c r="M632" s="554"/>
      <c r="N632" s="554"/>
      <c r="O632" s="554"/>
      <c r="P632" s="555"/>
      <c r="Q632" s="555"/>
      <c r="R632" s="555"/>
      <c r="S632" s="555"/>
      <c r="T632" s="556"/>
    </row>
    <row r="633" spans="1:20" ht="15" customHeight="1">
      <c r="A633" s="286">
        <v>633</v>
      </c>
      <c r="B633" s="544">
        <v>309</v>
      </c>
      <c r="C633" s="545" t="s">
        <v>110</v>
      </c>
      <c r="D633" s="549" t="s">
        <v>667</v>
      </c>
      <c r="E633" s="539">
        <f>VLOOKUP(B633,'2-Kosten per locatie'!$A$13:$C$87,3,FALSE)</f>
        <v>2</v>
      </c>
      <c r="F633" s="550"/>
      <c r="G633" s="551" t="s">
        <v>668</v>
      </c>
      <c r="H633" s="552" t="s">
        <v>598</v>
      </c>
      <c r="I633" s="551" t="s">
        <v>180</v>
      </c>
      <c r="J633" s="553">
        <v>41</v>
      </c>
      <c r="K633" s="554" t="s">
        <v>722</v>
      </c>
      <c r="L633" s="554"/>
      <c r="M633" s="554"/>
      <c r="N633" s="554"/>
      <c r="O633" s="554"/>
      <c r="P633" s="555"/>
      <c r="Q633" s="555"/>
      <c r="R633" s="555"/>
      <c r="S633" s="555"/>
      <c r="T633" s="556"/>
    </row>
    <row r="634" spans="1:20" ht="15" customHeight="1">
      <c r="A634" s="285">
        <v>634</v>
      </c>
      <c r="B634" s="544">
        <v>309</v>
      </c>
      <c r="C634" s="545" t="s">
        <v>110</v>
      </c>
      <c r="D634" s="549" t="s">
        <v>667</v>
      </c>
      <c r="E634" s="539">
        <f>VLOOKUP(B634,'2-Kosten per locatie'!$A$13:$C$87,3,FALSE)</f>
        <v>2</v>
      </c>
      <c r="F634" s="550"/>
      <c r="G634" s="551" t="s">
        <v>669</v>
      </c>
      <c r="H634" s="552" t="s">
        <v>670</v>
      </c>
      <c r="I634" s="551" t="s">
        <v>709</v>
      </c>
      <c r="J634" s="553">
        <v>496</v>
      </c>
      <c r="K634" s="554"/>
      <c r="L634" s="554"/>
      <c r="M634" s="554"/>
      <c r="N634" s="554"/>
      <c r="O634" s="554"/>
      <c r="P634" s="555"/>
      <c r="Q634" s="555"/>
      <c r="R634" s="555"/>
      <c r="S634" s="555"/>
      <c r="T634" s="556"/>
    </row>
    <row r="635" spans="1:20" ht="15" customHeight="1">
      <c r="A635" s="286">
        <v>635</v>
      </c>
      <c r="B635" s="544">
        <v>309</v>
      </c>
      <c r="C635" s="545" t="s">
        <v>110</v>
      </c>
      <c r="D635" s="549" t="s">
        <v>667</v>
      </c>
      <c r="E635" s="539">
        <f>VLOOKUP(B635,'2-Kosten per locatie'!$A$13:$C$87,3,FALSE)</f>
        <v>2</v>
      </c>
      <c r="F635" s="550"/>
      <c r="G635" s="551" t="s">
        <v>710</v>
      </c>
      <c r="H635" s="552" t="s">
        <v>670</v>
      </c>
      <c r="I635" s="551" t="s">
        <v>711</v>
      </c>
      <c r="J635" s="553">
        <v>531</v>
      </c>
      <c r="K635" s="554"/>
      <c r="L635" s="554"/>
      <c r="M635" s="554"/>
      <c r="N635" s="554"/>
      <c r="O635" s="554"/>
      <c r="P635" s="555"/>
      <c r="Q635" s="555"/>
      <c r="R635" s="555"/>
      <c r="S635" s="555"/>
      <c r="T635" s="556"/>
    </row>
    <row r="636" spans="1:20" ht="15" customHeight="1">
      <c r="A636" s="285">
        <v>636</v>
      </c>
      <c r="B636" s="544">
        <v>309</v>
      </c>
      <c r="C636" s="545" t="s">
        <v>110</v>
      </c>
      <c r="D636" s="549" t="s">
        <v>667</v>
      </c>
      <c r="E636" s="539">
        <f>VLOOKUP(B636,'2-Kosten per locatie'!$A$13:$C$87,3,FALSE)</f>
        <v>2</v>
      </c>
      <c r="F636" s="550"/>
      <c r="G636" s="551" t="s">
        <v>755</v>
      </c>
      <c r="H636" s="552" t="s">
        <v>670</v>
      </c>
      <c r="I636" s="551" t="s">
        <v>214</v>
      </c>
      <c r="J636" s="553">
        <v>199</v>
      </c>
      <c r="K636" s="554"/>
      <c r="L636" s="554"/>
      <c r="M636" s="554"/>
      <c r="N636" s="554"/>
      <c r="O636" s="554"/>
      <c r="P636" s="555"/>
      <c r="Q636" s="555"/>
      <c r="R636" s="555"/>
      <c r="S636" s="555"/>
      <c r="T636" s="556"/>
    </row>
    <row r="637" spans="1:20" ht="15" customHeight="1">
      <c r="A637" s="286">
        <v>637</v>
      </c>
      <c r="B637" s="544">
        <v>309</v>
      </c>
      <c r="C637" s="545" t="s">
        <v>110</v>
      </c>
      <c r="D637" s="549" t="s">
        <v>667</v>
      </c>
      <c r="E637" s="539">
        <f>VLOOKUP(B637,'2-Kosten per locatie'!$A$13:$C$87,3,FALSE)</f>
        <v>2</v>
      </c>
      <c r="F637" s="550"/>
      <c r="G637" s="551" t="s">
        <v>713</v>
      </c>
      <c r="H637" s="552" t="s">
        <v>714</v>
      </c>
      <c r="I637" s="551" t="s">
        <v>162</v>
      </c>
      <c r="J637" s="553">
        <v>1</v>
      </c>
      <c r="K637" s="554"/>
      <c r="L637" s="554"/>
      <c r="M637" s="554"/>
      <c r="N637" s="554">
        <v>22</v>
      </c>
      <c r="O637" s="554">
        <v>17</v>
      </c>
      <c r="P637" s="555"/>
      <c r="Q637" s="555"/>
      <c r="R637" s="555"/>
      <c r="S637" s="555">
        <v>9</v>
      </c>
      <c r="T637" s="556"/>
    </row>
    <row r="638" spans="1:20" ht="15" customHeight="1">
      <c r="A638" s="286">
        <v>638</v>
      </c>
      <c r="B638" s="544">
        <v>309</v>
      </c>
      <c r="C638" s="545" t="s">
        <v>110</v>
      </c>
      <c r="D638" s="549" t="s">
        <v>667</v>
      </c>
      <c r="E638" s="539">
        <f>VLOOKUP(B638,'2-Kosten per locatie'!$A$13:$C$87,3,FALSE)</f>
        <v>2</v>
      </c>
      <c r="F638" s="550"/>
      <c r="G638" s="551" t="s">
        <v>713</v>
      </c>
      <c r="H638" s="552" t="s">
        <v>714</v>
      </c>
      <c r="I638" s="551" t="s">
        <v>162</v>
      </c>
      <c r="J638" s="553">
        <v>8</v>
      </c>
      <c r="K638" s="554"/>
      <c r="L638" s="554"/>
      <c r="M638" s="554"/>
      <c r="N638" s="554">
        <v>22</v>
      </c>
      <c r="O638" s="554">
        <v>17</v>
      </c>
      <c r="P638" s="555"/>
      <c r="Q638" s="555"/>
      <c r="R638" s="555"/>
      <c r="S638" s="555">
        <v>9</v>
      </c>
      <c r="T638" s="556"/>
    </row>
    <row r="639" spans="1:20" ht="15" customHeight="1">
      <c r="A639" s="285">
        <v>639</v>
      </c>
      <c r="B639" s="544">
        <v>309</v>
      </c>
      <c r="C639" s="545" t="s">
        <v>110</v>
      </c>
      <c r="D639" s="549" t="s">
        <v>667</v>
      </c>
      <c r="E639" s="539">
        <f>VLOOKUP(B639,'2-Kosten per locatie'!$A$13:$C$87,3,FALSE)</f>
        <v>2</v>
      </c>
      <c r="F639" s="550"/>
      <c r="G639" s="551" t="s">
        <v>681</v>
      </c>
      <c r="H639" s="552" t="s">
        <v>682</v>
      </c>
      <c r="I639" s="551" t="s">
        <v>176</v>
      </c>
      <c r="J639" s="553">
        <v>33</v>
      </c>
      <c r="K639" s="554"/>
      <c r="L639" s="554"/>
      <c r="M639" s="554"/>
      <c r="N639" s="554">
        <v>18</v>
      </c>
      <c r="O639" s="554"/>
      <c r="P639" s="555"/>
      <c r="Q639" s="555"/>
      <c r="R639" s="555"/>
      <c r="S639" s="555"/>
      <c r="T639" s="556"/>
    </row>
    <row r="640" spans="1:20" ht="15" customHeight="1">
      <c r="A640" s="286">
        <v>640</v>
      </c>
      <c r="B640" s="544">
        <v>309</v>
      </c>
      <c r="C640" s="545" t="s">
        <v>110</v>
      </c>
      <c r="D640" s="549" t="s">
        <v>667</v>
      </c>
      <c r="E640" s="539">
        <f>VLOOKUP(B640,'2-Kosten per locatie'!$A$13:$C$87,3,FALSE)</f>
        <v>2</v>
      </c>
      <c r="F640" s="550"/>
      <c r="G640" s="551" t="s">
        <v>756</v>
      </c>
      <c r="H640" s="552" t="s">
        <v>158</v>
      </c>
      <c r="I640" s="551" t="s">
        <v>251</v>
      </c>
      <c r="J640" s="553">
        <v>6.41</v>
      </c>
      <c r="K640" s="554"/>
      <c r="L640" s="554">
        <v>44</v>
      </c>
      <c r="M640" s="554"/>
      <c r="N640" s="554"/>
      <c r="O640" s="554"/>
      <c r="P640" s="555"/>
      <c r="Q640" s="555"/>
      <c r="R640" s="555">
        <v>6</v>
      </c>
      <c r="S640" s="555"/>
      <c r="T640" s="556"/>
    </row>
    <row r="641" spans="1:20" ht="15" customHeight="1">
      <c r="A641" s="285">
        <v>641</v>
      </c>
      <c r="B641" s="544">
        <v>309</v>
      </c>
      <c r="C641" s="545" t="s">
        <v>110</v>
      </c>
      <c r="D641" s="549" t="s">
        <v>667</v>
      </c>
      <c r="E641" s="539">
        <f>VLOOKUP(B641,'2-Kosten per locatie'!$A$13:$C$87,3,FALSE)</f>
        <v>2</v>
      </c>
      <c r="F641" s="550"/>
      <c r="G641" s="551" t="s">
        <v>671</v>
      </c>
      <c r="H641" s="552" t="s">
        <v>161</v>
      </c>
      <c r="I641" s="551" t="s">
        <v>159</v>
      </c>
      <c r="J641" s="553">
        <v>11</v>
      </c>
      <c r="K641" s="554"/>
      <c r="L641" s="554">
        <v>68</v>
      </c>
      <c r="M641" s="554"/>
      <c r="N641" s="554"/>
      <c r="O641" s="554"/>
      <c r="P641" s="555"/>
      <c r="Q641" s="555"/>
      <c r="R641" s="555">
        <v>11</v>
      </c>
      <c r="S641" s="555"/>
      <c r="T641" s="556"/>
    </row>
    <row r="642" spans="1:20" ht="15" customHeight="1">
      <c r="A642" s="286">
        <v>642</v>
      </c>
      <c r="B642" s="544">
        <v>309</v>
      </c>
      <c r="C642" s="545" t="s">
        <v>110</v>
      </c>
      <c r="D642" s="549" t="s">
        <v>667</v>
      </c>
      <c r="E642" s="539">
        <f>VLOOKUP(B642,'2-Kosten per locatie'!$A$13:$C$87,3,FALSE)</f>
        <v>2</v>
      </c>
      <c r="F642" s="550"/>
      <c r="G642" s="551" t="s">
        <v>672</v>
      </c>
      <c r="H642" s="552" t="s">
        <v>282</v>
      </c>
      <c r="I642" s="551" t="s">
        <v>159</v>
      </c>
      <c r="J642" s="553">
        <v>3</v>
      </c>
      <c r="K642" s="554"/>
      <c r="L642" s="554">
        <v>16</v>
      </c>
      <c r="M642" s="554"/>
      <c r="N642" s="554"/>
      <c r="O642" s="554"/>
      <c r="P642" s="555"/>
      <c r="Q642" s="555"/>
      <c r="R642" s="555">
        <v>3</v>
      </c>
      <c r="S642" s="555"/>
      <c r="T642" s="556"/>
    </row>
    <row r="643" spans="1:20" ht="15" customHeight="1">
      <c r="A643" s="285">
        <v>643</v>
      </c>
      <c r="B643" s="544">
        <v>309</v>
      </c>
      <c r="C643" s="545" t="s">
        <v>110</v>
      </c>
      <c r="D643" s="549" t="s">
        <v>667</v>
      </c>
      <c r="E643" s="539">
        <f>VLOOKUP(B643,'2-Kosten per locatie'!$A$13:$C$87,3,FALSE)</f>
        <v>2</v>
      </c>
      <c r="F643" s="550"/>
      <c r="G643" s="551" t="s">
        <v>463</v>
      </c>
      <c r="H643" s="552" t="s">
        <v>512</v>
      </c>
      <c r="I643" s="551" t="s">
        <v>159</v>
      </c>
      <c r="J643" s="553">
        <v>6</v>
      </c>
      <c r="K643" s="554"/>
      <c r="L643" s="554">
        <v>52</v>
      </c>
      <c r="M643" s="554"/>
      <c r="N643" s="554"/>
      <c r="O643" s="554"/>
      <c r="P643" s="555"/>
      <c r="Q643" s="555"/>
      <c r="R643" s="555">
        <v>6</v>
      </c>
      <c r="S643" s="555"/>
      <c r="T643" s="556"/>
    </row>
    <row r="644" spans="1:20" ht="15" customHeight="1">
      <c r="A644" s="286">
        <v>644</v>
      </c>
      <c r="B644" s="544">
        <v>309</v>
      </c>
      <c r="C644" s="545" t="s">
        <v>110</v>
      </c>
      <c r="D644" s="549" t="s">
        <v>667</v>
      </c>
      <c r="E644" s="539">
        <f>VLOOKUP(B644,'2-Kosten per locatie'!$A$13:$C$87,3,FALSE)</f>
        <v>2</v>
      </c>
      <c r="F644" s="550"/>
      <c r="G644" s="551" t="s">
        <v>704</v>
      </c>
      <c r="H644" s="552" t="s">
        <v>166</v>
      </c>
      <c r="I644" s="551" t="s">
        <v>159</v>
      </c>
      <c r="J644" s="553">
        <v>10</v>
      </c>
      <c r="K644" s="554"/>
      <c r="L644" s="554">
        <v>54</v>
      </c>
      <c r="M644" s="554"/>
      <c r="N644" s="554"/>
      <c r="O644" s="554"/>
      <c r="P644" s="555"/>
      <c r="Q644" s="555"/>
      <c r="R644" s="555">
        <v>10</v>
      </c>
      <c r="S644" s="555"/>
      <c r="T644" s="556"/>
    </row>
    <row r="645" spans="1:20" ht="15" customHeight="1">
      <c r="A645" s="286">
        <v>645</v>
      </c>
      <c r="B645" s="544">
        <v>309</v>
      </c>
      <c r="C645" s="545" t="s">
        <v>110</v>
      </c>
      <c r="D645" s="549" t="s">
        <v>667</v>
      </c>
      <c r="E645" s="539">
        <f>VLOOKUP(B645,'2-Kosten per locatie'!$A$13:$C$87,3,FALSE)</f>
        <v>2</v>
      </c>
      <c r="F645" s="550"/>
      <c r="G645" s="551" t="s">
        <v>717</v>
      </c>
      <c r="H645" s="552"/>
      <c r="I645" s="551" t="s">
        <v>251</v>
      </c>
      <c r="J645" s="553">
        <v>32</v>
      </c>
      <c r="K645" s="554"/>
      <c r="L645" s="554"/>
      <c r="M645" s="554"/>
      <c r="N645" s="554"/>
      <c r="O645" s="554"/>
      <c r="P645" s="555"/>
      <c r="Q645" s="555"/>
      <c r="R645" s="555"/>
      <c r="S645" s="555"/>
      <c r="T645" s="556" t="s">
        <v>719</v>
      </c>
    </row>
    <row r="646" spans="1:20" ht="15" customHeight="1">
      <c r="A646" s="285">
        <v>646</v>
      </c>
      <c r="B646" s="544">
        <v>309</v>
      </c>
      <c r="C646" s="545" t="s">
        <v>110</v>
      </c>
      <c r="D646" s="549" t="s">
        <v>667</v>
      </c>
      <c r="E646" s="539">
        <f>VLOOKUP(B646,'2-Kosten per locatie'!$A$13:$C$87,3,FALSE)</f>
        <v>2</v>
      </c>
      <c r="F646" s="550"/>
      <c r="G646" s="551" t="s">
        <v>689</v>
      </c>
      <c r="H646" s="552" t="s">
        <v>757</v>
      </c>
      <c r="I646" s="551" t="s">
        <v>205</v>
      </c>
      <c r="J646" s="553">
        <v>5</v>
      </c>
      <c r="K646" s="554"/>
      <c r="L646" s="554"/>
      <c r="M646" s="554"/>
      <c r="N646" s="554"/>
      <c r="O646" s="554"/>
      <c r="P646" s="555"/>
      <c r="Q646" s="555"/>
      <c r="R646" s="555"/>
      <c r="S646" s="555"/>
      <c r="T646" s="556"/>
    </row>
    <row r="647" spans="1:20" ht="15" customHeight="1">
      <c r="A647" s="286">
        <v>647</v>
      </c>
      <c r="B647" s="544">
        <v>310</v>
      </c>
      <c r="C647" s="545" t="s">
        <v>111</v>
      </c>
      <c r="D647" s="549" t="s">
        <v>667</v>
      </c>
      <c r="E647" s="539">
        <f>VLOOKUP(B647,'2-Kosten per locatie'!$A$13:$C$87,3,FALSE)</f>
        <v>2</v>
      </c>
      <c r="F647" s="550"/>
      <c r="G647" s="551" t="s">
        <v>668</v>
      </c>
      <c r="H647" s="552" t="s">
        <v>598</v>
      </c>
      <c r="I647" s="551" t="s">
        <v>180</v>
      </c>
      <c r="J647" s="553">
        <v>50</v>
      </c>
      <c r="K647" s="554" t="s">
        <v>722</v>
      </c>
      <c r="L647" s="554"/>
      <c r="M647" s="554"/>
      <c r="N647" s="554"/>
      <c r="O647" s="554"/>
      <c r="P647" s="555"/>
      <c r="Q647" s="555"/>
      <c r="R647" s="555"/>
      <c r="S647" s="555"/>
      <c r="T647" s="556"/>
    </row>
    <row r="648" spans="1:20" ht="15" customHeight="1">
      <c r="A648" s="285">
        <v>648</v>
      </c>
      <c r="B648" s="544">
        <v>310</v>
      </c>
      <c r="C648" s="545" t="s">
        <v>111</v>
      </c>
      <c r="D648" s="549" t="s">
        <v>667</v>
      </c>
      <c r="E648" s="539">
        <f>VLOOKUP(B648,'2-Kosten per locatie'!$A$13:$C$87,3,FALSE)</f>
        <v>2</v>
      </c>
      <c r="F648" s="550"/>
      <c r="G648" s="551" t="s">
        <v>669</v>
      </c>
      <c r="H648" s="552" t="s">
        <v>670</v>
      </c>
      <c r="I648" s="551" t="s">
        <v>709</v>
      </c>
      <c r="J648" s="553">
        <v>790</v>
      </c>
      <c r="K648" s="554"/>
      <c r="L648" s="554"/>
      <c r="M648" s="554"/>
      <c r="N648" s="554"/>
      <c r="O648" s="554"/>
      <c r="P648" s="555"/>
      <c r="Q648" s="555"/>
      <c r="R648" s="555"/>
      <c r="S648" s="555"/>
      <c r="T648" s="556"/>
    </row>
    <row r="649" spans="1:20" ht="15" customHeight="1">
      <c r="A649" s="286">
        <v>649</v>
      </c>
      <c r="B649" s="544">
        <v>310</v>
      </c>
      <c r="C649" s="545" t="s">
        <v>111</v>
      </c>
      <c r="D649" s="549" t="s">
        <v>667</v>
      </c>
      <c r="E649" s="539">
        <f>VLOOKUP(B649,'2-Kosten per locatie'!$A$13:$C$87,3,FALSE)</f>
        <v>2</v>
      </c>
      <c r="F649" s="550"/>
      <c r="G649" s="551" t="s">
        <v>758</v>
      </c>
      <c r="H649" s="552" t="s">
        <v>670</v>
      </c>
      <c r="I649" s="551" t="s">
        <v>711</v>
      </c>
      <c r="J649" s="553">
        <v>345</v>
      </c>
      <c r="K649" s="554"/>
      <c r="L649" s="554"/>
      <c r="M649" s="554"/>
      <c r="N649" s="554"/>
      <c r="O649" s="554"/>
      <c r="P649" s="555"/>
      <c r="Q649" s="555"/>
      <c r="R649" s="555"/>
      <c r="S649" s="555"/>
      <c r="T649" s="556"/>
    </row>
    <row r="650" spans="1:20" ht="15" customHeight="1">
      <c r="A650" s="285">
        <v>650</v>
      </c>
      <c r="B650" s="544">
        <v>310</v>
      </c>
      <c r="C650" s="545" t="s">
        <v>111</v>
      </c>
      <c r="D650" s="549" t="s">
        <v>667</v>
      </c>
      <c r="E650" s="539">
        <f>VLOOKUP(B650,'2-Kosten per locatie'!$A$13:$C$87,3,FALSE)</f>
        <v>2</v>
      </c>
      <c r="F650" s="550"/>
      <c r="G650" s="551" t="s">
        <v>712</v>
      </c>
      <c r="H650" s="552" t="s">
        <v>670</v>
      </c>
      <c r="I650" s="551" t="s">
        <v>214</v>
      </c>
      <c r="J650" s="553">
        <v>201</v>
      </c>
      <c r="K650" s="554"/>
      <c r="L650" s="554"/>
      <c r="M650" s="554"/>
      <c r="N650" s="554"/>
      <c r="O650" s="554"/>
      <c r="P650" s="555"/>
      <c r="Q650" s="555"/>
      <c r="R650" s="555"/>
      <c r="S650" s="555"/>
      <c r="T650" s="556"/>
    </row>
    <row r="651" spans="1:20" ht="15" customHeight="1">
      <c r="A651" s="286">
        <v>651</v>
      </c>
      <c r="B651" s="544">
        <v>310</v>
      </c>
      <c r="C651" s="545" t="s">
        <v>111</v>
      </c>
      <c r="D651" s="549" t="s">
        <v>667</v>
      </c>
      <c r="E651" s="539">
        <f>VLOOKUP(B651,'2-Kosten per locatie'!$A$13:$C$87,3,FALSE)</f>
        <v>2</v>
      </c>
      <c r="F651" s="550"/>
      <c r="G651" s="551" t="s">
        <v>713</v>
      </c>
      <c r="H651" s="552" t="s">
        <v>714</v>
      </c>
      <c r="I651" s="551" t="s">
        <v>162</v>
      </c>
      <c r="J651" s="553">
        <v>1</v>
      </c>
      <c r="K651" s="554"/>
      <c r="L651" s="554"/>
      <c r="M651" s="554"/>
      <c r="N651" s="554">
        <v>22</v>
      </c>
      <c r="O651" s="554">
        <v>17</v>
      </c>
      <c r="P651" s="555"/>
      <c r="Q651" s="555"/>
      <c r="R651" s="555"/>
      <c r="S651" s="555">
        <v>9</v>
      </c>
      <c r="T651" s="556"/>
    </row>
    <row r="652" spans="1:20" ht="15" customHeight="1">
      <c r="A652" s="286">
        <v>652</v>
      </c>
      <c r="B652" s="544">
        <v>310</v>
      </c>
      <c r="C652" s="545" t="s">
        <v>111</v>
      </c>
      <c r="D652" s="549" t="s">
        <v>667</v>
      </c>
      <c r="E652" s="539">
        <f>VLOOKUP(B652,'2-Kosten per locatie'!$A$13:$C$87,3,FALSE)</f>
        <v>2</v>
      </c>
      <c r="F652" s="550"/>
      <c r="G652" s="551" t="s">
        <v>713</v>
      </c>
      <c r="H652" s="552" t="s">
        <v>714</v>
      </c>
      <c r="I652" s="551" t="s">
        <v>162</v>
      </c>
      <c r="J652" s="553">
        <v>8</v>
      </c>
      <c r="K652" s="554"/>
      <c r="L652" s="554"/>
      <c r="M652" s="554"/>
      <c r="N652" s="554">
        <v>22</v>
      </c>
      <c r="O652" s="554">
        <v>17</v>
      </c>
      <c r="P652" s="555"/>
      <c r="Q652" s="555"/>
      <c r="R652" s="555"/>
      <c r="S652" s="555">
        <v>9</v>
      </c>
      <c r="T652" s="556"/>
    </row>
    <row r="653" spans="1:20" ht="15" customHeight="1">
      <c r="A653" s="285">
        <v>653</v>
      </c>
      <c r="B653" s="544">
        <v>310</v>
      </c>
      <c r="C653" s="545" t="s">
        <v>111</v>
      </c>
      <c r="D653" s="549" t="s">
        <v>667</v>
      </c>
      <c r="E653" s="539">
        <f>VLOOKUP(B653,'2-Kosten per locatie'!$A$13:$C$87,3,FALSE)</f>
        <v>2</v>
      </c>
      <c r="F653" s="550"/>
      <c r="G653" s="551" t="s">
        <v>681</v>
      </c>
      <c r="H653" s="552" t="s">
        <v>682</v>
      </c>
      <c r="I653" s="551" t="s">
        <v>176</v>
      </c>
      <c r="J653" s="553">
        <v>33</v>
      </c>
      <c r="K653" s="554"/>
      <c r="L653" s="554"/>
      <c r="M653" s="554"/>
      <c r="N653" s="554">
        <v>18</v>
      </c>
      <c r="O653" s="554"/>
      <c r="P653" s="555"/>
      <c r="Q653" s="555"/>
      <c r="R653" s="555"/>
      <c r="S653" s="555"/>
      <c r="T653" s="556"/>
    </row>
    <row r="654" spans="1:20" ht="15" customHeight="1">
      <c r="A654" s="286">
        <v>654</v>
      </c>
      <c r="B654" s="544">
        <v>310</v>
      </c>
      <c r="C654" s="545" t="s">
        <v>111</v>
      </c>
      <c r="D654" s="549" t="s">
        <v>667</v>
      </c>
      <c r="E654" s="539">
        <f>VLOOKUP(B654,'2-Kosten per locatie'!$A$13:$C$87,3,FALSE)</f>
        <v>2</v>
      </c>
      <c r="F654" s="550"/>
      <c r="G654" s="551" t="s">
        <v>398</v>
      </c>
      <c r="H654" s="552" t="s">
        <v>158</v>
      </c>
      <c r="I654" s="551" t="s">
        <v>159</v>
      </c>
      <c r="J654" s="553">
        <v>6.41</v>
      </c>
      <c r="K654" s="554"/>
      <c r="L654" s="554">
        <v>34</v>
      </c>
      <c r="M654" s="554"/>
      <c r="N654" s="554"/>
      <c r="O654" s="554"/>
      <c r="P654" s="555"/>
      <c r="Q654" s="555"/>
      <c r="R654" s="555">
        <v>6</v>
      </c>
      <c r="S654" s="555"/>
      <c r="T654" s="556"/>
    </row>
    <row r="655" spans="1:20" ht="15" customHeight="1">
      <c r="A655" s="285">
        <v>655</v>
      </c>
      <c r="B655" s="544">
        <v>310</v>
      </c>
      <c r="C655" s="545" t="s">
        <v>111</v>
      </c>
      <c r="D655" s="549" t="s">
        <v>667</v>
      </c>
      <c r="E655" s="539">
        <f>VLOOKUP(B655,'2-Kosten per locatie'!$A$13:$C$87,3,FALSE)</f>
        <v>2</v>
      </c>
      <c r="F655" s="550"/>
      <c r="G655" s="551" t="s">
        <v>759</v>
      </c>
      <c r="H655" s="552" t="s">
        <v>164</v>
      </c>
      <c r="I655" s="551" t="s">
        <v>159</v>
      </c>
      <c r="J655" s="553">
        <v>13</v>
      </c>
      <c r="K655" s="554"/>
      <c r="L655" s="554">
        <v>63</v>
      </c>
      <c r="M655" s="554"/>
      <c r="N655" s="554"/>
      <c r="O655" s="554"/>
      <c r="P655" s="555"/>
      <c r="Q655" s="555"/>
      <c r="R655" s="555">
        <v>13</v>
      </c>
      <c r="S655" s="555"/>
      <c r="T655" s="556"/>
    </row>
    <row r="656" spans="1:20" ht="15" customHeight="1">
      <c r="A656" s="286">
        <v>656</v>
      </c>
      <c r="B656" s="544">
        <v>310</v>
      </c>
      <c r="C656" s="545" t="s">
        <v>111</v>
      </c>
      <c r="D656" s="549" t="s">
        <v>667</v>
      </c>
      <c r="E656" s="539">
        <f>VLOOKUP(B656,'2-Kosten per locatie'!$A$13:$C$87,3,FALSE)</f>
        <v>2</v>
      </c>
      <c r="F656" s="550"/>
      <c r="G656" s="551" t="s">
        <v>671</v>
      </c>
      <c r="H656" s="552" t="s">
        <v>161</v>
      </c>
      <c r="I656" s="551" t="s">
        <v>159</v>
      </c>
      <c r="J656" s="553">
        <v>11</v>
      </c>
      <c r="K656" s="554"/>
      <c r="L656" s="554">
        <v>64</v>
      </c>
      <c r="M656" s="554"/>
      <c r="N656" s="554"/>
      <c r="O656" s="554"/>
      <c r="P656" s="555"/>
      <c r="Q656" s="555"/>
      <c r="R656" s="555">
        <v>11</v>
      </c>
      <c r="S656" s="555"/>
      <c r="T656" s="556"/>
    </row>
    <row r="657" spans="1:20" ht="15" customHeight="1">
      <c r="A657" s="285">
        <v>657</v>
      </c>
      <c r="B657" s="544">
        <v>310</v>
      </c>
      <c r="C657" s="545" t="s">
        <v>111</v>
      </c>
      <c r="D657" s="549" t="s">
        <v>667</v>
      </c>
      <c r="E657" s="539">
        <f>VLOOKUP(B657,'2-Kosten per locatie'!$A$13:$C$87,3,FALSE)</f>
        <v>2</v>
      </c>
      <c r="F657" s="550"/>
      <c r="G657" s="551" t="s">
        <v>672</v>
      </c>
      <c r="H657" s="552" t="s">
        <v>282</v>
      </c>
      <c r="I657" s="551" t="s">
        <v>159</v>
      </c>
      <c r="J657" s="553">
        <v>2</v>
      </c>
      <c r="K657" s="554"/>
      <c r="L657" s="554">
        <v>16</v>
      </c>
      <c r="M657" s="554"/>
      <c r="N657" s="554"/>
      <c r="O657" s="554"/>
      <c r="P657" s="555"/>
      <c r="Q657" s="555"/>
      <c r="R657" s="555">
        <v>2</v>
      </c>
      <c r="S657" s="555"/>
      <c r="T657" s="556"/>
    </row>
    <row r="658" spans="1:20" ht="15" customHeight="1">
      <c r="A658" s="286">
        <v>658</v>
      </c>
      <c r="B658" s="544">
        <v>310</v>
      </c>
      <c r="C658" s="545" t="s">
        <v>111</v>
      </c>
      <c r="D658" s="549" t="s">
        <v>667</v>
      </c>
      <c r="E658" s="539">
        <f>VLOOKUP(B658,'2-Kosten per locatie'!$A$13:$C$87,3,FALSE)</f>
        <v>2</v>
      </c>
      <c r="F658" s="550"/>
      <c r="G658" s="551" t="s">
        <v>463</v>
      </c>
      <c r="H658" s="552" t="s">
        <v>512</v>
      </c>
      <c r="I658" s="551" t="s">
        <v>159</v>
      </c>
      <c r="J658" s="553">
        <v>6</v>
      </c>
      <c r="K658" s="554">
        <v>3</v>
      </c>
      <c r="L658" s="554">
        <v>42</v>
      </c>
      <c r="M658" s="554"/>
      <c r="N658" s="554"/>
      <c r="O658" s="554"/>
      <c r="P658" s="555"/>
      <c r="Q658" s="555"/>
      <c r="R658" s="555">
        <v>6</v>
      </c>
      <c r="S658" s="555"/>
      <c r="T658" s="556"/>
    </row>
    <row r="659" spans="1:20" ht="15" customHeight="1">
      <c r="A659" s="286">
        <v>659</v>
      </c>
      <c r="B659" s="544">
        <v>310</v>
      </c>
      <c r="C659" s="545" t="s">
        <v>111</v>
      </c>
      <c r="D659" s="549" t="s">
        <v>667</v>
      </c>
      <c r="E659" s="539">
        <f>VLOOKUP(B659,'2-Kosten per locatie'!$A$13:$C$87,3,FALSE)</f>
        <v>2</v>
      </c>
      <c r="F659" s="550"/>
      <c r="G659" s="551" t="s">
        <v>704</v>
      </c>
      <c r="H659" s="552" t="s">
        <v>166</v>
      </c>
      <c r="I659" s="551" t="s">
        <v>159</v>
      </c>
      <c r="J659" s="553">
        <v>11</v>
      </c>
      <c r="K659" s="554"/>
      <c r="L659" s="554">
        <v>52</v>
      </c>
      <c r="M659" s="554"/>
      <c r="N659" s="554"/>
      <c r="O659" s="554"/>
      <c r="P659" s="555"/>
      <c r="Q659" s="555"/>
      <c r="R659" s="555">
        <v>11</v>
      </c>
      <c r="S659" s="555"/>
      <c r="T659" s="556"/>
    </row>
    <row r="660" spans="1:20" ht="15" customHeight="1">
      <c r="A660" s="285">
        <v>660</v>
      </c>
      <c r="B660" s="544">
        <v>310</v>
      </c>
      <c r="C660" s="545" t="s">
        <v>111</v>
      </c>
      <c r="D660" s="549" t="s">
        <v>667</v>
      </c>
      <c r="E660" s="539">
        <f>VLOOKUP(B660,'2-Kosten per locatie'!$A$13:$C$87,3,FALSE)</f>
        <v>2</v>
      </c>
      <c r="F660" s="550"/>
      <c r="G660" s="551" t="s">
        <v>717</v>
      </c>
      <c r="H660" s="552"/>
      <c r="I660" s="551" t="s">
        <v>251</v>
      </c>
      <c r="J660" s="553">
        <v>32</v>
      </c>
      <c r="K660" s="554"/>
      <c r="L660" s="554"/>
      <c r="M660" s="554"/>
      <c r="N660" s="554"/>
      <c r="O660" s="554"/>
      <c r="P660" s="555"/>
      <c r="Q660" s="555"/>
      <c r="R660" s="555"/>
      <c r="S660" s="555"/>
      <c r="T660" s="556"/>
    </row>
    <row r="661" spans="1:20" ht="15" customHeight="1">
      <c r="A661" s="286">
        <v>661</v>
      </c>
      <c r="B661" s="544">
        <v>310</v>
      </c>
      <c r="C661" s="545" t="s">
        <v>111</v>
      </c>
      <c r="D661" s="549" t="s">
        <v>667</v>
      </c>
      <c r="E661" s="539">
        <f>VLOOKUP(B661,'2-Kosten per locatie'!$A$13:$C$87,3,FALSE)</f>
        <v>2</v>
      </c>
      <c r="F661" s="550"/>
      <c r="G661" s="551" t="s">
        <v>689</v>
      </c>
      <c r="H661" s="552"/>
      <c r="I661" s="551" t="s">
        <v>205</v>
      </c>
      <c r="J661" s="553">
        <v>5</v>
      </c>
      <c r="K661" s="554"/>
      <c r="L661" s="554"/>
      <c r="M661" s="554"/>
      <c r="N661" s="554"/>
      <c r="O661" s="554"/>
      <c r="P661" s="555"/>
      <c r="Q661" s="555"/>
      <c r="R661" s="555"/>
      <c r="S661" s="555"/>
      <c r="T661" s="556"/>
    </row>
    <row r="662" spans="1:20" ht="15" customHeight="1">
      <c r="A662" s="285">
        <v>662</v>
      </c>
      <c r="B662" s="544">
        <v>311</v>
      </c>
      <c r="C662" s="545" t="s">
        <v>112</v>
      </c>
      <c r="D662" s="549" t="s">
        <v>667</v>
      </c>
      <c r="E662" s="539">
        <f>VLOOKUP(B662,'2-Kosten per locatie'!$A$13:$C$87,3,FALSE)</f>
        <v>2</v>
      </c>
      <c r="F662" s="550"/>
      <c r="G662" s="551" t="s">
        <v>668</v>
      </c>
      <c r="H662" s="552" t="s">
        <v>760</v>
      </c>
      <c r="I662" s="551" t="s">
        <v>761</v>
      </c>
      <c r="J662" s="553">
        <v>88</v>
      </c>
      <c r="K662" s="554"/>
      <c r="L662" s="554"/>
      <c r="M662" s="554"/>
      <c r="N662" s="554"/>
      <c r="O662" s="554"/>
      <c r="P662" s="555"/>
      <c r="Q662" s="555"/>
      <c r="R662" s="555"/>
      <c r="S662" s="555"/>
      <c r="T662" s="556"/>
    </row>
    <row r="663" spans="1:20" ht="15" customHeight="1">
      <c r="A663" s="286">
        <v>663</v>
      </c>
      <c r="B663" s="544">
        <v>311</v>
      </c>
      <c r="C663" s="545" t="s">
        <v>112</v>
      </c>
      <c r="D663" s="549" t="s">
        <v>667</v>
      </c>
      <c r="E663" s="539">
        <f>VLOOKUP(B663,'[91]2-Kosten per locatie'!$A$13:$C$87,3,FALSE)</f>
        <v>2</v>
      </c>
      <c r="F663" s="550"/>
      <c r="G663" s="551" t="s">
        <v>203</v>
      </c>
      <c r="H663" s="552"/>
      <c r="I663" s="551" t="s">
        <v>317</v>
      </c>
      <c r="J663" s="553">
        <v>2.5</v>
      </c>
      <c r="K663" s="554"/>
      <c r="L663" s="554"/>
      <c r="M663" s="554"/>
      <c r="N663" s="554">
        <v>2.3849999999999998</v>
      </c>
      <c r="O663" s="554"/>
      <c r="P663" s="555"/>
      <c r="Q663" s="555"/>
      <c r="R663" s="555"/>
      <c r="S663" s="555">
        <v>2.5</v>
      </c>
      <c r="T663" s="556" t="s">
        <v>206</v>
      </c>
    </row>
    <row r="664" spans="1:20" ht="15" customHeight="1">
      <c r="A664" s="285">
        <v>664</v>
      </c>
      <c r="B664" s="544">
        <v>311</v>
      </c>
      <c r="C664" s="545" t="s">
        <v>112</v>
      </c>
      <c r="D664" s="549" t="s">
        <v>667</v>
      </c>
      <c r="E664" s="539">
        <f>VLOOKUP(B664,'2-Kosten per locatie'!$A$13:$C$87,3,FALSE)</f>
        <v>2</v>
      </c>
      <c r="F664" s="550"/>
      <c r="G664" s="551" t="s">
        <v>762</v>
      </c>
      <c r="H664" s="552" t="s">
        <v>582</v>
      </c>
      <c r="I664" s="551" t="s">
        <v>214</v>
      </c>
      <c r="J664" s="553">
        <v>1257</v>
      </c>
      <c r="K664" s="554"/>
      <c r="L664" s="554"/>
      <c r="M664" s="554"/>
      <c r="N664" s="554"/>
      <c r="O664" s="554"/>
      <c r="P664" s="555"/>
      <c r="Q664" s="555"/>
      <c r="R664" s="555"/>
      <c r="S664" s="555"/>
      <c r="T664" s="556"/>
    </row>
    <row r="665" spans="1:20" ht="15" customHeight="1">
      <c r="A665" s="286">
        <v>665</v>
      </c>
      <c r="B665" s="544">
        <v>311</v>
      </c>
      <c r="C665" s="545" t="s">
        <v>112</v>
      </c>
      <c r="D665" s="549" t="s">
        <v>667</v>
      </c>
      <c r="E665" s="539">
        <f>VLOOKUP(B665,'2-Kosten per locatie'!$A$13:$C$87,3,FALSE)</f>
        <v>2</v>
      </c>
      <c r="F665" s="550"/>
      <c r="G665" s="551" t="s">
        <v>763</v>
      </c>
      <c r="H665" s="552" t="s">
        <v>582</v>
      </c>
      <c r="I665" s="551" t="s">
        <v>214</v>
      </c>
      <c r="J665" s="553">
        <v>305</v>
      </c>
      <c r="K665" s="554"/>
      <c r="L665" s="554"/>
      <c r="M665" s="554"/>
      <c r="N665" s="554"/>
      <c r="O665" s="554"/>
      <c r="P665" s="555"/>
      <c r="Q665" s="555"/>
      <c r="R665" s="555"/>
      <c r="S665" s="555"/>
      <c r="T665" s="556"/>
    </row>
    <row r="666" spans="1:20" ht="15" customHeight="1">
      <c r="A666" s="286">
        <v>666</v>
      </c>
      <c r="B666" s="544">
        <v>311</v>
      </c>
      <c r="C666" s="545" t="s">
        <v>112</v>
      </c>
      <c r="D666" s="549" t="s">
        <v>667</v>
      </c>
      <c r="E666" s="539">
        <f>VLOOKUP(B666,'2-Kosten per locatie'!$A$13:$C$87,3,FALSE)</f>
        <v>2</v>
      </c>
      <c r="F666" s="550"/>
      <c r="G666" s="551" t="s">
        <v>681</v>
      </c>
      <c r="H666" s="552" t="s">
        <v>670</v>
      </c>
      <c r="I666" s="551" t="s">
        <v>176</v>
      </c>
      <c r="J666" s="553">
        <v>24</v>
      </c>
      <c r="K666" s="554"/>
      <c r="L666" s="554"/>
      <c r="M666" s="554"/>
      <c r="N666" s="554"/>
      <c r="O666" s="554"/>
      <c r="P666" s="555"/>
      <c r="Q666" s="555"/>
      <c r="R666" s="555"/>
      <c r="S666" s="555"/>
      <c r="T666" s="556"/>
    </row>
    <row r="667" spans="1:20" ht="15" customHeight="1">
      <c r="A667" s="285">
        <v>667</v>
      </c>
      <c r="B667" s="544">
        <v>311</v>
      </c>
      <c r="C667" s="545" t="s">
        <v>112</v>
      </c>
      <c r="D667" s="549" t="s">
        <v>667</v>
      </c>
      <c r="E667" s="539">
        <f>VLOOKUP(B667,'2-Kosten per locatie'!$A$13:$C$87,3,FALSE)</f>
        <v>2</v>
      </c>
      <c r="F667" s="550"/>
      <c r="G667" s="551" t="s">
        <v>681</v>
      </c>
      <c r="H667" s="552" t="s">
        <v>598</v>
      </c>
      <c r="I667" s="551" t="s">
        <v>176</v>
      </c>
      <c r="J667" s="553">
        <v>24</v>
      </c>
      <c r="K667" s="554"/>
      <c r="L667" s="554"/>
      <c r="M667" s="554"/>
      <c r="N667" s="554"/>
      <c r="O667" s="554"/>
      <c r="P667" s="555"/>
      <c r="Q667" s="555"/>
      <c r="R667" s="555"/>
      <c r="S667" s="555"/>
      <c r="T667" s="556"/>
    </row>
    <row r="668" spans="1:20" ht="15" customHeight="1">
      <c r="A668" s="286">
        <v>668</v>
      </c>
      <c r="B668" s="544">
        <v>311</v>
      </c>
      <c r="C668" s="545" t="s">
        <v>112</v>
      </c>
      <c r="D668" s="549" t="s">
        <v>667</v>
      </c>
      <c r="E668" s="539">
        <f>VLOOKUP(B668,'2-Kosten per locatie'!$A$13:$C$87,3,FALSE)</f>
        <v>2</v>
      </c>
      <c r="F668" s="550"/>
      <c r="G668" s="551" t="s">
        <v>683</v>
      </c>
      <c r="H668" s="552"/>
      <c r="I668" s="551" t="s">
        <v>159</v>
      </c>
      <c r="J668" s="553">
        <v>427</v>
      </c>
      <c r="K668" s="554"/>
      <c r="L668" s="554"/>
      <c r="M668" s="554"/>
      <c r="N668" s="554"/>
      <c r="O668" s="554"/>
      <c r="P668" s="555"/>
      <c r="Q668" s="555"/>
      <c r="R668" s="555"/>
      <c r="S668" s="555"/>
      <c r="T668" s="556"/>
    </row>
    <row r="669" spans="1:20" ht="15" customHeight="1">
      <c r="A669" s="285">
        <v>669</v>
      </c>
      <c r="B669" s="544">
        <v>311</v>
      </c>
      <c r="C669" s="545" t="s">
        <v>112</v>
      </c>
      <c r="D669" s="549" t="s">
        <v>667</v>
      </c>
      <c r="E669" s="539">
        <f>VLOOKUP(B669,'2-Kosten per locatie'!$A$13:$C$87,3,FALSE)</f>
        <v>2</v>
      </c>
      <c r="F669" s="550"/>
      <c r="G669" s="551" t="s">
        <v>683</v>
      </c>
      <c r="H669" s="552" t="s">
        <v>764</v>
      </c>
      <c r="I669" s="551" t="s">
        <v>162</v>
      </c>
      <c r="J669" s="553">
        <v>7</v>
      </c>
      <c r="K669" s="554"/>
      <c r="L669" s="554">
        <v>15</v>
      </c>
      <c r="M669" s="554"/>
      <c r="N669" s="554"/>
      <c r="O669" s="554"/>
      <c r="P669" s="555"/>
      <c r="Q669" s="555"/>
      <c r="R669" s="555"/>
      <c r="S669" s="555"/>
      <c r="T669" s="556"/>
    </row>
    <row r="670" spans="1:20" ht="15" customHeight="1">
      <c r="A670" s="286">
        <v>670</v>
      </c>
      <c r="B670" s="544">
        <v>311</v>
      </c>
      <c r="C670" s="545" t="s">
        <v>112</v>
      </c>
      <c r="D670" s="549" t="s">
        <v>667</v>
      </c>
      <c r="E670" s="539">
        <f>VLOOKUP(B670,'2-Kosten per locatie'!$A$13:$C$87,3,FALSE)</f>
        <v>2</v>
      </c>
      <c r="F670" s="550"/>
      <c r="G670" s="551" t="s">
        <v>668</v>
      </c>
      <c r="H670" s="552" t="s">
        <v>573</v>
      </c>
      <c r="I670" s="551" t="s">
        <v>162</v>
      </c>
      <c r="J670" s="553">
        <v>5</v>
      </c>
      <c r="K670" s="554"/>
      <c r="L670" s="554"/>
      <c r="M670" s="554"/>
      <c r="N670" s="554"/>
      <c r="O670" s="554"/>
      <c r="P670" s="555"/>
      <c r="Q670" s="555"/>
      <c r="R670" s="555"/>
      <c r="S670" s="555"/>
      <c r="T670" s="556"/>
    </row>
    <row r="671" spans="1:20" ht="15" customHeight="1">
      <c r="A671" s="285">
        <v>671</v>
      </c>
      <c r="B671" s="544">
        <v>311</v>
      </c>
      <c r="C671" s="545" t="s">
        <v>112</v>
      </c>
      <c r="D671" s="549" t="s">
        <v>667</v>
      </c>
      <c r="E671" s="539">
        <f>VLOOKUP(B671,'2-Kosten per locatie'!$A$13:$C$87,3,FALSE)</f>
        <v>2</v>
      </c>
      <c r="F671" s="550"/>
      <c r="G671" s="551" t="s">
        <v>463</v>
      </c>
      <c r="H671" s="552" t="s">
        <v>765</v>
      </c>
      <c r="I671" s="551" t="s">
        <v>162</v>
      </c>
      <c r="J671" s="553">
        <v>12</v>
      </c>
      <c r="K671" s="554">
        <v>35</v>
      </c>
      <c r="L671" s="554">
        <v>35</v>
      </c>
      <c r="M671" s="554"/>
      <c r="N671" s="554"/>
      <c r="O671" s="554"/>
      <c r="P671" s="555"/>
      <c r="Q671" s="555"/>
      <c r="R671" s="555">
        <v>12</v>
      </c>
      <c r="S671" s="555"/>
      <c r="T671" s="556"/>
    </row>
    <row r="672" spans="1:20" ht="15" customHeight="1">
      <c r="A672" s="286">
        <v>672</v>
      </c>
      <c r="B672" s="544">
        <v>311</v>
      </c>
      <c r="C672" s="545" t="s">
        <v>112</v>
      </c>
      <c r="D672" s="549" t="s">
        <v>667</v>
      </c>
      <c r="E672" s="539">
        <f>VLOOKUP(B672,'2-Kosten per locatie'!$A$13:$C$87,3,FALSE)</f>
        <v>2</v>
      </c>
      <c r="F672" s="550"/>
      <c r="G672" s="551" t="s">
        <v>747</v>
      </c>
      <c r="H672" s="552" t="s">
        <v>766</v>
      </c>
      <c r="I672" s="551" t="s">
        <v>159</v>
      </c>
      <c r="J672" s="553">
        <v>2</v>
      </c>
      <c r="K672" s="554">
        <v>12</v>
      </c>
      <c r="L672" s="554"/>
      <c r="M672" s="554"/>
      <c r="N672" s="554"/>
      <c r="O672" s="554"/>
      <c r="P672" s="555"/>
      <c r="Q672" s="555"/>
      <c r="R672" s="555">
        <v>2</v>
      </c>
      <c r="S672" s="555"/>
      <c r="T672" s="556"/>
    </row>
    <row r="673" spans="1:20" ht="15" customHeight="1">
      <c r="A673" s="286">
        <v>673</v>
      </c>
      <c r="B673" s="544">
        <v>311</v>
      </c>
      <c r="C673" s="545" t="s">
        <v>112</v>
      </c>
      <c r="D673" s="549" t="s">
        <v>667</v>
      </c>
      <c r="E673" s="539">
        <f>VLOOKUP(B673,'2-Kosten per locatie'!$A$13:$C$87,3,FALSE)</f>
        <v>2</v>
      </c>
      <c r="F673" s="550"/>
      <c r="G673" s="551" t="s">
        <v>438</v>
      </c>
      <c r="H673" s="552" t="s">
        <v>491</v>
      </c>
      <c r="I673" s="551" t="s">
        <v>767</v>
      </c>
      <c r="J673" s="553">
        <v>14</v>
      </c>
      <c r="K673" s="554"/>
      <c r="L673" s="554">
        <v>30</v>
      </c>
      <c r="M673" s="554"/>
      <c r="N673" s="554"/>
      <c r="O673" s="554"/>
      <c r="P673" s="555"/>
      <c r="Q673" s="555"/>
      <c r="R673" s="555">
        <v>14</v>
      </c>
      <c r="S673" s="555"/>
      <c r="T673" s="556"/>
    </row>
    <row r="674" spans="1:20" ht="15" customHeight="1">
      <c r="A674" s="285">
        <v>674</v>
      </c>
      <c r="B674" s="544">
        <v>311</v>
      </c>
      <c r="C674" s="545" t="s">
        <v>112</v>
      </c>
      <c r="D674" s="549" t="s">
        <v>667</v>
      </c>
      <c r="E674" s="539">
        <f>VLOOKUP(B674,'2-Kosten per locatie'!$A$13:$C$87,3,FALSE)</f>
        <v>2</v>
      </c>
      <c r="F674" s="550"/>
      <c r="G674" s="551" t="s">
        <v>160</v>
      </c>
      <c r="H674" s="552" t="s">
        <v>543</v>
      </c>
      <c r="I674" s="551" t="s">
        <v>767</v>
      </c>
      <c r="J674" s="553">
        <v>14</v>
      </c>
      <c r="K674" s="554"/>
      <c r="L674" s="554">
        <v>30</v>
      </c>
      <c r="M674" s="554"/>
      <c r="N674" s="554"/>
      <c r="O674" s="554"/>
      <c r="P674" s="555"/>
      <c r="Q674" s="555"/>
      <c r="R674" s="555">
        <v>14</v>
      </c>
      <c r="S674" s="555"/>
      <c r="T674" s="556"/>
    </row>
    <row r="675" spans="1:20" ht="15" customHeight="1">
      <c r="A675" s="286">
        <v>675</v>
      </c>
      <c r="B675" s="544">
        <v>311</v>
      </c>
      <c r="C675" s="545" t="s">
        <v>112</v>
      </c>
      <c r="D675" s="549" t="s">
        <v>667</v>
      </c>
      <c r="E675" s="539">
        <f>VLOOKUP(B675,'2-Kosten per locatie'!$A$13:$C$87,3,FALSE)</f>
        <v>2</v>
      </c>
      <c r="F675" s="550"/>
      <c r="G675" s="551" t="s">
        <v>751</v>
      </c>
      <c r="H675" s="552" t="s">
        <v>768</v>
      </c>
      <c r="I675" s="551" t="s">
        <v>257</v>
      </c>
      <c r="J675" s="553">
        <v>2</v>
      </c>
      <c r="K675" s="554"/>
      <c r="L675" s="554">
        <v>9</v>
      </c>
      <c r="M675" s="554"/>
      <c r="N675" s="554"/>
      <c r="O675" s="554"/>
      <c r="P675" s="555"/>
      <c r="Q675" s="555"/>
      <c r="R675" s="555">
        <v>2</v>
      </c>
      <c r="S675" s="555"/>
      <c r="T675" s="556"/>
    </row>
    <row r="676" spans="1:20" ht="15" customHeight="1">
      <c r="A676" s="285">
        <v>676</v>
      </c>
      <c r="B676" s="544" t="s">
        <v>113</v>
      </c>
      <c r="C676" s="545" t="s">
        <v>114</v>
      </c>
      <c r="D676" s="549" t="s">
        <v>667</v>
      </c>
      <c r="E676" s="539">
        <f>VLOOKUP(B676,'2-Kosten per locatie'!$A$13:$C$87,3,FALSE)</f>
        <v>2</v>
      </c>
      <c r="F676" s="550"/>
      <c r="G676" s="551" t="s">
        <v>606</v>
      </c>
      <c r="H676" s="552" t="s">
        <v>517</v>
      </c>
      <c r="I676" s="551" t="s">
        <v>205</v>
      </c>
      <c r="J676" s="553">
        <v>5</v>
      </c>
      <c r="K676" s="554"/>
      <c r="L676" s="554"/>
      <c r="M676" s="554"/>
      <c r="N676" s="554"/>
      <c r="O676" s="554"/>
      <c r="P676" s="555"/>
      <c r="Q676" s="555"/>
      <c r="R676" s="555"/>
      <c r="S676" s="555"/>
      <c r="T676" s="556"/>
    </row>
    <row r="677" spans="1:20" ht="15" customHeight="1">
      <c r="A677" s="286">
        <v>677</v>
      </c>
      <c r="B677" s="544">
        <v>312</v>
      </c>
      <c r="C677" s="545" t="s">
        <v>115</v>
      </c>
      <c r="D677" s="549" t="s">
        <v>667</v>
      </c>
      <c r="E677" s="539">
        <f>VLOOKUP(B677,'2-Kosten per locatie'!$A$13:$C$87,3,FALSE)</f>
        <v>2</v>
      </c>
      <c r="F677" s="550"/>
      <c r="G677" s="551" t="s">
        <v>668</v>
      </c>
      <c r="H677" s="552" t="s">
        <v>598</v>
      </c>
      <c r="I677" s="551" t="s">
        <v>180</v>
      </c>
      <c r="J677" s="553">
        <v>86</v>
      </c>
      <c r="K677" s="554"/>
      <c r="L677" s="554"/>
      <c r="M677" s="554"/>
      <c r="N677" s="554"/>
      <c r="O677" s="554"/>
      <c r="P677" s="555"/>
      <c r="Q677" s="555"/>
      <c r="R677" s="555"/>
      <c r="S677" s="555"/>
      <c r="T677" s="556"/>
    </row>
    <row r="678" spans="1:20" ht="15" customHeight="1">
      <c r="A678" s="285">
        <v>678</v>
      </c>
      <c r="B678" s="544">
        <v>312</v>
      </c>
      <c r="C678" s="545" t="s">
        <v>115</v>
      </c>
      <c r="D678" s="549" t="s">
        <v>667</v>
      </c>
      <c r="E678" s="539">
        <f>VLOOKUP(B678,'2-Kosten per locatie'!$A$13:$C$87,3,FALSE)</f>
        <v>2</v>
      </c>
      <c r="F678" s="550"/>
      <c r="G678" s="551" t="s">
        <v>669</v>
      </c>
      <c r="H678" s="552" t="s">
        <v>670</v>
      </c>
      <c r="I678" s="551" t="s">
        <v>709</v>
      </c>
      <c r="J678" s="553">
        <v>1090</v>
      </c>
      <c r="K678" s="554"/>
      <c r="L678" s="554"/>
      <c r="M678" s="554"/>
      <c r="N678" s="554"/>
      <c r="O678" s="554"/>
      <c r="P678" s="555"/>
      <c r="Q678" s="555"/>
      <c r="R678" s="555"/>
      <c r="S678" s="555"/>
      <c r="T678" s="556"/>
    </row>
    <row r="679" spans="1:20" ht="15" customHeight="1">
      <c r="A679" s="286">
        <v>679</v>
      </c>
      <c r="B679" s="544">
        <v>312</v>
      </c>
      <c r="C679" s="545" t="s">
        <v>115</v>
      </c>
      <c r="D679" s="549" t="s">
        <v>667</v>
      </c>
      <c r="E679" s="539">
        <f>VLOOKUP(B679,'2-Kosten per locatie'!$A$13:$C$87,3,FALSE)</f>
        <v>2</v>
      </c>
      <c r="F679" s="550"/>
      <c r="G679" s="551" t="s">
        <v>710</v>
      </c>
      <c r="H679" s="552" t="s">
        <v>670</v>
      </c>
      <c r="I679" s="551" t="s">
        <v>711</v>
      </c>
      <c r="J679" s="553">
        <v>50</v>
      </c>
      <c r="K679" s="554"/>
      <c r="L679" s="554"/>
      <c r="M679" s="554"/>
      <c r="N679" s="554"/>
      <c r="O679" s="554"/>
      <c r="P679" s="555"/>
      <c r="Q679" s="555"/>
      <c r="R679" s="555"/>
      <c r="S679" s="555"/>
      <c r="T679" s="556"/>
    </row>
    <row r="680" spans="1:20" ht="15" customHeight="1">
      <c r="A680" s="286">
        <v>680</v>
      </c>
      <c r="B680" s="544">
        <v>312</v>
      </c>
      <c r="C680" s="545" t="s">
        <v>115</v>
      </c>
      <c r="D680" s="549" t="s">
        <v>667</v>
      </c>
      <c r="E680" s="539">
        <f>VLOOKUP(B680,'2-Kosten per locatie'!$A$13:$C$87,3,FALSE)</f>
        <v>2</v>
      </c>
      <c r="F680" s="550"/>
      <c r="G680" s="551" t="s">
        <v>712</v>
      </c>
      <c r="H680" s="552" t="s">
        <v>670</v>
      </c>
      <c r="I680" s="551" t="s">
        <v>214</v>
      </c>
      <c r="J680" s="553">
        <v>54</v>
      </c>
      <c r="K680" s="554"/>
      <c r="L680" s="554"/>
      <c r="M680" s="554"/>
      <c r="N680" s="554"/>
      <c r="O680" s="554"/>
      <c r="P680" s="555"/>
      <c r="Q680" s="555"/>
      <c r="R680" s="555"/>
      <c r="S680" s="555"/>
      <c r="T680" s="556"/>
    </row>
    <row r="681" spans="1:20" ht="15" customHeight="1">
      <c r="A681" s="285">
        <v>681</v>
      </c>
      <c r="B681" s="544">
        <v>312</v>
      </c>
      <c r="C681" s="545" t="s">
        <v>115</v>
      </c>
      <c r="D681" s="549" t="s">
        <v>667</v>
      </c>
      <c r="E681" s="539">
        <f>VLOOKUP(B681,'2-Kosten per locatie'!$A$13:$C$87,3,FALSE)</f>
        <v>2</v>
      </c>
      <c r="F681" s="550"/>
      <c r="G681" s="551" t="s">
        <v>769</v>
      </c>
      <c r="H681" s="552">
        <v>10101</v>
      </c>
      <c r="I681" s="551" t="s">
        <v>251</v>
      </c>
      <c r="J681" s="553">
        <v>140</v>
      </c>
      <c r="K681" s="554"/>
      <c r="L681" s="554"/>
      <c r="M681" s="554"/>
      <c r="N681" s="554"/>
      <c r="O681" s="554"/>
      <c r="P681" s="555"/>
      <c r="Q681" s="555"/>
      <c r="R681" s="555"/>
      <c r="S681" s="555"/>
      <c r="T681" s="556"/>
    </row>
    <row r="682" spans="1:20" ht="15" customHeight="1">
      <c r="A682" s="286">
        <v>682</v>
      </c>
      <c r="B682" s="544">
        <v>312</v>
      </c>
      <c r="C682" s="545" t="s">
        <v>115</v>
      </c>
      <c r="D682" s="549" t="s">
        <v>667</v>
      </c>
      <c r="E682" s="539">
        <f>VLOOKUP(B682,'2-Kosten per locatie'!$A$13:$C$87,3,FALSE)</f>
        <v>2</v>
      </c>
      <c r="F682" s="550"/>
      <c r="G682" s="551" t="s">
        <v>350</v>
      </c>
      <c r="H682" s="552" t="s">
        <v>158</v>
      </c>
      <c r="I682" s="551" t="s">
        <v>251</v>
      </c>
      <c r="J682" s="553">
        <v>6.41</v>
      </c>
      <c r="K682" s="554"/>
      <c r="L682" s="554">
        <v>46</v>
      </c>
      <c r="M682" s="554"/>
      <c r="N682" s="554"/>
      <c r="O682" s="554"/>
      <c r="P682" s="555"/>
      <c r="Q682" s="555"/>
      <c r="R682" s="555">
        <v>6</v>
      </c>
      <c r="S682" s="555"/>
      <c r="T682" s="556"/>
    </row>
    <row r="683" spans="1:20" ht="15" customHeight="1">
      <c r="A683" s="285">
        <v>683</v>
      </c>
      <c r="B683" s="544">
        <v>312</v>
      </c>
      <c r="C683" s="545" t="s">
        <v>115</v>
      </c>
      <c r="D683" s="549" t="s">
        <v>667</v>
      </c>
      <c r="E683" s="539">
        <f>VLOOKUP(B683,'2-Kosten per locatie'!$A$13:$C$87,3,FALSE)</f>
        <v>2</v>
      </c>
      <c r="F683" s="550"/>
      <c r="G683" s="551" t="s">
        <v>759</v>
      </c>
      <c r="H683" s="552" t="s">
        <v>164</v>
      </c>
      <c r="I683" s="551" t="s">
        <v>159</v>
      </c>
      <c r="J683" s="553">
        <v>14</v>
      </c>
      <c r="K683" s="554"/>
      <c r="L683" s="554">
        <v>62</v>
      </c>
      <c r="M683" s="554"/>
      <c r="N683" s="554"/>
      <c r="O683" s="554"/>
      <c r="P683" s="555"/>
      <c r="Q683" s="555"/>
      <c r="R683" s="555">
        <v>14</v>
      </c>
      <c r="S683" s="555"/>
      <c r="T683" s="556"/>
    </row>
    <row r="684" spans="1:20" ht="15" customHeight="1">
      <c r="A684" s="286">
        <v>684</v>
      </c>
      <c r="B684" s="544">
        <v>312</v>
      </c>
      <c r="C684" s="545" t="s">
        <v>115</v>
      </c>
      <c r="D684" s="549" t="s">
        <v>667</v>
      </c>
      <c r="E684" s="539">
        <f>VLOOKUP(B684,'2-Kosten per locatie'!$A$13:$C$87,3,FALSE)</f>
        <v>2</v>
      </c>
      <c r="F684" s="550"/>
      <c r="G684" s="551" t="s">
        <v>671</v>
      </c>
      <c r="H684" s="552" t="s">
        <v>161</v>
      </c>
      <c r="I684" s="551" t="s">
        <v>159</v>
      </c>
      <c r="J684" s="553">
        <v>12</v>
      </c>
      <c r="K684" s="554"/>
      <c r="L684" s="554">
        <v>60</v>
      </c>
      <c r="M684" s="554"/>
      <c r="N684" s="554"/>
      <c r="O684" s="554"/>
      <c r="P684" s="555"/>
      <c r="Q684" s="555"/>
      <c r="R684" s="555">
        <v>12</v>
      </c>
      <c r="S684" s="555"/>
      <c r="T684" s="556"/>
    </row>
    <row r="685" spans="1:20" ht="15" customHeight="1">
      <c r="A685" s="285">
        <v>685</v>
      </c>
      <c r="B685" s="544">
        <v>312</v>
      </c>
      <c r="C685" s="545" t="s">
        <v>115</v>
      </c>
      <c r="D685" s="549" t="s">
        <v>667</v>
      </c>
      <c r="E685" s="539">
        <f>VLOOKUP(B685,'2-Kosten per locatie'!$A$13:$C$87,3,FALSE)</f>
        <v>2</v>
      </c>
      <c r="F685" s="550"/>
      <c r="G685" s="551" t="s">
        <v>672</v>
      </c>
      <c r="H685" s="552" t="s">
        <v>282</v>
      </c>
      <c r="I685" s="551" t="s">
        <v>159</v>
      </c>
      <c r="J685" s="553">
        <v>2</v>
      </c>
      <c r="K685" s="554"/>
      <c r="L685" s="554">
        <v>28</v>
      </c>
      <c r="M685" s="554"/>
      <c r="N685" s="554"/>
      <c r="O685" s="554"/>
      <c r="P685" s="555"/>
      <c r="Q685" s="555"/>
      <c r="R685" s="555">
        <v>2</v>
      </c>
      <c r="S685" s="555"/>
      <c r="T685" s="556"/>
    </row>
    <row r="686" spans="1:20" ht="15" customHeight="1">
      <c r="A686" s="286">
        <v>686</v>
      </c>
      <c r="B686" s="544">
        <v>312</v>
      </c>
      <c r="C686" s="545" t="s">
        <v>115</v>
      </c>
      <c r="D686" s="549" t="s">
        <v>667</v>
      </c>
      <c r="E686" s="539">
        <f>VLOOKUP(B686,'2-Kosten per locatie'!$A$13:$C$87,3,FALSE)</f>
        <v>2</v>
      </c>
      <c r="F686" s="550"/>
      <c r="G686" s="551" t="s">
        <v>463</v>
      </c>
      <c r="H686" s="552" t="s">
        <v>512</v>
      </c>
      <c r="I686" s="551" t="s">
        <v>159</v>
      </c>
      <c r="J686" s="553">
        <v>6</v>
      </c>
      <c r="K686" s="554">
        <v>7</v>
      </c>
      <c r="L686" s="554">
        <v>25</v>
      </c>
      <c r="M686" s="554"/>
      <c r="N686" s="554"/>
      <c r="O686" s="554"/>
      <c r="P686" s="555"/>
      <c r="Q686" s="555"/>
      <c r="R686" s="555">
        <v>6</v>
      </c>
      <c r="S686" s="555"/>
      <c r="T686" s="556"/>
    </row>
    <row r="687" spans="1:20" ht="15" customHeight="1">
      <c r="A687" s="286">
        <v>687</v>
      </c>
      <c r="B687" s="544">
        <v>312</v>
      </c>
      <c r="C687" s="545" t="s">
        <v>115</v>
      </c>
      <c r="D687" s="549" t="s">
        <v>667</v>
      </c>
      <c r="E687" s="539">
        <f>VLOOKUP(B687,'2-Kosten per locatie'!$A$13:$C$87,3,FALSE)</f>
        <v>2</v>
      </c>
      <c r="F687" s="550"/>
      <c r="G687" s="551" t="s">
        <v>770</v>
      </c>
      <c r="H687" s="552" t="s">
        <v>166</v>
      </c>
      <c r="I687" s="551" t="s">
        <v>159</v>
      </c>
      <c r="J687" s="553">
        <v>14</v>
      </c>
      <c r="K687" s="554"/>
      <c r="L687" s="554">
        <v>62</v>
      </c>
      <c r="M687" s="554"/>
      <c r="N687" s="554"/>
      <c r="O687" s="554"/>
      <c r="P687" s="555"/>
      <c r="Q687" s="555"/>
      <c r="R687" s="555">
        <v>14</v>
      </c>
      <c r="S687" s="555"/>
      <c r="T687" s="556"/>
    </row>
    <row r="688" spans="1:20" ht="15" customHeight="1">
      <c r="A688" s="285">
        <v>688</v>
      </c>
      <c r="B688" s="544">
        <v>312</v>
      </c>
      <c r="C688" s="545" t="s">
        <v>115</v>
      </c>
      <c r="D688" s="549" t="s">
        <v>667</v>
      </c>
      <c r="E688" s="539">
        <f>VLOOKUP(B688,'2-Kosten per locatie'!$A$13:$C$87,3,FALSE)</f>
        <v>2</v>
      </c>
      <c r="F688" s="550"/>
      <c r="G688" s="551" t="s">
        <v>717</v>
      </c>
      <c r="H688" s="552"/>
      <c r="I688" s="551" t="s">
        <v>251</v>
      </c>
      <c r="J688" s="553">
        <v>32</v>
      </c>
      <c r="K688" s="554"/>
      <c r="L688" s="554"/>
      <c r="M688" s="554"/>
      <c r="N688" s="554"/>
      <c r="O688" s="554"/>
      <c r="P688" s="555"/>
      <c r="Q688" s="555"/>
      <c r="R688" s="555"/>
      <c r="S688" s="555"/>
      <c r="T688" s="556"/>
    </row>
    <row r="689" spans="1:20" ht="15" customHeight="1">
      <c r="A689" s="286">
        <v>689</v>
      </c>
      <c r="B689" s="544">
        <v>312</v>
      </c>
      <c r="C689" s="545" t="s">
        <v>115</v>
      </c>
      <c r="D689" s="549" t="s">
        <v>667</v>
      </c>
      <c r="E689" s="539">
        <f>VLOOKUP(B689,'2-Kosten per locatie'!$A$13:$C$87,3,FALSE)</f>
        <v>2</v>
      </c>
      <c r="F689" s="550"/>
      <c r="G689" s="551" t="s">
        <v>689</v>
      </c>
      <c r="H689" s="552"/>
      <c r="I689" s="551" t="s">
        <v>205</v>
      </c>
      <c r="J689" s="553">
        <v>5</v>
      </c>
      <c r="K689" s="554"/>
      <c r="L689" s="554" t="s">
        <v>771</v>
      </c>
      <c r="M689" s="554"/>
      <c r="N689" s="554"/>
      <c r="O689" s="554"/>
      <c r="P689" s="555"/>
      <c r="Q689" s="555"/>
      <c r="R689" s="555"/>
      <c r="S689" s="555"/>
      <c r="T689" s="556"/>
    </row>
    <row r="690" spans="1:20" ht="15" customHeight="1">
      <c r="A690" s="285">
        <v>690</v>
      </c>
      <c r="B690" s="544">
        <v>1001</v>
      </c>
      <c r="C690" s="545" t="s">
        <v>116</v>
      </c>
      <c r="D690" s="549" t="s">
        <v>772</v>
      </c>
      <c r="E690" s="539">
        <f>VLOOKUP(B690,'2-Kosten per locatie'!$A$13:$C$87,3,FALSE)</f>
        <v>2</v>
      </c>
      <c r="F690" s="550"/>
      <c r="G690" s="551" t="s">
        <v>606</v>
      </c>
      <c r="H690" s="552"/>
      <c r="I690" s="551" t="s">
        <v>205</v>
      </c>
      <c r="J690" s="553">
        <v>5</v>
      </c>
      <c r="K690" s="554"/>
      <c r="L690" s="554"/>
      <c r="M690" s="554"/>
      <c r="N690" s="554"/>
      <c r="O690" s="554"/>
      <c r="P690" s="555"/>
      <c r="Q690" s="555"/>
      <c r="R690" s="555"/>
      <c r="S690" s="555"/>
      <c r="T690" s="556"/>
    </row>
    <row r="691" spans="1:20" ht="15" customHeight="1">
      <c r="A691" s="286">
        <v>691</v>
      </c>
      <c r="B691" s="544">
        <v>1001</v>
      </c>
      <c r="C691" s="545" t="s">
        <v>116</v>
      </c>
      <c r="D691" s="549" t="s">
        <v>772</v>
      </c>
      <c r="E691" s="539">
        <f>VLOOKUP(B691,'2-Kosten per locatie'!$A$13:$C$87,3,FALSE)</f>
        <v>2</v>
      </c>
      <c r="F691" s="550"/>
      <c r="G691" s="551" t="s">
        <v>467</v>
      </c>
      <c r="H691" s="552"/>
      <c r="I691" s="551" t="s">
        <v>180</v>
      </c>
      <c r="J691" s="553">
        <v>6</v>
      </c>
      <c r="K691" s="554"/>
      <c r="L691" s="554"/>
      <c r="M691" s="554">
        <v>23</v>
      </c>
      <c r="N691" s="554"/>
      <c r="O691" s="554"/>
      <c r="P691" s="555"/>
      <c r="Q691" s="555">
        <v>6</v>
      </c>
      <c r="R691" s="555"/>
      <c r="S691" s="555"/>
      <c r="T691" s="556"/>
    </row>
    <row r="692" spans="1:20" ht="15" customHeight="1">
      <c r="A692" s="285">
        <v>692</v>
      </c>
      <c r="B692" s="544">
        <v>1001</v>
      </c>
      <c r="C692" s="545" t="s">
        <v>116</v>
      </c>
      <c r="D692" s="549" t="s">
        <v>772</v>
      </c>
      <c r="E692" s="539">
        <f>VLOOKUP(B692,'2-Kosten per locatie'!$A$13:$C$87,3,FALSE)</f>
        <v>2</v>
      </c>
      <c r="F692" s="550"/>
      <c r="G692" s="551" t="s">
        <v>773</v>
      </c>
      <c r="H692" s="552"/>
      <c r="I692" s="551" t="s">
        <v>774</v>
      </c>
      <c r="J692" s="553">
        <v>420</v>
      </c>
      <c r="K692" s="554"/>
      <c r="L692" s="554"/>
      <c r="M692" s="554"/>
      <c r="N692" s="554"/>
      <c r="O692" s="554"/>
      <c r="P692" s="555"/>
      <c r="Q692" s="555"/>
      <c r="R692" s="555"/>
      <c r="S692" s="555"/>
      <c r="T692" s="556"/>
    </row>
    <row r="693" spans="1:20" ht="15" customHeight="1">
      <c r="A693" s="286">
        <v>693</v>
      </c>
      <c r="B693" s="544">
        <v>1001</v>
      </c>
      <c r="C693" s="545" t="s">
        <v>116</v>
      </c>
      <c r="D693" s="549" t="s">
        <v>772</v>
      </c>
      <c r="E693" s="539">
        <f>VLOOKUP(B693,'2-Kosten per locatie'!$A$13:$C$87,3,FALSE)</f>
        <v>2</v>
      </c>
      <c r="F693" s="550"/>
      <c r="G693" s="551" t="s">
        <v>658</v>
      </c>
      <c r="H693" s="552"/>
      <c r="I693" s="551" t="s">
        <v>775</v>
      </c>
      <c r="J693" s="553">
        <v>27</v>
      </c>
      <c r="K693" s="554"/>
      <c r="L693" s="554"/>
      <c r="M693" s="554"/>
      <c r="N693" s="554"/>
      <c r="O693" s="554"/>
      <c r="P693" s="555"/>
      <c r="Q693" s="555"/>
      <c r="R693" s="555"/>
      <c r="S693" s="555"/>
      <c r="T693" s="556"/>
    </row>
    <row r="694" spans="1:20" ht="15" customHeight="1">
      <c r="A694" s="286">
        <v>694</v>
      </c>
      <c r="B694" s="544">
        <v>1002</v>
      </c>
      <c r="C694" s="545" t="s">
        <v>117</v>
      </c>
      <c r="D694" s="549" t="s">
        <v>772</v>
      </c>
      <c r="E694" s="539">
        <f>VLOOKUP(B694,'2-Kosten per locatie'!$A$13:$C$87,3,FALSE)</f>
        <v>2</v>
      </c>
      <c r="F694" s="550"/>
      <c r="G694" s="551" t="s">
        <v>508</v>
      </c>
      <c r="H694" s="552" t="s">
        <v>776</v>
      </c>
      <c r="I694" s="551" t="s">
        <v>159</v>
      </c>
      <c r="J694" s="553">
        <v>2.8</v>
      </c>
      <c r="K694" s="554">
        <v>1.4</v>
      </c>
      <c r="L694" s="554"/>
      <c r="M694" s="554"/>
      <c r="N694" s="554"/>
      <c r="O694" s="554"/>
      <c r="P694" s="555"/>
      <c r="Q694" s="555">
        <v>15.72</v>
      </c>
      <c r="R694" s="555"/>
      <c r="S694" s="555"/>
      <c r="T694" s="556"/>
    </row>
    <row r="695" spans="1:20" ht="15" customHeight="1">
      <c r="A695" s="285">
        <v>695</v>
      </c>
      <c r="B695" s="544">
        <v>1002</v>
      </c>
      <c r="C695" s="545" t="s">
        <v>117</v>
      </c>
      <c r="D695" s="549" t="s">
        <v>772</v>
      </c>
      <c r="E695" s="539">
        <f>VLOOKUP(B695,'2-Kosten per locatie'!$A$13:$C$87,3,FALSE)</f>
        <v>2</v>
      </c>
      <c r="F695" s="550"/>
      <c r="G695" s="551" t="s">
        <v>777</v>
      </c>
      <c r="H695" s="552" t="s">
        <v>491</v>
      </c>
      <c r="I695" s="551" t="s">
        <v>159</v>
      </c>
      <c r="J695" s="553">
        <v>14.4</v>
      </c>
      <c r="K695" s="554">
        <v>3</v>
      </c>
      <c r="L695" s="554"/>
      <c r="M695" s="554"/>
      <c r="N695" s="554"/>
      <c r="O695" s="554"/>
      <c r="P695" s="555"/>
      <c r="Q695" s="555">
        <v>14.4</v>
      </c>
      <c r="R695" s="555"/>
      <c r="S695" s="555"/>
      <c r="T695" s="556"/>
    </row>
    <row r="696" spans="1:20" ht="15" customHeight="1">
      <c r="A696" s="286">
        <v>696</v>
      </c>
      <c r="B696" s="544">
        <v>1002</v>
      </c>
      <c r="C696" s="545" t="s">
        <v>117</v>
      </c>
      <c r="D696" s="549" t="s">
        <v>772</v>
      </c>
      <c r="E696" s="539">
        <f>VLOOKUP(B696,'2-Kosten per locatie'!$A$13:$C$87,3,FALSE)</f>
        <v>2</v>
      </c>
      <c r="F696" s="550"/>
      <c r="G696" s="551" t="s">
        <v>778</v>
      </c>
      <c r="H696" s="552" t="s">
        <v>543</v>
      </c>
      <c r="I696" s="551" t="s">
        <v>159</v>
      </c>
      <c r="J696" s="553">
        <v>15.72</v>
      </c>
      <c r="K696" s="554">
        <v>1.4</v>
      </c>
      <c r="L696" s="554"/>
      <c r="M696" s="554"/>
      <c r="N696" s="554"/>
      <c r="O696" s="554"/>
      <c r="P696" s="555"/>
      <c r="Q696" s="555">
        <v>2.04</v>
      </c>
      <c r="R696" s="555">
        <v>1</v>
      </c>
      <c r="S696" s="555"/>
      <c r="T696" s="556"/>
    </row>
    <row r="697" spans="1:20" ht="15" customHeight="1">
      <c r="A697" s="285">
        <v>697</v>
      </c>
      <c r="B697" s="544">
        <v>1002</v>
      </c>
      <c r="C697" s="545" t="s">
        <v>117</v>
      </c>
      <c r="D697" s="549" t="s">
        <v>772</v>
      </c>
      <c r="E697" s="539">
        <f>VLOOKUP(B697,'2-Kosten per locatie'!$A$13:$C$87,3,FALSE)</f>
        <v>2</v>
      </c>
      <c r="F697" s="550"/>
      <c r="G697" s="551" t="s">
        <v>187</v>
      </c>
      <c r="H697" s="552" t="s">
        <v>540</v>
      </c>
      <c r="I697" s="551" t="s">
        <v>159</v>
      </c>
      <c r="J697" s="553">
        <v>30</v>
      </c>
      <c r="K697" s="554">
        <v>8</v>
      </c>
      <c r="L697" s="554"/>
      <c r="M697" s="554"/>
      <c r="N697" s="554"/>
      <c r="O697" s="554"/>
      <c r="P697" s="555"/>
      <c r="Q697" s="555">
        <v>30</v>
      </c>
      <c r="R697" s="555">
        <v>2.8</v>
      </c>
      <c r="S697" s="555"/>
      <c r="T697" s="556"/>
    </row>
    <row r="698" spans="1:20" ht="15" customHeight="1">
      <c r="A698" s="286">
        <v>698</v>
      </c>
      <c r="B698" s="544">
        <v>1002</v>
      </c>
      <c r="C698" s="545" t="s">
        <v>117</v>
      </c>
      <c r="D698" s="549" t="s">
        <v>772</v>
      </c>
      <c r="E698" s="539">
        <f>VLOOKUP(B698,'2-Kosten per locatie'!$A$13:$C$87,3,FALSE)</f>
        <v>2</v>
      </c>
      <c r="F698" s="550"/>
      <c r="G698" s="551" t="s">
        <v>338</v>
      </c>
      <c r="H698" s="552" t="s">
        <v>779</v>
      </c>
      <c r="I698" s="551" t="s">
        <v>159</v>
      </c>
      <c r="J698" s="553">
        <v>9.8000000000000007</v>
      </c>
      <c r="K698" s="554">
        <v>21.36</v>
      </c>
      <c r="L698" s="554"/>
      <c r="M698" s="554"/>
      <c r="N698" s="554"/>
      <c r="O698" s="554"/>
      <c r="P698" s="555"/>
      <c r="Q698" s="555">
        <v>9.8000000000000007</v>
      </c>
      <c r="R698" s="555"/>
      <c r="S698" s="555"/>
      <c r="T698" s="556"/>
    </row>
    <row r="699" spans="1:20" ht="15" customHeight="1">
      <c r="A699" s="285">
        <v>699</v>
      </c>
      <c r="B699" s="544">
        <v>1002</v>
      </c>
      <c r="C699" s="545" t="s">
        <v>117</v>
      </c>
      <c r="D699" s="549" t="s">
        <v>772</v>
      </c>
      <c r="E699" s="539">
        <f>VLOOKUP(B699,'2-Kosten per locatie'!$A$13:$C$87,3,FALSE)</f>
        <v>2</v>
      </c>
      <c r="F699" s="550"/>
      <c r="G699" s="551" t="s">
        <v>780</v>
      </c>
      <c r="H699" s="552" t="s">
        <v>781</v>
      </c>
      <c r="I699" s="551" t="s">
        <v>159</v>
      </c>
      <c r="J699" s="553">
        <f>7.6-1.44</f>
        <v>6.16</v>
      </c>
      <c r="K699" s="554">
        <v>2</v>
      </c>
      <c r="L699" s="554"/>
      <c r="M699" s="554"/>
      <c r="N699" s="554"/>
      <c r="O699" s="554"/>
      <c r="P699" s="555"/>
      <c r="Q699" s="555">
        <v>7.6</v>
      </c>
      <c r="R699" s="555"/>
      <c r="S699" s="555"/>
      <c r="T699" s="556"/>
    </row>
    <row r="700" spans="1:20" ht="15" customHeight="1">
      <c r="A700" s="286">
        <v>700</v>
      </c>
      <c r="B700" s="544">
        <v>1002</v>
      </c>
      <c r="C700" s="545" t="s">
        <v>117</v>
      </c>
      <c r="D700" s="549" t="s">
        <v>772</v>
      </c>
      <c r="E700" s="539">
        <f>VLOOKUP(B700,'2-Kosten per locatie'!$A$13:$C$87,3,FALSE)</f>
        <v>2</v>
      </c>
      <c r="F700" s="550"/>
      <c r="G700" s="551" t="s">
        <v>605</v>
      </c>
      <c r="H700" s="552" t="s">
        <v>781</v>
      </c>
      <c r="I700" s="551" t="s">
        <v>159</v>
      </c>
      <c r="J700" s="553">
        <v>2.52</v>
      </c>
      <c r="K700" s="554">
        <v>11.5</v>
      </c>
      <c r="L700" s="554"/>
      <c r="M700" s="554"/>
      <c r="N700" s="554"/>
      <c r="O700" s="554"/>
      <c r="P700" s="555"/>
      <c r="Q700" s="555">
        <v>2.7</v>
      </c>
      <c r="R700" s="555"/>
      <c r="S700" s="555"/>
      <c r="T700" s="556"/>
    </row>
    <row r="701" spans="1:20" ht="15" customHeight="1">
      <c r="A701" s="286">
        <v>701</v>
      </c>
      <c r="B701" s="544">
        <v>1002</v>
      </c>
      <c r="C701" s="545" t="s">
        <v>117</v>
      </c>
      <c r="D701" s="549" t="s">
        <v>772</v>
      </c>
      <c r="E701" s="539">
        <f>VLOOKUP(B701,'2-Kosten per locatie'!$A$13:$C$87,3,FALSE)</f>
        <v>2</v>
      </c>
      <c r="F701" s="550"/>
      <c r="G701" s="551" t="s">
        <v>782</v>
      </c>
      <c r="H701" s="552" t="s">
        <v>781</v>
      </c>
      <c r="I701" s="551" t="s">
        <v>159</v>
      </c>
      <c r="J701" s="553">
        <v>7.7</v>
      </c>
      <c r="K701" s="554">
        <v>2.5</v>
      </c>
      <c r="L701" s="554"/>
      <c r="M701" s="554"/>
      <c r="N701" s="554"/>
      <c r="O701" s="554"/>
      <c r="P701" s="555"/>
      <c r="Q701" s="555">
        <v>7.7</v>
      </c>
      <c r="R701" s="555"/>
      <c r="S701" s="555"/>
      <c r="T701" s="556"/>
    </row>
    <row r="702" spans="1:20" ht="15" customHeight="1">
      <c r="A702" s="285">
        <v>702</v>
      </c>
      <c r="B702" s="544">
        <v>1002</v>
      </c>
      <c r="C702" s="545" t="s">
        <v>117</v>
      </c>
      <c r="D702" s="549" t="s">
        <v>772</v>
      </c>
      <c r="E702" s="539">
        <f>VLOOKUP(B702,'2-Kosten per locatie'!$A$13:$C$87,3,FALSE)</f>
        <v>2</v>
      </c>
      <c r="F702" s="550"/>
      <c r="G702" s="551" t="s">
        <v>783</v>
      </c>
      <c r="H702" s="552" t="s">
        <v>781</v>
      </c>
      <c r="I702" s="551" t="s">
        <v>159</v>
      </c>
      <c r="J702" s="553">
        <v>0.7</v>
      </c>
      <c r="K702" s="554">
        <v>0.5</v>
      </c>
      <c r="L702" s="554"/>
      <c r="M702" s="554"/>
      <c r="N702" s="554"/>
      <c r="O702" s="554"/>
      <c r="P702" s="555"/>
      <c r="Q702" s="555">
        <v>0.7</v>
      </c>
      <c r="R702" s="555"/>
      <c r="S702" s="555"/>
      <c r="T702" s="556"/>
    </row>
    <row r="703" spans="1:20" ht="15" customHeight="1">
      <c r="A703" s="286">
        <v>703</v>
      </c>
      <c r="B703" s="544">
        <v>1002</v>
      </c>
      <c r="C703" s="545" t="s">
        <v>117</v>
      </c>
      <c r="D703" s="549" t="s">
        <v>772</v>
      </c>
      <c r="E703" s="539">
        <f>VLOOKUP(B703,'2-Kosten per locatie'!$A$13:$C$87,3,FALSE)</f>
        <v>2</v>
      </c>
      <c r="F703" s="550"/>
      <c r="G703" s="551" t="s">
        <v>784</v>
      </c>
      <c r="H703" s="552"/>
      <c r="I703" s="551" t="s">
        <v>180</v>
      </c>
      <c r="J703" s="553">
        <v>43</v>
      </c>
      <c r="K703" s="554"/>
      <c r="L703" s="554"/>
      <c r="M703" s="554"/>
      <c r="N703" s="554"/>
      <c r="O703" s="554"/>
      <c r="P703" s="555"/>
      <c r="Q703" s="555"/>
      <c r="R703" s="555"/>
      <c r="S703" s="555"/>
      <c r="T703" s="556"/>
    </row>
    <row r="704" spans="1:20" ht="15" customHeight="1">
      <c r="A704" s="285">
        <v>704</v>
      </c>
      <c r="B704" s="544">
        <v>1002</v>
      </c>
      <c r="C704" s="545" t="s">
        <v>117</v>
      </c>
      <c r="D704" s="549" t="s">
        <v>772</v>
      </c>
      <c r="E704" s="539">
        <f>VLOOKUP(B704,'2-Kosten per locatie'!$A$13:$C$87,3,FALSE)</f>
        <v>2</v>
      </c>
      <c r="F704" s="550"/>
      <c r="G704" s="551" t="s">
        <v>784</v>
      </c>
      <c r="H704" s="552"/>
      <c r="I704" s="551" t="s">
        <v>785</v>
      </c>
      <c r="J704" s="553">
        <v>60</v>
      </c>
      <c r="K704" s="554"/>
      <c r="L704" s="554"/>
      <c r="M704" s="554"/>
      <c r="N704" s="554"/>
      <c r="O704" s="554"/>
      <c r="P704" s="555"/>
      <c r="Q704" s="555"/>
      <c r="R704" s="555"/>
      <c r="S704" s="555"/>
      <c r="T704" s="556"/>
    </row>
    <row r="705" spans="1:20" ht="15" customHeight="1">
      <c r="A705" s="286">
        <v>705</v>
      </c>
      <c r="B705" s="544">
        <v>1002</v>
      </c>
      <c r="C705" s="545" t="s">
        <v>117</v>
      </c>
      <c r="D705" s="549" t="s">
        <v>772</v>
      </c>
      <c r="E705" s="539">
        <f>VLOOKUP(B705,'2-Kosten per locatie'!$A$13:$C$87,3,FALSE)</f>
        <v>2</v>
      </c>
      <c r="F705" s="550"/>
      <c r="G705" s="551" t="s">
        <v>784</v>
      </c>
      <c r="H705" s="552"/>
      <c r="I705" s="551" t="s">
        <v>785</v>
      </c>
      <c r="J705" s="553">
        <v>6.25</v>
      </c>
      <c r="K705" s="554"/>
      <c r="L705" s="554"/>
      <c r="M705" s="554"/>
      <c r="N705" s="554"/>
      <c r="O705" s="554"/>
      <c r="P705" s="555"/>
      <c r="Q705" s="555"/>
      <c r="R705" s="555"/>
      <c r="S705" s="555"/>
      <c r="T705" s="556"/>
    </row>
    <row r="706" spans="1:20" ht="15" customHeight="1">
      <c r="A706" s="285">
        <v>706</v>
      </c>
      <c r="B706" s="544">
        <v>1002</v>
      </c>
      <c r="C706" s="545" t="s">
        <v>117</v>
      </c>
      <c r="D706" s="549" t="s">
        <v>772</v>
      </c>
      <c r="E706" s="539">
        <f>VLOOKUP(B706,'2-Kosten per locatie'!$A$13:$C$87,3,FALSE)</f>
        <v>2</v>
      </c>
      <c r="F706" s="550"/>
      <c r="G706" s="551" t="s">
        <v>784</v>
      </c>
      <c r="H706" s="552"/>
      <c r="I706" s="551" t="s">
        <v>785</v>
      </c>
      <c r="J706" s="553">
        <v>6.25</v>
      </c>
      <c r="K706" s="554"/>
      <c r="L706" s="554"/>
      <c r="M706" s="554"/>
      <c r="N706" s="554"/>
      <c r="O706" s="554"/>
      <c r="P706" s="555"/>
      <c r="Q706" s="555"/>
      <c r="R706" s="555"/>
      <c r="S706" s="555"/>
      <c r="T706" s="556"/>
    </row>
    <row r="707" spans="1:20" ht="15" customHeight="1">
      <c r="A707" s="286">
        <v>707</v>
      </c>
      <c r="B707" s="544">
        <v>1002</v>
      </c>
      <c r="C707" s="545" t="s">
        <v>117</v>
      </c>
      <c r="D707" s="549" t="s">
        <v>772</v>
      </c>
      <c r="E707" s="539">
        <f>VLOOKUP(B707,'2-Kosten per locatie'!$A$13:$C$87,3,FALSE)</f>
        <v>2</v>
      </c>
      <c r="F707" s="550"/>
      <c r="G707" s="551" t="s">
        <v>786</v>
      </c>
      <c r="H707" s="552"/>
      <c r="I707" s="551" t="s">
        <v>180</v>
      </c>
      <c r="J707" s="553">
        <v>17.5</v>
      </c>
      <c r="K707" s="554"/>
      <c r="L707" s="554"/>
      <c r="M707" s="554"/>
      <c r="N707" s="554"/>
      <c r="O707" s="554"/>
      <c r="P707" s="555"/>
      <c r="Q707" s="555"/>
      <c r="R707" s="555"/>
      <c r="S707" s="555"/>
      <c r="T707" s="556"/>
    </row>
    <row r="708" spans="1:20" ht="15" customHeight="1">
      <c r="A708" s="286">
        <v>708</v>
      </c>
      <c r="B708" s="544">
        <v>1002</v>
      </c>
      <c r="C708" s="545" t="s">
        <v>117</v>
      </c>
      <c r="D708" s="549" t="s">
        <v>772</v>
      </c>
      <c r="E708" s="539">
        <f>VLOOKUP(B708,'2-Kosten per locatie'!$A$13:$C$87,3,FALSE)</f>
        <v>2</v>
      </c>
      <c r="F708" s="550"/>
      <c r="G708" s="551" t="s">
        <v>786</v>
      </c>
      <c r="H708" s="552"/>
      <c r="I708" s="551" t="s">
        <v>180</v>
      </c>
      <c r="J708" s="553">
        <v>25</v>
      </c>
      <c r="K708" s="554"/>
      <c r="L708" s="554"/>
      <c r="M708" s="554"/>
      <c r="N708" s="554"/>
      <c r="O708" s="554"/>
      <c r="P708" s="555"/>
      <c r="Q708" s="555"/>
      <c r="R708" s="555"/>
      <c r="S708" s="555"/>
      <c r="T708" s="556"/>
    </row>
    <row r="709" spans="1:20" ht="15" customHeight="1">
      <c r="A709" s="285">
        <v>709</v>
      </c>
      <c r="B709" s="544">
        <v>1002</v>
      </c>
      <c r="C709" s="545" t="s">
        <v>117</v>
      </c>
      <c r="D709" s="549" t="s">
        <v>772</v>
      </c>
      <c r="E709" s="539">
        <f>VLOOKUP(B709,'2-Kosten per locatie'!$A$13:$C$87,3,FALSE)</f>
        <v>2</v>
      </c>
      <c r="F709" s="550"/>
      <c r="G709" s="551" t="s">
        <v>786</v>
      </c>
      <c r="H709" s="552"/>
      <c r="I709" s="551" t="s">
        <v>180</v>
      </c>
      <c r="J709" s="553">
        <v>25</v>
      </c>
      <c r="K709" s="554"/>
      <c r="L709" s="554"/>
      <c r="M709" s="554"/>
      <c r="N709" s="554"/>
      <c r="O709" s="554"/>
      <c r="P709" s="555"/>
      <c r="Q709" s="555"/>
      <c r="R709" s="555"/>
      <c r="S709" s="555"/>
      <c r="T709" s="556"/>
    </row>
    <row r="710" spans="1:20" ht="15" customHeight="1">
      <c r="A710" s="286">
        <v>710</v>
      </c>
      <c r="B710" s="544">
        <v>1002</v>
      </c>
      <c r="C710" s="545" t="s">
        <v>117</v>
      </c>
      <c r="D710" s="549" t="s">
        <v>772</v>
      </c>
      <c r="E710" s="539">
        <f>VLOOKUP(B710,'2-Kosten per locatie'!$A$13:$C$87,3,FALSE)</f>
        <v>2</v>
      </c>
      <c r="F710" s="550"/>
      <c r="G710" s="551" t="s">
        <v>787</v>
      </c>
      <c r="H710" s="552"/>
      <c r="I710" s="551" t="s">
        <v>180</v>
      </c>
      <c r="J710" s="553">
        <v>18</v>
      </c>
      <c r="K710" s="554"/>
      <c r="L710" s="554"/>
      <c r="M710" s="554"/>
      <c r="N710" s="554"/>
      <c r="O710" s="554"/>
      <c r="P710" s="555"/>
      <c r="Q710" s="555"/>
      <c r="R710" s="555"/>
      <c r="S710" s="555"/>
      <c r="T710" s="556"/>
    </row>
    <row r="711" spans="1:20" ht="15" customHeight="1">
      <c r="A711" s="285">
        <v>711</v>
      </c>
      <c r="B711" s="544">
        <v>1002</v>
      </c>
      <c r="C711" s="545" t="s">
        <v>117</v>
      </c>
      <c r="D711" s="549" t="s">
        <v>772</v>
      </c>
      <c r="E711" s="539">
        <f>VLOOKUP(B711,'2-Kosten per locatie'!$A$13:$C$87,3,FALSE)</f>
        <v>2</v>
      </c>
      <c r="F711" s="550"/>
      <c r="G711" s="551" t="s">
        <v>787</v>
      </c>
      <c r="H711" s="552"/>
      <c r="I711" s="551" t="s">
        <v>180</v>
      </c>
      <c r="J711" s="553">
        <v>1</v>
      </c>
      <c r="K711" s="554"/>
      <c r="L711" s="554"/>
      <c r="M711" s="554"/>
      <c r="N711" s="554"/>
      <c r="O711" s="554"/>
      <c r="P711" s="555"/>
      <c r="Q711" s="555"/>
      <c r="R711" s="555"/>
      <c r="S711" s="555"/>
      <c r="T711" s="556"/>
    </row>
    <row r="712" spans="1:20" ht="15" customHeight="1">
      <c r="A712" s="286">
        <v>712</v>
      </c>
      <c r="B712" s="544">
        <v>1002</v>
      </c>
      <c r="C712" s="545" t="s">
        <v>117</v>
      </c>
      <c r="D712" s="549" t="s">
        <v>772</v>
      </c>
      <c r="E712" s="539">
        <f>VLOOKUP(B712,'2-Kosten per locatie'!$A$13:$C$87,3,FALSE)</f>
        <v>2</v>
      </c>
      <c r="F712" s="550"/>
      <c r="G712" s="551" t="s">
        <v>787</v>
      </c>
      <c r="H712" s="552"/>
      <c r="I712" s="551" t="s">
        <v>180</v>
      </c>
      <c r="J712" s="553">
        <v>1.5</v>
      </c>
      <c r="K712" s="554"/>
      <c r="L712" s="554"/>
      <c r="M712" s="554"/>
      <c r="N712" s="554"/>
      <c r="O712" s="554"/>
      <c r="P712" s="555"/>
      <c r="Q712" s="555"/>
      <c r="R712" s="555"/>
      <c r="S712" s="555"/>
      <c r="T712" s="556"/>
    </row>
    <row r="713" spans="1:20" ht="15" customHeight="1">
      <c r="A713" s="285">
        <v>713</v>
      </c>
      <c r="B713" s="544">
        <v>1002</v>
      </c>
      <c r="C713" s="545" t="s">
        <v>117</v>
      </c>
      <c r="D713" s="549" t="s">
        <v>772</v>
      </c>
      <c r="E713" s="539">
        <f>VLOOKUP(B713,'2-Kosten per locatie'!$A$13:$C$87,3,FALSE)</f>
        <v>2</v>
      </c>
      <c r="F713" s="550"/>
      <c r="G713" s="551" t="s">
        <v>788</v>
      </c>
      <c r="H713" s="552"/>
      <c r="I713" s="551" t="s">
        <v>180</v>
      </c>
      <c r="J713" s="553">
        <v>8</v>
      </c>
      <c r="K713" s="554"/>
      <c r="L713" s="554"/>
      <c r="M713" s="554"/>
      <c r="N713" s="554"/>
      <c r="O713" s="554"/>
      <c r="P713" s="555"/>
      <c r="Q713" s="555"/>
      <c r="R713" s="555"/>
      <c r="S713" s="555"/>
      <c r="T713" s="556"/>
    </row>
    <row r="714" spans="1:20" ht="15" customHeight="1">
      <c r="A714" s="286">
        <v>714</v>
      </c>
      <c r="B714" s="544">
        <v>1002</v>
      </c>
      <c r="C714" s="545" t="s">
        <v>117</v>
      </c>
      <c r="D714" s="549" t="s">
        <v>772</v>
      </c>
      <c r="E714" s="539">
        <f>VLOOKUP(B714,'2-Kosten per locatie'!$A$13:$C$87,3,FALSE)</f>
        <v>2</v>
      </c>
      <c r="F714" s="550"/>
      <c r="G714" s="551" t="s">
        <v>773</v>
      </c>
      <c r="H714" s="552"/>
      <c r="I714" s="551" t="s">
        <v>180</v>
      </c>
      <c r="J714" s="553">
        <v>495</v>
      </c>
      <c r="K714" s="554"/>
      <c r="L714" s="554"/>
      <c r="M714" s="554"/>
      <c r="N714" s="554"/>
      <c r="O714" s="554"/>
      <c r="P714" s="555"/>
      <c r="Q714" s="555"/>
      <c r="R714" s="555"/>
      <c r="S714" s="555"/>
      <c r="T714" s="556"/>
    </row>
    <row r="715" spans="1:20" ht="15" customHeight="1">
      <c r="A715" s="286">
        <v>715</v>
      </c>
      <c r="B715" s="544">
        <v>1002</v>
      </c>
      <c r="C715" s="545" t="s">
        <v>117</v>
      </c>
      <c r="D715" s="549" t="s">
        <v>772</v>
      </c>
      <c r="E715" s="539">
        <f>VLOOKUP(B715,'2-Kosten per locatie'!$A$13:$C$87,3,FALSE)</f>
        <v>2</v>
      </c>
      <c r="F715" s="550"/>
      <c r="G715" s="551" t="s">
        <v>789</v>
      </c>
      <c r="H715" s="552"/>
      <c r="I715" s="551" t="s">
        <v>180</v>
      </c>
      <c r="J715" s="553">
        <v>1044</v>
      </c>
      <c r="K715" s="554"/>
      <c r="L715" s="554"/>
      <c r="M715" s="554"/>
      <c r="N715" s="554"/>
      <c r="O715" s="554"/>
      <c r="P715" s="555"/>
      <c r="Q715" s="555"/>
      <c r="R715" s="555"/>
      <c r="S715" s="555"/>
      <c r="T715" s="556"/>
    </row>
    <row r="716" spans="1:20" ht="15" customHeight="1">
      <c r="A716" s="285">
        <v>716</v>
      </c>
      <c r="B716" s="544">
        <v>1002</v>
      </c>
      <c r="C716" s="545" t="s">
        <v>117</v>
      </c>
      <c r="D716" s="549" t="s">
        <v>772</v>
      </c>
      <c r="E716" s="539">
        <f>VLOOKUP(B716,'2-Kosten per locatie'!$A$13:$C$87,3,FALSE)</f>
        <v>2</v>
      </c>
      <c r="F716" s="550"/>
      <c r="G716" s="551" t="s">
        <v>790</v>
      </c>
      <c r="H716" s="552"/>
      <c r="I716" s="551" t="s">
        <v>180</v>
      </c>
      <c r="J716" s="553">
        <v>3</v>
      </c>
      <c r="K716" s="554"/>
      <c r="L716" s="554"/>
      <c r="M716" s="554"/>
      <c r="N716" s="554"/>
      <c r="O716" s="554"/>
      <c r="P716" s="555"/>
      <c r="Q716" s="555"/>
      <c r="R716" s="555"/>
      <c r="S716" s="555"/>
      <c r="T716" s="556"/>
    </row>
    <row r="717" spans="1:20" ht="15" customHeight="1">
      <c r="A717" s="286">
        <v>717</v>
      </c>
      <c r="B717" s="544">
        <v>1002</v>
      </c>
      <c r="C717" s="545" t="s">
        <v>117</v>
      </c>
      <c r="D717" s="549" t="s">
        <v>772</v>
      </c>
      <c r="E717" s="539">
        <f>VLOOKUP(B717,'2-Kosten per locatie'!$A$13:$C$87,3,FALSE)</f>
        <v>2</v>
      </c>
      <c r="F717" s="550"/>
      <c r="G717" s="551" t="s">
        <v>203</v>
      </c>
      <c r="H717" s="552"/>
      <c r="I717" s="551" t="s">
        <v>775</v>
      </c>
      <c r="J717" s="553">
        <v>3</v>
      </c>
      <c r="K717" s="554"/>
      <c r="L717" s="554"/>
      <c r="M717" s="554"/>
      <c r="N717" s="554"/>
      <c r="O717" s="554"/>
      <c r="P717" s="555"/>
      <c r="Q717" s="555"/>
      <c r="R717" s="555"/>
      <c r="S717" s="555"/>
      <c r="T717" s="556"/>
    </row>
    <row r="718" spans="1:20" ht="15" customHeight="1">
      <c r="A718" s="285">
        <v>718</v>
      </c>
      <c r="B718" s="544">
        <v>1002</v>
      </c>
      <c r="C718" s="545" t="s">
        <v>117</v>
      </c>
      <c r="D718" s="549" t="s">
        <v>772</v>
      </c>
      <c r="E718" s="539">
        <f>VLOOKUP(B718,'2-Kosten per locatie'!$A$13:$C$87,3,FALSE)</f>
        <v>2</v>
      </c>
      <c r="F718" s="550"/>
      <c r="G718" s="551" t="s">
        <v>203</v>
      </c>
      <c r="H718" s="552"/>
      <c r="I718" s="551" t="s">
        <v>775</v>
      </c>
      <c r="J718" s="553">
        <v>3</v>
      </c>
      <c r="K718" s="554"/>
      <c r="L718" s="554"/>
      <c r="M718" s="554"/>
      <c r="N718" s="554"/>
      <c r="O718" s="554"/>
      <c r="P718" s="555"/>
      <c r="Q718" s="555"/>
      <c r="R718" s="555"/>
      <c r="S718" s="555"/>
      <c r="T718" s="556"/>
    </row>
    <row r="719" spans="1:20" ht="15" customHeight="1">
      <c r="A719" s="286">
        <v>719</v>
      </c>
      <c r="B719" s="544">
        <v>1002</v>
      </c>
      <c r="C719" s="545" t="s">
        <v>117</v>
      </c>
      <c r="D719" s="549" t="s">
        <v>772</v>
      </c>
      <c r="E719" s="539">
        <f>VLOOKUP(B719,'2-Kosten per locatie'!$A$13:$C$87,3,FALSE)</f>
        <v>2</v>
      </c>
      <c r="F719" s="550"/>
      <c r="G719" s="551" t="s">
        <v>791</v>
      </c>
      <c r="H719" s="552"/>
      <c r="I719" s="551" t="s">
        <v>785</v>
      </c>
      <c r="J719" s="553">
        <v>5</v>
      </c>
      <c r="K719" s="554"/>
      <c r="L719" s="554"/>
      <c r="M719" s="554"/>
      <c r="N719" s="554"/>
      <c r="O719" s="554"/>
      <c r="P719" s="555"/>
      <c r="Q719" s="555"/>
      <c r="R719" s="555"/>
      <c r="S719" s="555"/>
      <c r="T719" s="556"/>
    </row>
    <row r="720" spans="1:20" ht="15" customHeight="1">
      <c r="A720" s="285">
        <v>720</v>
      </c>
      <c r="B720" s="544">
        <v>1002</v>
      </c>
      <c r="C720" s="545" t="s">
        <v>117</v>
      </c>
      <c r="D720" s="549" t="s">
        <v>772</v>
      </c>
      <c r="E720" s="539">
        <f>VLOOKUP(B720,'2-Kosten per locatie'!$A$13:$C$87,3,FALSE)</f>
        <v>2</v>
      </c>
      <c r="F720" s="550"/>
      <c r="G720" s="551" t="s">
        <v>791</v>
      </c>
      <c r="H720" s="552"/>
      <c r="I720" s="551" t="s">
        <v>180</v>
      </c>
      <c r="J720" s="553">
        <v>110</v>
      </c>
      <c r="K720" s="554"/>
      <c r="L720" s="554"/>
      <c r="M720" s="554"/>
      <c r="N720" s="554"/>
      <c r="O720" s="554"/>
      <c r="P720" s="555"/>
      <c r="Q720" s="555"/>
      <c r="R720" s="555"/>
      <c r="S720" s="555"/>
      <c r="T720" s="556"/>
    </row>
    <row r="721" spans="1:20" ht="15" customHeight="1">
      <c r="A721" s="286">
        <v>721</v>
      </c>
      <c r="B721" s="544">
        <v>1002</v>
      </c>
      <c r="C721" s="545" t="s">
        <v>117</v>
      </c>
      <c r="D721" s="549" t="s">
        <v>772</v>
      </c>
      <c r="E721" s="539">
        <f>VLOOKUP(B721,'2-Kosten per locatie'!$A$13:$C$87,3,FALSE)</f>
        <v>2</v>
      </c>
      <c r="F721" s="550"/>
      <c r="G721" s="551" t="s">
        <v>791</v>
      </c>
      <c r="H721" s="552"/>
      <c r="I721" s="551" t="s">
        <v>180</v>
      </c>
      <c r="J721" s="553">
        <v>110</v>
      </c>
      <c r="K721" s="554"/>
      <c r="L721" s="554"/>
      <c r="M721" s="554"/>
      <c r="N721" s="554"/>
      <c r="O721" s="554"/>
      <c r="P721" s="555"/>
      <c r="Q721" s="555"/>
      <c r="R721" s="555"/>
      <c r="S721" s="555"/>
      <c r="T721" s="556"/>
    </row>
    <row r="722" spans="1:20" ht="15" customHeight="1">
      <c r="A722" s="286">
        <v>722</v>
      </c>
      <c r="B722" s="544">
        <v>1002</v>
      </c>
      <c r="C722" s="545" t="s">
        <v>117</v>
      </c>
      <c r="D722" s="549" t="s">
        <v>772</v>
      </c>
      <c r="E722" s="539">
        <f>VLOOKUP(B722,'2-Kosten per locatie'!$A$13:$C$87,3,FALSE)</f>
        <v>2</v>
      </c>
      <c r="F722" s="550"/>
      <c r="G722" s="551" t="s">
        <v>791</v>
      </c>
      <c r="H722" s="552"/>
      <c r="I722" s="551" t="s">
        <v>775</v>
      </c>
      <c r="J722" s="553">
        <v>37.5</v>
      </c>
      <c r="K722" s="554"/>
      <c r="L722" s="554"/>
      <c r="M722" s="554"/>
      <c r="N722" s="554"/>
      <c r="O722" s="554"/>
      <c r="P722" s="555"/>
      <c r="Q722" s="555"/>
      <c r="R722" s="555"/>
      <c r="S722" s="555"/>
      <c r="T722" s="556"/>
    </row>
    <row r="723" spans="1:20" ht="15" customHeight="1">
      <c r="A723" s="285">
        <v>723</v>
      </c>
      <c r="B723" s="544">
        <v>1002</v>
      </c>
      <c r="C723" s="545" t="s">
        <v>117</v>
      </c>
      <c r="D723" s="549" t="s">
        <v>772</v>
      </c>
      <c r="E723" s="539">
        <f>VLOOKUP(B723,'2-Kosten per locatie'!$A$13:$C$87,3,FALSE)</f>
        <v>2</v>
      </c>
      <c r="F723" s="550"/>
      <c r="G723" s="551" t="s">
        <v>791</v>
      </c>
      <c r="H723" s="552"/>
      <c r="I723" s="551" t="s">
        <v>775</v>
      </c>
      <c r="J723" s="553">
        <v>37.5</v>
      </c>
      <c r="K723" s="554"/>
      <c r="L723" s="554"/>
      <c r="M723" s="554"/>
      <c r="N723" s="554"/>
      <c r="O723" s="554"/>
      <c r="P723" s="555"/>
      <c r="Q723" s="555"/>
      <c r="R723" s="555"/>
      <c r="S723" s="555"/>
      <c r="T723" s="556"/>
    </row>
    <row r="724" spans="1:20" ht="15" customHeight="1">
      <c r="A724" s="286">
        <v>724</v>
      </c>
      <c r="B724" s="544">
        <v>1002</v>
      </c>
      <c r="C724" s="545" t="s">
        <v>117</v>
      </c>
      <c r="D724" s="549" t="s">
        <v>772</v>
      </c>
      <c r="E724" s="539">
        <f>VLOOKUP(B724,'2-Kosten per locatie'!$A$13:$C$87,3,FALSE)</f>
        <v>2</v>
      </c>
      <c r="F724" s="550"/>
      <c r="G724" s="551" t="s">
        <v>791</v>
      </c>
      <c r="H724" s="552"/>
      <c r="I724" s="551" t="s">
        <v>775</v>
      </c>
      <c r="J724" s="553">
        <v>37.5</v>
      </c>
      <c r="K724" s="554"/>
      <c r="L724" s="554"/>
      <c r="M724" s="554"/>
      <c r="N724" s="554"/>
      <c r="O724" s="554"/>
      <c r="P724" s="555"/>
      <c r="Q724" s="555"/>
      <c r="R724" s="555"/>
      <c r="S724" s="555"/>
      <c r="T724" s="556"/>
    </row>
    <row r="725" spans="1:20" ht="15" customHeight="1">
      <c r="A725" s="285">
        <v>725</v>
      </c>
      <c r="B725" s="544">
        <v>1002</v>
      </c>
      <c r="C725" s="545" t="s">
        <v>117</v>
      </c>
      <c r="D725" s="549" t="s">
        <v>772</v>
      </c>
      <c r="E725" s="539">
        <f>VLOOKUP(B725,'2-Kosten per locatie'!$A$13:$C$87,3,FALSE)</f>
        <v>2</v>
      </c>
      <c r="F725" s="550"/>
      <c r="G725" s="551" t="s">
        <v>791</v>
      </c>
      <c r="H725" s="552"/>
      <c r="I725" s="551" t="s">
        <v>775</v>
      </c>
      <c r="J725" s="553">
        <v>37.5</v>
      </c>
      <c r="K725" s="554"/>
      <c r="L725" s="554"/>
      <c r="M725" s="554"/>
      <c r="N725" s="554"/>
      <c r="O725" s="554"/>
      <c r="P725" s="555"/>
      <c r="Q725" s="555"/>
      <c r="R725" s="555"/>
      <c r="S725" s="555"/>
      <c r="T725" s="556"/>
    </row>
    <row r="726" spans="1:20" ht="15" customHeight="1">
      <c r="A726" s="286">
        <v>726</v>
      </c>
      <c r="B726" s="544">
        <v>1002</v>
      </c>
      <c r="C726" s="545" t="s">
        <v>117</v>
      </c>
      <c r="D726" s="549" t="s">
        <v>772</v>
      </c>
      <c r="E726" s="539">
        <f>VLOOKUP(B726,'2-Kosten per locatie'!$A$13:$C$87,3,FALSE)</f>
        <v>2</v>
      </c>
      <c r="F726" s="550"/>
      <c r="G726" s="551" t="s">
        <v>183</v>
      </c>
      <c r="H726" s="552"/>
      <c r="I726" s="551" t="s">
        <v>180</v>
      </c>
      <c r="J726" s="553">
        <v>17.5</v>
      </c>
      <c r="K726" s="554"/>
      <c r="L726" s="554"/>
      <c r="M726" s="554"/>
      <c r="N726" s="554"/>
      <c r="O726" s="554"/>
      <c r="P726" s="555"/>
      <c r="Q726" s="555"/>
      <c r="R726" s="555"/>
      <c r="S726" s="555"/>
      <c r="T726" s="556"/>
    </row>
    <row r="727" spans="1:20" ht="15" customHeight="1">
      <c r="A727" s="285">
        <v>727</v>
      </c>
      <c r="B727" s="544">
        <v>1002</v>
      </c>
      <c r="C727" s="545" t="s">
        <v>117</v>
      </c>
      <c r="D727" s="549" t="s">
        <v>772</v>
      </c>
      <c r="E727" s="539">
        <f>VLOOKUP(B727,'2-Kosten per locatie'!$A$13:$C$87,3,FALSE)</f>
        <v>2</v>
      </c>
      <c r="F727" s="550"/>
      <c r="G727" s="551" t="s">
        <v>183</v>
      </c>
      <c r="H727" s="552"/>
      <c r="I727" s="551" t="s">
        <v>180</v>
      </c>
      <c r="J727" s="553">
        <v>17.5</v>
      </c>
      <c r="K727" s="554"/>
      <c r="L727" s="554"/>
      <c r="M727" s="554"/>
      <c r="N727" s="554"/>
      <c r="O727" s="554"/>
      <c r="P727" s="555"/>
      <c r="Q727" s="555"/>
      <c r="R727" s="555"/>
      <c r="S727" s="555"/>
      <c r="T727" s="556"/>
    </row>
    <row r="728" spans="1:20" ht="15" customHeight="1">
      <c r="A728" s="286">
        <v>728</v>
      </c>
      <c r="B728" s="544">
        <v>1002</v>
      </c>
      <c r="C728" s="545" t="s">
        <v>117</v>
      </c>
      <c r="D728" s="549" t="s">
        <v>772</v>
      </c>
      <c r="E728" s="539">
        <f>VLOOKUP(B728,'2-Kosten per locatie'!$A$13:$C$87,3,FALSE)</f>
        <v>2</v>
      </c>
      <c r="F728" s="550"/>
      <c r="G728" s="551" t="s">
        <v>681</v>
      </c>
      <c r="H728" s="552"/>
      <c r="I728" s="551" t="s">
        <v>775</v>
      </c>
      <c r="J728" s="553">
        <v>22.5</v>
      </c>
      <c r="K728" s="554"/>
      <c r="L728" s="554"/>
      <c r="M728" s="554"/>
      <c r="N728" s="554"/>
      <c r="O728" s="554"/>
      <c r="P728" s="555"/>
      <c r="Q728" s="555"/>
      <c r="R728" s="555"/>
      <c r="S728" s="555"/>
      <c r="T728" s="556"/>
    </row>
    <row r="729" spans="1:20" ht="15" customHeight="1">
      <c r="A729" s="286">
        <v>729</v>
      </c>
      <c r="B729" s="544">
        <v>1002</v>
      </c>
      <c r="C729" s="545" t="s">
        <v>117</v>
      </c>
      <c r="D729" s="549" t="s">
        <v>772</v>
      </c>
      <c r="E729" s="539">
        <f>VLOOKUP(B729,'2-Kosten per locatie'!$A$13:$C$87,3,FALSE)</f>
        <v>2</v>
      </c>
      <c r="F729" s="550"/>
      <c r="G729" s="551" t="s">
        <v>681</v>
      </c>
      <c r="H729" s="552"/>
      <c r="I729" s="551" t="s">
        <v>775</v>
      </c>
      <c r="J729" s="553">
        <v>22.5</v>
      </c>
      <c r="K729" s="554"/>
      <c r="L729" s="554"/>
      <c r="M729" s="554"/>
      <c r="N729" s="554"/>
      <c r="O729" s="554"/>
      <c r="P729" s="555"/>
      <c r="Q729" s="555"/>
      <c r="R729" s="555"/>
      <c r="S729" s="555"/>
      <c r="T729" s="556"/>
    </row>
    <row r="730" spans="1:20" ht="15" customHeight="1">
      <c r="A730" s="285">
        <v>730</v>
      </c>
      <c r="B730" s="544">
        <v>402</v>
      </c>
      <c r="C730" s="545" t="s">
        <v>64</v>
      </c>
      <c r="D730" s="549" t="s">
        <v>737</v>
      </c>
      <c r="E730" s="539">
        <f>VLOOKUP(B730,'2-Kosten per locatie'!$A$13:$C$87,3,FALSE)</f>
        <v>2</v>
      </c>
      <c r="F730" s="550"/>
      <c r="G730" s="551" t="s">
        <v>190</v>
      </c>
      <c r="H730" s="552" t="s">
        <v>792</v>
      </c>
      <c r="I730" s="551" t="s">
        <v>171</v>
      </c>
      <c r="J730" s="553">
        <v>19</v>
      </c>
      <c r="K730" s="554"/>
      <c r="L730" s="554"/>
      <c r="M730" s="554">
        <v>55</v>
      </c>
      <c r="N730" s="554"/>
      <c r="O730" s="554"/>
      <c r="P730" s="555"/>
      <c r="Q730" s="555"/>
      <c r="R730" s="555">
        <v>19</v>
      </c>
      <c r="S730" s="555"/>
      <c r="T730" s="556"/>
    </row>
    <row r="731" spans="1:20" ht="15" customHeight="1">
      <c r="A731" s="286">
        <v>731</v>
      </c>
      <c r="B731" s="544">
        <v>402</v>
      </c>
      <c r="C731" s="545" t="s">
        <v>64</v>
      </c>
      <c r="D731" s="549" t="s">
        <v>737</v>
      </c>
      <c r="E731" s="539">
        <f>VLOOKUP(B731,'2-Kosten per locatie'!$A$13:$C$87,3,FALSE)</f>
        <v>2</v>
      </c>
      <c r="F731" s="550"/>
      <c r="G731" s="551" t="s">
        <v>793</v>
      </c>
      <c r="H731" s="552" t="s">
        <v>794</v>
      </c>
      <c r="I731" s="551" t="s">
        <v>171</v>
      </c>
      <c r="J731" s="553">
        <v>12</v>
      </c>
      <c r="K731" s="554">
        <v>2</v>
      </c>
      <c r="L731" s="554"/>
      <c r="M731" s="554">
        <v>39</v>
      </c>
      <c r="N731" s="554"/>
      <c r="O731" s="554"/>
      <c r="P731" s="555"/>
      <c r="Q731" s="555"/>
      <c r="R731" s="555">
        <v>12</v>
      </c>
      <c r="S731" s="555"/>
      <c r="T731" s="556"/>
    </row>
    <row r="732" spans="1:20" ht="15" customHeight="1">
      <c r="A732" s="285">
        <v>732</v>
      </c>
      <c r="B732" s="544">
        <v>402</v>
      </c>
      <c r="C732" s="545" t="s">
        <v>64</v>
      </c>
      <c r="D732" s="549" t="s">
        <v>737</v>
      </c>
      <c r="E732" s="539">
        <f>VLOOKUP(B732,'2-Kosten per locatie'!$A$13:$C$87,3,FALSE)</f>
        <v>2</v>
      </c>
      <c r="F732" s="550"/>
      <c r="G732" s="551" t="s">
        <v>605</v>
      </c>
      <c r="H732" s="552" t="s">
        <v>795</v>
      </c>
      <c r="I732" s="551" t="s">
        <v>171</v>
      </c>
      <c r="J732" s="553">
        <v>1</v>
      </c>
      <c r="K732" s="554">
        <v>9</v>
      </c>
      <c r="L732" s="554"/>
      <c r="M732" s="554"/>
      <c r="N732" s="554"/>
      <c r="O732" s="554"/>
      <c r="P732" s="555"/>
      <c r="Q732" s="555"/>
      <c r="R732" s="555"/>
      <c r="S732" s="555">
        <v>1</v>
      </c>
      <c r="T732" s="556"/>
    </row>
    <row r="733" spans="1:20" ht="15" customHeight="1">
      <c r="A733" s="286">
        <v>733</v>
      </c>
      <c r="B733" s="544">
        <v>402</v>
      </c>
      <c r="C733" s="545" t="s">
        <v>64</v>
      </c>
      <c r="D733" s="549" t="s">
        <v>737</v>
      </c>
      <c r="E733" s="539">
        <f>VLOOKUP(B733,'2-Kosten per locatie'!$A$13:$C$87,3,FALSE)</f>
        <v>2</v>
      </c>
      <c r="F733" s="550"/>
      <c r="G733" s="551" t="s">
        <v>605</v>
      </c>
      <c r="H733" s="552" t="s">
        <v>796</v>
      </c>
      <c r="I733" s="551" t="s">
        <v>171</v>
      </c>
      <c r="J733" s="553">
        <v>1</v>
      </c>
      <c r="K733" s="554">
        <v>9</v>
      </c>
      <c r="L733" s="554"/>
      <c r="M733" s="554"/>
      <c r="N733" s="554"/>
      <c r="O733" s="554"/>
      <c r="P733" s="555"/>
      <c r="Q733" s="555"/>
      <c r="R733" s="555"/>
      <c r="S733" s="555">
        <v>1</v>
      </c>
      <c r="T733" s="556"/>
    </row>
    <row r="734" spans="1:20" ht="15" customHeight="1">
      <c r="A734" s="285">
        <v>734</v>
      </c>
      <c r="B734" s="544">
        <v>402</v>
      </c>
      <c r="C734" s="545" t="s">
        <v>64</v>
      </c>
      <c r="D734" s="549" t="s">
        <v>737</v>
      </c>
      <c r="E734" s="539">
        <f>VLOOKUP(B734,'2-Kosten per locatie'!$A$13:$C$87,3,FALSE)</f>
        <v>2</v>
      </c>
      <c r="F734" s="550"/>
      <c r="G734" s="551" t="s">
        <v>797</v>
      </c>
      <c r="H734" s="552" t="s">
        <v>798</v>
      </c>
      <c r="I734" s="551" t="s">
        <v>171</v>
      </c>
      <c r="J734" s="553">
        <v>12</v>
      </c>
      <c r="K734" s="554"/>
      <c r="L734" s="554"/>
      <c r="M734" s="554">
        <v>17</v>
      </c>
      <c r="N734" s="554"/>
      <c r="O734" s="554"/>
      <c r="P734" s="555"/>
      <c r="Q734" s="555"/>
      <c r="R734" s="555">
        <v>12</v>
      </c>
      <c r="S734" s="555"/>
      <c r="T734" s="556"/>
    </row>
    <row r="735" spans="1:20" ht="15" customHeight="1">
      <c r="A735" s="286">
        <v>735</v>
      </c>
      <c r="B735" s="544">
        <v>402</v>
      </c>
      <c r="C735" s="545" t="s">
        <v>64</v>
      </c>
      <c r="D735" s="549" t="s">
        <v>737</v>
      </c>
      <c r="E735" s="539">
        <f>VLOOKUP(B735,'2-Kosten per locatie'!$A$13:$C$87,3,FALSE)</f>
        <v>2</v>
      </c>
      <c r="F735" s="550"/>
      <c r="G735" s="551" t="s">
        <v>799</v>
      </c>
      <c r="H735" s="552" t="s">
        <v>800</v>
      </c>
      <c r="I735" s="551" t="s">
        <v>171</v>
      </c>
      <c r="J735" s="553">
        <v>6</v>
      </c>
      <c r="K735" s="554"/>
      <c r="L735" s="554"/>
      <c r="M735" s="554"/>
      <c r="N735" s="554"/>
      <c r="O735" s="554">
        <v>30</v>
      </c>
      <c r="P735" s="555"/>
      <c r="Q735" s="555"/>
      <c r="R735" s="555">
        <v>6</v>
      </c>
      <c r="S735" s="555"/>
      <c r="T735" s="556"/>
    </row>
    <row r="736" spans="1:20" ht="15" customHeight="1">
      <c r="A736" s="286">
        <v>736</v>
      </c>
      <c r="B736" s="544">
        <v>402</v>
      </c>
      <c r="C736" s="545" t="s">
        <v>64</v>
      </c>
      <c r="D736" s="549" t="s">
        <v>737</v>
      </c>
      <c r="E736" s="539">
        <f>VLOOKUP(B736,'2-Kosten per locatie'!$A$13:$C$87,3,FALSE)</f>
        <v>2</v>
      </c>
      <c r="F736" s="550"/>
      <c r="G736" s="551" t="s">
        <v>801</v>
      </c>
      <c r="H736" s="552" t="s">
        <v>802</v>
      </c>
      <c r="I736" s="551" t="s">
        <v>171</v>
      </c>
      <c r="J736" s="553">
        <v>7</v>
      </c>
      <c r="K736" s="554"/>
      <c r="L736" s="554"/>
      <c r="M736" s="554">
        <v>32</v>
      </c>
      <c r="N736" s="554"/>
      <c r="O736" s="554"/>
      <c r="P736" s="555"/>
      <c r="Q736" s="555"/>
      <c r="R736" s="555">
        <v>7</v>
      </c>
      <c r="S736" s="555"/>
      <c r="T736" s="556"/>
    </row>
    <row r="737" spans="1:20" ht="15" customHeight="1">
      <c r="A737" s="285">
        <v>737</v>
      </c>
      <c r="B737" s="544">
        <v>402</v>
      </c>
      <c r="C737" s="545" t="s">
        <v>64</v>
      </c>
      <c r="D737" s="549" t="s">
        <v>737</v>
      </c>
      <c r="E737" s="539">
        <f>VLOOKUP(B737,'2-Kosten per locatie'!$A$13:$C$87,3,FALSE)</f>
        <v>2</v>
      </c>
      <c r="F737" s="550"/>
      <c r="G737" s="551" t="s">
        <v>803</v>
      </c>
      <c r="H737" s="552" t="s">
        <v>804</v>
      </c>
      <c r="I737" s="551" t="s">
        <v>171</v>
      </c>
      <c r="J737" s="553">
        <v>22</v>
      </c>
      <c r="K737" s="554"/>
      <c r="L737" s="554"/>
      <c r="M737" s="554">
        <v>62</v>
      </c>
      <c r="N737" s="554"/>
      <c r="O737" s="554"/>
      <c r="P737" s="555"/>
      <c r="Q737" s="555"/>
      <c r="R737" s="555">
        <v>22</v>
      </c>
      <c r="S737" s="555"/>
      <c r="T737" s="556"/>
    </row>
    <row r="738" spans="1:20" ht="15" customHeight="1">
      <c r="A738" s="286">
        <v>738</v>
      </c>
      <c r="B738" s="544">
        <v>402</v>
      </c>
      <c r="C738" s="545" t="s">
        <v>64</v>
      </c>
      <c r="D738" s="549" t="s">
        <v>737</v>
      </c>
      <c r="E738" s="539">
        <f>VLOOKUP(B738,'2-Kosten per locatie'!$A$13:$C$87,3,FALSE)</f>
        <v>2</v>
      </c>
      <c r="F738" s="550"/>
      <c r="G738" s="551" t="s">
        <v>805</v>
      </c>
      <c r="H738" s="552" t="s">
        <v>806</v>
      </c>
      <c r="I738" s="551" t="s">
        <v>171</v>
      </c>
      <c r="J738" s="553">
        <v>101</v>
      </c>
      <c r="K738" s="554"/>
      <c r="L738" s="554"/>
      <c r="M738" s="554">
        <v>173</v>
      </c>
      <c r="N738" s="554"/>
      <c r="O738" s="554"/>
      <c r="P738" s="555"/>
      <c r="Q738" s="555"/>
      <c r="R738" s="555">
        <v>101</v>
      </c>
      <c r="S738" s="555"/>
      <c r="T738" s="556"/>
    </row>
    <row r="739" spans="1:20" ht="15" customHeight="1">
      <c r="A739" s="285">
        <v>739</v>
      </c>
      <c r="B739" s="544">
        <v>402</v>
      </c>
      <c r="C739" s="545" t="s">
        <v>64</v>
      </c>
      <c r="D739" s="549" t="s">
        <v>737</v>
      </c>
      <c r="E739" s="539">
        <f>VLOOKUP(B739,'2-Kosten per locatie'!$A$13:$C$87,3,FALSE)</f>
        <v>2</v>
      </c>
      <c r="F739" s="550"/>
      <c r="G739" s="551" t="s">
        <v>807</v>
      </c>
      <c r="H739" s="552" t="s">
        <v>808</v>
      </c>
      <c r="I739" s="551" t="s">
        <v>205</v>
      </c>
      <c r="J739" s="553">
        <v>12</v>
      </c>
      <c r="K739" s="554"/>
      <c r="L739" s="554"/>
      <c r="M739" s="554">
        <v>43</v>
      </c>
      <c r="N739" s="554"/>
      <c r="O739" s="554"/>
      <c r="P739" s="555"/>
      <c r="Q739" s="555">
        <v>12</v>
      </c>
      <c r="R739" s="555"/>
      <c r="S739" s="555"/>
      <c r="T739" s="556"/>
    </row>
    <row r="740" spans="1:20" ht="15" customHeight="1">
      <c r="A740" s="286">
        <v>740</v>
      </c>
      <c r="B740" s="544">
        <v>402</v>
      </c>
      <c r="C740" s="545" t="s">
        <v>64</v>
      </c>
      <c r="D740" s="549" t="s">
        <v>737</v>
      </c>
      <c r="E740" s="539">
        <f>VLOOKUP(B740,'2-Kosten per locatie'!$A$13:$C$87,3,FALSE)</f>
        <v>2</v>
      </c>
      <c r="F740" s="550"/>
      <c r="G740" s="551" t="s">
        <v>809</v>
      </c>
      <c r="H740" s="552" t="s">
        <v>810</v>
      </c>
      <c r="I740" s="551" t="s">
        <v>162</v>
      </c>
      <c r="J740" s="553">
        <v>12</v>
      </c>
      <c r="K740" s="554"/>
      <c r="L740" s="554"/>
      <c r="M740" s="554">
        <v>43</v>
      </c>
      <c r="N740" s="554"/>
      <c r="O740" s="554"/>
      <c r="P740" s="555"/>
      <c r="Q740" s="555"/>
      <c r="R740" s="555">
        <v>12</v>
      </c>
      <c r="S740" s="555"/>
      <c r="T740" s="556"/>
    </row>
    <row r="741" spans="1:20" ht="15" customHeight="1">
      <c r="A741" s="285">
        <v>741</v>
      </c>
      <c r="B741" s="544">
        <v>402</v>
      </c>
      <c r="C741" s="545" t="s">
        <v>64</v>
      </c>
      <c r="D741" s="549" t="s">
        <v>737</v>
      </c>
      <c r="E741" s="539">
        <f>VLOOKUP(B741,'2-Kosten per locatie'!$A$13:$C$87,3,FALSE)</f>
        <v>2</v>
      </c>
      <c r="F741" s="550"/>
      <c r="G741" s="551" t="s">
        <v>807</v>
      </c>
      <c r="H741" s="552" t="s">
        <v>811</v>
      </c>
      <c r="I741" s="551" t="s">
        <v>205</v>
      </c>
      <c r="J741" s="553">
        <v>12</v>
      </c>
      <c r="K741" s="554"/>
      <c r="L741" s="554"/>
      <c r="M741" s="554">
        <v>43</v>
      </c>
      <c r="N741" s="554"/>
      <c r="O741" s="554"/>
      <c r="P741" s="555"/>
      <c r="Q741" s="555">
        <v>12</v>
      </c>
      <c r="R741" s="555"/>
      <c r="S741" s="555"/>
      <c r="T741" s="556"/>
    </row>
    <row r="742" spans="1:20" ht="15" customHeight="1">
      <c r="A742" s="286">
        <v>742</v>
      </c>
      <c r="B742" s="544">
        <v>402</v>
      </c>
      <c r="C742" s="545" t="s">
        <v>64</v>
      </c>
      <c r="D742" s="549" t="s">
        <v>737</v>
      </c>
      <c r="E742" s="539">
        <f>VLOOKUP(B742,'2-Kosten per locatie'!$A$13:$C$87,3,FALSE)</f>
        <v>2</v>
      </c>
      <c r="F742" s="550"/>
      <c r="G742" s="551" t="s">
        <v>807</v>
      </c>
      <c r="H742" s="552" t="s">
        <v>812</v>
      </c>
      <c r="I742" s="551" t="s">
        <v>205</v>
      </c>
      <c r="J742" s="553">
        <v>12</v>
      </c>
      <c r="K742" s="554"/>
      <c r="L742" s="554"/>
      <c r="M742" s="554">
        <v>43</v>
      </c>
      <c r="N742" s="554"/>
      <c r="O742" s="554"/>
      <c r="P742" s="555"/>
      <c r="Q742" s="555">
        <v>12</v>
      </c>
      <c r="R742" s="555"/>
      <c r="S742" s="555"/>
      <c r="T742" s="556"/>
    </row>
    <row r="743" spans="1:20" ht="15" customHeight="1">
      <c r="A743" s="286">
        <v>743</v>
      </c>
      <c r="B743" s="544">
        <v>402</v>
      </c>
      <c r="C743" s="545" t="s">
        <v>64</v>
      </c>
      <c r="D743" s="549" t="s">
        <v>737</v>
      </c>
      <c r="E743" s="539">
        <f>VLOOKUP(B743,'2-Kosten per locatie'!$A$13:$C$87,3,FALSE)</f>
        <v>2</v>
      </c>
      <c r="F743" s="550"/>
      <c r="G743" s="551" t="s">
        <v>813</v>
      </c>
      <c r="H743" s="552" t="s">
        <v>814</v>
      </c>
      <c r="I743" s="551" t="s">
        <v>171</v>
      </c>
      <c r="J743" s="553">
        <v>24</v>
      </c>
      <c r="K743" s="554"/>
      <c r="L743" s="554"/>
      <c r="M743" s="554">
        <v>63</v>
      </c>
      <c r="N743" s="554"/>
      <c r="O743" s="554"/>
      <c r="P743" s="555"/>
      <c r="Q743" s="555"/>
      <c r="R743" s="555">
        <v>24</v>
      </c>
      <c r="S743" s="555"/>
      <c r="T743" s="556"/>
    </row>
    <row r="744" spans="1:20" ht="15" customHeight="1">
      <c r="A744" s="285">
        <v>744</v>
      </c>
      <c r="B744" s="544">
        <v>402</v>
      </c>
      <c r="C744" s="545" t="s">
        <v>64</v>
      </c>
      <c r="D744" s="549" t="s">
        <v>737</v>
      </c>
      <c r="E744" s="539">
        <f>VLOOKUP(B744,'2-Kosten per locatie'!$A$13:$C$87,3,FALSE)</f>
        <v>2</v>
      </c>
      <c r="F744" s="550"/>
      <c r="G744" s="551" t="s">
        <v>523</v>
      </c>
      <c r="H744" s="552" t="s">
        <v>815</v>
      </c>
      <c r="I744" s="551" t="s">
        <v>171</v>
      </c>
      <c r="J744" s="553">
        <v>4</v>
      </c>
      <c r="K744" s="554"/>
      <c r="L744" s="554"/>
      <c r="M744" s="554">
        <v>30</v>
      </c>
      <c r="N744" s="554"/>
      <c r="O744" s="554"/>
      <c r="P744" s="555"/>
      <c r="Q744" s="555"/>
      <c r="R744" s="555">
        <v>4</v>
      </c>
      <c r="S744" s="555"/>
      <c r="T744" s="556"/>
    </row>
    <row r="745" spans="1:20" ht="15" customHeight="1">
      <c r="A745" s="286">
        <v>745</v>
      </c>
      <c r="B745" s="544">
        <v>402</v>
      </c>
      <c r="C745" s="545" t="s">
        <v>64</v>
      </c>
      <c r="D745" s="549" t="s">
        <v>737</v>
      </c>
      <c r="E745" s="539">
        <f>VLOOKUP(B745,'2-Kosten per locatie'!$A$13:$C$87,3,FALSE)</f>
        <v>2</v>
      </c>
      <c r="F745" s="550"/>
      <c r="G745" s="551" t="s">
        <v>597</v>
      </c>
      <c r="H745" s="552" t="s">
        <v>816</v>
      </c>
      <c r="I745" s="551" t="s">
        <v>171</v>
      </c>
      <c r="J745" s="553">
        <v>2</v>
      </c>
      <c r="K745" s="554"/>
      <c r="L745" s="554"/>
      <c r="M745" s="554">
        <v>14</v>
      </c>
      <c r="N745" s="554"/>
      <c r="O745" s="554"/>
      <c r="P745" s="555"/>
      <c r="Q745" s="555"/>
      <c r="R745" s="555"/>
      <c r="S745" s="555">
        <v>2</v>
      </c>
      <c r="T745" s="556"/>
    </row>
    <row r="746" spans="1:20" ht="15" customHeight="1">
      <c r="A746" s="285">
        <v>746</v>
      </c>
      <c r="B746" s="544">
        <v>402</v>
      </c>
      <c r="C746" s="545" t="s">
        <v>64</v>
      </c>
      <c r="D746" s="549" t="s">
        <v>737</v>
      </c>
      <c r="E746" s="539">
        <f>VLOOKUP(B746,'2-Kosten per locatie'!$A$13:$C$87,3,FALSE)</f>
        <v>2</v>
      </c>
      <c r="F746" s="550"/>
      <c r="G746" s="551" t="s">
        <v>817</v>
      </c>
      <c r="H746" s="552" t="s">
        <v>818</v>
      </c>
      <c r="I746" s="551" t="s">
        <v>171</v>
      </c>
      <c r="J746" s="553">
        <v>6</v>
      </c>
      <c r="K746" s="554">
        <v>20</v>
      </c>
      <c r="L746" s="554"/>
      <c r="M746" s="554"/>
      <c r="N746" s="554"/>
      <c r="O746" s="554"/>
      <c r="P746" s="555"/>
      <c r="Q746" s="555"/>
      <c r="R746" s="555"/>
      <c r="S746" s="555">
        <v>6</v>
      </c>
      <c r="T746" s="556"/>
    </row>
    <row r="747" spans="1:20" ht="15" customHeight="1">
      <c r="A747" s="286">
        <v>747</v>
      </c>
      <c r="B747" s="544">
        <v>406</v>
      </c>
      <c r="C747" s="545" t="s">
        <v>77</v>
      </c>
      <c r="D747" s="549" t="s">
        <v>737</v>
      </c>
      <c r="E747" s="539">
        <f>VLOOKUP(B747,'2-Kosten per locatie'!$A$13:$C$87,3,FALSE)</f>
        <v>2</v>
      </c>
      <c r="F747" s="550"/>
      <c r="G747" s="551" t="s">
        <v>190</v>
      </c>
      <c r="H747" s="552" t="s">
        <v>792</v>
      </c>
      <c r="I747" s="551" t="s">
        <v>171</v>
      </c>
      <c r="J747" s="553">
        <v>19</v>
      </c>
      <c r="K747" s="554"/>
      <c r="L747" s="554"/>
      <c r="M747" s="554">
        <v>55</v>
      </c>
      <c r="N747" s="554"/>
      <c r="O747" s="554"/>
      <c r="P747" s="555"/>
      <c r="Q747" s="555"/>
      <c r="R747" s="555">
        <v>19</v>
      </c>
      <c r="S747" s="555"/>
      <c r="T747" s="556"/>
    </row>
    <row r="748" spans="1:20" ht="15" customHeight="1">
      <c r="A748" s="285">
        <v>748</v>
      </c>
      <c r="B748" s="544">
        <v>406</v>
      </c>
      <c r="C748" s="545" t="s">
        <v>77</v>
      </c>
      <c r="D748" s="549" t="s">
        <v>737</v>
      </c>
      <c r="E748" s="539">
        <f>VLOOKUP(B748,'2-Kosten per locatie'!$A$13:$C$87,3,FALSE)</f>
        <v>2</v>
      </c>
      <c r="F748" s="550"/>
      <c r="G748" s="551" t="s">
        <v>793</v>
      </c>
      <c r="H748" s="552" t="s">
        <v>794</v>
      </c>
      <c r="I748" s="551" t="s">
        <v>171</v>
      </c>
      <c r="J748" s="553">
        <v>12</v>
      </c>
      <c r="K748" s="554">
        <v>2</v>
      </c>
      <c r="L748" s="554"/>
      <c r="M748" s="554">
        <v>39</v>
      </c>
      <c r="N748" s="554"/>
      <c r="O748" s="554"/>
      <c r="P748" s="555"/>
      <c r="Q748" s="555"/>
      <c r="R748" s="555">
        <v>12</v>
      </c>
      <c r="S748" s="555"/>
      <c r="T748" s="556"/>
    </row>
    <row r="749" spans="1:20" ht="15" customHeight="1">
      <c r="A749" s="286">
        <v>749</v>
      </c>
      <c r="B749" s="544">
        <v>406</v>
      </c>
      <c r="C749" s="545" t="s">
        <v>77</v>
      </c>
      <c r="D749" s="549" t="s">
        <v>737</v>
      </c>
      <c r="E749" s="539">
        <f>VLOOKUP(B749,'2-Kosten per locatie'!$A$13:$C$87,3,FALSE)</f>
        <v>2</v>
      </c>
      <c r="F749" s="550"/>
      <c r="G749" s="551" t="s">
        <v>605</v>
      </c>
      <c r="H749" s="552" t="s">
        <v>795</v>
      </c>
      <c r="I749" s="551" t="s">
        <v>171</v>
      </c>
      <c r="J749" s="553">
        <v>1</v>
      </c>
      <c r="K749" s="554">
        <v>9</v>
      </c>
      <c r="L749" s="554"/>
      <c r="M749" s="554"/>
      <c r="N749" s="554"/>
      <c r="O749" s="554"/>
      <c r="P749" s="555"/>
      <c r="Q749" s="555"/>
      <c r="R749" s="555">
        <v>1</v>
      </c>
      <c r="S749" s="555"/>
      <c r="T749" s="556"/>
    </row>
    <row r="750" spans="1:20" ht="15" customHeight="1">
      <c r="A750" s="286">
        <v>750</v>
      </c>
      <c r="B750" s="544">
        <v>406</v>
      </c>
      <c r="C750" s="545" t="s">
        <v>77</v>
      </c>
      <c r="D750" s="549" t="s">
        <v>737</v>
      </c>
      <c r="E750" s="539">
        <f>VLOOKUP(B750,'2-Kosten per locatie'!$A$13:$C$87,3,FALSE)</f>
        <v>2</v>
      </c>
      <c r="F750" s="550"/>
      <c r="G750" s="551" t="s">
        <v>605</v>
      </c>
      <c r="H750" s="552" t="s">
        <v>796</v>
      </c>
      <c r="I750" s="551" t="s">
        <v>171</v>
      </c>
      <c r="J750" s="553">
        <v>1</v>
      </c>
      <c r="K750" s="554">
        <v>9</v>
      </c>
      <c r="L750" s="554"/>
      <c r="M750" s="554"/>
      <c r="N750" s="554"/>
      <c r="O750" s="554"/>
      <c r="P750" s="555"/>
      <c r="Q750" s="555"/>
      <c r="R750" s="555">
        <v>1</v>
      </c>
      <c r="S750" s="555"/>
      <c r="T750" s="556"/>
    </row>
    <row r="751" spans="1:20" ht="15" customHeight="1">
      <c r="A751" s="285">
        <v>751</v>
      </c>
      <c r="B751" s="544">
        <v>406</v>
      </c>
      <c r="C751" s="545" t="s">
        <v>77</v>
      </c>
      <c r="D751" s="549" t="s">
        <v>737</v>
      </c>
      <c r="E751" s="539">
        <f>VLOOKUP(B751,'2-Kosten per locatie'!$A$13:$C$87,3,FALSE)</f>
        <v>2</v>
      </c>
      <c r="F751" s="550"/>
      <c r="G751" s="551" t="s">
        <v>797</v>
      </c>
      <c r="H751" s="552" t="s">
        <v>798</v>
      </c>
      <c r="I751" s="551" t="s">
        <v>171</v>
      </c>
      <c r="J751" s="553">
        <v>12</v>
      </c>
      <c r="K751" s="554"/>
      <c r="L751" s="554"/>
      <c r="M751" s="554">
        <v>17</v>
      </c>
      <c r="N751" s="554"/>
      <c r="O751" s="554"/>
      <c r="P751" s="555"/>
      <c r="Q751" s="555"/>
      <c r="R751" s="555">
        <v>12</v>
      </c>
      <c r="S751" s="555"/>
      <c r="T751" s="556"/>
    </row>
    <row r="752" spans="1:20" ht="15" customHeight="1">
      <c r="A752" s="286">
        <v>752</v>
      </c>
      <c r="B752" s="544">
        <v>406</v>
      </c>
      <c r="C752" s="545" t="s">
        <v>77</v>
      </c>
      <c r="D752" s="549" t="s">
        <v>737</v>
      </c>
      <c r="E752" s="539">
        <f>VLOOKUP(B752,'2-Kosten per locatie'!$A$13:$C$87,3,FALSE)</f>
        <v>2</v>
      </c>
      <c r="F752" s="550"/>
      <c r="G752" s="551" t="s">
        <v>819</v>
      </c>
      <c r="H752" s="552" t="s">
        <v>800</v>
      </c>
      <c r="I752" s="551" t="s">
        <v>171</v>
      </c>
      <c r="J752" s="553">
        <v>6</v>
      </c>
      <c r="K752" s="554"/>
      <c r="L752" s="554"/>
      <c r="M752" s="554">
        <v>30</v>
      </c>
      <c r="N752" s="554"/>
      <c r="O752" s="554"/>
      <c r="P752" s="555"/>
      <c r="Q752" s="555"/>
      <c r="R752" s="555">
        <v>6</v>
      </c>
      <c r="S752" s="555"/>
      <c r="T752" s="556"/>
    </row>
    <row r="753" spans="1:20" ht="15" customHeight="1">
      <c r="A753" s="285">
        <v>753</v>
      </c>
      <c r="B753" s="544">
        <v>406</v>
      </c>
      <c r="C753" s="545" t="s">
        <v>77</v>
      </c>
      <c r="D753" s="549" t="s">
        <v>737</v>
      </c>
      <c r="E753" s="539">
        <f>VLOOKUP(B753,'2-Kosten per locatie'!$A$13:$C$87,3,FALSE)</f>
        <v>2</v>
      </c>
      <c r="F753" s="550"/>
      <c r="G753" s="551" t="s">
        <v>799</v>
      </c>
      <c r="H753" s="552" t="s">
        <v>802</v>
      </c>
      <c r="I753" s="551" t="s">
        <v>171</v>
      </c>
      <c r="J753" s="553">
        <v>6</v>
      </c>
      <c r="K753" s="554"/>
      <c r="L753" s="554"/>
      <c r="M753" s="554"/>
      <c r="N753" s="554"/>
      <c r="O753" s="554">
        <v>30</v>
      </c>
      <c r="P753" s="555"/>
      <c r="Q753" s="555"/>
      <c r="R753" s="555">
        <v>6</v>
      </c>
      <c r="S753" s="555"/>
      <c r="T753" s="556"/>
    </row>
    <row r="754" spans="1:20" ht="15" customHeight="1">
      <c r="A754" s="286">
        <v>754</v>
      </c>
      <c r="B754" s="544">
        <v>406</v>
      </c>
      <c r="C754" s="545" t="s">
        <v>77</v>
      </c>
      <c r="D754" s="549" t="s">
        <v>737</v>
      </c>
      <c r="E754" s="539">
        <f>VLOOKUP(B754,'2-Kosten per locatie'!$A$13:$C$87,3,FALSE)</f>
        <v>2</v>
      </c>
      <c r="F754" s="550"/>
      <c r="G754" s="551" t="s">
        <v>820</v>
      </c>
      <c r="H754" s="552" t="s">
        <v>804</v>
      </c>
      <c r="I754" s="551" t="s">
        <v>171</v>
      </c>
      <c r="J754" s="553">
        <v>7</v>
      </c>
      <c r="K754" s="554"/>
      <c r="L754" s="554"/>
      <c r="M754" s="554">
        <v>32</v>
      </c>
      <c r="N754" s="554"/>
      <c r="O754" s="554"/>
      <c r="P754" s="555"/>
      <c r="Q754" s="555"/>
      <c r="R754" s="555">
        <v>7</v>
      </c>
      <c r="S754" s="555"/>
      <c r="T754" s="556"/>
    </row>
    <row r="755" spans="1:20" ht="15" customHeight="1">
      <c r="A755" s="285">
        <v>755</v>
      </c>
      <c r="B755" s="544">
        <v>406</v>
      </c>
      <c r="C755" s="545" t="s">
        <v>77</v>
      </c>
      <c r="D755" s="549" t="s">
        <v>737</v>
      </c>
      <c r="E755" s="539">
        <f>VLOOKUP(B755,'2-Kosten per locatie'!$A$13:$C$87,3,FALSE)</f>
        <v>2</v>
      </c>
      <c r="F755" s="550"/>
      <c r="G755" s="551" t="s">
        <v>782</v>
      </c>
      <c r="H755" s="552" t="s">
        <v>806</v>
      </c>
      <c r="I755" s="551" t="s">
        <v>171</v>
      </c>
      <c r="J755" s="553">
        <v>16</v>
      </c>
      <c r="K755" s="554"/>
      <c r="L755" s="554"/>
      <c r="M755" s="554">
        <v>50</v>
      </c>
      <c r="N755" s="554"/>
      <c r="O755" s="554"/>
      <c r="P755" s="555"/>
      <c r="Q755" s="555"/>
      <c r="R755" s="555">
        <v>16</v>
      </c>
      <c r="S755" s="555"/>
      <c r="T755" s="556"/>
    </row>
    <row r="756" spans="1:20" ht="15" customHeight="1">
      <c r="A756" s="286">
        <v>756</v>
      </c>
      <c r="B756" s="544">
        <v>406</v>
      </c>
      <c r="C756" s="545" t="s">
        <v>77</v>
      </c>
      <c r="D756" s="549" t="s">
        <v>737</v>
      </c>
      <c r="E756" s="539">
        <f>VLOOKUP(B756,'2-Kosten per locatie'!$A$13:$C$87,3,FALSE)</f>
        <v>2</v>
      </c>
      <c r="F756" s="550"/>
      <c r="G756" s="551" t="s">
        <v>821</v>
      </c>
      <c r="H756" s="552" t="s">
        <v>808</v>
      </c>
      <c r="I756" s="551" t="s">
        <v>171</v>
      </c>
      <c r="J756" s="553">
        <v>85</v>
      </c>
      <c r="K756" s="554"/>
      <c r="L756" s="554"/>
      <c r="M756" s="554">
        <v>144</v>
      </c>
      <c r="N756" s="554"/>
      <c r="O756" s="554"/>
      <c r="P756" s="555"/>
      <c r="Q756" s="555"/>
      <c r="R756" s="555">
        <v>85</v>
      </c>
      <c r="S756" s="555"/>
      <c r="T756" s="556"/>
    </row>
    <row r="757" spans="1:20" ht="15" customHeight="1">
      <c r="A757" s="286">
        <v>757</v>
      </c>
      <c r="B757" s="544">
        <v>406</v>
      </c>
      <c r="C757" s="545" t="s">
        <v>77</v>
      </c>
      <c r="D757" s="549" t="s">
        <v>737</v>
      </c>
      <c r="E757" s="539">
        <f>VLOOKUP(B757,'2-Kosten per locatie'!$A$13:$C$87,3,FALSE)</f>
        <v>2</v>
      </c>
      <c r="F757" s="550"/>
      <c r="G757" s="551" t="s">
        <v>208</v>
      </c>
      <c r="H757" s="552" t="s">
        <v>810</v>
      </c>
      <c r="I757" s="551" t="s">
        <v>257</v>
      </c>
      <c r="J757" s="553">
        <v>12</v>
      </c>
      <c r="K757" s="554"/>
      <c r="L757" s="554"/>
      <c r="M757" s="554">
        <v>43</v>
      </c>
      <c r="N757" s="554"/>
      <c r="O757" s="554"/>
      <c r="P757" s="555"/>
      <c r="Q757" s="555"/>
      <c r="R757" s="555">
        <v>12</v>
      </c>
      <c r="S757" s="555"/>
      <c r="T757" s="556"/>
    </row>
    <row r="758" spans="1:20" ht="15" customHeight="1">
      <c r="A758" s="285">
        <v>758</v>
      </c>
      <c r="B758" s="544">
        <v>406</v>
      </c>
      <c r="C758" s="545" t="s">
        <v>77</v>
      </c>
      <c r="D758" s="549" t="s">
        <v>737</v>
      </c>
      <c r="E758" s="539">
        <f>VLOOKUP(B758,'2-Kosten per locatie'!$A$13:$C$87,3,FALSE)</f>
        <v>2</v>
      </c>
      <c r="F758" s="550"/>
      <c r="G758" s="551" t="s">
        <v>807</v>
      </c>
      <c r="H758" s="552" t="s">
        <v>811</v>
      </c>
      <c r="I758" s="551" t="s">
        <v>205</v>
      </c>
      <c r="J758" s="553">
        <v>12</v>
      </c>
      <c r="K758" s="554"/>
      <c r="L758" s="554"/>
      <c r="M758" s="554">
        <v>43</v>
      </c>
      <c r="N758" s="554"/>
      <c r="O758" s="554"/>
      <c r="P758" s="555"/>
      <c r="Q758" s="555">
        <v>12</v>
      </c>
      <c r="R758" s="555"/>
      <c r="S758" s="555"/>
      <c r="T758" s="556"/>
    </row>
    <row r="759" spans="1:20" ht="15" customHeight="1">
      <c r="A759" s="286">
        <v>759</v>
      </c>
      <c r="B759" s="544">
        <v>406</v>
      </c>
      <c r="C759" s="545" t="s">
        <v>77</v>
      </c>
      <c r="D759" s="549" t="s">
        <v>737</v>
      </c>
      <c r="E759" s="539">
        <f>VLOOKUP(B759,'2-Kosten per locatie'!$A$13:$C$87,3,FALSE)</f>
        <v>2</v>
      </c>
      <c r="F759" s="550"/>
      <c r="G759" s="551" t="s">
        <v>807</v>
      </c>
      <c r="H759" s="552" t="s">
        <v>812</v>
      </c>
      <c r="I759" s="551" t="s">
        <v>205</v>
      </c>
      <c r="J759" s="553">
        <v>12</v>
      </c>
      <c r="K759" s="554"/>
      <c r="L759" s="554"/>
      <c r="M759" s="554">
        <v>43</v>
      </c>
      <c r="N759" s="554"/>
      <c r="O759" s="554"/>
      <c r="P759" s="555"/>
      <c r="Q759" s="555">
        <v>12</v>
      </c>
      <c r="R759" s="555"/>
      <c r="S759" s="555"/>
      <c r="T759" s="556"/>
    </row>
    <row r="760" spans="1:20" ht="15" customHeight="1">
      <c r="A760" s="285">
        <v>760</v>
      </c>
      <c r="B760" s="544">
        <v>406</v>
      </c>
      <c r="C760" s="545" t="s">
        <v>77</v>
      </c>
      <c r="D760" s="549" t="s">
        <v>737</v>
      </c>
      <c r="E760" s="539">
        <f>VLOOKUP(B760,'2-Kosten per locatie'!$A$13:$C$87,3,FALSE)</f>
        <v>2</v>
      </c>
      <c r="F760" s="550"/>
      <c r="G760" s="551" t="s">
        <v>813</v>
      </c>
      <c r="H760" s="552" t="s">
        <v>814</v>
      </c>
      <c r="I760" s="551" t="s">
        <v>171</v>
      </c>
      <c r="J760" s="553">
        <v>24</v>
      </c>
      <c r="K760" s="554"/>
      <c r="L760" s="554"/>
      <c r="M760" s="554">
        <v>63</v>
      </c>
      <c r="N760" s="554"/>
      <c r="O760" s="554"/>
      <c r="P760" s="555"/>
      <c r="Q760" s="555"/>
      <c r="R760" s="555">
        <v>24</v>
      </c>
      <c r="S760" s="555"/>
      <c r="T760" s="556"/>
    </row>
    <row r="761" spans="1:20" ht="15" customHeight="1">
      <c r="A761" s="286">
        <v>761</v>
      </c>
      <c r="B761" s="544">
        <v>406</v>
      </c>
      <c r="C761" s="545" t="s">
        <v>77</v>
      </c>
      <c r="D761" s="549" t="s">
        <v>737</v>
      </c>
      <c r="E761" s="539">
        <f>VLOOKUP(B761,'2-Kosten per locatie'!$A$13:$C$87,3,FALSE)</f>
        <v>2</v>
      </c>
      <c r="F761" s="550"/>
      <c r="G761" s="551" t="s">
        <v>523</v>
      </c>
      <c r="H761" s="552" t="s">
        <v>815</v>
      </c>
      <c r="I761" s="551" t="s">
        <v>171</v>
      </c>
      <c r="J761" s="553">
        <v>4</v>
      </c>
      <c r="K761" s="554"/>
      <c r="L761" s="554"/>
      <c r="M761" s="554">
        <v>30</v>
      </c>
      <c r="N761" s="554"/>
      <c r="O761" s="554"/>
      <c r="P761" s="555"/>
      <c r="Q761" s="555"/>
      <c r="R761" s="555">
        <v>4</v>
      </c>
      <c r="S761" s="555"/>
      <c r="T761" s="556"/>
    </row>
    <row r="762" spans="1:20" ht="15" customHeight="1">
      <c r="A762" s="285">
        <v>762</v>
      </c>
      <c r="B762" s="544">
        <v>406</v>
      </c>
      <c r="C762" s="545" t="s">
        <v>77</v>
      </c>
      <c r="D762" s="549" t="s">
        <v>737</v>
      </c>
      <c r="E762" s="539">
        <f>VLOOKUP(B762,'2-Kosten per locatie'!$A$13:$C$87,3,FALSE)</f>
        <v>2</v>
      </c>
      <c r="F762" s="550"/>
      <c r="G762" s="551" t="s">
        <v>597</v>
      </c>
      <c r="H762" s="552" t="s">
        <v>816</v>
      </c>
      <c r="I762" s="551" t="s">
        <v>171</v>
      </c>
      <c r="J762" s="553">
        <v>2</v>
      </c>
      <c r="K762" s="554"/>
      <c r="L762" s="554"/>
      <c r="M762" s="554">
        <v>14</v>
      </c>
      <c r="N762" s="554"/>
      <c r="O762" s="554"/>
      <c r="P762" s="555"/>
      <c r="Q762" s="555"/>
      <c r="R762" s="555">
        <v>2</v>
      </c>
      <c r="S762" s="555"/>
      <c r="T762" s="556"/>
    </row>
    <row r="763" spans="1:20" ht="15" customHeight="1">
      <c r="A763" s="286">
        <v>763</v>
      </c>
      <c r="B763" s="544">
        <v>406</v>
      </c>
      <c r="C763" s="545" t="s">
        <v>77</v>
      </c>
      <c r="D763" s="549" t="s">
        <v>737</v>
      </c>
      <c r="E763" s="539">
        <f>VLOOKUP(B763,'2-Kosten per locatie'!$A$13:$C$87,3,FALSE)</f>
        <v>2</v>
      </c>
      <c r="F763" s="550"/>
      <c r="G763" s="551" t="s">
        <v>817</v>
      </c>
      <c r="H763" s="552" t="s">
        <v>818</v>
      </c>
      <c r="I763" s="551" t="s">
        <v>171</v>
      </c>
      <c r="J763" s="553">
        <v>6</v>
      </c>
      <c r="K763" s="554">
        <v>20</v>
      </c>
      <c r="L763" s="554"/>
      <c r="M763" s="554"/>
      <c r="N763" s="554"/>
      <c r="O763" s="554"/>
      <c r="P763" s="555"/>
      <c r="Q763" s="555"/>
      <c r="R763" s="555">
        <v>6</v>
      </c>
      <c r="S763" s="555"/>
      <c r="T763" s="556"/>
    </row>
    <row r="764" spans="1:20" ht="15" customHeight="1">
      <c r="A764" s="286">
        <v>764</v>
      </c>
      <c r="B764" s="544">
        <v>407</v>
      </c>
      <c r="C764" s="545" t="s">
        <v>75</v>
      </c>
      <c r="D764" s="549" t="s">
        <v>737</v>
      </c>
      <c r="E764" s="539">
        <f>VLOOKUP(B764,'2-Kosten per locatie'!$A$13:$C$87,3,FALSE)</f>
        <v>2</v>
      </c>
      <c r="F764" s="550"/>
      <c r="G764" s="551" t="s">
        <v>190</v>
      </c>
      <c r="H764" s="552" t="s">
        <v>792</v>
      </c>
      <c r="I764" s="551" t="s">
        <v>162</v>
      </c>
      <c r="J764" s="553">
        <v>19</v>
      </c>
      <c r="K764" s="554"/>
      <c r="L764" s="554"/>
      <c r="M764" s="554">
        <v>55</v>
      </c>
      <c r="N764" s="554"/>
      <c r="O764" s="554"/>
      <c r="P764" s="555"/>
      <c r="Q764" s="555"/>
      <c r="R764" s="555">
        <v>19</v>
      </c>
      <c r="S764" s="555"/>
      <c r="T764" s="556"/>
    </row>
    <row r="765" spans="1:20" ht="15" customHeight="1">
      <c r="A765" s="285">
        <v>765</v>
      </c>
      <c r="B765" s="544">
        <v>407</v>
      </c>
      <c r="C765" s="545" t="s">
        <v>75</v>
      </c>
      <c r="D765" s="549" t="s">
        <v>737</v>
      </c>
      <c r="E765" s="539">
        <f>VLOOKUP(B765,'2-Kosten per locatie'!$A$13:$C$87,3,FALSE)</f>
        <v>2</v>
      </c>
      <c r="F765" s="550"/>
      <c r="G765" s="551" t="s">
        <v>793</v>
      </c>
      <c r="H765" s="552" t="s">
        <v>794</v>
      </c>
      <c r="I765" s="551" t="s">
        <v>162</v>
      </c>
      <c r="J765" s="553">
        <v>12</v>
      </c>
      <c r="K765" s="554">
        <v>2</v>
      </c>
      <c r="L765" s="554"/>
      <c r="M765" s="554">
        <v>39</v>
      </c>
      <c r="N765" s="554"/>
      <c r="O765" s="554"/>
      <c r="P765" s="555"/>
      <c r="Q765" s="555"/>
      <c r="R765" s="555">
        <v>12</v>
      </c>
      <c r="S765" s="555"/>
      <c r="T765" s="556"/>
    </row>
    <row r="766" spans="1:20" ht="15" customHeight="1">
      <c r="A766" s="286">
        <v>766</v>
      </c>
      <c r="B766" s="544">
        <v>407</v>
      </c>
      <c r="C766" s="545" t="s">
        <v>75</v>
      </c>
      <c r="D766" s="549" t="s">
        <v>737</v>
      </c>
      <c r="E766" s="539">
        <f>VLOOKUP(B766,'2-Kosten per locatie'!$A$13:$C$87,3,FALSE)</f>
        <v>2</v>
      </c>
      <c r="F766" s="550"/>
      <c r="G766" s="551" t="s">
        <v>605</v>
      </c>
      <c r="H766" s="552" t="s">
        <v>795</v>
      </c>
      <c r="I766" s="551" t="s">
        <v>162</v>
      </c>
      <c r="J766" s="553">
        <v>1</v>
      </c>
      <c r="K766" s="554">
        <v>9</v>
      </c>
      <c r="L766" s="554"/>
      <c r="M766" s="554"/>
      <c r="N766" s="554"/>
      <c r="O766" s="554"/>
      <c r="P766" s="555"/>
      <c r="Q766" s="555"/>
      <c r="R766" s="555"/>
      <c r="S766" s="555">
        <v>1</v>
      </c>
      <c r="T766" s="556"/>
    </row>
    <row r="767" spans="1:20" ht="15" customHeight="1">
      <c r="A767" s="285">
        <v>767</v>
      </c>
      <c r="B767" s="544">
        <v>407</v>
      </c>
      <c r="C767" s="545" t="s">
        <v>75</v>
      </c>
      <c r="D767" s="549" t="s">
        <v>737</v>
      </c>
      <c r="E767" s="539">
        <f>VLOOKUP(B767,'2-Kosten per locatie'!$A$13:$C$87,3,FALSE)</f>
        <v>2</v>
      </c>
      <c r="F767" s="550"/>
      <c r="G767" s="551" t="s">
        <v>605</v>
      </c>
      <c r="H767" s="552" t="s">
        <v>796</v>
      </c>
      <c r="I767" s="551" t="s">
        <v>162</v>
      </c>
      <c r="J767" s="553">
        <v>1</v>
      </c>
      <c r="K767" s="554">
        <v>9</v>
      </c>
      <c r="L767" s="554"/>
      <c r="M767" s="554"/>
      <c r="N767" s="554"/>
      <c r="O767" s="554"/>
      <c r="P767" s="555"/>
      <c r="Q767" s="555"/>
      <c r="R767" s="555"/>
      <c r="S767" s="555">
        <v>1</v>
      </c>
      <c r="T767" s="556"/>
    </row>
    <row r="768" spans="1:20" ht="15" customHeight="1">
      <c r="A768" s="286">
        <v>768</v>
      </c>
      <c r="B768" s="544">
        <v>407</v>
      </c>
      <c r="C768" s="545" t="s">
        <v>75</v>
      </c>
      <c r="D768" s="549" t="s">
        <v>737</v>
      </c>
      <c r="E768" s="539">
        <f>VLOOKUP(B768,'2-Kosten per locatie'!$A$13:$C$87,3,FALSE)</f>
        <v>2</v>
      </c>
      <c r="F768" s="550"/>
      <c r="G768" s="551" t="s">
        <v>797</v>
      </c>
      <c r="H768" s="552" t="s">
        <v>798</v>
      </c>
      <c r="I768" s="551" t="s">
        <v>162</v>
      </c>
      <c r="J768" s="553">
        <v>12</v>
      </c>
      <c r="K768" s="554"/>
      <c r="L768" s="554"/>
      <c r="M768" s="554">
        <v>17</v>
      </c>
      <c r="N768" s="554"/>
      <c r="O768" s="554"/>
      <c r="P768" s="555"/>
      <c r="Q768" s="555"/>
      <c r="R768" s="555">
        <v>12</v>
      </c>
      <c r="S768" s="555"/>
      <c r="T768" s="556"/>
    </row>
    <row r="769" spans="1:20" ht="15" customHeight="1">
      <c r="A769" s="285">
        <v>769</v>
      </c>
      <c r="B769" s="544">
        <v>407</v>
      </c>
      <c r="C769" s="545" t="s">
        <v>75</v>
      </c>
      <c r="D769" s="549" t="s">
        <v>737</v>
      </c>
      <c r="E769" s="539">
        <f>VLOOKUP(B769,'2-Kosten per locatie'!$A$13:$C$87,3,FALSE)</f>
        <v>2</v>
      </c>
      <c r="F769" s="550"/>
      <c r="G769" s="551" t="s">
        <v>819</v>
      </c>
      <c r="H769" s="552" t="s">
        <v>800</v>
      </c>
      <c r="I769" s="551" t="s">
        <v>162</v>
      </c>
      <c r="J769" s="553">
        <v>6</v>
      </c>
      <c r="K769" s="554"/>
      <c r="L769" s="554"/>
      <c r="M769" s="554">
        <v>30</v>
      </c>
      <c r="N769" s="554"/>
      <c r="O769" s="554"/>
      <c r="P769" s="555"/>
      <c r="Q769" s="555"/>
      <c r="R769" s="555">
        <v>6</v>
      </c>
      <c r="S769" s="555"/>
      <c r="T769" s="556"/>
    </row>
    <row r="770" spans="1:20" ht="15" customHeight="1">
      <c r="A770" s="286">
        <v>770</v>
      </c>
      <c r="B770" s="544">
        <v>407</v>
      </c>
      <c r="C770" s="545" t="s">
        <v>75</v>
      </c>
      <c r="D770" s="549" t="s">
        <v>737</v>
      </c>
      <c r="E770" s="539">
        <f>VLOOKUP(B770,'2-Kosten per locatie'!$A$13:$C$87,3,FALSE)</f>
        <v>2</v>
      </c>
      <c r="F770" s="550"/>
      <c r="G770" s="551" t="s">
        <v>799</v>
      </c>
      <c r="H770" s="552" t="s">
        <v>802</v>
      </c>
      <c r="I770" s="551" t="s">
        <v>171</v>
      </c>
      <c r="J770" s="553">
        <v>6</v>
      </c>
      <c r="K770" s="554"/>
      <c r="L770" s="554"/>
      <c r="M770" s="554"/>
      <c r="N770" s="554"/>
      <c r="O770" s="554">
        <v>30</v>
      </c>
      <c r="P770" s="555"/>
      <c r="Q770" s="555"/>
      <c r="R770" s="555">
        <v>6</v>
      </c>
      <c r="S770" s="555"/>
      <c r="T770" s="556"/>
    </row>
    <row r="771" spans="1:20" ht="15" customHeight="1">
      <c r="A771" s="286">
        <v>771</v>
      </c>
      <c r="B771" s="544">
        <v>407</v>
      </c>
      <c r="C771" s="545" t="s">
        <v>75</v>
      </c>
      <c r="D771" s="549" t="s">
        <v>737</v>
      </c>
      <c r="E771" s="539">
        <f>VLOOKUP(B771,'2-Kosten per locatie'!$A$13:$C$87,3,FALSE)</f>
        <v>2</v>
      </c>
      <c r="F771" s="550"/>
      <c r="G771" s="551" t="s">
        <v>820</v>
      </c>
      <c r="H771" s="552" t="s">
        <v>804</v>
      </c>
      <c r="I771" s="551" t="s">
        <v>162</v>
      </c>
      <c r="J771" s="553">
        <v>7</v>
      </c>
      <c r="K771" s="554"/>
      <c r="L771" s="554"/>
      <c r="M771" s="554">
        <v>32</v>
      </c>
      <c r="N771" s="554"/>
      <c r="O771" s="554"/>
      <c r="P771" s="555"/>
      <c r="Q771" s="555"/>
      <c r="R771" s="555">
        <v>7</v>
      </c>
      <c r="S771" s="555"/>
      <c r="T771" s="556"/>
    </row>
    <row r="772" spans="1:20" ht="15" customHeight="1">
      <c r="A772" s="285">
        <v>772</v>
      </c>
      <c r="B772" s="544">
        <v>407</v>
      </c>
      <c r="C772" s="545" t="s">
        <v>75</v>
      </c>
      <c r="D772" s="549" t="s">
        <v>737</v>
      </c>
      <c r="E772" s="539">
        <f>VLOOKUP(B772,'2-Kosten per locatie'!$A$13:$C$87,3,FALSE)</f>
        <v>2</v>
      </c>
      <c r="F772" s="550"/>
      <c r="G772" s="551" t="s">
        <v>782</v>
      </c>
      <c r="H772" s="552" t="s">
        <v>806</v>
      </c>
      <c r="I772" s="551" t="s">
        <v>162</v>
      </c>
      <c r="J772" s="553">
        <v>16</v>
      </c>
      <c r="K772" s="554"/>
      <c r="L772" s="554"/>
      <c r="M772" s="554">
        <v>50</v>
      </c>
      <c r="N772" s="554"/>
      <c r="O772" s="554"/>
      <c r="P772" s="555"/>
      <c r="Q772" s="555"/>
      <c r="R772" s="555">
        <v>16</v>
      </c>
      <c r="S772" s="555"/>
      <c r="T772" s="556"/>
    </row>
    <row r="773" spans="1:20" ht="15" customHeight="1">
      <c r="A773" s="286">
        <v>773</v>
      </c>
      <c r="B773" s="544">
        <v>407</v>
      </c>
      <c r="C773" s="545" t="s">
        <v>75</v>
      </c>
      <c r="D773" s="549" t="s">
        <v>737</v>
      </c>
      <c r="E773" s="539">
        <f>VLOOKUP(B773,'2-Kosten per locatie'!$A$13:$C$87,3,FALSE)</f>
        <v>2</v>
      </c>
      <c r="F773" s="550"/>
      <c r="G773" s="551" t="s">
        <v>821</v>
      </c>
      <c r="H773" s="552" t="s">
        <v>808</v>
      </c>
      <c r="I773" s="551" t="s">
        <v>162</v>
      </c>
      <c r="J773" s="553">
        <v>101</v>
      </c>
      <c r="K773" s="554"/>
      <c r="L773" s="554"/>
      <c r="M773" s="554">
        <v>173</v>
      </c>
      <c r="N773" s="554"/>
      <c r="O773" s="554"/>
      <c r="P773" s="555"/>
      <c r="Q773" s="555"/>
      <c r="R773" s="555">
        <v>101</v>
      </c>
      <c r="S773" s="555"/>
      <c r="T773" s="556"/>
    </row>
    <row r="774" spans="1:20" ht="15" customHeight="1">
      <c r="A774" s="285">
        <v>774</v>
      </c>
      <c r="B774" s="544">
        <v>407</v>
      </c>
      <c r="C774" s="545" t="s">
        <v>75</v>
      </c>
      <c r="D774" s="549" t="s">
        <v>737</v>
      </c>
      <c r="E774" s="539">
        <f>VLOOKUP(B774,'2-Kosten per locatie'!$A$13:$C$87,3,FALSE)</f>
        <v>2</v>
      </c>
      <c r="F774" s="550"/>
      <c r="G774" s="551" t="s">
        <v>807</v>
      </c>
      <c r="H774" s="552" t="s">
        <v>810</v>
      </c>
      <c r="I774" s="551" t="s">
        <v>205</v>
      </c>
      <c r="J774" s="553">
        <v>12</v>
      </c>
      <c r="K774" s="554"/>
      <c r="L774" s="554"/>
      <c r="M774" s="554">
        <v>43</v>
      </c>
      <c r="N774" s="554"/>
      <c r="O774" s="554"/>
      <c r="P774" s="555"/>
      <c r="Q774" s="555">
        <v>12</v>
      </c>
      <c r="R774" s="555"/>
      <c r="S774" s="555"/>
      <c r="T774" s="556"/>
    </row>
    <row r="775" spans="1:20" ht="15" customHeight="1">
      <c r="A775" s="286">
        <v>775</v>
      </c>
      <c r="B775" s="544">
        <v>407</v>
      </c>
      <c r="C775" s="545" t="s">
        <v>75</v>
      </c>
      <c r="D775" s="549" t="s">
        <v>737</v>
      </c>
      <c r="E775" s="539">
        <f>VLOOKUP(B775,'2-Kosten per locatie'!$A$13:$C$87,3,FALSE)</f>
        <v>2</v>
      </c>
      <c r="F775" s="550"/>
      <c r="G775" s="551" t="s">
        <v>807</v>
      </c>
      <c r="H775" s="552" t="s">
        <v>811</v>
      </c>
      <c r="I775" s="551" t="s">
        <v>205</v>
      </c>
      <c r="J775" s="553">
        <v>12</v>
      </c>
      <c r="K775" s="554"/>
      <c r="L775" s="554"/>
      <c r="M775" s="554">
        <v>43</v>
      </c>
      <c r="N775" s="554"/>
      <c r="O775" s="554"/>
      <c r="P775" s="555"/>
      <c r="Q775" s="555">
        <v>12</v>
      </c>
      <c r="R775" s="555"/>
      <c r="S775" s="555"/>
      <c r="T775" s="556"/>
    </row>
    <row r="776" spans="1:20" ht="15" customHeight="1">
      <c r="A776" s="285">
        <v>776</v>
      </c>
      <c r="B776" s="544">
        <v>407</v>
      </c>
      <c r="C776" s="545" t="s">
        <v>75</v>
      </c>
      <c r="D776" s="549" t="s">
        <v>737</v>
      </c>
      <c r="E776" s="539">
        <f>VLOOKUP(B776,'2-Kosten per locatie'!$A$13:$C$87,3,FALSE)</f>
        <v>2</v>
      </c>
      <c r="F776" s="550"/>
      <c r="G776" s="551" t="s">
        <v>807</v>
      </c>
      <c r="H776" s="552" t="s">
        <v>812</v>
      </c>
      <c r="I776" s="551" t="s">
        <v>205</v>
      </c>
      <c r="J776" s="553">
        <v>12</v>
      </c>
      <c r="K776" s="554"/>
      <c r="L776" s="554"/>
      <c r="M776" s="554">
        <v>43</v>
      </c>
      <c r="N776" s="554"/>
      <c r="O776" s="554"/>
      <c r="P776" s="555"/>
      <c r="Q776" s="555">
        <v>12</v>
      </c>
      <c r="R776" s="555"/>
      <c r="S776" s="555"/>
      <c r="T776" s="556"/>
    </row>
    <row r="777" spans="1:20" ht="15" customHeight="1">
      <c r="A777" s="286">
        <v>777</v>
      </c>
      <c r="B777" s="544">
        <v>407</v>
      </c>
      <c r="C777" s="545" t="s">
        <v>75</v>
      </c>
      <c r="D777" s="549" t="s">
        <v>737</v>
      </c>
      <c r="E777" s="539">
        <f>VLOOKUP(B777,'2-Kosten per locatie'!$A$13:$C$87,3,FALSE)</f>
        <v>2</v>
      </c>
      <c r="F777" s="550"/>
      <c r="G777" s="551" t="s">
        <v>208</v>
      </c>
      <c r="H777" s="552" t="s">
        <v>814</v>
      </c>
      <c r="I777" s="551" t="s">
        <v>257</v>
      </c>
      <c r="J777" s="553">
        <v>12</v>
      </c>
      <c r="K777" s="554"/>
      <c r="L777" s="554"/>
      <c r="M777" s="554">
        <v>43</v>
      </c>
      <c r="N777" s="554"/>
      <c r="O777" s="554"/>
      <c r="P777" s="555"/>
      <c r="Q777" s="555">
        <v>12</v>
      </c>
      <c r="R777" s="555"/>
      <c r="S777" s="555"/>
      <c r="T777" s="556"/>
    </row>
    <row r="778" spans="1:20" ht="15" customHeight="1">
      <c r="A778" s="286">
        <v>778</v>
      </c>
      <c r="B778" s="544">
        <v>407</v>
      </c>
      <c r="C778" s="545" t="s">
        <v>75</v>
      </c>
      <c r="D778" s="549" t="s">
        <v>737</v>
      </c>
      <c r="E778" s="539">
        <f>VLOOKUP(B778,'2-Kosten per locatie'!$A$13:$C$87,3,FALSE)</f>
        <v>2</v>
      </c>
      <c r="F778" s="550"/>
      <c r="G778" s="551" t="s">
        <v>813</v>
      </c>
      <c r="H778" s="552" t="s">
        <v>815</v>
      </c>
      <c r="I778" s="551" t="s">
        <v>162</v>
      </c>
      <c r="J778" s="553">
        <v>24</v>
      </c>
      <c r="K778" s="554"/>
      <c r="L778" s="554"/>
      <c r="M778" s="554">
        <v>63</v>
      </c>
      <c r="N778" s="554"/>
      <c r="O778" s="554"/>
      <c r="P778" s="555"/>
      <c r="Q778" s="555"/>
      <c r="R778" s="555">
        <v>24</v>
      </c>
      <c r="S778" s="555"/>
      <c r="T778" s="556"/>
    </row>
    <row r="779" spans="1:20" ht="15" customHeight="1">
      <c r="A779" s="285">
        <v>779</v>
      </c>
      <c r="B779" s="544">
        <v>407</v>
      </c>
      <c r="C779" s="545" t="s">
        <v>75</v>
      </c>
      <c r="D779" s="549" t="s">
        <v>737</v>
      </c>
      <c r="E779" s="539">
        <f>VLOOKUP(B779,'2-Kosten per locatie'!$A$13:$C$87,3,FALSE)</f>
        <v>2</v>
      </c>
      <c r="F779" s="550"/>
      <c r="G779" s="551" t="s">
        <v>523</v>
      </c>
      <c r="H779" s="552" t="s">
        <v>816</v>
      </c>
      <c r="I779" s="551" t="s">
        <v>162</v>
      </c>
      <c r="J779" s="553">
        <v>4</v>
      </c>
      <c r="K779" s="554"/>
      <c r="L779" s="554"/>
      <c r="M779" s="554">
        <v>30</v>
      </c>
      <c r="N779" s="554"/>
      <c r="O779" s="554"/>
      <c r="P779" s="555"/>
      <c r="Q779" s="555"/>
      <c r="R779" s="555">
        <v>4</v>
      </c>
      <c r="S779" s="555"/>
      <c r="T779" s="556"/>
    </row>
    <row r="780" spans="1:20" ht="15" customHeight="1">
      <c r="A780" s="286">
        <v>780</v>
      </c>
      <c r="B780" s="544">
        <v>407</v>
      </c>
      <c r="C780" s="545" t="s">
        <v>75</v>
      </c>
      <c r="D780" s="549" t="s">
        <v>737</v>
      </c>
      <c r="E780" s="539">
        <f>VLOOKUP(B780,'2-Kosten per locatie'!$A$13:$C$87,3,FALSE)</f>
        <v>2</v>
      </c>
      <c r="F780" s="550"/>
      <c r="G780" s="551" t="s">
        <v>597</v>
      </c>
      <c r="H780" s="552" t="s">
        <v>818</v>
      </c>
      <c r="I780" s="551" t="s">
        <v>162</v>
      </c>
      <c r="J780" s="553">
        <v>2</v>
      </c>
      <c r="K780" s="554"/>
      <c r="L780" s="554"/>
      <c r="M780" s="554">
        <v>14</v>
      </c>
      <c r="N780" s="554"/>
      <c r="O780" s="554"/>
      <c r="P780" s="555"/>
      <c r="Q780" s="555"/>
      <c r="R780" s="555"/>
      <c r="S780" s="555">
        <v>2</v>
      </c>
      <c r="T780" s="556"/>
    </row>
    <row r="781" spans="1:20" ht="15" customHeight="1">
      <c r="A781" s="285">
        <v>781</v>
      </c>
      <c r="B781" s="544">
        <v>407</v>
      </c>
      <c r="C781" s="545" t="s">
        <v>75</v>
      </c>
      <c r="D781" s="549" t="s">
        <v>737</v>
      </c>
      <c r="E781" s="539">
        <f>VLOOKUP(B781,'2-Kosten per locatie'!$A$13:$C$87,3,FALSE)</f>
        <v>2</v>
      </c>
      <c r="F781" s="550"/>
      <c r="G781" s="551" t="s">
        <v>817</v>
      </c>
      <c r="H781" s="552" t="s">
        <v>822</v>
      </c>
      <c r="I781" s="551" t="s">
        <v>162</v>
      </c>
      <c r="J781" s="553">
        <v>6</v>
      </c>
      <c r="K781" s="554">
        <v>20</v>
      </c>
      <c r="L781" s="554"/>
      <c r="M781" s="554"/>
      <c r="N781" s="554"/>
      <c r="O781" s="554"/>
      <c r="P781" s="555"/>
      <c r="Q781" s="555"/>
      <c r="R781" s="555"/>
      <c r="S781" s="555">
        <v>6</v>
      </c>
      <c r="T781" s="556"/>
    </row>
    <row r="782" spans="1:20" ht="15" customHeight="1">
      <c r="A782" s="286">
        <v>782</v>
      </c>
      <c r="B782" s="544">
        <v>408</v>
      </c>
      <c r="C782" s="545" t="s">
        <v>73</v>
      </c>
      <c r="D782" s="549" t="s">
        <v>737</v>
      </c>
      <c r="E782" s="539">
        <f>VLOOKUP(B782,'2-Kosten per locatie'!$A$13:$C$87,3,FALSE)</f>
        <v>2</v>
      </c>
      <c r="F782" s="550"/>
      <c r="G782" s="551" t="s">
        <v>190</v>
      </c>
      <c r="H782" s="552" t="s">
        <v>792</v>
      </c>
      <c r="I782" s="551" t="s">
        <v>171</v>
      </c>
      <c r="J782" s="553">
        <v>20</v>
      </c>
      <c r="K782" s="554"/>
      <c r="L782" s="554"/>
      <c r="M782" s="554">
        <v>55</v>
      </c>
      <c r="N782" s="554"/>
      <c r="O782" s="554"/>
      <c r="P782" s="555"/>
      <c r="Q782" s="555"/>
      <c r="R782" s="555">
        <v>20</v>
      </c>
      <c r="S782" s="555"/>
      <c r="T782" s="556"/>
    </row>
    <row r="783" spans="1:20" ht="15" customHeight="1">
      <c r="A783" s="285">
        <v>783</v>
      </c>
      <c r="B783" s="544">
        <v>408</v>
      </c>
      <c r="C783" s="545" t="s">
        <v>73</v>
      </c>
      <c r="D783" s="549" t="s">
        <v>737</v>
      </c>
      <c r="E783" s="539">
        <f>VLOOKUP(B783,'2-Kosten per locatie'!$A$13:$C$87,3,FALSE)</f>
        <v>2</v>
      </c>
      <c r="F783" s="550"/>
      <c r="G783" s="551" t="s">
        <v>793</v>
      </c>
      <c r="H783" s="552" t="s">
        <v>794</v>
      </c>
      <c r="I783" s="551" t="s">
        <v>171</v>
      </c>
      <c r="J783" s="553">
        <v>12</v>
      </c>
      <c r="K783" s="554">
        <v>2</v>
      </c>
      <c r="L783" s="554"/>
      <c r="M783" s="554">
        <v>39</v>
      </c>
      <c r="N783" s="554"/>
      <c r="O783" s="554"/>
      <c r="P783" s="555"/>
      <c r="Q783" s="555"/>
      <c r="R783" s="555">
        <v>12</v>
      </c>
      <c r="S783" s="555"/>
      <c r="T783" s="556"/>
    </row>
    <row r="784" spans="1:20" ht="15" customHeight="1">
      <c r="A784" s="286">
        <v>784</v>
      </c>
      <c r="B784" s="544">
        <v>408</v>
      </c>
      <c r="C784" s="545" t="s">
        <v>73</v>
      </c>
      <c r="D784" s="549" t="s">
        <v>737</v>
      </c>
      <c r="E784" s="539">
        <f>VLOOKUP(B784,'2-Kosten per locatie'!$A$13:$C$87,3,FALSE)</f>
        <v>2</v>
      </c>
      <c r="F784" s="550"/>
      <c r="G784" s="551" t="s">
        <v>605</v>
      </c>
      <c r="H784" s="552" t="s">
        <v>795</v>
      </c>
      <c r="I784" s="551" t="s">
        <v>171</v>
      </c>
      <c r="J784" s="553">
        <v>1</v>
      </c>
      <c r="K784" s="554">
        <v>9</v>
      </c>
      <c r="L784" s="554"/>
      <c r="M784" s="554"/>
      <c r="N784" s="554"/>
      <c r="O784" s="554"/>
      <c r="P784" s="555"/>
      <c r="Q784" s="555"/>
      <c r="R784" s="555"/>
      <c r="S784" s="555">
        <v>1</v>
      </c>
      <c r="T784" s="556"/>
    </row>
    <row r="785" spans="1:20" ht="15" customHeight="1">
      <c r="A785" s="286">
        <v>785</v>
      </c>
      <c r="B785" s="544">
        <v>408</v>
      </c>
      <c r="C785" s="545" t="s">
        <v>73</v>
      </c>
      <c r="D785" s="549" t="s">
        <v>737</v>
      </c>
      <c r="E785" s="539">
        <f>VLOOKUP(B785,'2-Kosten per locatie'!$A$13:$C$87,3,FALSE)</f>
        <v>2</v>
      </c>
      <c r="F785" s="550"/>
      <c r="G785" s="551" t="s">
        <v>605</v>
      </c>
      <c r="H785" s="552" t="s">
        <v>796</v>
      </c>
      <c r="I785" s="551" t="s">
        <v>171</v>
      </c>
      <c r="J785" s="553">
        <v>1</v>
      </c>
      <c r="K785" s="554">
        <v>9</v>
      </c>
      <c r="L785" s="554"/>
      <c r="M785" s="554"/>
      <c r="N785" s="554"/>
      <c r="O785" s="554"/>
      <c r="P785" s="555"/>
      <c r="Q785" s="555"/>
      <c r="R785" s="555"/>
      <c r="S785" s="555">
        <v>1</v>
      </c>
      <c r="T785" s="556"/>
    </row>
    <row r="786" spans="1:20" ht="15" customHeight="1">
      <c r="A786" s="285">
        <v>786</v>
      </c>
      <c r="B786" s="544">
        <v>408</v>
      </c>
      <c r="C786" s="545" t="s">
        <v>73</v>
      </c>
      <c r="D786" s="549" t="s">
        <v>737</v>
      </c>
      <c r="E786" s="539">
        <f>VLOOKUP(B786,'2-Kosten per locatie'!$A$13:$C$87,3,FALSE)</f>
        <v>2</v>
      </c>
      <c r="F786" s="550"/>
      <c r="G786" s="551" t="s">
        <v>797</v>
      </c>
      <c r="H786" s="552" t="s">
        <v>798</v>
      </c>
      <c r="I786" s="551" t="s">
        <v>171</v>
      </c>
      <c r="J786" s="553">
        <v>12</v>
      </c>
      <c r="K786" s="554"/>
      <c r="L786" s="554"/>
      <c r="M786" s="554">
        <v>17</v>
      </c>
      <c r="N786" s="554"/>
      <c r="O786" s="554"/>
      <c r="P786" s="555"/>
      <c r="Q786" s="555"/>
      <c r="R786" s="555">
        <v>12</v>
      </c>
      <c r="S786" s="555"/>
      <c r="T786" s="556"/>
    </row>
    <row r="787" spans="1:20" ht="15" customHeight="1">
      <c r="A787" s="286">
        <v>787</v>
      </c>
      <c r="B787" s="544">
        <v>408</v>
      </c>
      <c r="C787" s="545" t="s">
        <v>73</v>
      </c>
      <c r="D787" s="549" t="s">
        <v>737</v>
      </c>
      <c r="E787" s="539">
        <f>VLOOKUP(B787,'2-Kosten per locatie'!$A$13:$C$87,3,FALSE)</f>
        <v>2</v>
      </c>
      <c r="F787" s="550"/>
      <c r="G787" s="551" t="s">
        <v>819</v>
      </c>
      <c r="H787" s="552" t="s">
        <v>800</v>
      </c>
      <c r="I787" s="551" t="s">
        <v>171</v>
      </c>
      <c r="J787" s="553">
        <v>5</v>
      </c>
      <c r="K787" s="554"/>
      <c r="L787" s="554"/>
      <c r="M787" s="554">
        <v>30</v>
      </c>
      <c r="N787" s="554"/>
      <c r="O787" s="554"/>
      <c r="P787" s="555"/>
      <c r="Q787" s="555"/>
      <c r="R787" s="555">
        <v>5</v>
      </c>
      <c r="S787" s="555"/>
      <c r="T787" s="556"/>
    </row>
    <row r="788" spans="1:20" ht="15" customHeight="1">
      <c r="A788" s="285">
        <v>788</v>
      </c>
      <c r="B788" s="544">
        <v>408</v>
      </c>
      <c r="C788" s="545" t="s">
        <v>73</v>
      </c>
      <c r="D788" s="549" t="s">
        <v>737</v>
      </c>
      <c r="E788" s="539">
        <f>VLOOKUP(B788,'2-Kosten per locatie'!$A$13:$C$87,3,FALSE)</f>
        <v>2</v>
      </c>
      <c r="F788" s="550"/>
      <c r="G788" s="551" t="s">
        <v>799</v>
      </c>
      <c r="H788" s="552" t="s">
        <v>802</v>
      </c>
      <c r="I788" s="551" t="s">
        <v>171</v>
      </c>
      <c r="J788" s="553">
        <v>6</v>
      </c>
      <c r="K788" s="554"/>
      <c r="L788" s="554"/>
      <c r="M788" s="554"/>
      <c r="N788" s="554"/>
      <c r="O788" s="554">
        <v>30</v>
      </c>
      <c r="P788" s="555"/>
      <c r="Q788" s="555"/>
      <c r="R788" s="555">
        <v>6</v>
      </c>
      <c r="S788" s="555"/>
      <c r="T788" s="556"/>
    </row>
    <row r="789" spans="1:20" ht="15" customHeight="1">
      <c r="A789" s="286">
        <v>789</v>
      </c>
      <c r="B789" s="544">
        <v>408</v>
      </c>
      <c r="C789" s="545" t="s">
        <v>73</v>
      </c>
      <c r="D789" s="549" t="s">
        <v>737</v>
      </c>
      <c r="E789" s="539">
        <f>VLOOKUP(B789,'2-Kosten per locatie'!$A$13:$C$87,3,FALSE)</f>
        <v>2</v>
      </c>
      <c r="F789" s="550"/>
      <c r="G789" s="551" t="s">
        <v>820</v>
      </c>
      <c r="H789" s="552" t="s">
        <v>804</v>
      </c>
      <c r="I789" s="551" t="s">
        <v>171</v>
      </c>
      <c r="J789" s="553">
        <v>6</v>
      </c>
      <c r="K789" s="554"/>
      <c r="L789" s="554"/>
      <c r="M789" s="554">
        <v>32</v>
      </c>
      <c r="N789" s="554"/>
      <c r="O789" s="554"/>
      <c r="P789" s="555"/>
      <c r="Q789" s="555"/>
      <c r="R789" s="555">
        <v>6</v>
      </c>
      <c r="S789" s="555"/>
      <c r="T789" s="556"/>
    </row>
    <row r="790" spans="1:20" ht="15" customHeight="1">
      <c r="A790" s="285">
        <v>790</v>
      </c>
      <c r="B790" s="544">
        <v>408</v>
      </c>
      <c r="C790" s="545" t="s">
        <v>73</v>
      </c>
      <c r="D790" s="549" t="s">
        <v>737</v>
      </c>
      <c r="E790" s="539">
        <f>VLOOKUP(B790,'2-Kosten per locatie'!$A$13:$C$87,3,FALSE)</f>
        <v>2</v>
      </c>
      <c r="F790" s="550"/>
      <c r="G790" s="551" t="s">
        <v>782</v>
      </c>
      <c r="H790" s="552" t="s">
        <v>806</v>
      </c>
      <c r="I790" s="551" t="s">
        <v>171</v>
      </c>
      <c r="J790" s="553">
        <v>15</v>
      </c>
      <c r="K790" s="554"/>
      <c r="L790" s="554"/>
      <c r="M790" s="554">
        <v>50</v>
      </c>
      <c r="N790" s="554"/>
      <c r="O790" s="554"/>
      <c r="P790" s="555"/>
      <c r="Q790" s="555"/>
      <c r="R790" s="555">
        <v>15</v>
      </c>
      <c r="S790" s="555"/>
      <c r="T790" s="556"/>
    </row>
    <row r="791" spans="1:20" ht="15" customHeight="1">
      <c r="A791" s="286">
        <v>791</v>
      </c>
      <c r="B791" s="544">
        <v>408</v>
      </c>
      <c r="C791" s="545" t="s">
        <v>73</v>
      </c>
      <c r="D791" s="549" t="s">
        <v>737</v>
      </c>
      <c r="E791" s="539">
        <f>VLOOKUP(B791,'2-Kosten per locatie'!$A$13:$C$87,3,FALSE)</f>
        <v>2</v>
      </c>
      <c r="F791" s="550"/>
      <c r="G791" s="551" t="s">
        <v>821</v>
      </c>
      <c r="H791" s="552" t="s">
        <v>808</v>
      </c>
      <c r="I791" s="551" t="s">
        <v>171</v>
      </c>
      <c r="J791" s="553">
        <v>84</v>
      </c>
      <c r="K791" s="554"/>
      <c r="L791" s="554"/>
      <c r="M791" s="554">
        <v>144</v>
      </c>
      <c r="N791" s="554"/>
      <c r="O791" s="554"/>
      <c r="P791" s="555"/>
      <c r="Q791" s="555"/>
      <c r="R791" s="555">
        <v>84</v>
      </c>
      <c r="S791" s="555"/>
      <c r="T791" s="556"/>
    </row>
    <row r="792" spans="1:20" ht="15" customHeight="1">
      <c r="A792" s="286">
        <v>792</v>
      </c>
      <c r="B792" s="544">
        <v>408</v>
      </c>
      <c r="C792" s="545" t="s">
        <v>73</v>
      </c>
      <c r="D792" s="549" t="s">
        <v>737</v>
      </c>
      <c r="E792" s="539">
        <f>VLOOKUP(B792,'2-Kosten per locatie'!$A$13:$C$87,3,FALSE)</f>
        <v>2</v>
      </c>
      <c r="F792" s="550"/>
      <c r="G792" s="551" t="s">
        <v>208</v>
      </c>
      <c r="H792" s="552" t="s">
        <v>810</v>
      </c>
      <c r="I792" s="551" t="s">
        <v>257</v>
      </c>
      <c r="J792" s="553">
        <v>12</v>
      </c>
      <c r="K792" s="554"/>
      <c r="L792" s="554"/>
      <c r="M792" s="554">
        <v>43</v>
      </c>
      <c r="N792" s="554"/>
      <c r="O792" s="554"/>
      <c r="P792" s="555"/>
      <c r="Q792" s="555">
        <v>12</v>
      </c>
      <c r="R792" s="555"/>
      <c r="S792" s="555"/>
      <c r="T792" s="556"/>
    </row>
    <row r="793" spans="1:20" ht="15" customHeight="1">
      <c r="A793" s="285">
        <v>793</v>
      </c>
      <c r="B793" s="544">
        <v>408</v>
      </c>
      <c r="C793" s="545" t="s">
        <v>73</v>
      </c>
      <c r="D793" s="549" t="s">
        <v>737</v>
      </c>
      <c r="E793" s="539">
        <f>VLOOKUP(B793,'2-Kosten per locatie'!$A$13:$C$87,3,FALSE)</f>
        <v>2</v>
      </c>
      <c r="F793" s="550"/>
      <c r="G793" s="551" t="s">
        <v>807</v>
      </c>
      <c r="H793" s="552" t="s">
        <v>811</v>
      </c>
      <c r="I793" s="551" t="s">
        <v>205</v>
      </c>
      <c r="J793" s="553">
        <v>12</v>
      </c>
      <c r="K793" s="554"/>
      <c r="L793" s="554"/>
      <c r="M793" s="554">
        <v>43</v>
      </c>
      <c r="N793" s="554"/>
      <c r="O793" s="554"/>
      <c r="P793" s="555"/>
      <c r="Q793" s="555">
        <v>12</v>
      </c>
      <c r="R793" s="555"/>
      <c r="S793" s="555"/>
      <c r="T793" s="556"/>
    </row>
    <row r="794" spans="1:20" ht="15" customHeight="1">
      <c r="A794" s="286">
        <v>794</v>
      </c>
      <c r="B794" s="544">
        <v>408</v>
      </c>
      <c r="C794" s="545" t="s">
        <v>73</v>
      </c>
      <c r="D794" s="549" t="s">
        <v>737</v>
      </c>
      <c r="E794" s="539">
        <f>VLOOKUP(B794,'2-Kosten per locatie'!$A$13:$C$87,3,FALSE)</f>
        <v>2</v>
      </c>
      <c r="F794" s="550"/>
      <c r="G794" s="551" t="s">
        <v>807</v>
      </c>
      <c r="H794" s="552" t="s">
        <v>812</v>
      </c>
      <c r="I794" s="551" t="s">
        <v>205</v>
      </c>
      <c r="J794" s="553">
        <v>12</v>
      </c>
      <c r="K794" s="554"/>
      <c r="L794" s="554"/>
      <c r="M794" s="554">
        <v>43</v>
      </c>
      <c r="N794" s="554"/>
      <c r="O794" s="554"/>
      <c r="P794" s="555"/>
      <c r="Q794" s="555">
        <v>12</v>
      </c>
      <c r="R794" s="555"/>
      <c r="S794" s="555"/>
      <c r="T794" s="556"/>
    </row>
    <row r="795" spans="1:20" ht="15" customHeight="1">
      <c r="A795" s="285">
        <v>795</v>
      </c>
      <c r="B795" s="544">
        <v>408</v>
      </c>
      <c r="C795" s="545" t="s">
        <v>73</v>
      </c>
      <c r="D795" s="549" t="s">
        <v>737</v>
      </c>
      <c r="E795" s="539">
        <f>VLOOKUP(B795,'2-Kosten per locatie'!$A$13:$C$87,3,FALSE)</f>
        <v>2</v>
      </c>
      <c r="F795" s="550"/>
      <c r="G795" s="551" t="s">
        <v>813</v>
      </c>
      <c r="H795" s="552" t="s">
        <v>814</v>
      </c>
      <c r="I795" s="551" t="s">
        <v>171</v>
      </c>
      <c r="J795" s="553">
        <v>24</v>
      </c>
      <c r="K795" s="554"/>
      <c r="L795" s="554"/>
      <c r="M795" s="554">
        <v>63</v>
      </c>
      <c r="N795" s="554"/>
      <c r="O795" s="554"/>
      <c r="P795" s="555"/>
      <c r="Q795" s="555"/>
      <c r="R795" s="555">
        <v>24</v>
      </c>
      <c r="S795" s="555"/>
      <c r="T795" s="556"/>
    </row>
    <row r="796" spans="1:20" ht="15" customHeight="1">
      <c r="A796" s="286">
        <v>796</v>
      </c>
      <c r="B796" s="544">
        <v>408</v>
      </c>
      <c r="C796" s="545" t="s">
        <v>73</v>
      </c>
      <c r="D796" s="549" t="s">
        <v>737</v>
      </c>
      <c r="E796" s="539">
        <f>VLOOKUP(B796,'2-Kosten per locatie'!$A$13:$C$87,3,FALSE)</f>
        <v>2</v>
      </c>
      <c r="F796" s="550"/>
      <c r="G796" s="551" t="s">
        <v>523</v>
      </c>
      <c r="H796" s="552" t="s">
        <v>815</v>
      </c>
      <c r="I796" s="551" t="s">
        <v>171</v>
      </c>
      <c r="J796" s="553">
        <v>4</v>
      </c>
      <c r="K796" s="554"/>
      <c r="L796" s="554"/>
      <c r="M796" s="554">
        <v>30</v>
      </c>
      <c r="N796" s="554"/>
      <c r="O796" s="554"/>
      <c r="P796" s="555"/>
      <c r="Q796" s="555"/>
      <c r="R796" s="555">
        <v>4</v>
      </c>
      <c r="S796" s="555"/>
      <c r="T796" s="556"/>
    </row>
    <row r="797" spans="1:20" ht="15" customHeight="1">
      <c r="A797" s="285">
        <v>797</v>
      </c>
      <c r="B797" s="544">
        <v>408</v>
      </c>
      <c r="C797" s="545" t="s">
        <v>73</v>
      </c>
      <c r="D797" s="549" t="s">
        <v>737</v>
      </c>
      <c r="E797" s="539">
        <f>VLOOKUP(B797,'2-Kosten per locatie'!$A$13:$C$87,3,FALSE)</f>
        <v>2</v>
      </c>
      <c r="F797" s="550"/>
      <c r="G797" s="551" t="s">
        <v>597</v>
      </c>
      <c r="H797" s="552" t="s">
        <v>816</v>
      </c>
      <c r="I797" s="551" t="s">
        <v>171</v>
      </c>
      <c r="J797" s="553">
        <v>2</v>
      </c>
      <c r="K797" s="554"/>
      <c r="L797" s="554"/>
      <c r="M797" s="554">
        <v>14</v>
      </c>
      <c r="N797" s="554"/>
      <c r="O797" s="554"/>
      <c r="P797" s="555"/>
      <c r="Q797" s="555"/>
      <c r="R797" s="555"/>
      <c r="S797" s="555">
        <v>2</v>
      </c>
      <c r="T797" s="556"/>
    </row>
    <row r="798" spans="1:20" ht="15" customHeight="1">
      <c r="A798" s="286">
        <v>798</v>
      </c>
      <c r="B798" s="544">
        <v>408</v>
      </c>
      <c r="C798" s="545" t="s">
        <v>73</v>
      </c>
      <c r="D798" s="549" t="s">
        <v>737</v>
      </c>
      <c r="E798" s="539">
        <f>VLOOKUP(B798,'2-Kosten per locatie'!$A$13:$C$87,3,FALSE)</f>
        <v>2</v>
      </c>
      <c r="F798" s="550"/>
      <c r="G798" s="551" t="s">
        <v>817</v>
      </c>
      <c r="H798" s="552" t="s">
        <v>818</v>
      </c>
      <c r="I798" s="551" t="s">
        <v>171</v>
      </c>
      <c r="J798" s="553">
        <v>6</v>
      </c>
      <c r="K798" s="554">
        <v>20</v>
      </c>
      <c r="L798" s="554"/>
      <c r="M798" s="554"/>
      <c r="N798" s="554"/>
      <c r="O798" s="554"/>
      <c r="P798" s="555"/>
      <c r="Q798" s="555"/>
      <c r="R798" s="555"/>
      <c r="S798" s="555">
        <v>6</v>
      </c>
      <c r="T798" s="556"/>
    </row>
    <row r="799" spans="1:20" ht="15" customHeight="1">
      <c r="A799" s="286">
        <v>799</v>
      </c>
      <c r="B799" s="544">
        <v>401</v>
      </c>
      <c r="C799" s="639" t="s">
        <v>118</v>
      </c>
      <c r="D799" s="549" t="s">
        <v>737</v>
      </c>
      <c r="E799" s="539">
        <f>VLOOKUP(B799,'2-Kosten per locatie'!$A$13:$C$87,3,FALSE)</f>
        <v>2</v>
      </c>
      <c r="F799" s="550"/>
      <c r="G799" s="551" t="s">
        <v>823</v>
      </c>
      <c r="H799" s="552" t="s">
        <v>515</v>
      </c>
      <c r="I799" s="551" t="s">
        <v>162</v>
      </c>
      <c r="J799" s="553">
        <v>12</v>
      </c>
      <c r="K799" s="554">
        <v>2</v>
      </c>
      <c r="L799" s="554"/>
      <c r="M799" s="554">
        <v>39</v>
      </c>
      <c r="N799" s="554"/>
      <c r="O799" s="554"/>
      <c r="P799" s="555"/>
      <c r="Q799" s="555"/>
      <c r="R799" s="555">
        <v>12</v>
      </c>
      <c r="S799" s="555"/>
      <c r="T799" s="556"/>
    </row>
    <row r="800" spans="1:20" ht="15" customHeight="1">
      <c r="A800" s="285">
        <v>800</v>
      </c>
      <c r="B800" s="544">
        <v>401</v>
      </c>
      <c r="C800" s="639" t="s">
        <v>118</v>
      </c>
      <c r="D800" s="549" t="s">
        <v>737</v>
      </c>
      <c r="E800" s="539">
        <f>VLOOKUP(B800,'2-Kosten per locatie'!$A$13:$C$87,3,FALSE)</f>
        <v>2</v>
      </c>
      <c r="F800" s="550"/>
      <c r="G800" s="551" t="s">
        <v>747</v>
      </c>
      <c r="H800" s="552" t="s">
        <v>284</v>
      </c>
      <c r="I800" s="551" t="s">
        <v>162</v>
      </c>
      <c r="J800" s="553">
        <v>3</v>
      </c>
      <c r="K800" s="554">
        <v>17</v>
      </c>
      <c r="L800" s="554"/>
      <c r="M800" s="554"/>
      <c r="N800" s="554"/>
      <c r="O800" s="554"/>
      <c r="P800" s="555"/>
      <c r="Q800" s="555"/>
      <c r="R800" s="555"/>
      <c r="S800" s="555">
        <v>3</v>
      </c>
      <c r="T800" s="556"/>
    </row>
    <row r="801" spans="1:20" ht="15" customHeight="1">
      <c r="A801" s="286">
        <v>801</v>
      </c>
      <c r="B801" s="544">
        <v>401</v>
      </c>
      <c r="C801" s="639" t="s">
        <v>118</v>
      </c>
      <c r="D801" s="549" t="s">
        <v>737</v>
      </c>
      <c r="E801" s="539">
        <f>VLOOKUP(B801,'2-Kosten per locatie'!$A$13:$C$87,3,FALSE)</f>
        <v>2</v>
      </c>
      <c r="F801" s="550"/>
      <c r="G801" s="551" t="s">
        <v>157</v>
      </c>
      <c r="H801" s="552" t="s">
        <v>158</v>
      </c>
      <c r="I801" s="551" t="s">
        <v>162</v>
      </c>
      <c r="J801" s="553">
        <v>16</v>
      </c>
      <c r="K801" s="554"/>
      <c r="L801" s="554"/>
      <c r="M801" s="554">
        <v>55</v>
      </c>
      <c r="N801" s="554"/>
      <c r="O801" s="554"/>
      <c r="P801" s="555"/>
      <c r="Q801" s="555"/>
      <c r="R801" s="555"/>
      <c r="S801" s="555">
        <v>16</v>
      </c>
      <c r="T801" s="556"/>
    </row>
    <row r="802" spans="1:20" ht="15" customHeight="1">
      <c r="A802" s="285">
        <v>802</v>
      </c>
      <c r="B802" s="544">
        <v>401</v>
      </c>
      <c r="C802" s="639" t="s">
        <v>118</v>
      </c>
      <c r="D802" s="549" t="s">
        <v>737</v>
      </c>
      <c r="E802" s="539">
        <f>VLOOKUP(B802,'2-Kosten per locatie'!$A$13:$C$87,3,FALSE)</f>
        <v>2</v>
      </c>
      <c r="F802" s="550"/>
      <c r="G802" s="551" t="s">
        <v>824</v>
      </c>
      <c r="H802" s="552" t="s">
        <v>825</v>
      </c>
      <c r="I802" s="551" t="s">
        <v>162</v>
      </c>
      <c r="J802" s="553">
        <v>12</v>
      </c>
      <c r="K802" s="554"/>
      <c r="L802" s="554"/>
      <c r="M802" s="554">
        <v>17</v>
      </c>
      <c r="N802" s="554"/>
      <c r="O802" s="554"/>
      <c r="P802" s="555"/>
      <c r="Q802" s="555"/>
      <c r="R802" s="555">
        <v>12</v>
      </c>
      <c r="S802" s="555"/>
      <c r="T802" s="556"/>
    </row>
    <row r="803" spans="1:20" ht="15" customHeight="1">
      <c r="A803" s="286">
        <v>803</v>
      </c>
      <c r="B803" s="544">
        <v>401</v>
      </c>
      <c r="C803" s="639" t="s">
        <v>118</v>
      </c>
      <c r="D803" s="549" t="s">
        <v>737</v>
      </c>
      <c r="E803" s="539">
        <f>VLOOKUP(B803,'2-Kosten per locatie'!$A$13:$C$87,3,FALSE)</f>
        <v>2</v>
      </c>
      <c r="F803" s="550"/>
      <c r="G803" s="551" t="s">
        <v>826</v>
      </c>
      <c r="H803" s="552" t="s">
        <v>827</v>
      </c>
      <c r="I803" s="551" t="s">
        <v>162</v>
      </c>
      <c r="J803" s="553">
        <v>5</v>
      </c>
      <c r="K803" s="554"/>
      <c r="L803" s="554">
        <v>30</v>
      </c>
      <c r="M803" s="554"/>
      <c r="N803" s="554"/>
      <c r="O803" s="554"/>
      <c r="P803" s="555"/>
      <c r="Q803" s="555"/>
      <c r="R803" s="555">
        <v>5</v>
      </c>
      <c r="S803" s="555"/>
      <c r="T803" s="556"/>
    </row>
    <row r="804" spans="1:20" ht="15" customHeight="1">
      <c r="A804" s="285">
        <v>804</v>
      </c>
      <c r="B804" s="544">
        <v>401</v>
      </c>
      <c r="C804" s="639" t="s">
        <v>118</v>
      </c>
      <c r="D804" s="549" t="s">
        <v>737</v>
      </c>
      <c r="E804" s="539">
        <f>VLOOKUP(B804,'2-Kosten per locatie'!$A$13:$C$87,3,FALSE)</f>
        <v>2</v>
      </c>
      <c r="F804" s="550"/>
      <c r="G804" s="551" t="s">
        <v>699</v>
      </c>
      <c r="H804" s="552" t="s">
        <v>603</v>
      </c>
      <c r="I804" s="551" t="s">
        <v>162</v>
      </c>
      <c r="J804" s="553">
        <v>6</v>
      </c>
      <c r="K804" s="554"/>
      <c r="L804" s="554">
        <v>30</v>
      </c>
      <c r="M804" s="554"/>
      <c r="N804" s="554"/>
      <c r="O804" s="554"/>
      <c r="P804" s="555"/>
      <c r="Q804" s="555"/>
      <c r="R804" s="555">
        <v>6</v>
      </c>
      <c r="S804" s="555"/>
      <c r="T804" s="556"/>
    </row>
    <row r="805" spans="1:20" ht="15" customHeight="1">
      <c r="A805" s="286">
        <v>805</v>
      </c>
      <c r="B805" s="544">
        <v>401</v>
      </c>
      <c r="C805" s="639" t="s">
        <v>118</v>
      </c>
      <c r="D805" s="549" t="s">
        <v>737</v>
      </c>
      <c r="E805" s="539">
        <f>VLOOKUP(B805,'2-Kosten per locatie'!$A$13:$C$87,3,FALSE)</f>
        <v>2</v>
      </c>
      <c r="F805" s="550"/>
      <c r="G805" s="551" t="s">
        <v>828</v>
      </c>
      <c r="H805" s="552" t="s">
        <v>829</v>
      </c>
      <c r="I805" s="551" t="s">
        <v>162</v>
      </c>
      <c r="J805" s="553">
        <v>7</v>
      </c>
      <c r="K805" s="554"/>
      <c r="L805" s="554"/>
      <c r="M805" s="554">
        <v>32</v>
      </c>
      <c r="N805" s="554"/>
      <c r="O805" s="554"/>
      <c r="P805" s="555"/>
      <c r="Q805" s="555"/>
      <c r="R805" s="555">
        <v>7</v>
      </c>
      <c r="S805" s="555"/>
      <c r="T805" s="556"/>
    </row>
    <row r="806" spans="1:20" ht="15" customHeight="1">
      <c r="A806" s="286">
        <v>806</v>
      </c>
      <c r="B806" s="544">
        <v>401</v>
      </c>
      <c r="C806" s="639" t="s">
        <v>118</v>
      </c>
      <c r="D806" s="549" t="s">
        <v>737</v>
      </c>
      <c r="E806" s="539">
        <f>VLOOKUP(B806,'2-Kosten per locatie'!$A$13:$C$87,3,FALSE)</f>
        <v>2</v>
      </c>
      <c r="F806" s="550"/>
      <c r="G806" s="551" t="s">
        <v>828</v>
      </c>
      <c r="H806" s="552" t="s">
        <v>830</v>
      </c>
      <c r="I806" s="551" t="s">
        <v>162</v>
      </c>
      <c r="J806" s="553">
        <v>16</v>
      </c>
      <c r="K806" s="554"/>
      <c r="L806" s="554"/>
      <c r="M806" s="554">
        <v>50</v>
      </c>
      <c r="N806" s="554"/>
      <c r="O806" s="554"/>
      <c r="P806" s="555"/>
      <c r="Q806" s="555"/>
      <c r="R806" s="555">
        <v>16</v>
      </c>
      <c r="S806" s="555"/>
      <c r="T806" s="556"/>
    </row>
    <row r="807" spans="1:20" ht="15" customHeight="1">
      <c r="A807" s="285">
        <v>807</v>
      </c>
      <c r="B807" s="544">
        <v>401</v>
      </c>
      <c r="C807" s="639" t="s">
        <v>118</v>
      </c>
      <c r="D807" s="549" t="s">
        <v>737</v>
      </c>
      <c r="E807" s="539">
        <f>VLOOKUP(B807,'2-Kosten per locatie'!$A$13:$C$87,3,FALSE)</f>
        <v>2</v>
      </c>
      <c r="F807" s="550"/>
      <c r="G807" s="551"/>
      <c r="H807" s="552" t="s">
        <v>831</v>
      </c>
      <c r="I807" s="551" t="s">
        <v>162</v>
      </c>
      <c r="J807" s="553">
        <v>85</v>
      </c>
      <c r="K807" s="554"/>
      <c r="L807" s="554"/>
      <c r="M807" s="554">
        <v>144</v>
      </c>
      <c r="N807" s="554"/>
      <c r="O807" s="554"/>
      <c r="P807" s="555"/>
      <c r="Q807" s="555"/>
      <c r="R807" s="555">
        <v>85</v>
      </c>
      <c r="S807" s="555"/>
      <c r="T807" s="556"/>
    </row>
    <row r="808" spans="1:20" ht="15" customHeight="1">
      <c r="A808" s="286">
        <v>808</v>
      </c>
      <c r="B808" s="544">
        <v>401</v>
      </c>
      <c r="C808" s="639" t="s">
        <v>118</v>
      </c>
      <c r="D808" s="549" t="s">
        <v>737</v>
      </c>
      <c r="E808" s="539">
        <f>VLOOKUP(B808,'2-Kosten per locatie'!$A$13:$C$87,3,FALSE)</f>
        <v>2</v>
      </c>
      <c r="F808" s="550"/>
      <c r="G808" s="551" t="s">
        <v>157</v>
      </c>
      <c r="H808" s="552" t="s">
        <v>509</v>
      </c>
      <c r="I808" s="551" t="s">
        <v>162</v>
      </c>
      <c r="J808" s="553">
        <v>6</v>
      </c>
      <c r="K808" s="554">
        <v>20</v>
      </c>
      <c r="L808" s="554"/>
      <c r="M808" s="554"/>
      <c r="N808" s="554"/>
      <c r="O808" s="554"/>
      <c r="P808" s="555"/>
      <c r="Q808" s="555"/>
      <c r="R808" s="555"/>
      <c r="S808" s="555">
        <v>6</v>
      </c>
      <c r="T808" s="556"/>
    </row>
    <row r="809" spans="1:20" ht="15" customHeight="1">
      <c r="A809" s="285">
        <v>809</v>
      </c>
      <c r="B809" s="544">
        <v>401</v>
      </c>
      <c r="C809" s="639" t="s">
        <v>118</v>
      </c>
      <c r="D809" s="549" t="s">
        <v>737</v>
      </c>
      <c r="E809" s="539">
        <f>VLOOKUP(B809,'2-Kosten per locatie'!$A$13:$C$87,3,FALSE)</f>
        <v>2</v>
      </c>
      <c r="F809" s="550"/>
      <c r="G809" s="551" t="s">
        <v>832</v>
      </c>
      <c r="H809" s="552" t="s">
        <v>833</v>
      </c>
      <c r="I809" s="551" t="s">
        <v>162</v>
      </c>
      <c r="J809" s="553">
        <v>2</v>
      </c>
      <c r="K809" s="554"/>
      <c r="L809" s="554"/>
      <c r="M809" s="554"/>
      <c r="N809" s="554"/>
      <c r="O809" s="554"/>
      <c r="P809" s="555"/>
      <c r="Q809" s="555"/>
      <c r="R809" s="555"/>
      <c r="S809" s="555">
        <v>2</v>
      </c>
      <c r="T809" s="556"/>
    </row>
    <row r="810" spans="1:20" ht="15" customHeight="1">
      <c r="A810" s="286">
        <v>810</v>
      </c>
      <c r="B810" s="544">
        <v>401</v>
      </c>
      <c r="C810" s="639" t="s">
        <v>118</v>
      </c>
      <c r="D810" s="549" t="s">
        <v>737</v>
      </c>
      <c r="E810" s="539">
        <f>VLOOKUP(B810,'2-Kosten per locatie'!$A$13:$C$87,3,FALSE)</f>
        <v>2</v>
      </c>
      <c r="F810" s="550"/>
      <c r="G810" s="551" t="s">
        <v>834</v>
      </c>
      <c r="H810" s="552" t="s">
        <v>559</v>
      </c>
      <c r="I810" s="551" t="s">
        <v>214</v>
      </c>
      <c r="J810" s="553">
        <v>4</v>
      </c>
      <c r="K810" s="554"/>
      <c r="L810" s="554"/>
      <c r="M810" s="554"/>
      <c r="N810" s="554"/>
      <c r="O810" s="554"/>
      <c r="P810" s="555"/>
      <c r="Q810" s="555">
        <v>4</v>
      </c>
      <c r="R810" s="555"/>
      <c r="S810" s="555"/>
      <c r="T810" s="556"/>
    </row>
    <row r="811" spans="1:20" ht="15" customHeight="1">
      <c r="A811" s="285">
        <v>811</v>
      </c>
      <c r="B811" s="544">
        <v>401</v>
      </c>
      <c r="C811" s="639" t="s">
        <v>118</v>
      </c>
      <c r="D811" s="549" t="s">
        <v>737</v>
      </c>
      <c r="E811" s="539">
        <f>VLOOKUP(B811,'2-Kosten per locatie'!$A$13:$C$87,3,FALSE)</f>
        <v>2</v>
      </c>
      <c r="F811" s="550"/>
      <c r="G811" s="551" t="s">
        <v>828</v>
      </c>
      <c r="H811" s="552" t="s">
        <v>835</v>
      </c>
      <c r="I811" s="551" t="s">
        <v>214</v>
      </c>
      <c r="J811" s="553">
        <v>27</v>
      </c>
      <c r="K811" s="554"/>
      <c r="L811" s="554"/>
      <c r="M811" s="554"/>
      <c r="N811" s="554"/>
      <c r="O811" s="554"/>
      <c r="P811" s="555"/>
      <c r="Q811" s="555">
        <v>27</v>
      </c>
      <c r="R811" s="555"/>
      <c r="S811" s="555"/>
      <c r="T811" s="556"/>
    </row>
    <row r="812" spans="1:20" ht="15" customHeight="1">
      <c r="A812" s="286">
        <v>812</v>
      </c>
      <c r="B812" s="544">
        <v>401</v>
      </c>
      <c r="C812" s="639" t="s">
        <v>118</v>
      </c>
      <c r="D812" s="549" t="s">
        <v>737</v>
      </c>
      <c r="E812" s="539">
        <f>VLOOKUP(B812,'2-Kosten per locatie'!$A$13:$C$87,3,FALSE)</f>
        <v>2</v>
      </c>
      <c r="F812" s="550"/>
      <c r="G812" s="551" t="s">
        <v>828</v>
      </c>
      <c r="H812" s="552" t="s">
        <v>836</v>
      </c>
      <c r="I812" s="551" t="s">
        <v>214</v>
      </c>
      <c r="J812" s="553">
        <v>12</v>
      </c>
      <c r="K812" s="554"/>
      <c r="L812" s="554"/>
      <c r="M812" s="554"/>
      <c r="N812" s="554"/>
      <c r="O812" s="554"/>
      <c r="P812" s="555"/>
      <c r="Q812" s="555">
        <v>12</v>
      </c>
      <c r="R812" s="555"/>
      <c r="S812" s="555"/>
      <c r="T812" s="556"/>
    </row>
    <row r="813" spans="1:20" ht="15" customHeight="1">
      <c r="A813" s="286">
        <v>813</v>
      </c>
      <c r="B813" s="544">
        <v>401</v>
      </c>
      <c r="C813" s="639" t="s">
        <v>118</v>
      </c>
      <c r="D813" s="549" t="s">
        <v>737</v>
      </c>
      <c r="E813" s="539">
        <f>VLOOKUP(B813,'2-Kosten per locatie'!$A$13:$C$87,3,FALSE)</f>
        <v>2</v>
      </c>
      <c r="F813" s="550"/>
      <c r="G813" s="551" t="s">
        <v>828</v>
      </c>
      <c r="H813" s="552" t="s">
        <v>837</v>
      </c>
      <c r="I813" s="551" t="s">
        <v>214</v>
      </c>
      <c r="J813" s="553">
        <v>12</v>
      </c>
      <c r="K813" s="554"/>
      <c r="L813" s="554"/>
      <c r="M813" s="554"/>
      <c r="N813" s="554"/>
      <c r="O813" s="554"/>
      <c r="P813" s="555"/>
      <c r="Q813" s="555">
        <v>12</v>
      </c>
      <c r="R813" s="555"/>
      <c r="S813" s="555"/>
      <c r="T813" s="556"/>
    </row>
    <row r="814" spans="1:20" ht="15" customHeight="1">
      <c r="A814" s="285">
        <v>814</v>
      </c>
      <c r="B814" s="544">
        <v>401</v>
      </c>
      <c r="C814" s="639" t="s">
        <v>118</v>
      </c>
      <c r="D814" s="549" t="s">
        <v>737</v>
      </c>
      <c r="E814" s="539">
        <f>VLOOKUP(B814,'2-Kosten per locatie'!$A$13:$C$87,3,FALSE)</f>
        <v>2</v>
      </c>
      <c r="F814" s="550"/>
      <c r="G814" s="551" t="s">
        <v>787</v>
      </c>
      <c r="H814" s="552" t="s">
        <v>838</v>
      </c>
      <c r="I814" s="551" t="s">
        <v>214</v>
      </c>
      <c r="J814" s="553">
        <v>12</v>
      </c>
      <c r="K814" s="554"/>
      <c r="L814" s="554"/>
      <c r="M814" s="554"/>
      <c r="N814" s="554"/>
      <c r="O814" s="554"/>
      <c r="P814" s="555"/>
      <c r="Q814" s="555">
        <v>12</v>
      </c>
      <c r="R814" s="555"/>
      <c r="S814" s="555"/>
      <c r="T814" s="556"/>
    </row>
    <row r="815" spans="1:20" ht="15" customHeight="1">
      <c r="A815" s="286">
        <v>815</v>
      </c>
      <c r="B815" s="544">
        <v>403</v>
      </c>
      <c r="C815" s="545" t="s">
        <v>67</v>
      </c>
      <c r="D815" s="549" t="s">
        <v>737</v>
      </c>
      <c r="E815" s="539">
        <f>VLOOKUP(B815,'2-Kosten per locatie'!$A$13:$C$87,3,FALSE)</f>
        <v>2</v>
      </c>
      <c r="F815" s="550"/>
      <c r="G815" s="551" t="s">
        <v>839</v>
      </c>
      <c r="H815" s="552" t="s">
        <v>792</v>
      </c>
      <c r="I815" s="551" t="s">
        <v>171</v>
      </c>
      <c r="J815" s="553">
        <v>71</v>
      </c>
      <c r="K815" s="554"/>
      <c r="L815" s="554"/>
      <c r="M815" s="554"/>
      <c r="N815" s="554"/>
      <c r="O815" s="554">
        <v>120</v>
      </c>
      <c r="P815" s="555"/>
      <c r="Q815" s="555"/>
      <c r="R815" s="555">
        <v>71</v>
      </c>
      <c r="S815" s="555"/>
      <c r="T815" s="556"/>
    </row>
    <row r="816" spans="1:20" ht="15" customHeight="1">
      <c r="A816" s="285">
        <v>816</v>
      </c>
      <c r="B816" s="544">
        <v>403</v>
      </c>
      <c r="C816" s="545" t="s">
        <v>67</v>
      </c>
      <c r="D816" s="549" t="s">
        <v>737</v>
      </c>
      <c r="E816" s="539">
        <f>VLOOKUP(B816,'2-Kosten per locatie'!$A$13:$C$87,3,FALSE)</f>
        <v>2</v>
      </c>
      <c r="F816" s="550"/>
      <c r="G816" s="551" t="s">
        <v>840</v>
      </c>
      <c r="H816" s="552" t="s">
        <v>794</v>
      </c>
      <c r="I816" s="551" t="s">
        <v>171</v>
      </c>
      <c r="J816" s="553">
        <v>60</v>
      </c>
      <c r="K816" s="554"/>
      <c r="L816" s="554"/>
      <c r="M816" s="554"/>
      <c r="N816" s="554"/>
      <c r="O816" s="554">
        <v>114</v>
      </c>
      <c r="P816" s="555"/>
      <c r="Q816" s="555"/>
      <c r="R816" s="555">
        <v>60</v>
      </c>
      <c r="S816" s="555"/>
      <c r="T816" s="556"/>
    </row>
    <row r="817" spans="1:20" ht="15" customHeight="1">
      <c r="A817" s="286">
        <v>817</v>
      </c>
      <c r="B817" s="544">
        <v>403</v>
      </c>
      <c r="C817" s="545" t="s">
        <v>67</v>
      </c>
      <c r="D817" s="549" t="s">
        <v>737</v>
      </c>
      <c r="E817" s="539">
        <f>VLOOKUP(B817,'2-Kosten per locatie'!$A$13:$C$87,3,FALSE)</f>
        <v>2</v>
      </c>
      <c r="F817" s="550"/>
      <c r="G817" s="551" t="s">
        <v>754</v>
      </c>
      <c r="H817" s="552" t="s">
        <v>795</v>
      </c>
      <c r="I817" s="551" t="s">
        <v>171</v>
      </c>
      <c r="J817" s="553">
        <v>220</v>
      </c>
      <c r="K817" s="554"/>
      <c r="L817" s="554"/>
      <c r="M817" s="554"/>
      <c r="N817" s="554"/>
      <c r="O817" s="554">
        <v>225</v>
      </c>
      <c r="P817" s="555"/>
      <c r="Q817" s="555"/>
      <c r="R817" s="555">
        <v>220</v>
      </c>
      <c r="S817" s="555"/>
      <c r="T817" s="556"/>
    </row>
    <row r="818" spans="1:20" ht="15" customHeight="1">
      <c r="A818" s="285">
        <v>818</v>
      </c>
      <c r="B818" s="544">
        <v>403</v>
      </c>
      <c r="C818" s="545" t="s">
        <v>67</v>
      </c>
      <c r="D818" s="549" t="s">
        <v>737</v>
      </c>
      <c r="E818" s="539">
        <f>VLOOKUP(B818,'2-Kosten per locatie'!$A$13:$C$87,3,FALSE)</f>
        <v>2</v>
      </c>
      <c r="F818" s="550"/>
      <c r="G818" s="551" t="s">
        <v>199</v>
      </c>
      <c r="H818" s="552" t="s">
        <v>796</v>
      </c>
      <c r="I818" s="551" t="s">
        <v>171</v>
      </c>
      <c r="J818" s="553">
        <v>45</v>
      </c>
      <c r="K818" s="554"/>
      <c r="L818" s="554"/>
      <c r="M818" s="554">
        <v>95</v>
      </c>
      <c r="N818" s="554"/>
      <c r="O818" s="554"/>
      <c r="P818" s="555"/>
      <c r="Q818" s="555">
        <v>45</v>
      </c>
      <c r="R818" s="555"/>
      <c r="S818" s="555"/>
      <c r="T818" s="556"/>
    </row>
    <row r="819" spans="1:20" ht="15" customHeight="1">
      <c r="A819" s="286">
        <v>819</v>
      </c>
      <c r="B819" s="544">
        <v>403</v>
      </c>
      <c r="C819" s="545" t="s">
        <v>67</v>
      </c>
      <c r="D819" s="549" t="s">
        <v>737</v>
      </c>
      <c r="E819" s="539">
        <f>VLOOKUP(B819,'2-Kosten per locatie'!$A$13:$C$87,3,FALSE)</f>
        <v>2</v>
      </c>
      <c r="F819" s="550"/>
      <c r="G819" s="551" t="s">
        <v>199</v>
      </c>
      <c r="H819" s="552" t="s">
        <v>798</v>
      </c>
      <c r="I819" s="551" t="s">
        <v>171</v>
      </c>
      <c r="J819" s="553">
        <v>45</v>
      </c>
      <c r="K819" s="554"/>
      <c r="L819" s="554"/>
      <c r="M819" s="554">
        <v>95</v>
      </c>
      <c r="N819" s="554"/>
      <c r="O819" s="554"/>
      <c r="P819" s="555"/>
      <c r="Q819" s="555">
        <v>45</v>
      </c>
      <c r="R819" s="555"/>
      <c r="S819" s="555"/>
      <c r="T819" s="556"/>
    </row>
    <row r="820" spans="1:20" ht="15" customHeight="1">
      <c r="A820" s="286">
        <v>820</v>
      </c>
      <c r="B820" s="544">
        <v>403</v>
      </c>
      <c r="C820" s="545" t="s">
        <v>67</v>
      </c>
      <c r="D820" s="549" t="s">
        <v>737</v>
      </c>
      <c r="E820" s="539">
        <f>VLOOKUP(B820,'2-Kosten per locatie'!$A$13:$C$87,3,FALSE)</f>
        <v>2</v>
      </c>
      <c r="F820" s="550"/>
      <c r="G820" s="551" t="s">
        <v>841</v>
      </c>
      <c r="H820" s="552" t="s">
        <v>800</v>
      </c>
      <c r="I820" s="551" t="s">
        <v>171</v>
      </c>
      <c r="J820" s="553">
        <v>45</v>
      </c>
      <c r="K820" s="554"/>
      <c r="L820" s="554"/>
      <c r="M820" s="554">
        <v>95</v>
      </c>
      <c r="N820" s="554"/>
      <c r="O820" s="554"/>
      <c r="P820" s="555"/>
      <c r="Q820" s="555">
        <v>45</v>
      </c>
      <c r="R820" s="555"/>
      <c r="S820" s="555"/>
      <c r="T820" s="556"/>
    </row>
    <row r="821" spans="1:20" ht="15" customHeight="1">
      <c r="A821" s="285">
        <v>821</v>
      </c>
      <c r="B821" s="544">
        <v>404</v>
      </c>
      <c r="C821" s="545" t="s">
        <v>69</v>
      </c>
      <c r="D821" s="549" t="s">
        <v>737</v>
      </c>
      <c r="E821" s="539">
        <f>VLOOKUP(B821,'2-Kosten per locatie'!$A$13:$C$87,3,FALSE)</f>
        <v>2</v>
      </c>
      <c r="F821" s="550"/>
      <c r="G821" s="551" t="s">
        <v>842</v>
      </c>
      <c r="H821" s="552" t="s">
        <v>792</v>
      </c>
      <c r="I821" s="551" t="s">
        <v>171</v>
      </c>
      <c r="J821" s="553">
        <v>9</v>
      </c>
      <c r="K821" s="554"/>
      <c r="L821" s="554"/>
      <c r="M821" s="554"/>
      <c r="N821" s="554"/>
      <c r="O821" s="554">
        <v>41</v>
      </c>
      <c r="P821" s="555"/>
      <c r="Q821" s="555"/>
      <c r="R821" s="555">
        <v>9</v>
      </c>
      <c r="S821" s="555"/>
      <c r="T821" s="556"/>
    </row>
    <row r="822" spans="1:20" ht="15" customHeight="1">
      <c r="A822" s="286">
        <v>822</v>
      </c>
      <c r="B822" s="544">
        <v>404</v>
      </c>
      <c r="C822" s="545" t="s">
        <v>69</v>
      </c>
      <c r="D822" s="549" t="s">
        <v>737</v>
      </c>
      <c r="E822" s="539">
        <f>VLOOKUP(B822,'2-Kosten per locatie'!$A$13:$C$87,3,FALSE)</f>
        <v>2</v>
      </c>
      <c r="F822" s="550"/>
      <c r="G822" s="551" t="s">
        <v>843</v>
      </c>
      <c r="H822" s="552" t="s">
        <v>794</v>
      </c>
      <c r="I822" s="551" t="s">
        <v>171</v>
      </c>
      <c r="J822" s="553">
        <v>12</v>
      </c>
      <c r="K822" s="554"/>
      <c r="L822" s="554"/>
      <c r="M822" s="554">
        <v>47</v>
      </c>
      <c r="N822" s="554"/>
      <c r="O822" s="554"/>
      <c r="P822" s="555"/>
      <c r="Q822" s="555"/>
      <c r="R822" s="555">
        <v>12</v>
      </c>
      <c r="S822" s="555"/>
      <c r="T822" s="556"/>
    </row>
    <row r="823" spans="1:20" ht="15" customHeight="1">
      <c r="A823" s="285">
        <v>823</v>
      </c>
      <c r="B823" s="544">
        <v>404</v>
      </c>
      <c r="C823" s="545" t="s">
        <v>69</v>
      </c>
      <c r="D823" s="549" t="s">
        <v>737</v>
      </c>
      <c r="E823" s="539">
        <f>VLOOKUP(B823,'2-Kosten per locatie'!$A$13:$C$87,3,FALSE)</f>
        <v>2</v>
      </c>
      <c r="F823" s="550"/>
      <c r="G823" s="551" t="s">
        <v>843</v>
      </c>
      <c r="H823" s="552" t="s">
        <v>795</v>
      </c>
      <c r="I823" s="551" t="s">
        <v>171</v>
      </c>
      <c r="J823" s="553">
        <v>12</v>
      </c>
      <c r="K823" s="554"/>
      <c r="L823" s="554"/>
      <c r="M823" s="554">
        <v>47</v>
      </c>
      <c r="N823" s="554"/>
      <c r="O823" s="554"/>
      <c r="P823" s="555"/>
      <c r="Q823" s="555"/>
      <c r="R823" s="555">
        <v>12</v>
      </c>
      <c r="S823" s="555"/>
      <c r="T823" s="556"/>
    </row>
    <row r="824" spans="1:20" ht="15" customHeight="1">
      <c r="A824" s="286">
        <v>824</v>
      </c>
      <c r="B824" s="544">
        <v>404</v>
      </c>
      <c r="C824" s="545" t="s">
        <v>69</v>
      </c>
      <c r="D824" s="549" t="s">
        <v>737</v>
      </c>
      <c r="E824" s="539">
        <f>VLOOKUP(B824,'2-Kosten per locatie'!$A$13:$C$87,3,FALSE)</f>
        <v>2</v>
      </c>
      <c r="F824" s="550"/>
      <c r="G824" s="551" t="s">
        <v>843</v>
      </c>
      <c r="H824" s="552" t="s">
        <v>796</v>
      </c>
      <c r="I824" s="551" t="s">
        <v>171</v>
      </c>
      <c r="J824" s="553">
        <v>12</v>
      </c>
      <c r="K824" s="554"/>
      <c r="L824" s="554"/>
      <c r="M824" s="554">
        <v>47</v>
      </c>
      <c r="N824" s="554"/>
      <c r="O824" s="554"/>
      <c r="P824" s="555"/>
      <c r="Q824" s="555"/>
      <c r="R824" s="555">
        <v>12</v>
      </c>
      <c r="S824" s="555"/>
      <c r="T824" s="556"/>
    </row>
    <row r="825" spans="1:20" ht="15" customHeight="1">
      <c r="A825" s="285">
        <v>825</v>
      </c>
      <c r="B825" s="544">
        <v>404</v>
      </c>
      <c r="C825" s="545" t="s">
        <v>69</v>
      </c>
      <c r="D825" s="549" t="s">
        <v>737</v>
      </c>
      <c r="E825" s="539">
        <f>VLOOKUP(B825,'2-Kosten per locatie'!$A$13:$C$87,3,FALSE)</f>
        <v>2</v>
      </c>
      <c r="F825" s="550"/>
      <c r="G825" s="551" t="s">
        <v>844</v>
      </c>
      <c r="H825" s="552" t="s">
        <v>798</v>
      </c>
      <c r="I825" s="551" t="s">
        <v>171</v>
      </c>
      <c r="J825" s="553">
        <v>2</v>
      </c>
      <c r="K825" s="554"/>
      <c r="L825" s="554"/>
      <c r="M825" s="554"/>
      <c r="N825" s="554"/>
      <c r="O825" s="554">
        <v>9</v>
      </c>
      <c r="P825" s="555"/>
      <c r="Q825" s="555"/>
      <c r="R825" s="555">
        <v>2</v>
      </c>
      <c r="S825" s="555"/>
      <c r="T825" s="556"/>
    </row>
    <row r="826" spans="1:20" ht="15" customHeight="1">
      <c r="A826" s="286">
        <v>826</v>
      </c>
      <c r="B826" s="544">
        <v>404</v>
      </c>
      <c r="C826" s="545" t="s">
        <v>69</v>
      </c>
      <c r="D826" s="549" t="s">
        <v>737</v>
      </c>
      <c r="E826" s="539">
        <f>VLOOKUP(B826,'2-Kosten per locatie'!$A$13:$C$87,3,FALSE)</f>
        <v>2</v>
      </c>
      <c r="F826" s="550"/>
      <c r="G826" s="551" t="s">
        <v>363</v>
      </c>
      <c r="H826" s="552" t="s">
        <v>800</v>
      </c>
      <c r="I826" s="551" t="s">
        <v>171</v>
      </c>
      <c r="J826" s="553">
        <v>83</v>
      </c>
      <c r="K826" s="554"/>
      <c r="L826" s="554"/>
      <c r="M826" s="554"/>
      <c r="N826" s="554"/>
      <c r="O826" s="554">
        <v>152</v>
      </c>
      <c r="P826" s="555"/>
      <c r="Q826" s="555"/>
      <c r="R826" s="555">
        <v>83</v>
      </c>
      <c r="S826" s="555"/>
      <c r="T826" s="556"/>
    </row>
    <row r="827" spans="1:20" ht="15" customHeight="1">
      <c r="A827" s="286">
        <v>827</v>
      </c>
      <c r="B827" s="544">
        <v>404</v>
      </c>
      <c r="C827" s="545" t="s">
        <v>69</v>
      </c>
      <c r="D827" s="549" t="s">
        <v>737</v>
      </c>
      <c r="E827" s="539">
        <f>VLOOKUP(B827,'2-Kosten per locatie'!$A$13:$C$87,3,FALSE)</f>
        <v>2</v>
      </c>
      <c r="F827" s="550"/>
      <c r="G827" s="551" t="s">
        <v>845</v>
      </c>
      <c r="H827" s="552" t="s">
        <v>802</v>
      </c>
      <c r="I827" s="551" t="s">
        <v>171</v>
      </c>
      <c r="J827" s="553">
        <v>11</v>
      </c>
      <c r="K827" s="554"/>
      <c r="L827" s="554"/>
      <c r="M827" s="554"/>
      <c r="N827" s="554"/>
      <c r="O827" s="554">
        <v>49</v>
      </c>
      <c r="P827" s="555"/>
      <c r="Q827" s="555"/>
      <c r="R827" s="555">
        <v>11</v>
      </c>
      <c r="S827" s="555"/>
      <c r="T827" s="556"/>
    </row>
    <row r="828" spans="1:20" ht="15" customHeight="1">
      <c r="A828" s="285">
        <v>828</v>
      </c>
      <c r="B828" s="544">
        <v>405</v>
      </c>
      <c r="C828" s="545" t="s">
        <v>120</v>
      </c>
      <c r="D828" s="549" t="s">
        <v>737</v>
      </c>
      <c r="E828" s="539">
        <f>VLOOKUP(B828,'2-Kosten per locatie'!$A$13:$C$87,3,FALSE)</f>
        <v>2</v>
      </c>
      <c r="F828" s="550"/>
      <c r="G828" s="551" t="s">
        <v>190</v>
      </c>
      <c r="H828" s="552" t="s">
        <v>792</v>
      </c>
      <c r="I828" s="551" t="s">
        <v>162</v>
      </c>
      <c r="J828" s="553">
        <v>19</v>
      </c>
      <c r="K828" s="554"/>
      <c r="L828" s="554"/>
      <c r="M828" s="554">
        <v>55</v>
      </c>
      <c r="N828" s="554"/>
      <c r="O828" s="554"/>
      <c r="P828" s="555"/>
      <c r="Q828" s="555"/>
      <c r="R828" s="555">
        <v>19</v>
      </c>
      <c r="S828" s="555"/>
      <c r="T828" s="556"/>
    </row>
    <row r="829" spans="1:20" ht="15" customHeight="1">
      <c r="A829" s="286">
        <v>829</v>
      </c>
      <c r="B829" s="544">
        <v>405</v>
      </c>
      <c r="C829" s="545" t="s">
        <v>120</v>
      </c>
      <c r="D829" s="549" t="s">
        <v>737</v>
      </c>
      <c r="E829" s="539">
        <f>VLOOKUP(B829,'2-Kosten per locatie'!$A$13:$C$87,3,FALSE)</f>
        <v>2</v>
      </c>
      <c r="F829" s="550"/>
      <c r="G829" s="551" t="s">
        <v>793</v>
      </c>
      <c r="H829" s="552" t="s">
        <v>794</v>
      </c>
      <c r="I829" s="551" t="s">
        <v>162</v>
      </c>
      <c r="J829" s="553">
        <v>12</v>
      </c>
      <c r="K829" s="554">
        <v>2</v>
      </c>
      <c r="L829" s="554"/>
      <c r="M829" s="554">
        <v>39</v>
      </c>
      <c r="N829" s="554"/>
      <c r="O829" s="554"/>
      <c r="P829" s="555"/>
      <c r="Q829" s="555"/>
      <c r="R829" s="555">
        <v>12</v>
      </c>
      <c r="S829" s="555"/>
      <c r="T829" s="556"/>
    </row>
    <row r="830" spans="1:20" ht="15" customHeight="1">
      <c r="A830" s="285">
        <v>830</v>
      </c>
      <c r="B830" s="544">
        <v>405</v>
      </c>
      <c r="C830" s="545" t="s">
        <v>120</v>
      </c>
      <c r="D830" s="549" t="s">
        <v>737</v>
      </c>
      <c r="E830" s="539">
        <f>VLOOKUP(B830,'2-Kosten per locatie'!$A$13:$C$87,3,FALSE)</f>
        <v>2</v>
      </c>
      <c r="F830" s="550"/>
      <c r="G830" s="551" t="s">
        <v>605</v>
      </c>
      <c r="H830" s="552" t="s">
        <v>795</v>
      </c>
      <c r="I830" s="551" t="s">
        <v>159</v>
      </c>
      <c r="J830" s="553">
        <v>1</v>
      </c>
      <c r="K830" s="554">
        <v>9</v>
      </c>
      <c r="L830" s="554"/>
      <c r="M830" s="554"/>
      <c r="N830" s="554"/>
      <c r="O830" s="554"/>
      <c r="P830" s="555"/>
      <c r="Q830" s="555"/>
      <c r="R830" s="555">
        <v>1</v>
      </c>
      <c r="S830" s="555"/>
      <c r="T830" s="556"/>
    </row>
    <row r="831" spans="1:20" ht="15" customHeight="1">
      <c r="A831" s="286">
        <v>831</v>
      </c>
      <c r="B831" s="544">
        <v>405</v>
      </c>
      <c r="C831" s="545" t="s">
        <v>120</v>
      </c>
      <c r="D831" s="549" t="s">
        <v>737</v>
      </c>
      <c r="E831" s="539">
        <f>VLOOKUP(B831,'2-Kosten per locatie'!$A$13:$C$87,3,FALSE)</f>
        <v>2</v>
      </c>
      <c r="F831" s="550"/>
      <c r="G831" s="551" t="s">
        <v>605</v>
      </c>
      <c r="H831" s="552" t="s">
        <v>796</v>
      </c>
      <c r="I831" s="551" t="s">
        <v>159</v>
      </c>
      <c r="J831" s="553">
        <v>1</v>
      </c>
      <c r="K831" s="554">
        <v>9</v>
      </c>
      <c r="L831" s="554"/>
      <c r="M831" s="554"/>
      <c r="N831" s="554"/>
      <c r="O831" s="554"/>
      <c r="P831" s="555"/>
      <c r="Q831" s="555"/>
      <c r="R831" s="555">
        <v>1</v>
      </c>
      <c r="S831" s="555"/>
      <c r="T831" s="556"/>
    </row>
    <row r="832" spans="1:20" ht="15" customHeight="1">
      <c r="A832" s="285">
        <v>832</v>
      </c>
      <c r="B832" s="544">
        <v>405</v>
      </c>
      <c r="C832" s="545" t="s">
        <v>120</v>
      </c>
      <c r="D832" s="549" t="s">
        <v>737</v>
      </c>
      <c r="E832" s="539">
        <f>VLOOKUP(B832,'2-Kosten per locatie'!$A$13:$C$87,3,FALSE)</f>
        <v>2</v>
      </c>
      <c r="F832" s="550"/>
      <c r="G832" s="551" t="s">
        <v>797</v>
      </c>
      <c r="H832" s="552" t="s">
        <v>798</v>
      </c>
      <c r="I832" s="551" t="s">
        <v>162</v>
      </c>
      <c r="J832" s="553">
        <v>12</v>
      </c>
      <c r="K832" s="554"/>
      <c r="L832" s="554"/>
      <c r="M832" s="554">
        <v>17</v>
      </c>
      <c r="N832" s="554"/>
      <c r="O832" s="554"/>
      <c r="P832" s="555"/>
      <c r="Q832" s="555"/>
      <c r="R832" s="555">
        <v>12</v>
      </c>
      <c r="S832" s="555"/>
      <c r="T832" s="556"/>
    </row>
    <row r="833" spans="1:20" ht="15" customHeight="1">
      <c r="A833" s="286">
        <v>833</v>
      </c>
      <c r="B833" s="544">
        <v>405</v>
      </c>
      <c r="C833" s="545" t="s">
        <v>120</v>
      </c>
      <c r="D833" s="549" t="s">
        <v>737</v>
      </c>
      <c r="E833" s="539">
        <f>VLOOKUP(B833,'2-Kosten per locatie'!$A$13:$C$87,3,FALSE)</f>
        <v>2</v>
      </c>
      <c r="F833" s="550"/>
      <c r="G833" s="551" t="s">
        <v>819</v>
      </c>
      <c r="H833" s="552" t="s">
        <v>800</v>
      </c>
      <c r="I833" s="551" t="s">
        <v>162</v>
      </c>
      <c r="J833" s="553">
        <v>6</v>
      </c>
      <c r="K833" s="554"/>
      <c r="L833" s="554"/>
      <c r="M833" s="554">
        <v>30</v>
      </c>
      <c r="N833" s="554"/>
      <c r="O833" s="554"/>
      <c r="P833" s="555"/>
      <c r="Q833" s="555"/>
      <c r="R833" s="555">
        <v>6</v>
      </c>
      <c r="S833" s="555"/>
      <c r="T833" s="556"/>
    </row>
    <row r="834" spans="1:20" ht="15" customHeight="1">
      <c r="A834" s="286">
        <v>834</v>
      </c>
      <c r="B834" s="544">
        <v>405</v>
      </c>
      <c r="C834" s="545" t="s">
        <v>120</v>
      </c>
      <c r="D834" s="549" t="s">
        <v>737</v>
      </c>
      <c r="E834" s="539">
        <f>VLOOKUP(B834,'2-Kosten per locatie'!$A$13:$C$87,3,FALSE)</f>
        <v>2</v>
      </c>
      <c r="F834" s="550"/>
      <c r="G834" s="551" t="s">
        <v>799</v>
      </c>
      <c r="H834" s="552" t="s">
        <v>802</v>
      </c>
      <c r="I834" s="551" t="s">
        <v>171</v>
      </c>
      <c r="J834" s="553">
        <v>6</v>
      </c>
      <c r="K834" s="554"/>
      <c r="L834" s="554"/>
      <c r="M834" s="554"/>
      <c r="N834" s="554"/>
      <c r="O834" s="554">
        <v>30</v>
      </c>
      <c r="P834" s="555"/>
      <c r="Q834" s="555"/>
      <c r="R834" s="555">
        <v>6</v>
      </c>
      <c r="S834" s="555"/>
      <c r="T834" s="556"/>
    </row>
    <row r="835" spans="1:20" ht="15" customHeight="1">
      <c r="A835" s="285">
        <v>835</v>
      </c>
      <c r="B835" s="544">
        <v>405</v>
      </c>
      <c r="C835" s="545" t="s">
        <v>120</v>
      </c>
      <c r="D835" s="549" t="s">
        <v>737</v>
      </c>
      <c r="E835" s="539">
        <f>VLOOKUP(B835,'2-Kosten per locatie'!$A$13:$C$87,3,FALSE)</f>
        <v>2</v>
      </c>
      <c r="F835" s="550"/>
      <c r="G835" s="551" t="s">
        <v>820</v>
      </c>
      <c r="H835" s="552" t="s">
        <v>804</v>
      </c>
      <c r="I835" s="551" t="s">
        <v>162</v>
      </c>
      <c r="J835" s="553">
        <v>7</v>
      </c>
      <c r="K835" s="554"/>
      <c r="L835" s="554"/>
      <c r="M835" s="554">
        <v>32</v>
      </c>
      <c r="N835" s="554"/>
      <c r="O835" s="554"/>
      <c r="P835" s="555"/>
      <c r="Q835" s="555"/>
      <c r="R835" s="555">
        <v>7</v>
      </c>
      <c r="S835" s="555"/>
      <c r="T835" s="556"/>
    </row>
    <row r="836" spans="1:20" ht="15" customHeight="1">
      <c r="A836" s="286">
        <v>836</v>
      </c>
      <c r="B836" s="544">
        <v>405</v>
      </c>
      <c r="C836" s="545" t="s">
        <v>120</v>
      </c>
      <c r="D836" s="549" t="s">
        <v>737</v>
      </c>
      <c r="E836" s="539">
        <f>VLOOKUP(B836,'2-Kosten per locatie'!$A$13:$C$87,3,FALSE)</f>
        <v>2</v>
      </c>
      <c r="F836" s="550"/>
      <c r="G836" s="551" t="s">
        <v>782</v>
      </c>
      <c r="H836" s="552" t="s">
        <v>806</v>
      </c>
      <c r="I836" s="551" t="s">
        <v>162</v>
      </c>
      <c r="J836" s="553">
        <v>16</v>
      </c>
      <c r="K836" s="554"/>
      <c r="L836" s="554"/>
      <c r="M836" s="554">
        <v>50</v>
      </c>
      <c r="N836" s="554"/>
      <c r="O836" s="554"/>
      <c r="P836" s="555"/>
      <c r="Q836" s="555"/>
      <c r="R836" s="555">
        <v>16</v>
      </c>
      <c r="S836" s="555"/>
      <c r="T836" s="556"/>
    </row>
    <row r="837" spans="1:20" ht="15" customHeight="1">
      <c r="A837" s="285">
        <v>837</v>
      </c>
      <c r="B837" s="544">
        <v>405</v>
      </c>
      <c r="C837" s="545" t="s">
        <v>120</v>
      </c>
      <c r="D837" s="549" t="s">
        <v>737</v>
      </c>
      <c r="E837" s="539">
        <f>VLOOKUP(B837,'2-Kosten per locatie'!$A$13:$C$87,3,FALSE)</f>
        <v>2</v>
      </c>
      <c r="F837" s="550"/>
      <c r="G837" s="551" t="s">
        <v>821</v>
      </c>
      <c r="H837" s="552" t="s">
        <v>808</v>
      </c>
      <c r="I837" s="551" t="s">
        <v>162</v>
      </c>
      <c r="J837" s="553">
        <v>85</v>
      </c>
      <c r="K837" s="554"/>
      <c r="L837" s="554"/>
      <c r="M837" s="554">
        <v>144</v>
      </c>
      <c r="N837" s="554"/>
      <c r="O837" s="554"/>
      <c r="P837" s="555"/>
      <c r="Q837" s="555"/>
      <c r="R837" s="555">
        <v>85</v>
      </c>
      <c r="S837" s="555"/>
      <c r="T837" s="556"/>
    </row>
    <row r="838" spans="1:20" ht="15" customHeight="1">
      <c r="A838" s="286">
        <v>838</v>
      </c>
      <c r="B838" s="544">
        <v>405</v>
      </c>
      <c r="C838" s="545" t="s">
        <v>120</v>
      </c>
      <c r="D838" s="549" t="s">
        <v>737</v>
      </c>
      <c r="E838" s="539">
        <f>VLOOKUP(B838,'2-Kosten per locatie'!$A$13:$C$87,3,FALSE)</f>
        <v>2</v>
      </c>
      <c r="F838" s="550"/>
      <c r="G838" s="551" t="s">
        <v>807</v>
      </c>
      <c r="H838" s="552" t="s">
        <v>810</v>
      </c>
      <c r="I838" s="551" t="s">
        <v>205</v>
      </c>
      <c r="J838" s="553">
        <v>12</v>
      </c>
      <c r="K838" s="554"/>
      <c r="L838" s="554"/>
      <c r="M838" s="554">
        <v>43</v>
      </c>
      <c r="N838" s="554"/>
      <c r="O838" s="554"/>
      <c r="P838" s="555"/>
      <c r="Q838" s="555"/>
      <c r="R838" s="555">
        <v>12</v>
      </c>
      <c r="S838" s="555"/>
      <c r="T838" s="556"/>
    </row>
    <row r="839" spans="1:20" ht="15" customHeight="1">
      <c r="A839" s="285">
        <v>839</v>
      </c>
      <c r="B839" s="544">
        <v>405</v>
      </c>
      <c r="C839" s="545" t="s">
        <v>120</v>
      </c>
      <c r="D839" s="549" t="s">
        <v>737</v>
      </c>
      <c r="E839" s="539">
        <f>VLOOKUP(B839,'2-Kosten per locatie'!$A$13:$C$87,3,FALSE)</f>
        <v>2</v>
      </c>
      <c r="F839" s="550"/>
      <c r="G839" s="551" t="s">
        <v>807</v>
      </c>
      <c r="H839" s="552" t="s">
        <v>811</v>
      </c>
      <c r="I839" s="551" t="s">
        <v>205</v>
      </c>
      <c r="J839" s="553">
        <v>12</v>
      </c>
      <c r="K839" s="554"/>
      <c r="L839" s="554"/>
      <c r="M839" s="554">
        <v>43</v>
      </c>
      <c r="N839" s="554"/>
      <c r="O839" s="554"/>
      <c r="P839" s="555"/>
      <c r="Q839" s="555"/>
      <c r="R839" s="555">
        <v>12</v>
      </c>
      <c r="S839" s="555"/>
      <c r="T839" s="556"/>
    </row>
    <row r="840" spans="1:20" ht="15" customHeight="1">
      <c r="A840" s="286">
        <v>840</v>
      </c>
      <c r="B840" s="544">
        <v>405</v>
      </c>
      <c r="C840" s="545" t="s">
        <v>120</v>
      </c>
      <c r="D840" s="549" t="s">
        <v>737</v>
      </c>
      <c r="E840" s="539">
        <f>VLOOKUP(B840,'2-Kosten per locatie'!$A$13:$C$87,3,FALSE)</f>
        <v>2</v>
      </c>
      <c r="F840" s="550"/>
      <c r="G840" s="551" t="s">
        <v>807</v>
      </c>
      <c r="H840" s="552" t="s">
        <v>812</v>
      </c>
      <c r="I840" s="551" t="s">
        <v>205</v>
      </c>
      <c r="J840" s="553">
        <v>12</v>
      </c>
      <c r="K840" s="554"/>
      <c r="L840" s="554"/>
      <c r="M840" s="554">
        <v>43</v>
      </c>
      <c r="N840" s="554"/>
      <c r="O840" s="554"/>
      <c r="P840" s="555"/>
      <c r="Q840" s="555"/>
      <c r="R840" s="555">
        <v>12</v>
      </c>
      <c r="S840" s="555"/>
      <c r="T840" s="556"/>
    </row>
    <row r="841" spans="1:20" ht="15" customHeight="1">
      <c r="A841" s="286">
        <v>841</v>
      </c>
      <c r="B841" s="544">
        <v>405</v>
      </c>
      <c r="C841" s="545" t="s">
        <v>120</v>
      </c>
      <c r="D841" s="549" t="s">
        <v>737</v>
      </c>
      <c r="E841" s="539">
        <f>VLOOKUP(B841,'2-Kosten per locatie'!$A$13:$C$87,3,FALSE)</f>
        <v>2</v>
      </c>
      <c r="F841" s="550"/>
      <c r="G841" s="551" t="s">
        <v>813</v>
      </c>
      <c r="H841" s="552" t="s">
        <v>814</v>
      </c>
      <c r="I841" s="551" t="s">
        <v>162</v>
      </c>
      <c r="J841" s="553">
        <v>24</v>
      </c>
      <c r="K841" s="554"/>
      <c r="L841" s="554"/>
      <c r="M841" s="554">
        <v>63</v>
      </c>
      <c r="N841" s="554"/>
      <c r="O841" s="554"/>
      <c r="P841" s="555"/>
      <c r="Q841" s="555"/>
      <c r="R841" s="555">
        <v>24</v>
      </c>
      <c r="S841" s="555"/>
      <c r="T841" s="556"/>
    </row>
    <row r="842" spans="1:20" ht="15" customHeight="1">
      <c r="A842" s="285">
        <v>842</v>
      </c>
      <c r="B842" s="544">
        <v>405</v>
      </c>
      <c r="C842" s="545" t="s">
        <v>120</v>
      </c>
      <c r="D842" s="549" t="s">
        <v>737</v>
      </c>
      <c r="E842" s="539">
        <f>VLOOKUP(B842,'2-Kosten per locatie'!$A$13:$C$87,3,FALSE)</f>
        <v>2</v>
      </c>
      <c r="F842" s="550"/>
      <c r="G842" s="551" t="s">
        <v>523</v>
      </c>
      <c r="H842" s="552" t="s">
        <v>815</v>
      </c>
      <c r="I842" s="551" t="s">
        <v>162</v>
      </c>
      <c r="J842" s="553">
        <v>4</v>
      </c>
      <c r="K842" s="554"/>
      <c r="L842" s="554"/>
      <c r="M842" s="554">
        <v>30</v>
      </c>
      <c r="N842" s="554"/>
      <c r="O842" s="554"/>
      <c r="P842" s="555"/>
      <c r="Q842" s="555"/>
      <c r="R842" s="555">
        <v>4</v>
      </c>
      <c r="S842" s="555"/>
      <c r="T842" s="556"/>
    </row>
    <row r="843" spans="1:20" ht="15" customHeight="1">
      <c r="A843" s="286">
        <v>843</v>
      </c>
      <c r="B843" s="544">
        <v>405</v>
      </c>
      <c r="C843" s="545" t="s">
        <v>120</v>
      </c>
      <c r="D843" s="549" t="s">
        <v>737</v>
      </c>
      <c r="E843" s="539">
        <f>VLOOKUP(B843,'2-Kosten per locatie'!$A$13:$C$87,3,FALSE)</f>
        <v>2</v>
      </c>
      <c r="F843" s="550"/>
      <c r="G843" s="551" t="s">
        <v>597</v>
      </c>
      <c r="H843" s="552" t="s">
        <v>816</v>
      </c>
      <c r="I843" s="551" t="s">
        <v>162</v>
      </c>
      <c r="J843" s="553">
        <v>2</v>
      </c>
      <c r="K843" s="554">
        <v>14</v>
      </c>
      <c r="L843" s="554"/>
      <c r="M843" s="554"/>
      <c r="N843" s="554"/>
      <c r="O843" s="554"/>
      <c r="P843" s="555"/>
      <c r="Q843" s="555"/>
      <c r="R843" s="555">
        <v>2</v>
      </c>
      <c r="S843" s="555"/>
      <c r="T843" s="556"/>
    </row>
    <row r="844" spans="1:20" ht="15" customHeight="1">
      <c r="A844" s="285">
        <v>844</v>
      </c>
      <c r="B844" s="544">
        <v>405</v>
      </c>
      <c r="C844" s="545" t="s">
        <v>120</v>
      </c>
      <c r="D844" s="549" t="s">
        <v>737</v>
      </c>
      <c r="E844" s="539">
        <f>VLOOKUP(B844,'2-Kosten per locatie'!$A$13:$C$87,3,FALSE)</f>
        <v>2</v>
      </c>
      <c r="F844" s="550"/>
      <c r="G844" s="551" t="s">
        <v>817</v>
      </c>
      <c r="H844" s="552" t="s">
        <v>818</v>
      </c>
      <c r="I844" s="551" t="s">
        <v>162</v>
      </c>
      <c r="J844" s="553">
        <v>6</v>
      </c>
      <c r="K844" s="554">
        <v>20</v>
      </c>
      <c r="L844" s="554"/>
      <c r="M844" s="554"/>
      <c r="N844" s="554"/>
      <c r="O844" s="554"/>
      <c r="P844" s="555"/>
      <c r="Q844" s="555"/>
      <c r="R844" s="555">
        <v>6</v>
      </c>
      <c r="S844" s="555"/>
      <c r="T844" s="556"/>
    </row>
    <row r="845" spans="1:20" ht="15" customHeight="1">
      <c r="A845" s="286">
        <v>845</v>
      </c>
      <c r="B845" s="544">
        <v>409</v>
      </c>
      <c r="C845" s="545" t="s">
        <v>124</v>
      </c>
      <c r="D845" s="549" t="s">
        <v>737</v>
      </c>
      <c r="E845" s="539">
        <f>VLOOKUP(B845,'2-Kosten per locatie'!$A$13:$C$87,3,FALSE)</f>
        <v>2</v>
      </c>
      <c r="F845" s="550"/>
      <c r="G845" s="551" t="s">
        <v>455</v>
      </c>
      <c r="H845" s="552" t="s">
        <v>510</v>
      </c>
      <c r="I845" s="551" t="s">
        <v>162</v>
      </c>
      <c r="J845" s="553">
        <v>27</v>
      </c>
      <c r="K845" s="554"/>
      <c r="L845" s="554">
        <v>70</v>
      </c>
      <c r="M845" s="554"/>
      <c r="N845" s="554"/>
      <c r="O845" s="554"/>
      <c r="P845" s="555"/>
      <c r="Q845" s="555"/>
      <c r="R845" s="555">
        <v>27</v>
      </c>
      <c r="S845" s="555"/>
      <c r="T845" s="556"/>
    </row>
    <row r="846" spans="1:20" ht="15" customHeight="1">
      <c r="A846" s="285">
        <v>846</v>
      </c>
      <c r="B846" s="544">
        <v>409</v>
      </c>
      <c r="C846" s="545" t="s">
        <v>124</v>
      </c>
      <c r="D846" s="549" t="s">
        <v>737</v>
      </c>
      <c r="E846" s="539">
        <f>VLOOKUP(B846,'2-Kosten per locatie'!$A$13:$C$87,3,FALSE)</f>
        <v>2</v>
      </c>
      <c r="F846" s="550"/>
      <c r="G846" s="551" t="s">
        <v>846</v>
      </c>
      <c r="H846" s="552" t="s">
        <v>603</v>
      </c>
      <c r="I846" s="551" t="s">
        <v>214</v>
      </c>
      <c r="J846" s="553">
        <v>10</v>
      </c>
      <c r="K846" s="554"/>
      <c r="L846" s="554">
        <v>40</v>
      </c>
      <c r="M846" s="554"/>
      <c r="N846" s="554"/>
      <c r="O846" s="554"/>
      <c r="P846" s="555"/>
      <c r="Q846" s="555"/>
      <c r="R846" s="555">
        <v>10</v>
      </c>
      <c r="S846" s="555"/>
      <c r="T846" s="556"/>
    </row>
    <row r="847" spans="1:20" ht="15" customHeight="1">
      <c r="A847" s="286">
        <v>847</v>
      </c>
      <c r="B847" s="544">
        <v>409</v>
      </c>
      <c r="C847" s="545" t="s">
        <v>124</v>
      </c>
      <c r="D847" s="549" t="s">
        <v>737</v>
      </c>
      <c r="E847" s="539">
        <f>VLOOKUP(B847,'2-Kosten per locatie'!$A$13:$C$87,3,FALSE)</f>
        <v>2</v>
      </c>
      <c r="F847" s="550"/>
      <c r="G847" s="551" t="s">
        <v>847</v>
      </c>
      <c r="H847" s="552"/>
      <c r="I847" s="551" t="s">
        <v>251</v>
      </c>
      <c r="J847" s="553">
        <v>68</v>
      </c>
      <c r="K847" s="554"/>
      <c r="L847" s="554"/>
      <c r="M847" s="554"/>
      <c r="N847" s="554"/>
      <c r="O847" s="554"/>
      <c r="P847" s="555"/>
      <c r="Q847" s="555"/>
      <c r="R847" s="555"/>
      <c r="S847" s="555"/>
      <c r="T847" s="556"/>
    </row>
    <row r="848" spans="1:20" ht="15" customHeight="1">
      <c r="A848" s="286">
        <v>848</v>
      </c>
      <c r="B848" s="544">
        <v>410</v>
      </c>
      <c r="C848" s="545" t="s">
        <v>125</v>
      </c>
      <c r="D848" s="549" t="s">
        <v>737</v>
      </c>
      <c r="E848" s="539">
        <f>VLOOKUP(B848,'2-Kosten per locatie'!$A$13:$C$87,3,FALSE)</f>
        <v>2</v>
      </c>
      <c r="F848" s="550"/>
      <c r="G848" s="551" t="s">
        <v>455</v>
      </c>
      <c r="H848" s="552" t="s">
        <v>510</v>
      </c>
      <c r="I848" s="551" t="s">
        <v>162</v>
      </c>
      <c r="J848" s="553">
        <v>26</v>
      </c>
      <c r="K848" s="554"/>
      <c r="L848" s="554">
        <v>71</v>
      </c>
      <c r="M848" s="554"/>
      <c r="N848" s="554"/>
      <c r="O848" s="554"/>
      <c r="P848" s="555"/>
      <c r="Q848" s="555"/>
      <c r="R848" s="555">
        <v>26</v>
      </c>
      <c r="S848" s="555"/>
      <c r="T848" s="556"/>
    </row>
    <row r="849" spans="1:20" ht="15" customHeight="1">
      <c r="A849" s="285">
        <v>849</v>
      </c>
      <c r="B849" s="544">
        <v>410</v>
      </c>
      <c r="C849" s="545" t="s">
        <v>125</v>
      </c>
      <c r="D849" s="549" t="s">
        <v>737</v>
      </c>
      <c r="E849" s="539">
        <f>VLOOKUP(B849,'2-Kosten per locatie'!$A$13:$C$87,3,FALSE)</f>
        <v>2</v>
      </c>
      <c r="F849" s="550"/>
      <c r="G849" s="551" t="s">
        <v>846</v>
      </c>
      <c r="H849" s="552" t="s">
        <v>603</v>
      </c>
      <c r="I849" s="551" t="s">
        <v>214</v>
      </c>
      <c r="J849" s="553">
        <v>7</v>
      </c>
      <c r="K849" s="554"/>
      <c r="L849" s="554">
        <v>42</v>
      </c>
      <c r="M849" s="554"/>
      <c r="N849" s="554"/>
      <c r="O849" s="554"/>
      <c r="P849" s="555"/>
      <c r="Q849" s="555"/>
      <c r="R849" s="555">
        <v>7</v>
      </c>
      <c r="S849" s="555"/>
      <c r="T849" s="556"/>
    </row>
    <row r="850" spans="1:20" ht="15" customHeight="1">
      <c r="A850" s="286">
        <v>850</v>
      </c>
      <c r="B850" s="544">
        <v>410</v>
      </c>
      <c r="C850" s="545" t="s">
        <v>125</v>
      </c>
      <c r="D850" s="549" t="s">
        <v>737</v>
      </c>
      <c r="E850" s="539">
        <f>VLOOKUP(B850,'2-Kosten per locatie'!$A$13:$C$87,3,FALSE)</f>
        <v>2</v>
      </c>
      <c r="F850" s="550"/>
      <c r="G850" s="551" t="s">
        <v>848</v>
      </c>
      <c r="H850" s="552"/>
      <c r="I850" s="551"/>
      <c r="J850" s="553"/>
      <c r="K850" s="554"/>
      <c r="L850" s="554"/>
      <c r="M850" s="554"/>
      <c r="N850" s="554"/>
      <c r="O850" s="554"/>
      <c r="P850" s="555"/>
      <c r="Q850" s="555"/>
      <c r="R850" s="555"/>
      <c r="S850" s="555"/>
      <c r="T850" s="556"/>
    </row>
    <row r="851" spans="1:20" ht="15" customHeight="1">
      <c r="A851" s="285">
        <v>851</v>
      </c>
      <c r="B851" s="544">
        <v>410</v>
      </c>
      <c r="C851" s="545" t="s">
        <v>125</v>
      </c>
      <c r="D851" s="549" t="s">
        <v>737</v>
      </c>
      <c r="E851" s="539">
        <f>VLOOKUP(B851,'2-Kosten per locatie'!$A$13:$C$87,3,FALSE)</f>
        <v>2</v>
      </c>
      <c r="F851" s="550"/>
      <c r="G851" s="551" t="s">
        <v>847</v>
      </c>
      <c r="H851" s="552"/>
      <c r="I851" s="551" t="s">
        <v>251</v>
      </c>
      <c r="J851" s="553">
        <v>122</v>
      </c>
      <c r="K851" s="554"/>
      <c r="L851" s="554"/>
      <c r="M851" s="554"/>
      <c r="N851" s="554"/>
      <c r="O851" s="554"/>
      <c r="P851" s="555"/>
      <c r="Q851" s="555"/>
      <c r="R851" s="555"/>
      <c r="S851" s="555"/>
      <c r="T851" s="556"/>
    </row>
    <row r="852" spans="1:20" ht="15" customHeight="1">
      <c r="A852" s="286">
        <v>852</v>
      </c>
      <c r="B852" s="544">
        <v>411</v>
      </c>
      <c r="C852" s="545" t="s">
        <v>126</v>
      </c>
      <c r="D852" s="549" t="s">
        <v>737</v>
      </c>
      <c r="E852" s="539">
        <f>VLOOKUP(B852,'2-Kosten per locatie'!$A$13:$C$87,3,FALSE)</f>
        <v>2</v>
      </c>
      <c r="F852" s="550"/>
      <c r="G852" s="551" t="s">
        <v>350</v>
      </c>
      <c r="H852" s="552" t="s">
        <v>158</v>
      </c>
      <c r="I852" s="551" t="s">
        <v>162</v>
      </c>
      <c r="J852" s="553">
        <v>19</v>
      </c>
      <c r="K852" s="554"/>
      <c r="L852" s="554">
        <v>55</v>
      </c>
      <c r="M852" s="554"/>
      <c r="N852" s="554"/>
      <c r="O852" s="554"/>
      <c r="P852" s="555"/>
      <c r="Q852" s="555"/>
      <c r="R852" s="555">
        <v>19</v>
      </c>
      <c r="S852" s="555"/>
      <c r="T852" s="556"/>
    </row>
    <row r="853" spans="1:20" ht="15" customHeight="1">
      <c r="A853" s="285">
        <v>853</v>
      </c>
      <c r="B853" s="544">
        <v>411</v>
      </c>
      <c r="C853" s="545" t="s">
        <v>126</v>
      </c>
      <c r="D853" s="549" t="s">
        <v>737</v>
      </c>
      <c r="E853" s="539">
        <f>VLOOKUP(B853,'2-Kosten per locatie'!$A$13:$C$87,3,FALSE)</f>
        <v>2</v>
      </c>
      <c r="F853" s="550"/>
      <c r="G853" s="551" t="s">
        <v>350</v>
      </c>
      <c r="H853" s="552" t="s">
        <v>509</v>
      </c>
      <c r="I853" s="551" t="s">
        <v>162</v>
      </c>
      <c r="J853" s="553">
        <v>8</v>
      </c>
      <c r="K853" s="554"/>
      <c r="L853" s="554">
        <v>34</v>
      </c>
      <c r="M853" s="554"/>
      <c r="N853" s="554"/>
      <c r="O853" s="554"/>
      <c r="P853" s="555"/>
      <c r="Q853" s="555"/>
      <c r="R853" s="555">
        <v>8</v>
      </c>
      <c r="S853" s="555"/>
      <c r="T853" s="556"/>
    </row>
    <row r="854" spans="1:20" ht="15" customHeight="1">
      <c r="A854" s="286">
        <v>854</v>
      </c>
      <c r="B854" s="544">
        <v>411</v>
      </c>
      <c r="C854" s="545" t="s">
        <v>126</v>
      </c>
      <c r="D854" s="549" t="s">
        <v>737</v>
      </c>
      <c r="E854" s="539">
        <f>VLOOKUP(B854,'2-Kosten per locatie'!$A$13:$C$87,3,FALSE)</f>
        <v>2</v>
      </c>
      <c r="F854" s="550"/>
      <c r="G854" s="551" t="s">
        <v>849</v>
      </c>
      <c r="H854" s="552" t="s">
        <v>282</v>
      </c>
      <c r="I854" s="551" t="s">
        <v>162</v>
      </c>
      <c r="J854" s="553">
        <v>3</v>
      </c>
      <c r="K854" s="554"/>
      <c r="L854" s="554" t="s">
        <v>850</v>
      </c>
      <c r="M854" s="554"/>
      <c r="N854" s="554"/>
      <c r="O854" s="554"/>
      <c r="P854" s="555"/>
      <c r="Q854" s="555"/>
      <c r="R854" s="555">
        <v>3</v>
      </c>
      <c r="S854" s="555"/>
      <c r="T854" s="556"/>
    </row>
    <row r="855" spans="1:20" ht="15" customHeight="1">
      <c r="A855" s="286">
        <v>855</v>
      </c>
      <c r="B855" s="544">
        <v>411</v>
      </c>
      <c r="C855" s="545" t="s">
        <v>126</v>
      </c>
      <c r="D855" s="549" t="s">
        <v>737</v>
      </c>
      <c r="E855" s="539">
        <f>VLOOKUP(B855,'2-Kosten per locatie'!$A$13:$C$87,3,FALSE)</f>
        <v>2</v>
      </c>
      <c r="F855" s="550"/>
      <c r="G855" s="551" t="s">
        <v>851</v>
      </c>
      <c r="H855" s="552" t="s">
        <v>510</v>
      </c>
      <c r="I855" s="551" t="s">
        <v>214</v>
      </c>
      <c r="J855" s="553">
        <v>16</v>
      </c>
      <c r="K855" s="554"/>
      <c r="L855" s="554">
        <v>41</v>
      </c>
      <c r="M855" s="554"/>
      <c r="N855" s="554"/>
      <c r="O855" s="554"/>
      <c r="P855" s="555"/>
      <c r="Q855" s="555"/>
      <c r="R855" s="555"/>
      <c r="S855" s="555">
        <v>16</v>
      </c>
      <c r="T855" s="556"/>
    </row>
    <row r="856" spans="1:20" ht="15" customHeight="1">
      <c r="A856" s="285">
        <v>856</v>
      </c>
      <c r="B856" s="544">
        <v>411</v>
      </c>
      <c r="C856" s="545" t="s">
        <v>126</v>
      </c>
      <c r="D856" s="549" t="s">
        <v>737</v>
      </c>
      <c r="E856" s="539">
        <f>VLOOKUP(B856,'2-Kosten per locatie'!$A$13:$C$87,3,FALSE)</f>
        <v>2</v>
      </c>
      <c r="F856" s="550"/>
      <c r="G856" s="551" t="s">
        <v>455</v>
      </c>
      <c r="H856" s="552" t="s">
        <v>603</v>
      </c>
      <c r="I856" s="551" t="s">
        <v>162</v>
      </c>
      <c r="J856" s="553">
        <v>30</v>
      </c>
      <c r="K856" s="554"/>
      <c r="L856" s="554">
        <v>67</v>
      </c>
      <c r="M856" s="554"/>
      <c r="N856" s="554"/>
      <c r="O856" s="554"/>
      <c r="P856" s="555"/>
      <c r="Q856" s="555"/>
      <c r="R856" s="555">
        <v>30</v>
      </c>
      <c r="S856" s="555"/>
      <c r="T856" s="556"/>
    </row>
    <row r="857" spans="1:20" ht="15" customHeight="1">
      <c r="A857" s="286">
        <v>857</v>
      </c>
      <c r="B857" s="544">
        <v>411</v>
      </c>
      <c r="C857" s="545" t="s">
        <v>126</v>
      </c>
      <c r="D857" s="549" t="s">
        <v>737</v>
      </c>
      <c r="E857" s="539">
        <f>VLOOKUP(B857,'2-Kosten per locatie'!$A$13:$C$87,3,FALSE)</f>
        <v>2</v>
      </c>
      <c r="F857" s="550"/>
      <c r="G857" s="551" t="s">
        <v>852</v>
      </c>
      <c r="H857" s="552" t="s">
        <v>853</v>
      </c>
      <c r="I857" s="551" t="s">
        <v>214</v>
      </c>
      <c r="J857" s="553">
        <v>33</v>
      </c>
      <c r="K857" s="554"/>
      <c r="L857" s="554">
        <v>38</v>
      </c>
      <c r="M857" s="554"/>
      <c r="N857" s="554"/>
      <c r="O857" s="554"/>
      <c r="P857" s="555"/>
      <c r="Q857" s="555">
        <v>33</v>
      </c>
      <c r="R857" s="555"/>
      <c r="S857" s="555"/>
      <c r="T857" s="556"/>
    </row>
    <row r="858" spans="1:20" ht="15" customHeight="1">
      <c r="A858" s="285">
        <v>858</v>
      </c>
      <c r="B858" s="544">
        <v>411</v>
      </c>
      <c r="C858" s="545" t="s">
        <v>126</v>
      </c>
      <c r="D858" s="549" t="s">
        <v>737</v>
      </c>
      <c r="E858" s="539">
        <f>VLOOKUP(B858,'2-Kosten per locatie'!$A$13:$C$87,3,FALSE)</f>
        <v>2</v>
      </c>
      <c r="F858" s="550"/>
      <c r="G858" s="551" t="s">
        <v>854</v>
      </c>
      <c r="H858" s="552" t="s">
        <v>855</v>
      </c>
      <c r="I858" s="551" t="s">
        <v>856</v>
      </c>
      <c r="J858" s="553">
        <v>15</v>
      </c>
      <c r="K858" s="554"/>
      <c r="L858" s="554">
        <v>41</v>
      </c>
      <c r="M858" s="554"/>
      <c r="N858" s="554"/>
      <c r="O858" s="554"/>
      <c r="P858" s="555"/>
      <c r="Q858" s="555"/>
      <c r="R858" s="555"/>
      <c r="S858" s="555">
        <v>15</v>
      </c>
      <c r="T858" s="556"/>
    </row>
    <row r="859" spans="1:20" ht="15" customHeight="1">
      <c r="A859" s="286">
        <v>859</v>
      </c>
      <c r="B859" s="544">
        <v>411</v>
      </c>
      <c r="C859" s="545" t="s">
        <v>126</v>
      </c>
      <c r="D859" s="549" t="s">
        <v>737</v>
      </c>
      <c r="E859" s="539">
        <f>VLOOKUP(B859,'2-Kosten per locatie'!$A$13:$C$87,3,FALSE)</f>
        <v>2</v>
      </c>
      <c r="F859" s="550"/>
      <c r="G859" s="551" t="s">
        <v>398</v>
      </c>
      <c r="H859" s="552" t="s">
        <v>857</v>
      </c>
      <c r="I859" s="551" t="s">
        <v>858</v>
      </c>
      <c r="J859" s="553">
        <v>5</v>
      </c>
      <c r="K859" s="554"/>
      <c r="L859" s="554"/>
      <c r="M859" s="554"/>
      <c r="N859" s="554"/>
      <c r="O859" s="554"/>
      <c r="P859" s="555"/>
      <c r="Q859" s="555"/>
      <c r="R859" s="555"/>
      <c r="S859" s="555"/>
      <c r="T859" s="556"/>
    </row>
    <row r="860" spans="1:20" ht="15" customHeight="1">
      <c r="A860" s="285">
        <v>860</v>
      </c>
      <c r="B860" s="544" t="s">
        <v>129</v>
      </c>
      <c r="C860" s="545" t="s">
        <v>115</v>
      </c>
      <c r="D860" s="549" t="s">
        <v>737</v>
      </c>
      <c r="E860" s="539">
        <f>VLOOKUP(B860,'2-Kosten per locatie'!$A$13:$C$87,3,FALSE)</f>
        <v>2</v>
      </c>
      <c r="F860" s="550"/>
      <c r="G860" s="551" t="s">
        <v>738</v>
      </c>
      <c r="H860" s="552" t="s">
        <v>510</v>
      </c>
      <c r="I860" s="551" t="s">
        <v>214</v>
      </c>
      <c r="J860" s="553">
        <v>10</v>
      </c>
      <c r="K860" s="554"/>
      <c r="L860" s="554">
        <v>52</v>
      </c>
      <c r="M860" s="554"/>
      <c r="N860" s="554"/>
      <c r="O860" s="554"/>
      <c r="P860" s="555"/>
      <c r="Q860" s="555"/>
      <c r="R860" s="555">
        <v>10</v>
      </c>
      <c r="S860" s="555"/>
      <c r="T860" s="556"/>
    </row>
    <row r="861" spans="1:20" ht="15" customHeight="1">
      <c r="A861" s="286">
        <v>861</v>
      </c>
      <c r="B861" s="544" t="s">
        <v>129</v>
      </c>
      <c r="C861" s="545" t="s">
        <v>115</v>
      </c>
      <c r="D861" s="549" t="s">
        <v>737</v>
      </c>
      <c r="E861" s="539">
        <f>VLOOKUP(B861,'2-Kosten per locatie'!$A$13:$C$87,3,FALSE)</f>
        <v>2</v>
      </c>
      <c r="F861" s="550"/>
      <c r="G861" s="551" t="s">
        <v>859</v>
      </c>
      <c r="H861" s="552" t="s">
        <v>741</v>
      </c>
      <c r="I861" s="551" t="s">
        <v>214</v>
      </c>
      <c r="J861" s="553">
        <v>32</v>
      </c>
      <c r="K861" s="554"/>
      <c r="L861" s="554">
        <v>94</v>
      </c>
      <c r="M861" s="554"/>
      <c r="N861" s="554"/>
      <c r="O861" s="554"/>
      <c r="P861" s="555"/>
      <c r="Q861" s="555"/>
      <c r="R861" s="555">
        <v>32</v>
      </c>
      <c r="S861" s="555"/>
      <c r="T861" s="556"/>
    </row>
    <row r="862" spans="1:20" ht="15" customHeight="1">
      <c r="A862" s="286">
        <v>862</v>
      </c>
      <c r="B862" s="544">
        <v>413</v>
      </c>
      <c r="C862" s="545" t="s">
        <v>132</v>
      </c>
      <c r="D862" s="549" t="s">
        <v>737</v>
      </c>
      <c r="E862" s="539">
        <f>VLOOKUP(B862,'2-Kosten per locatie'!$A$13:$C$87,3,FALSE)</f>
        <v>2</v>
      </c>
      <c r="F862" s="550"/>
      <c r="G862" s="640" t="s">
        <v>731</v>
      </c>
      <c r="H862" s="551" t="s">
        <v>860</v>
      </c>
      <c r="I862" s="551" t="s">
        <v>214</v>
      </c>
      <c r="J862" s="641">
        <v>17</v>
      </c>
      <c r="K862" s="554"/>
      <c r="L862" s="554"/>
      <c r="M862" s="554"/>
      <c r="N862" s="554"/>
      <c r="O862" s="554"/>
      <c r="P862" s="555"/>
      <c r="Q862" s="555"/>
      <c r="R862" s="555"/>
      <c r="S862" s="555"/>
      <c r="T862" s="556"/>
    </row>
    <row r="863" spans="1:20" ht="15" customHeight="1">
      <c r="A863" s="285">
        <v>863</v>
      </c>
      <c r="B863" s="544">
        <v>413</v>
      </c>
      <c r="C863" s="545" t="s">
        <v>132</v>
      </c>
      <c r="D863" s="549" t="s">
        <v>737</v>
      </c>
      <c r="E863" s="539">
        <f>VLOOKUP(B863,'2-Kosten per locatie'!$A$13:$C$87,3,FALSE)</f>
        <v>2</v>
      </c>
      <c r="F863" s="550"/>
      <c r="G863" s="640" t="s">
        <v>859</v>
      </c>
      <c r="H863" s="551" t="s">
        <v>861</v>
      </c>
      <c r="I863" s="551" t="s">
        <v>214</v>
      </c>
      <c r="J863" s="641">
        <v>41</v>
      </c>
      <c r="K863" s="554"/>
      <c r="L863" s="554"/>
      <c r="M863" s="554"/>
      <c r="N863" s="554"/>
      <c r="O863" s="554"/>
      <c r="P863" s="555"/>
      <c r="Q863" s="555"/>
      <c r="R863" s="555"/>
      <c r="S863" s="555"/>
      <c r="T863" s="556"/>
    </row>
    <row r="864" spans="1:20" ht="15" customHeight="1">
      <c r="A864" s="286">
        <v>864</v>
      </c>
      <c r="B864" s="544">
        <v>413</v>
      </c>
      <c r="C864" s="545" t="s">
        <v>132</v>
      </c>
      <c r="D864" s="549" t="s">
        <v>737</v>
      </c>
      <c r="E864" s="539">
        <f>VLOOKUP(B864,'2-Kosten per locatie'!$A$13:$C$87,3,FALSE)</f>
        <v>2</v>
      </c>
      <c r="F864" s="550"/>
      <c r="G864" s="640" t="s">
        <v>862</v>
      </c>
      <c r="H864" s="551" t="s">
        <v>863</v>
      </c>
      <c r="I864" s="551" t="s">
        <v>214</v>
      </c>
      <c r="J864" s="641">
        <v>10</v>
      </c>
      <c r="K864" s="554"/>
      <c r="L864" s="554"/>
      <c r="M864" s="554"/>
      <c r="N864" s="554"/>
      <c r="O864" s="554"/>
      <c r="P864" s="555"/>
      <c r="Q864" s="555"/>
      <c r="R864" s="555"/>
      <c r="S864" s="555"/>
      <c r="T864" s="556"/>
    </row>
    <row r="865" spans="1:20" ht="15" customHeight="1">
      <c r="A865" s="285">
        <v>865</v>
      </c>
      <c r="B865" s="544">
        <v>413</v>
      </c>
      <c r="C865" s="545" t="s">
        <v>132</v>
      </c>
      <c r="D865" s="549" t="s">
        <v>737</v>
      </c>
      <c r="E865" s="539">
        <f>VLOOKUP(B865,'2-Kosten per locatie'!$A$13:$C$87,3,FALSE)</f>
        <v>2</v>
      </c>
      <c r="F865" s="550"/>
      <c r="G865" s="640" t="s">
        <v>864</v>
      </c>
      <c r="H865" s="551" t="s">
        <v>865</v>
      </c>
      <c r="I865" s="551" t="s">
        <v>214</v>
      </c>
      <c r="J865" s="641">
        <v>5</v>
      </c>
      <c r="K865" s="554"/>
      <c r="L865" s="554"/>
      <c r="M865" s="554"/>
      <c r="N865" s="554"/>
      <c r="O865" s="554"/>
      <c r="P865" s="555"/>
      <c r="Q865" s="555"/>
      <c r="R865" s="555"/>
      <c r="S865" s="555"/>
      <c r="T865" s="556"/>
    </row>
    <row r="866" spans="1:20" ht="15" customHeight="1">
      <c r="A866" s="286">
        <v>866</v>
      </c>
      <c r="B866" s="544">
        <v>413</v>
      </c>
      <c r="C866" s="545" t="s">
        <v>132</v>
      </c>
      <c r="D866" s="549" t="s">
        <v>737</v>
      </c>
      <c r="E866" s="539">
        <f>VLOOKUP(B866,'2-Kosten per locatie'!$A$13:$C$87,3,FALSE)</f>
        <v>2</v>
      </c>
      <c r="F866" s="550"/>
      <c r="G866" s="640" t="s">
        <v>866</v>
      </c>
      <c r="H866" s="551" t="s">
        <v>867</v>
      </c>
      <c r="I866" s="551" t="s">
        <v>214</v>
      </c>
      <c r="J866" s="641">
        <v>6</v>
      </c>
      <c r="K866" s="554"/>
      <c r="L866" s="554"/>
      <c r="M866" s="554"/>
      <c r="N866" s="554"/>
      <c r="O866" s="554"/>
      <c r="P866" s="555"/>
      <c r="Q866" s="555"/>
      <c r="R866" s="555"/>
      <c r="S866" s="555"/>
      <c r="T866" s="556"/>
    </row>
    <row r="867" spans="1:20" ht="15" customHeight="1">
      <c r="A867" s="285">
        <v>867</v>
      </c>
      <c r="B867" s="544">
        <v>413</v>
      </c>
      <c r="C867" s="545" t="s">
        <v>132</v>
      </c>
      <c r="D867" s="549" t="s">
        <v>737</v>
      </c>
      <c r="E867" s="539">
        <f>VLOOKUP(B867,'2-Kosten per locatie'!$A$13:$C$87,3,FALSE)</f>
        <v>2</v>
      </c>
      <c r="F867" s="550"/>
      <c r="G867" s="640" t="s">
        <v>868</v>
      </c>
      <c r="H867" s="551" t="s">
        <v>869</v>
      </c>
      <c r="I867" s="551" t="s">
        <v>214</v>
      </c>
      <c r="J867" s="641">
        <v>12</v>
      </c>
      <c r="K867" s="554"/>
      <c r="L867" s="554"/>
      <c r="M867" s="554"/>
      <c r="N867" s="554"/>
      <c r="O867" s="554"/>
      <c r="P867" s="555"/>
      <c r="Q867" s="555"/>
      <c r="R867" s="555"/>
      <c r="S867" s="555"/>
      <c r="T867" s="556"/>
    </row>
    <row r="868" spans="1:20" ht="15" customHeight="1">
      <c r="A868" s="286">
        <v>868</v>
      </c>
      <c r="B868" s="544">
        <v>413</v>
      </c>
      <c r="C868" s="545" t="s">
        <v>132</v>
      </c>
      <c r="D868" s="549" t="s">
        <v>737</v>
      </c>
      <c r="E868" s="539">
        <f>VLOOKUP(B868,'2-Kosten per locatie'!$A$13:$C$87,3,FALSE)</f>
        <v>2</v>
      </c>
      <c r="F868" s="550"/>
      <c r="G868" s="640" t="s">
        <v>870</v>
      </c>
      <c r="H868" s="551" t="s">
        <v>871</v>
      </c>
      <c r="I868" s="551" t="s">
        <v>214</v>
      </c>
      <c r="J868" s="641">
        <v>17</v>
      </c>
      <c r="K868" s="554"/>
      <c r="L868" s="554"/>
      <c r="M868" s="554"/>
      <c r="N868" s="554"/>
      <c r="O868" s="554"/>
      <c r="P868" s="555"/>
      <c r="Q868" s="555"/>
      <c r="R868" s="555"/>
      <c r="S868" s="555"/>
      <c r="T868" s="556"/>
    </row>
    <row r="869" spans="1:20" ht="15" customHeight="1">
      <c r="A869" s="286">
        <v>869</v>
      </c>
      <c r="B869" s="544">
        <v>413</v>
      </c>
      <c r="C869" s="545" t="s">
        <v>132</v>
      </c>
      <c r="D869" s="549" t="s">
        <v>737</v>
      </c>
      <c r="E869" s="539">
        <f>VLOOKUP(B869,'2-Kosten per locatie'!$A$13:$C$87,3,FALSE)</f>
        <v>2</v>
      </c>
      <c r="F869" s="550"/>
      <c r="G869" s="640" t="s">
        <v>872</v>
      </c>
      <c r="H869" s="551" t="s">
        <v>873</v>
      </c>
      <c r="I869" s="551" t="s">
        <v>214</v>
      </c>
      <c r="J869" s="641">
        <v>41</v>
      </c>
      <c r="K869" s="554"/>
      <c r="L869" s="554"/>
      <c r="M869" s="554"/>
      <c r="N869" s="554"/>
      <c r="O869" s="554"/>
      <c r="P869" s="555"/>
      <c r="Q869" s="555"/>
      <c r="R869" s="555"/>
      <c r="S869" s="555"/>
      <c r="T869" s="556"/>
    </row>
    <row r="870" spans="1:20" ht="15" customHeight="1">
      <c r="A870" s="285">
        <v>870</v>
      </c>
      <c r="B870" s="544">
        <v>413</v>
      </c>
      <c r="C870" s="545" t="s">
        <v>132</v>
      </c>
      <c r="D870" s="549" t="s">
        <v>737</v>
      </c>
      <c r="E870" s="539">
        <f>VLOOKUP(B870,'2-Kosten per locatie'!$A$13:$C$87,3,FALSE)</f>
        <v>2</v>
      </c>
      <c r="F870" s="550"/>
      <c r="G870" s="640" t="s">
        <v>874</v>
      </c>
      <c r="H870" s="551" t="s">
        <v>875</v>
      </c>
      <c r="I870" s="551" t="s">
        <v>214</v>
      </c>
      <c r="J870" s="641">
        <v>15</v>
      </c>
      <c r="K870" s="554"/>
      <c r="L870" s="554"/>
      <c r="M870" s="554"/>
      <c r="N870" s="554"/>
      <c r="O870" s="554"/>
      <c r="P870" s="555"/>
      <c r="Q870" s="555"/>
      <c r="R870" s="555"/>
      <c r="S870" s="555"/>
      <c r="T870" s="556"/>
    </row>
    <row r="871" spans="1:20" ht="15" customHeight="1">
      <c r="A871" s="286">
        <v>871</v>
      </c>
      <c r="B871" s="544">
        <v>413</v>
      </c>
      <c r="C871" s="545" t="s">
        <v>132</v>
      </c>
      <c r="D871" s="549" t="s">
        <v>737</v>
      </c>
      <c r="E871" s="539">
        <f>VLOOKUP(B871,'2-Kosten per locatie'!$A$13:$C$87,3,FALSE)</f>
        <v>2</v>
      </c>
      <c r="F871" s="550"/>
      <c r="G871" s="640" t="s">
        <v>876</v>
      </c>
      <c r="H871" s="551" t="s">
        <v>877</v>
      </c>
      <c r="I871" s="551" t="s">
        <v>214</v>
      </c>
      <c r="J871" s="642">
        <v>18</v>
      </c>
      <c r="K871" s="554"/>
      <c r="L871" s="554"/>
      <c r="M871" s="554"/>
      <c r="N871" s="554"/>
      <c r="O871" s="554"/>
      <c r="P871" s="555"/>
      <c r="Q871" s="555"/>
      <c r="R871" s="555"/>
      <c r="S871" s="555"/>
      <c r="T871" s="556"/>
    </row>
    <row r="872" spans="1:20" ht="15" customHeight="1">
      <c r="A872" s="285">
        <v>872</v>
      </c>
      <c r="B872" s="544">
        <v>416</v>
      </c>
      <c r="C872" s="545" t="s">
        <v>133</v>
      </c>
      <c r="D872" s="549" t="s">
        <v>737</v>
      </c>
      <c r="E872" s="539">
        <f>VLOOKUP(B872,'2-Kosten per locatie'!$A$13:$C$87,3,FALSE)</f>
        <v>2</v>
      </c>
      <c r="F872" s="550"/>
      <c r="G872" s="640" t="s">
        <v>731</v>
      </c>
      <c r="H872" s="643" t="s">
        <v>860</v>
      </c>
      <c r="I872" s="551" t="s">
        <v>171</v>
      </c>
      <c r="J872" s="642">
        <v>35</v>
      </c>
      <c r="K872" s="554"/>
      <c r="L872" s="554"/>
      <c r="M872" s="554"/>
      <c r="N872" s="554"/>
      <c r="O872" s="554"/>
      <c r="P872" s="555"/>
      <c r="Q872" s="555"/>
      <c r="R872" s="555"/>
      <c r="S872" s="555"/>
      <c r="T872" s="556"/>
    </row>
    <row r="873" spans="1:20" ht="15" customHeight="1">
      <c r="A873" s="286">
        <v>873</v>
      </c>
      <c r="B873" s="544">
        <v>416</v>
      </c>
      <c r="C873" s="545" t="s">
        <v>133</v>
      </c>
      <c r="D873" s="549" t="s">
        <v>737</v>
      </c>
      <c r="E873" s="539">
        <f>VLOOKUP(B873,'2-Kosten per locatie'!$A$13:$C$87,3,FALSE)</f>
        <v>2</v>
      </c>
      <c r="F873" s="550"/>
      <c r="G873" s="640" t="s">
        <v>862</v>
      </c>
      <c r="H873" s="643" t="s">
        <v>861</v>
      </c>
      <c r="I873" s="551" t="s">
        <v>171</v>
      </c>
      <c r="J873" s="642">
        <v>17</v>
      </c>
      <c r="K873" s="554"/>
      <c r="L873" s="554"/>
      <c r="M873" s="554"/>
      <c r="N873" s="554"/>
      <c r="O873" s="554"/>
      <c r="P873" s="555"/>
      <c r="Q873" s="555"/>
      <c r="R873" s="555"/>
      <c r="S873" s="555"/>
      <c r="T873" s="556"/>
    </row>
    <row r="874" spans="1:20" ht="15" customHeight="1">
      <c r="A874" s="285">
        <v>874</v>
      </c>
      <c r="B874" s="544">
        <v>416</v>
      </c>
      <c r="C874" s="545" t="s">
        <v>133</v>
      </c>
      <c r="D874" s="549" t="s">
        <v>737</v>
      </c>
      <c r="E874" s="539">
        <f>VLOOKUP(B874,'2-Kosten per locatie'!$A$13:$C$87,3,FALSE)</f>
        <v>2</v>
      </c>
      <c r="F874" s="550"/>
      <c r="G874" s="640" t="s">
        <v>878</v>
      </c>
      <c r="H874" s="643" t="s">
        <v>863</v>
      </c>
      <c r="I874" s="551" t="s">
        <v>171</v>
      </c>
      <c r="J874" s="642">
        <v>6</v>
      </c>
      <c r="K874" s="554"/>
      <c r="L874" s="554"/>
      <c r="M874" s="554"/>
      <c r="N874" s="554"/>
      <c r="O874" s="554"/>
      <c r="P874" s="555"/>
      <c r="Q874" s="555"/>
      <c r="R874" s="555"/>
      <c r="S874" s="555"/>
      <c r="T874" s="556"/>
    </row>
    <row r="875" spans="1:20" ht="15" customHeight="1">
      <c r="A875" s="286">
        <v>875</v>
      </c>
      <c r="B875" s="544">
        <v>416</v>
      </c>
      <c r="C875" s="545" t="s">
        <v>133</v>
      </c>
      <c r="D875" s="549" t="s">
        <v>737</v>
      </c>
      <c r="E875" s="539">
        <f>VLOOKUP(B875,'2-Kosten per locatie'!$A$13:$C$87,3,FALSE)</f>
        <v>2</v>
      </c>
      <c r="F875" s="550"/>
      <c r="G875" s="551" t="s">
        <v>738</v>
      </c>
      <c r="H875" s="643" t="s">
        <v>865</v>
      </c>
      <c r="I875" s="551" t="s">
        <v>171</v>
      </c>
      <c r="J875" s="642">
        <v>6</v>
      </c>
      <c r="K875" s="554"/>
      <c r="L875" s="554"/>
      <c r="M875" s="554"/>
      <c r="N875" s="554"/>
      <c r="O875" s="554"/>
      <c r="P875" s="555"/>
      <c r="Q875" s="555"/>
      <c r="R875" s="555"/>
      <c r="S875" s="555"/>
      <c r="T875" s="556"/>
    </row>
    <row r="876" spans="1:20" ht="15" customHeight="1">
      <c r="A876" s="286">
        <v>876</v>
      </c>
      <c r="B876" s="544">
        <v>416</v>
      </c>
      <c r="C876" s="545" t="s">
        <v>133</v>
      </c>
      <c r="D876" s="549" t="s">
        <v>737</v>
      </c>
      <c r="E876" s="539">
        <f>VLOOKUP(B876,'2-Kosten per locatie'!$A$13:$C$87,3,FALSE)</f>
        <v>2</v>
      </c>
      <c r="F876" s="550"/>
      <c r="G876" s="640" t="s">
        <v>870</v>
      </c>
      <c r="H876" s="643" t="s">
        <v>867</v>
      </c>
      <c r="I876" s="551" t="s">
        <v>214</v>
      </c>
      <c r="J876" s="642">
        <v>35</v>
      </c>
      <c r="K876" s="554"/>
      <c r="L876" s="554"/>
      <c r="M876" s="554"/>
      <c r="N876" s="554"/>
      <c r="O876" s="554"/>
      <c r="P876" s="555"/>
      <c r="Q876" s="555"/>
      <c r="R876" s="555"/>
      <c r="S876" s="555"/>
      <c r="T876" s="556"/>
    </row>
    <row r="877" spans="1:20" ht="15" customHeight="1">
      <c r="A877" s="285">
        <v>877</v>
      </c>
      <c r="B877" s="544">
        <v>416</v>
      </c>
      <c r="C877" s="545" t="s">
        <v>133</v>
      </c>
      <c r="D877" s="549" t="s">
        <v>737</v>
      </c>
      <c r="E877" s="539">
        <f>VLOOKUP(B877,'2-Kosten per locatie'!$A$13:$C$87,3,FALSE)</f>
        <v>2</v>
      </c>
      <c r="F877" s="550"/>
      <c r="G877" s="640" t="s">
        <v>879</v>
      </c>
      <c r="H877" s="643" t="s">
        <v>869</v>
      </c>
      <c r="I877" s="551" t="s">
        <v>214</v>
      </c>
      <c r="J877" s="642">
        <v>17</v>
      </c>
      <c r="K877" s="554"/>
      <c r="L877" s="554"/>
      <c r="M877" s="554"/>
      <c r="N877" s="554"/>
      <c r="O877" s="554"/>
      <c r="P877" s="555"/>
      <c r="Q877" s="555"/>
      <c r="R877" s="555"/>
      <c r="S877" s="555"/>
      <c r="T877" s="556"/>
    </row>
    <row r="878" spans="1:20" ht="15" customHeight="1">
      <c r="A878" s="286">
        <v>878</v>
      </c>
      <c r="B878" s="544">
        <v>416</v>
      </c>
      <c r="C878" s="545" t="s">
        <v>133</v>
      </c>
      <c r="D878" s="549" t="s">
        <v>737</v>
      </c>
      <c r="E878" s="539">
        <f>VLOOKUP(B878,'2-Kosten per locatie'!$A$13:$C$87,3,FALSE)</f>
        <v>2</v>
      </c>
      <c r="F878" s="550"/>
      <c r="G878" s="640" t="s">
        <v>880</v>
      </c>
      <c r="H878" s="643" t="s">
        <v>871</v>
      </c>
      <c r="I878" s="551" t="s">
        <v>214</v>
      </c>
      <c r="J878" s="642">
        <v>6</v>
      </c>
      <c r="K878" s="554"/>
      <c r="L878" s="554"/>
      <c r="M878" s="554"/>
      <c r="N878" s="554"/>
      <c r="O878" s="554"/>
      <c r="P878" s="555"/>
      <c r="Q878" s="555"/>
      <c r="R878" s="555"/>
      <c r="S878" s="555"/>
      <c r="T878" s="556"/>
    </row>
    <row r="879" spans="1:20" ht="15" customHeight="1">
      <c r="A879" s="285">
        <v>879</v>
      </c>
      <c r="B879" s="544">
        <v>416</v>
      </c>
      <c r="C879" s="545" t="s">
        <v>133</v>
      </c>
      <c r="D879" s="549" t="s">
        <v>737</v>
      </c>
      <c r="E879" s="539">
        <f>VLOOKUP(B879,'2-Kosten per locatie'!$A$13:$C$87,3,FALSE)</f>
        <v>2</v>
      </c>
      <c r="F879" s="550"/>
      <c r="G879" s="640" t="s">
        <v>874</v>
      </c>
      <c r="H879" s="643" t="s">
        <v>873</v>
      </c>
      <c r="I879" s="551" t="s">
        <v>214</v>
      </c>
      <c r="J879" s="642">
        <v>6</v>
      </c>
      <c r="K879" s="554"/>
      <c r="L879" s="554"/>
      <c r="M879" s="554"/>
      <c r="N879" s="554"/>
      <c r="O879" s="554"/>
      <c r="P879" s="555"/>
      <c r="Q879" s="555"/>
      <c r="R879" s="555"/>
      <c r="S879" s="555"/>
      <c r="T879" s="556"/>
    </row>
    <row r="880" spans="1:20" ht="15" customHeight="1">
      <c r="A880" s="286">
        <v>880</v>
      </c>
      <c r="B880" s="544">
        <v>417</v>
      </c>
      <c r="C880" s="545" t="s">
        <v>134</v>
      </c>
      <c r="D880" s="549" t="s">
        <v>737</v>
      </c>
      <c r="E880" s="539">
        <f>VLOOKUP(B880,'2-Kosten per locatie'!$A$13:$C$87,3,FALSE)</f>
        <v>2</v>
      </c>
      <c r="F880" s="550"/>
      <c r="G880" s="640" t="s">
        <v>731</v>
      </c>
      <c r="H880" s="643" t="s">
        <v>860</v>
      </c>
      <c r="I880" s="551" t="s">
        <v>367</v>
      </c>
      <c r="J880" s="642">
        <v>43</v>
      </c>
      <c r="K880" s="554"/>
      <c r="L880" s="554"/>
      <c r="M880" s="554"/>
      <c r="N880" s="554"/>
      <c r="O880" s="554"/>
      <c r="P880" s="555"/>
      <c r="Q880" s="555"/>
      <c r="R880" s="555"/>
      <c r="S880" s="555"/>
      <c r="T880" s="556"/>
    </row>
    <row r="881" spans="1:20" ht="15" customHeight="1">
      <c r="A881" s="285">
        <v>881</v>
      </c>
      <c r="B881" s="544">
        <v>417</v>
      </c>
      <c r="C881" s="545" t="s">
        <v>134</v>
      </c>
      <c r="D881" s="549" t="s">
        <v>737</v>
      </c>
      <c r="E881" s="539">
        <f>VLOOKUP(B881,'2-Kosten per locatie'!$A$13:$C$87,3,FALSE)</f>
        <v>2</v>
      </c>
      <c r="F881" s="550"/>
      <c r="G881" s="640" t="s">
        <v>862</v>
      </c>
      <c r="H881" s="643" t="s">
        <v>861</v>
      </c>
      <c r="I881" s="551" t="s">
        <v>367</v>
      </c>
      <c r="J881" s="642">
        <v>13</v>
      </c>
      <c r="K881" s="554"/>
      <c r="L881" s="554"/>
      <c r="M881" s="554"/>
      <c r="N881" s="554"/>
      <c r="O881" s="554"/>
      <c r="P881" s="555"/>
      <c r="Q881" s="555"/>
      <c r="R881" s="555"/>
      <c r="S881" s="555"/>
      <c r="T881" s="556"/>
    </row>
    <row r="882" spans="1:20" ht="15" customHeight="1">
      <c r="A882" s="286">
        <v>882</v>
      </c>
      <c r="B882" s="544" t="s">
        <v>135</v>
      </c>
      <c r="C882" s="545" t="s">
        <v>136</v>
      </c>
      <c r="D882" s="549" t="s">
        <v>737</v>
      </c>
      <c r="E882" s="539">
        <f>VLOOKUP(B882,'2-Kosten per locatie'!$A$13:$C$87,3,FALSE)</f>
        <v>2</v>
      </c>
      <c r="F882" s="550"/>
      <c r="G882" s="640" t="s">
        <v>731</v>
      </c>
      <c r="H882" s="643" t="s">
        <v>860</v>
      </c>
      <c r="I882" s="551" t="s">
        <v>171</v>
      </c>
      <c r="J882" s="642">
        <v>24</v>
      </c>
      <c r="K882" s="554"/>
      <c r="L882" s="554"/>
      <c r="M882" s="554"/>
      <c r="N882" s="554"/>
      <c r="O882" s="554"/>
      <c r="P882" s="555"/>
      <c r="Q882" s="555"/>
      <c r="R882" s="555"/>
      <c r="S882" s="555"/>
      <c r="T882" s="556"/>
    </row>
    <row r="883" spans="1:20" ht="15" customHeight="1">
      <c r="A883" s="286">
        <v>883</v>
      </c>
      <c r="B883" s="544" t="s">
        <v>135</v>
      </c>
      <c r="C883" s="545" t="s">
        <v>136</v>
      </c>
      <c r="D883" s="549" t="s">
        <v>737</v>
      </c>
      <c r="E883" s="539">
        <f>VLOOKUP(B883,'2-Kosten per locatie'!$A$13:$C$87,3,FALSE)</f>
        <v>2</v>
      </c>
      <c r="F883" s="550"/>
      <c r="G883" s="640" t="s">
        <v>870</v>
      </c>
      <c r="H883" s="643" t="s">
        <v>861</v>
      </c>
      <c r="I883" s="551" t="s">
        <v>214</v>
      </c>
      <c r="J883" s="642">
        <v>24</v>
      </c>
      <c r="K883" s="554"/>
      <c r="L883" s="554"/>
      <c r="M883" s="554"/>
      <c r="N883" s="554"/>
      <c r="O883" s="554"/>
      <c r="P883" s="555"/>
      <c r="Q883" s="555"/>
      <c r="R883" s="555"/>
      <c r="S883" s="555"/>
      <c r="T883" s="556"/>
    </row>
    <row r="884" spans="1:20" ht="15" customHeight="1">
      <c r="A884" s="285">
        <v>884</v>
      </c>
      <c r="B884" s="544">
        <v>414</v>
      </c>
      <c r="C884" s="545" t="s">
        <v>72</v>
      </c>
      <c r="D884" s="549" t="s">
        <v>737</v>
      </c>
      <c r="E884" s="539">
        <v>2</v>
      </c>
      <c r="F884" s="550"/>
      <c r="G884" s="640" t="s">
        <v>881</v>
      </c>
      <c r="H884" s="643" t="s">
        <v>882</v>
      </c>
      <c r="I884" s="551" t="s">
        <v>883</v>
      </c>
      <c r="J884" s="642">
        <v>23</v>
      </c>
      <c r="K884" s="554"/>
      <c r="L884" s="554"/>
      <c r="M884" s="554"/>
      <c r="N884" s="554"/>
      <c r="O884" s="554"/>
      <c r="P884" s="555"/>
      <c r="Q884" s="555"/>
      <c r="R884" s="555"/>
      <c r="S884" s="555"/>
      <c r="T884" s="556"/>
    </row>
    <row r="885" spans="1:20" ht="15" customHeight="1">
      <c r="A885" s="286">
        <v>885</v>
      </c>
      <c r="B885" s="544">
        <v>414</v>
      </c>
      <c r="C885" s="545" t="s">
        <v>72</v>
      </c>
      <c r="D885" s="549" t="s">
        <v>737</v>
      </c>
      <c r="E885" s="539">
        <v>2</v>
      </c>
      <c r="F885" s="550"/>
      <c r="G885" s="640" t="s">
        <v>884</v>
      </c>
      <c r="H885" s="643" t="s">
        <v>885</v>
      </c>
      <c r="I885" s="551" t="s">
        <v>883</v>
      </c>
      <c r="J885" s="642">
        <v>10</v>
      </c>
      <c r="K885" s="554"/>
      <c r="L885" s="554"/>
      <c r="M885" s="554"/>
      <c r="N885" s="554"/>
      <c r="O885" s="554"/>
      <c r="P885" s="555"/>
      <c r="Q885" s="555"/>
      <c r="R885" s="555"/>
      <c r="S885" s="555"/>
      <c r="T885" s="556"/>
    </row>
    <row r="886" spans="1:20" ht="15" customHeight="1">
      <c r="A886" s="285">
        <v>886</v>
      </c>
      <c r="B886" s="544">
        <v>414</v>
      </c>
      <c r="C886" s="545" t="s">
        <v>72</v>
      </c>
      <c r="D886" s="549" t="s">
        <v>737</v>
      </c>
      <c r="E886" s="539">
        <v>2</v>
      </c>
      <c r="F886" s="550"/>
      <c r="G886" s="640" t="s">
        <v>886</v>
      </c>
      <c r="H886" s="643" t="s">
        <v>887</v>
      </c>
      <c r="I886" s="551" t="s">
        <v>883</v>
      </c>
      <c r="J886" s="642">
        <v>6</v>
      </c>
      <c r="K886" s="554"/>
      <c r="L886" s="554"/>
      <c r="M886" s="554"/>
      <c r="N886" s="554"/>
      <c r="O886" s="554"/>
      <c r="P886" s="555"/>
      <c r="Q886" s="555"/>
      <c r="R886" s="555"/>
      <c r="S886" s="555"/>
      <c r="T886" s="556"/>
    </row>
    <row r="887" spans="1:20" ht="15" customHeight="1">
      <c r="A887" s="286">
        <v>887</v>
      </c>
      <c r="B887" s="544">
        <v>415</v>
      </c>
      <c r="C887" s="545" t="s">
        <v>93</v>
      </c>
      <c r="D887" s="549" t="s">
        <v>737</v>
      </c>
      <c r="E887" s="539">
        <v>2</v>
      </c>
      <c r="F887" s="550"/>
      <c r="G887" s="640" t="s">
        <v>888</v>
      </c>
      <c r="H887" s="551" t="s">
        <v>860</v>
      </c>
      <c r="I887" s="551" t="s">
        <v>171</v>
      </c>
      <c r="J887" s="642">
        <v>40</v>
      </c>
      <c r="K887" s="554"/>
      <c r="L887" s="554"/>
      <c r="M887" s="554"/>
      <c r="N887" s="554"/>
      <c r="O887" s="554"/>
      <c r="P887" s="555"/>
      <c r="Q887" s="555"/>
      <c r="R887" s="555"/>
      <c r="S887" s="555"/>
      <c r="T887" s="556"/>
    </row>
    <row r="888" spans="1:20" ht="15" customHeight="1">
      <c r="A888" s="285">
        <v>888</v>
      </c>
      <c r="B888" s="544">
        <v>415</v>
      </c>
      <c r="C888" s="545" t="s">
        <v>93</v>
      </c>
      <c r="D888" s="549" t="s">
        <v>737</v>
      </c>
      <c r="E888" s="539">
        <v>2</v>
      </c>
      <c r="F888" s="550"/>
      <c r="G888" s="640" t="s">
        <v>889</v>
      </c>
      <c r="H888" s="551" t="s">
        <v>861</v>
      </c>
      <c r="I888" s="551" t="s">
        <v>171</v>
      </c>
      <c r="J888" s="642">
        <v>20</v>
      </c>
      <c r="K888" s="554"/>
      <c r="L888" s="554"/>
      <c r="M888" s="554"/>
      <c r="N888" s="554"/>
      <c r="O888" s="554"/>
      <c r="P888" s="555"/>
      <c r="Q888" s="555"/>
      <c r="R888" s="555"/>
      <c r="S888" s="555"/>
      <c r="T888" s="556"/>
    </row>
    <row r="889" spans="1:20" ht="15" customHeight="1">
      <c r="A889" s="286">
        <v>889</v>
      </c>
      <c r="B889" s="544">
        <v>418</v>
      </c>
      <c r="C889" s="545" t="s">
        <v>130</v>
      </c>
      <c r="D889" s="549" t="s">
        <v>737</v>
      </c>
      <c r="E889" s="539">
        <v>2</v>
      </c>
      <c r="F889" s="550"/>
      <c r="G889" s="640" t="s">
        <v>888</v>
      </c>
      <c r="H889" s="551" t="s">
        <v>860</v>
      </c>
      <c r="I889" s="551" t="s">
        <v>171</v>
      </c>
      <c r="J889" s="642">
        <v>28</v>
      </c>
      <c r="K889" s="554"/>
      <c r="L889" s="554"/>
      <c r="M889" s="554"/>
      <c r="N889" s="554"/>
      <c r="O889" s="554"/>
      <c r="P889" s="555"/>
      <c r="Q889" s="555"/>
      <c r="R889" s="555"/>
      <c r="S889" s="555"/>
      <c r="T889" s="556"/>
    </row>
    <row r="890" spans="1:20" ht="15" customHeight="1">
      <c r="A890" s="286">
        <v>890</v>
      </c>
      <c r="B890" s="544">
        <v>418</v>
      </c>
      <c r="C890" s="545" t="s">
        <v>130</v>
      </c>
      <c r="D890" s="549" t="s">
        <v>737</v>
      </c>
      <c r="E890" s="539">
        <v>2</v>
      </c>
      <c r="F890" s="550"/>
      <c r="G890" s="640" t="s">
        <v>889</v>
      </c>
      <c r="H890" s="551" t="s">
        <v>861</v>
      </c>
      <c r="I890" s="551" t="s">
        <v>171</v>
      </c>
      <c r="J890" s="642">
        <v>15</v>
      </c>
      <c r="K890" s="554"/>
      <c r="L890" s="554"/>
      <c r="M890" s="554"/>
      <c r="N890" s="554"/>
      <c r="O890" s="554"/>
      <c r="P890" s="555"/>
      <c r="Q890" s="555"/>
      <c r="R890" s="555"/>
      <c r="S890" s="555"/>
      <c r="T890" s="556"/>
    </row>
    <row r="891" spans="1:20" ht="15" customHeight="1">
      <c r="A891" s="285">
        <v>891</v>
      </c>
      <c r="B891" s="544">
        <v>418</v>
      </c>
      <c r="C891" s="545" t="s">
        <v>130</v>
      </c>
      <c r="D891" s="549" t="s">
        <v>737</v>
      </c>
      <c r="E891" s="539">
        <v>2</v>
      </c>
      <c r="F891" s="550"/>
      <c r="G891" s="640" t="s">
        <v>878</v>
      </c>
      <c r="H891" s="551" t="s">
        <v>863</v>
      </c>
      <c r="I891" s="551" t="s">
        <v>171</v>
      </c>
      <c r="J891" s="642">
        <v>11</v>
      </c>
      <c r="K891" s="554"/>
      <c r="L891" s="554"/>
      <c r="M891" s="554"/>
      <c r="N891" s="554"/>
      <c r="O891" s="554"/>
      <c r="P891" s="555"/>
      <c r="Q891" s="555"/>
      <c r="R891" s="555"/>
      <c r="S891" s="555"/>
      <c r="T891" s="556"/>
    </row>
    <row r="892" spans="1:20" ht="15" customHeight="1">
      <c r="A892" s="286">
        <v>892</v>
      </c>
      <c r="B892" s="544">
        <v>418</v>
      </c>
      <c r="C892" s="545" t="s">
        <v>130</v>
      </c>
      <c r="D892" s="549" t="s">
        <v>737</v>
      </c>
      <c r="E892" s="539">
        <v>2</v>
      </c>
      <c r="F892" s="550"/>
      <c r="G892" s="640" t="s">
        <v>870</v>
      </c>
      <c r="H892" s="551" t="s">
        <v>865</v>
      </c>
      <c r="I892" s="551" t="s">
        <v>214</v>
      </c>
      <c r="J892" s="642">
        <v>28</v>
      </c>
      <c r="K892" s="554"/>
      <c r="L892" s="554"/>
      <c r="M892" s="554"/>
      <c r="N892" s="554"/>
      <c r="O892" s="554"/>
      <c r="P892" s="555"/>
      <c r="Q892" s="555"/>
      <c r="R892" s="555"/>
      <c r="S892" s="555"/>
      <c r="T892" s="556"/>
    </row>
    <row r="893" spans="1:20" ht="15" customHeight="1">
      <c r="A893" s="285">
        <v>893</v>
      </c>
      <c r="B893" s="544">
        <v>418</v>
      </c>
      <c r="C893" s="545" t="s">
        <v>130</v>
      </c>
      <c r="D893" s="549" t="s">
        <v>737</v>
      </c>
      <c r="E893" s="539">
        <v>2</v>
      </c>
      <c r="F893" s="550"/>
      <c r="G893" s="640" t="s">
        <v>879</v>
      </c>
      <c r="H893" s="551" t="s">
        <v>867</v>
      </c>
      <c r="I893" s="551" t="s">
        <v>214</v>
      </c>
      <c r="J893" s="642">
        <v>15</v>
      </c>
      <c r="K893" s="554"/>
      <c r="L893" s="554"/>
      <c r="M893" s="554"/>
      <c r="N893" s="554"/>
      <c r="O893" s="554"/>
      <c r="P893" s="555"/>
      <c r="Q893" s="555"/>
      <c r="R893" s="555"/>
      <c r="S893" s="555"/>
      <c r="T893" s="556"/>
    </row>
    <row r="894" spans="1:20" ht="15" customHeight="1">
      <c r="A894" s="286">
        <v>894</v>
      </c>
      <c r="B894" s="544">
        <v>418</v>
      </c>
      <c r="C894" s="545" t="s">
        <v>130</v>
      </c>
      <c r="D894" s="549" t="s">
        <v>737</v>
      </c>
      <c r="E894" s="539">
        <v>2</v>
      </c>
      <c r="F894" s="550"/>
      <c r="G894" s="640" t="s">
        <v>880</v>
      </c>
      <c r="H894" s="551" t="s">
        <v>869</v>
      </c>
      <c r="I894" s="551" t="s">
        <v>214</v>
      </c>
      <c r="J894" s="642">
        <v>11</v>
      </c>
      <c r="K894" s="554"/>
      <c r="L894" s="554"/>
      <c r="M894" s="554"/>
      <c r="N894" s="554"/>
      <c r="O894" s="554"/>
      <c r="P894" s="555"/>
      <c r="Q894" s="555"/>
      <c r="R894" s="555"/>
      <c r="S894" s="555"/>
      <c r="T894" s="556"/>
    </row>
    <row r="895" spans="1:20" ht="15" customHeight="1">
      <c r="A895" s="285">
        <v>895</v>
      </c>
      <c r="B895" s="544">
        <v>419</v>
      </c>
      <c r="C895" s="545" t="s">
        <v>131</v>
      </c>
      <c r="D895" s="549" t="s">
        <v>737</v>
      </c>
      <c r="E895" s="539">
        <v>2</v>
      </c>
      <c r="F895" s="550"/>
      <c r="G895" s="640" t="s">
        <v>888</v>
      </c>
      <c r="H895" s="551" t="s">
        <v>860</v>
      </c>
      <c r="I895" s="551" t="s">
        <v>171</v>
      </c>
      <c r="J895" s="642">
        <v>26</v>
      </c>
      <c r="K895" s="554"/>
      <c r="L895" s="554"/>
      <c r="M895" s="554"/>
      <c r="N895" s="554"/>
      <c r="O895" s="554"/>
      <c r="P895" s="555"/>
      <c r="Q895" s="555"/>
      <c r="R895" s="555"/>
      <c r="S895" s="555"/>
      <c r="T895" s="556"/>
    </row>
    <row r="896" spans="1:20" ht="15" customHeight="1">
      <c r="A896" s="286">
        <v>896</v>
      </c>
      <c r="B896" s="544">
        <v>419</v>
      </c>
      <c r="C896" s="545" t="s">
        <v>131</v>
      </c>
      <c r="D896" s="549" t="s">
        <v>737</v>
      </c>
      <c r="E896" s="539">
        <v>2</v>
      </c>
      <c r="F896" s="550"/>
      <c r="G896" s="640" t="s">
        <v>889</v>
      </c>
      <c r="H896" s="551" t="s">
        <v>861</v>
      </c>
      <c r="I896" s="551" t="s">
        <v>171</v>
      </c>
      <c r="J896" s="642">
        <v>15</v>
      </c>
      <c r="K896" s="554"/>
      <c r="L896" s="554"/>
      <c r="M896" s="554"/>
      <c r="N896" s="554"/>
      <c r="O896" s="554"/>
      <c r="P896" s="555"/>
      <c r="Q896" s="555"/>
      <c r="R896" s="555"/>
      <c r="S896" s="555"/>
      <c r="T896" s="556"/>
    </row>
    <row r="897" spans="1:20" ht="15" customHeight="1">
      <c r="A897" s="286">
        <v>897</v>
      </c>
      <c r="B897" s="544">
        <v>419</v>
      </c>
      <c r="C897" s="545" t="s">
        <v>131</v>
      </c>
      <c r="D897" s="549" t="s">
        <v>737</v>
      </c>
      <c r="E897" s="539">
        <v>2</v>
      </c>
      <c r="F897" s="550"/>
      <c r="G897" s="640" t="s">
        <v>878</v>
      </c>
      <c r="H897" s="551" t="s">
        <v>863</v>
      </c>
      <c r="I897" s="551" t="s">
        <v>171</v>
      </c>
      <c r="J897" s="642">
        <v>6</v>
      </c>
      <c r="K897" s="554"/>
      <c r="L897" s="554"/>
      <c r="M897" s="554"/>
      <c r="N897" s="554"/>
      <c r="O897" s="554"/>
      <c r="P897" s="555"/>
      <c r="Q897" s="555"/>
      <c r="R897" s="555"/>
      <c r="S897" s="555"/>
      <c r="T897" s="556"/>
    </row>
    <row r="898" spans="1:20" ht="15" customHeight="1">
      <c r="A898" s="285">
        <v>898</v>
      </c>
      <c r="B898" s="544">
        <v>419</v>
      </c>
      <c r="C898" s="545" t="s">
        <v>131</v>
      </c>
      <c r="D898" s="549" t="s">
        <v>737</v>
      </c>
      <c r="E898" s="539">
        <v>2</v>
      </c>
      <c r="F898" s="550"/>
      <c r="G898" s="640" t="s">
        <v>890</v>
      </c>
      <c r="H898" s="551" t="s">
        <v>865</v>
      </c>
      <c r="I898" s="551" t="s">
        <v>171</v>
      </c>
      <c r="J898" s="642">
        <v>8</v>
      </c>
      <c r="K898" s="554"/>
      <c r="L898" s="554"/>
      <c r="M898" s="554"/>
      <c r="N898" s="554"/>
      <c r="O898" s="554"/>
      <c r="P898" s="555"/>
      <c r="Q898" s="555"/>
      <c r="R898" s="555"/>
      <c r="S898" s="555"/>
      <c r="T898" s="556"/>
    </row>
    <row r="899" spans="1:20" ht="15" customHeight="1">
      <c r="A899" s="286">
        <v>899</v>
      </c>
      <c r="B899" s="544">
        <v>419</v>
      </c>
      <c r="C899" s="545" t="s">
        <v>131</v>
      </c>
      <c r="D899" s="549" t="s">
        <v>737</v>
      </c>
      <c r="E899" s="539">
        <v>2</v>
      </c>
      <c r="F899" s="550"/>
      <c r="G899" s="640" t="s">
        <v>870</v>
      </c>
      <c r="H899" s="551" t="s">
        <v>867</v>
      </c>
      <c r="I899" s="551" t="s">
        <v>214</v>
      </c>
      <c r="J899" s="642">
        <v>26</v>
      </c>
      <c r="K899" s="554"/>
      <c r="L899" s="554"/>
      <c r="M899" s="554"/>
      <c r="N899" s="554"/>
      <c r="O899" s="554"/>
      <c r="P899" s="555"/>
      <c r="Q899" s="555"/>
      <c r="R899" s="555"/>
      <c r="S899" s="555"/>
      <c r="T899" s="556"/>
    </row>
    <row r="900" spans="1:20" ht="15" customHeight="1">
      <c r="A900" s="285">
        <v>900</v>
      </c>
      <c r="B900" s="544">
        <v>419</v>
      </c>
      <c r="C900" s="545" t="s">
        <v>131</v>
      </c>
      <c r="D900" s="549" t="s">
        <v>737</v>
      </c>
      <c r="E900" s="539">
        <v>2</v>
      </c>
      <c r="F900" s="550"/>
      <c r="G900" s="640" t="s">
        <v>879</v>
      </c>
      <c r="H900" s="551" t="s">
        <v>869</v>
      </c>
      <c r="I900" s="551" t="s">
        <v>214</v>
      </c>
      <c r="J900" s="642">
        <v>15</v>
      </c>
      <c r="K900" s="554"/>
      <c r="L900" s="554"/>
      <c r="M900" s="554"/>
      <c r="N900" s="554"/>
      <c r="O900" s="554"/>
      <c r="P900" s="555"/>
      <c r="Q900" s="555"/>
      <c r="R900" s="555"/>
      <c r="S900" s="555"/>
      <c r="T900" s="556"/>
    </row>
    <row r="901" spans="1:20" ht="15" customHeight="1">
      <c r="A901" s="286">
        <v>901</v>
      </c>
      <c r="B901" s="544">
        <v>419</v>
      </c>
      <c r="C901" s="545" t="s">
        <v>131</v>
      </c>
      <c r="D901" s="549" t="s">
        <v>737</v>
      </c>
      <c r="E901" s="539">
        <v>2</v>
      </c>
      <c r="F901" s="550"/>
      <c r="G901" s="640" t="s">
        <v>880</v>
      </c>
      <c r="H901" s="551" t="s">
        <v>871</v>
      </c>
      <c r="I901" s="551" t="s">
        <v>214</v>
      </c>
      <c r="J901" s="642">
        <v>6</v>
      </c>
      <c r="K901" s="554"/>
      <c r="L901" s="554"/>
      <c r="M901" s="554"/>
      <c r="N901" s="554"/>
      <c r="O901" s="554"/>
      <c r="P901" s="555"/>
      <c r="Q901" s="555"/>
      <c r="R901" s="555"/>
      <c r="S901" s="555"/>
      <c r="T901" s="556"/>
    </row>
    <row r="902" spans="1:20" ht="15" customHeight="1">
      <c r="A902" s="285">
        <v>902</v>
      </c>
      <c r="B902" s="544">
        <v>419</v>
      </c>
      <c r="C902" s="545" t="s">
        <v>131</v>
      </c>
      <c r="D902" s="549" t="s">
        <v>737</v>
      </c>
      <c r="E902" s="539">
        <v>2</v>
      </c>
      <c r="F902" s="550"/>
      <c r="G902" s="640" t="s">
        <v>891</v>
      </c>
      <c r="H902" s="551" t="s">
        <v>873</v>
      </c>
      <c r="I902" s="551" t="s">
        <v>214</v>
      </c>
      <c r="J902" s="642">
        <v>8</v>
      </c>
      <c r="K902" s="554"/>
      <c r="L902" s="554"/>
      <c r="M902" s="554"/>
      <c r="N902" s="554"/>
      <c r="O902" s="554"/>
      <c r="P902" s="555"/>
      <c r="Q902" s="555"/>
      <c r="R902" s="555"/>
      <c r="S902" s="555"/>
      <c r="T902" s="556"/>
    </row>
  </sheetData>
  <autoFilter ref="A10:T902" xr:uid="{2FAADF5A-D8AD-411E-B65F-FCCD49BA0CCF}"/>
  <mergeCells count="1">
    <mergeCell ref="K9:S9"/>
  </mergeCells>
  <phoneticPr fontId="13"/>
  <printOptions horizontalCentered="1" gridLinesSet="0"/>
  <pageMargins left="0.19685039370078741" right="0.19685039370078741" top="0.59055118110236227" bottom="0.78740157480314965" header="0.39370078740157483" footer="0.19685039370078741"/>
  <pageSetup paperSize="8" scale="41" orientation="landscape" r:id="rId1"/>
  <headerFooter>
    <oddFooter>&amp;L&amp;"Verdana,Regular"&amp;F-&amp;A_x000D_Atir b.v. ©&amp;C&amp;R&amp;"Verdana,Regular"printversie &amp;D</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S37"/>
  <sheetViews>
    <sheetView showGridLines="0" zoomScale="87" zoomScaleNormal="87" workbookViewId="0">
      <pane ySplit="11" topLeftCell="A20" activePane="bottomLeft" state="frozen"/>
      <selection pane="bottomLeft" activeCell="G26" sqref="G26"/>
      <selection activeCell="A872" sqref="A872"/>
    </sheetView>
  </sheetViews>
  <sheetFormatPr defaultColWidth="9.140625" defaultRowHeight="13.15"/>
  <cols>
    <col min="1" max="1" width="31.28515625" style="145" customWidth="1"/>
    <col min="2" max="3" width="22" style="145" customWidth="1"/>
    <col min="4" max="4" width="20.85546875" style="145" bestFit="1" customWidth="1"/>
    <col min="5" max="5" width="18.140625" style="145" bestFit="1" customWidth="1"/>
    <col min="6" max="6" width="9.140625" style="145"/>
    <col min="7" max="7" width="13.5703125" style="145" customWidth="1"/>
    <col min="8" max="8" width="9.7109375" style="145" bestFit="1" customWidth="1"/>
    <col min="9" max="9" width="9.85546875" style="145" bestFit="1" customWidth="1"/>
    <col min="10" max="10" width="13.7109375" style="145" bestFit="1" customWidth="1"/>
    <col min="11" max="11" width="13.42578125" style="145" bestFit="1" customWidth="1"/>
    <col min="12" max="12" width="12.28515625" style="145" customWidth="1"/>
    <col min="13" max="13" width="10.7109375" style="145" customWidth="1"/>
    <col min="14" max="14" width="13.7109375" style="145" customWidth="1"/>
    <col min="15" max="15" width="13.85546875" style="145" customWidth="1"/>
    <col min="16" max="17" width="9.140625" style="145"/>
    <col min="18" max="18" width="9.140625" style="145" customWidth="1"/>
    <col min="19" max="16384" width="9.140625" style="145"/>
  </cols>
  <sheetData>
    <row r="1" spans="1:9">
      <c r="A1" s="644" t="s">
        <v>0</v>
      </c>
      <c r="H1" s="216"/>
      <c r="I1" s="216"/>
    </row>
    <row r="2" spans="1:9">
      <c r="A2" s="217"/>
      <c r="H2" s="216"/>
      <c r="I2" s="216"/>
    </row>
    <row r="3" spans="1:9" ht="15.6">
      <c r="A3" s="115" t="str">
        <f>'1-Inschrijfstaat'!A3</f>
        <v>Naam opdrachtgever</v>
      </c>
      <c r="B3" s="174" t="str">
        <f>'1-Inschrijfstaat'!B3</f>
        <v>GVB Infra B.V.</v>
      </c>
      <c r="C3" s="174"/>
      <c r="H3" s="216"/>
      <c r="I3" s="216"/>
    </row>
    <row r="4" spans="1:9" ht="15.6">
      <c r="A4" s="115" t="str">
        <f>'1-Inschrijfstaat'!A4</f>
        <v>Calculatie onderdeel</v>
      </c>
      <c r="B4" s="213" t="e">
        <f ca="1">MID(CELL("bestandsnaam",$D$9),SEARCH("]",CELL("bestandsnaam",$D$9),1)+1,256)</f>
        <v>#VALUE!</v>
      </c>
      <c r="C4" s="213"/>
    </row>
    <row r="5" spans="1:9" ht="15.6">
      <c r="A5" s="115" t="str">
        <f>'1-Inschrijfstaat'!A5</f>
        <v>Gebouw/plaats</v>
      </c>
      <c r="B5" s="174" t="str">
        <f>'1-Inschrijfstaat'!B5</f>
        <v>Diverse</v>
      </c>
      <c r="C5" s="174"/>
    </row>
    <row r="6" spans="1:9" ht="15.6">
      <c r="A6" s="115" t="str">
        <f>'1-Inschrijfstaat'!A6</f>
        <v>Referentienummer</v>
      </c>
      <c r="B6" s="174" t="str">
        <f>'1-Inschrijfstaat'!B6</f>
        <v>2024-20</v>
      </c>
      <c r="C6" s="174"/>
      <c r="G6" s="216"/>
      <c r="H6" s="216"/>
    </row>
    <row r="7" spans="1:9" ht="15.6">
      <c r="A7" s="115" t="str">
        <f>'1-Inschrijfstaat'!A7</f>
        <v>Naam leverancier</v>
      </c>
      <c r="B7" s="174">
        <f>'1-Inschrijfstaat'!B7:D7</f>
        <v>0</v>
      </c>
      <c r="C7" s="174"/>
    </row>
    <row r="8" spans="1:9" ht="15.6">
      <c r="A8" s="115" t="str">
        <f>'1-Inschrijfstaat'!A8</f>
        <v>Prijspeil</v>
      </c>
      <c r="B8" s="136" t="str">
        <f>'1-Inschrijfstaat'!B8</f>
        <v>1 januari 2025</v>
      </c>
      <c r="C8" s="136"/>
      <c r="H8" s="216"/>
    </row>
    <row r="9" spans="1:9" ht="15.6">
      <c r="A9" s="115" t="str">
        <f>'1-Inschrijfstaat'!A9</f>
        <v>Perceel</v>
      </c>
      <c r="B9" s="391" t="str">
        <f>'1-Inschrijfstaat'!B9</f>
        <v>2 Specialistiche schoonmaak</v>
      </c>
      <c r="C9" s="214"/>
    </row>
    <row r="10" spans="1:9" ht="15.6">
      <c r="A10" s="12" t="s">
        <v>892</v>
      </c>
      <c r="B10" s="201" t="s">
        <v>893</v>
      </c>
      <c r="C10" s="201"/>
      <c r="H10" s="216"/>
    </row>
    <row r="11" spans="1:9" ht="20.45">
      <c r="A11" s="218"/>
      <c r="B11" s="119"/>
      <c r="C11" s="119"/>
    </row>
    <row r="12" spans="1:9">
      <c r="A12" s="645" t="s">
        <v>894</v>
      </c>
      <c r="B12" s="646" t="s">
        <v>895</v>
      </c>
      <c r="C12" s="647">
        <v>0</v>
      </c>
      <c r="G12" s="216"/>
    </row>
    <row r="14" spans="1:9">
      <c r="A14" s="648" t="s">
        <v>896</v>
      </c>
      <c r="B14" s="649" t="s">
        <v>897</v>
      </c>
      <c r="C14" s="649" t="s">
        <v>898</v>
      </c>
    </row>
    <row r="15" spans="1:9">
      <c r="A15" s="650" t="s">
        <v>899</v>
      </c>
      <c r="B15" s="651" t="s">
        <v>900</v>
      </c>
      <c r="C15" s="652">
        <v>0</v>
      </c>
    </row>
    <row r="16" spans="1:9">
      <c r="A16" s="650" t="s">
        <v>899</v>
      </c>
      <c r="B16" s="651" t="s">
        <v>901</v>
      </c>
      <c r="C16" s="652">
        <v>0</v>
      </c>
    </row>
    <row r="18" spans="1:17" ht="40.9" customHeight="1">
      <c r="A18" s="653" t="s">
        <v>902</v>
      </c>
      <c r="B18" s="653" t="s">
        <v>50</v>
      </c>
      <c r="C18" s="653" t="s">
        <v>11</v>
      </c>
      <c r="D18" s="653" t="s">
        <v>51</v>
      </c>
      <c r="E18" s="653" t="s">
        <v>903</v>
      </c>
      <c r="F18" s="653" t="s">
        <v>904</v>
      </c>
      <c r="G18" s="653" t="s">
        <v>905</v>
      </c>
      <c r="H18" s="653" t="s">
        <v>906</v>
      </c>
      <c r="I18" s="653" t="s">
        <v>907</v>
      </c>
      <c r="J18" s="653" t="s">
        <v>908</v>
      </c>
      <c r="K18" s="653" t="s">
        <v>909</v>
      </c>
      <c r="L18" s="653" t="s">
        <v>910</v>
      </c>
      <c r="M18" s="653" t="s">
        <v>911</v>
      </c>
      <c r="N18" s="611" t="s">
        <v>912</v>
      </c>
      <c r="O18" s="611" t="s">
        <v>913</v>
      </c>
    </row>
    <row r="19" spans="1:17">
      <c r="A19" s="654">
        <v>107</v>
      </c>
      <c r="B19" s="655" t="s">
        <v>64</v>
      </c>
      <c r="C19" s="539">
        <f>VLOOKUP(A19,'2-Kosten per locatie'!$A$13:$C$87,3,FALSE)</f>
        <v>2</v>
      </c>
      <c r="D19" s="655" t="str">
        <f ca="1">VLOOKUP(A19,'3-Ruimtestaat'!B:D,3,FALSE)</f>
        <v>Oostlijn bovengronds</v>
      </c>
      <c r="E19" s="656" t="s">
        <v>914</v>
      </c>
      <c r="F19" s="657">
        <v>10</v>
      </c>
      <c r="G19" s="650" t="s">
        <v>915</v>
      </c>
      <c r="H19" s="658">
        <v>2546</v>
      </c>
      <c r="I19" s="658">
        <v>366</v>
      </c>
      <c r="J19" s="659" t="e">
        <f t="shared" ref="J19:J20" si="0">SUM(H19:I19)/$C$12</f>
        <v>#DIV/0!</v>
      </c>
      <c r="K19" s="659" t="e">
        <f t="shared" ref="K19:K20" si="1">J19*F19</f>
        <v>#DIV/0!</v>
      </c>
      <c r="L19" s="660">
        <f t="shared" ref="L19:L36" si="2">$C$15</f>
        <v>0</v>
      </c>
      <c r="M19" s="661"/>
      <c r="N19" s="660" t="e">
        <f t="shared" ref="N19:N20" si="3">J19*L19</f>
        <v>#DIV/0!</v>
      </c>
      <c r="O19" s="660" t="e">
        <f t="shared" ref="O19:O20" si="4">F19*N19</f>
        <v>#DIV/0!</v>
      </c>
      <c r="Q19" s="408"/>
    </row>
    <row r="20" spans="1:17">
      <c r="A20" s="654">
        <v>108</v>
      </c>
      <c r="B20" s="655" t="s">
        <v>916</v>
      </c>
      <c r="C20" s="539">
        <f>VLOOKUP(A20,'2-Kosten per locatie'!$A$13:$C$87,3,FALSE)</f>
        <v>2</v>
      </c>
      <c r="D20" s="655" t="str">
        <f ca="1">VLOOKUP(A20,'3-Ruimtestaat'!B:D,3,FALSE)</f>
        <v>Oostlijn bovengronds</v>
      </c>
      <c r="E20" s="656" t="s">
        <v>914</v>
      </c>
      <c r="F20" s="657">
        <v>10</v>
      </c>
      <c r="G20" s="650" t="s">
        <v>915</v>
      </c>
      <c r="H20" s="658">
        <v>2914</v>
      </c>
      <c r="I20" s="658">
        <v>339</v>
      </c>
      <c r="J20" s="659" t="e">
        <f t="shared" si="0"/>
        <v>#DIV/0!</v>
      </c>
      <c r="K20" s="659" t="e">
        <f t="shared" si="1"/>
        <v>#DIV/0!</v>
      </c>
      <c r="L20" s="660">
        <f t="shared" si="2"/>
        <v>0</v>
      </c>
      <c r="M20" s="661"/>
      <c r="N20" s="660" t="e">
        <f t="shared" si="3"/>
        <v>#DIV/0!</v>
      </c>
      <c r="O20" s="660" t="e">
        <f t="shared" si="4"/>
        <v>#DIV/0!</v>
      </c>
      <c r="Q20" s="408"/>
    </row>
    <row r="21" spans="1:17">
      <c r="A21" s="654">
        <v>110</v>
      </c>
      <c r="B21" s="655" t="s">
        <v>67</v>
      </c>
      <c r="C21" s="539">
        <f>VLOOKUP(A21,'2-Kosten per locatie'!$A$13:$C$87,3,FALSE)</f>
        <v>2</v>
      </c>
      <c r="D21" s="655" t="str">
        <f ca="1">VLOOKUP(A21,'3-Ruimtestaat'!B:D,3,FALSE)</f>
        <v>Oostlijn bovengronds</v>
      </c>
      <c r="E21" s="655" t="s">
        <v>914</v>
      </c>
      <c r="F21" s="651">
        <v>10</v>
      </c>
      <c r="G21" s="650" t="s">
        <v>915</v>
      </c>
      <c r="H21" s="658">
        <v>1503.23</v>
      </c>
      <c r="I21" s="658">
        <v>468</v>
      </c>
      <c r="J21" s="659" t="e">
        <f t="shared" ref="J21:J36" si="5">SUM(H21:I21)/$C$12</f>
        <v>#DIV/0!</v>
      </c>
      <c r="K21" s="659" t="e">
        <f t="shared" ref="K21:K36" si="6">J21*F21</f>
        <v>#DIV/0!</v>
      </c>
      <c r="L21" s="660">
        <f t="shared" si="2"/>
        <v>0</v>
      </c>
      <c r="M21" s="661"/>
      <c r="N21" s="660" t="e">
        <f t="shared" ref="N21:N26" si="7">J21*L21</f>
        <v>#DIV/0!</v>
      </c>
      <c r="O21" s="660" t="e">
        <f t="shared" ref="O21:O36" si="8">F21*N21</f>
        <v>#DIV/0!</v>
      </c>
      <c r="Q21" s="408"/>
    </row>
    <row r="22" spans="1:17">
      <c r="A22" s="654">
        <v>111</v>
      </c>
      <c r="B22" s="655" t="s">
        <v>68</v>
      </c>
      <c r="C22" s="539">
        <f>VLOOKUP(A22,'2-Kosten per locatie'!$A$13:$C$87,3,FALSE)</f>
        <v>2</v>
      </c>
      <c r="D22" s="655" t="str">
        <f ca="1">VLOOKUP(A22,'3-Ruimtestaat'!B:D,3,FALSE)</f>
        <v>Oostlijn bovengronds</v>
      </c>
      <c r="E22" s="655" t="s">
        <v>914</v>
      </c>
      <c r="F22" s="651">
        <v>8</v>
      </c>
      <c r="G22" s="650" t="s">
        <v>915</v>
      </c>
      <c r="H22" s="658">
        <v>2152</v>
      </c>
      <c r="I22" s="658">
        <v>100</v>
      </c>
      <c r="J22" s="659" t="e">
        <f t="shared" si="5"/>
        <v>#DIV/0!</v>
      </c>
      <c r="K22" s="659" t="e">
        <f t="shared" si="6"/>
        <v>#DIV/0!</v>
      </c>
      <c r="L22" s="660">
        <f t="shared" si="2"/>
        <v>0</v>
      </c>
      <c r="M22" s="661"/>
      <c r="N22" s="660" t="e">
        <f t="shared" si="7"/>
        <v>#DIV/0!</v>
      </c>
      <c r="O22" s="660" t="e">
        <f t="shared" si="8"/>
        <v>#DIV/0!</v>
      </c>
      <c r="Q22" s="408"/>
    </row>
    <row r="23" spans="1:17">
      <c r="A23" s="654">
        <v>112</v>
      </c>
      <c r="B23" s="655" t="s">
        <v>69</v>
      </c>
      <c r="C23" s="539">
        <f>VLOOKUP(A23,'2-Kosten per locatie'!$A$13:$C$87,3,FALSE)</f>
        <v>2</v>
      </c>
      <c r="D23" s="655" t="str">
        <f ca="1">VLOOKUP(A23,'3-Ruimtestaat'!B:D,3,FALSE)</f>
        <v>Oostlijn bovengronds</v>
      </c>
      <c r="E23" s="655" t="s">
        <v>914</v>
      </c>
      <c r="F23" s="651">
        <v>10</v>
      </c>
      <c r="G23" s="650" t="s">
        <v>915</v>
      </c>
      <c r="H23" s="658">
        <v>1504.46</v>
      </c>
      <c r="I23" s="658">
        <v>346</v>
      </c>
      <c r="J23" s="659" t="e">
        <f t="shared" si="5"/>
        <v>#DIV/0!</v>
      </c>
      <c r="K23" s="659" t="e">
        <f t="shared" si="6"/>
        <v>#DIV/0!</v>
      </c>
      <c r="L23" s="660">
        <f t="shared" si="2"/>
        <v>0</v>
      </c>
      <c r="M23" s="661"/>
      <c r="N23" s="660" t="e">
        <f t="shared" si="7"/>
        <v>#DIV/0!</v>
      </c>
      <c r="O23" s="660" t="e">
        <f t="shared" si="8"/>
        <v>#DIV/0!</v>
      </c>
      <c r="Q23" s="408"/>
    </row>
    <row r="24" spans="1:17">
      <c r="A24" s="654">
        <v>113</v>
      </c>
      <c r="B24" s="655" t="s">
        <v>70</v>
      </c>
      <c r="C24" s="539">
        <f>VLOOKUP(A24,'2-Kosten per locatie'!$A$13:$C$87,3,FALSE)</f>
        <v>2</v>
      </c>
      <c r="D24" s="655" t="str">
        <f ca="1">VLOOKUP(A24,'3-Ruimtestaat'!B:D,3,FALSE)</f>
        <v>Oostlijn bovengronds</v>
      </c>
      <c r="E24" s="655" t="s">
        <v>914</v>
      </c>
      <c r="F24" s="651">
        <v>10</v>
      </c>
      <c r="G24" s="650" t="s">
        <v>915</v>
      </c>
      <c r="H24" s="658">
        <v>1503.23</v>
      </c>
      <c r="I24" s="658">
        <v>468</v>
      </c>
      <c r="J24" s="659" t="e">
        <f t="shared" si="5"/>
        <v>#DIV/0!</v>
      </c>
      <c r="K24" s="659" t="e">
        <f t="shared" si="6"/>
        <v>#DIV/0!</v>
      </c>
      <c r="L24" s="660">
        <f t="shared" si="2"/>
        <v>0</v>
      </c>
      <c r="M24" s="661"/>
      <c r="N24" s="660" t="e">
        <f t="shared" si="7"/>
        <v>#DIV/0!</v>
      </c>
      <c r="O24" s="660" t="e">
        <f t="shared" si="8"/>
        <v>#DIV/0!</v>
      </c>
      <c r="Q24" s="408"/>
    </row>
    <row r="25" spans="1:17">
      <c r="A25" s="654">
        <v>114</v>
      </c>
      <c r="B25" s="655" t="s">
        <v>71</v>
      </c>
      <c r="C25" s="539">
        <f>VLOOKUP(A25,'2-Kosten per locatie'!$A$13:$C$87,3,FALSE)</f>
        <v>2</v>
      </c>
      <c r="D25" s="655" t="str">
        <f ca="1">VLOOKUP(A25,'3-Ruimtestaat'!B:D,3,FALSE)</f>
        <v>Oostlijn bovengronds</v>
      </c>
      <c r="E25" s="655" t="s">
        <v>914</v>
      </c>
      <c r="F25" s="651">
        <v>10</v>
      </c>
      <c r="G25" s="650" t="s">
        <v>915</v>
      </c>
      <c r="H25" s="658">
        <v>1503.07</v>
      </c>
      <c r="I25" s="658">
        <v>380</v>
      </c>
      <c r="J25" s="659" t="e">
        <f t="shared" si="5"/>
        <v>#DIV/0!</v>
      </c>
      <c r="K25" s="659" t="e">
        <f t="shared" si="6"/>
        <v>#DIV/0!</v>
      </c>
      <c r="L25" s="660">
        <f t="shared" si="2"/>
        <v>0</v>
      </c>
      <c r="M25" s="661"/>
      <c r="N25" s="660" t="e">
        <f t="shared" si="7"/>
        <v>#DIV/0!</v>
      </c>
      <c r="O25" s="660" t="e">
        <f t="shared" si="8"/>
        <v>#DIV/0!</v>
      </c>
      <c r="Q25" s="408"/>
    </row>
    <row r="26" spans="1:17">
      <c r="A26" s="654">
        <v>115</v>
      </c>
      <c r="B26" s="655" t="s">
        <v>72</v>
      </c>
      <c r="C26" s="539">
        <f>VLOOKUP(A26,'2-Kosten per locatie'!$A$13:$C$87,3,FALSE)</f>
        <v>2</v>
      </c>
      <c r="D26" s="655" t="str">
        <f ca="1">VLOOKUP(A26,'3-Ruimtestaat'!B:D,3,FALSE)</f>
        <v>Oostlijn Bovengronds</v>
      </c>
      <c r="E26" s="655" t="s">
        <v>914</v>
      </c>
      <c r="F26" s="651">
        <v>10</v>
      </c>
      <c r="G26" s="650" t="s">
        <v>915</v>
      </c>
      <c r="H26" s="658">
        <v>1699.37</v>
      </c>
      <c r="I26" s="658">
        <v>312</v>
      </c>
      <c r="J26" s="659" t="e">
        <f t="shared" si="5"/>
        <v>#DIV/0!</v>
      </c>
      <c r="K26" s="659" t="e">
        <f t="shared" si="6"/>
        <v>#DIV/0!</v>
      </c>
      <c r="L26" s="660">
        <f t="shared" si="2"/>
        <v>0</v>
      </c>
      <c r="M26" s="661"/>
      <c r="N26" s="660" t="e">
        <f t="shared" si="7"/>
        <v>#DIV/0!</v>
      </c>
      <c r="O26" s="660" t="e">
        <f t="shared" si="8"/>
        <v>#DIV/0!</v>
      </c>
      <c r="Q26" s="408"/>
    </row>
    <row r="27" spans="1:17">
      <c r="A27" s="662">
        <v>116</v>
      </c>
      <c r="B27" s="655" t="s">
        <v>73</v>
      </c>
      <c r="C27" s="539">
        <f>VLOOKUP(A27,'2-Kosten per locatie'!$A$13:$C$87,3,FALSE)</f>
        <v>2</v>
      </c>
      <c r="D27" s="655" t="str">
        <f ca="1">VLOOKUP(A27,'3-Ruimtestaat'!B:D,3,FALSE)</f>
        <v>Oostlijn bovengronds</v>
      </c>
      <c r="E27" s="655" t="s">
        <v>914</v>
      </c>
      <c r="F27" s="651">
        <v>10</v>
      </c>
      <c r="G27" s="650" t="s">
        <v>915</v>
      </c>
      <c r="H27" s="658">
        <v>1648</v>
      </c>
      <c r="I27" s="658">
        <v>140</v>
      </c>
      <c r="J27" s="659" t="e">
        <f t="shared" ref="J27:J32" si="9">SUM(H27:I27)/$C$12</f>
        <v>#DIV/0!</v>
      </c>
      <c r="K27" s="659" t="e">
        <f t="shared" ref="K27:K32" si="10">J27*F27</f>
        <v>#DIV/0!</v>
      </c>
      <c r="L27" s="660">
        <f t="shared" si="2"/>
        <v>0</v>
      </c>
      <c r="M27" s="661"/>
      <c r="N27" s="660" t="e">
        <f t="shared" ref="N27:N32" si="11">J27*L27</f>
        <v>#DIV/0!</v>
      </c>
      <c r="O27" s="660" t="e">
        <f t="shared" ref="O27:O32" si="12">F27*N27</f>
        <v>#DIV/0!</v>
      </c>
      <c r="Q27" s="408"/>
    </row>
    <row r="28" spans="1:17">
      <c r="A28" s="662">
        <v>117</v>
      </c>
      <c r="B28" s="655" t="s">
        <v>74</v>
      </c>
      <c r="C28" s="539">
        <f>VLOOKUP(A28,'2-Kosten per locatie'!$A$13:$C$87,3,FALSE)</f>
        <v>2</v>
      </c>
      <c r="D28" s="655" t="str">
        <f ca="1">VLOOKUP(A28,'3-Ruimtestaat'!B:D,3,FALSE)</f>
        <v>Oostlijn bovengronds</v>
      </c>
      <c r="E28" s="655" t="s">
        <v>914</v>
      </c>
      <c r="F28" s="651">
        <v>10</v>
      </c>
      <c r="G28" s="650" t="s">
        <v>915</v>
      </c>
      <c r="H28" s="658">
        <v>1511</v>
      </c>
      <c r="I28" s="658">
        <v>128</v>
      </c>
      <c r="J28" s="659" t="e">
        <f t="shared" si="9"/>
        <v>#DIV/0!</v>
      </c>
      <c r="K28" s="659" t="e">
        <f t="shared" si="10"/>
        <v>#DIV/0!</v>
      </c>
      <c r="L28" s="660">
        <f t="shared" si="2"/>
        <v>0</v>
      </c>
      <c r="M28" s="661"/>
      <c r="N28" s="660" t="e">
        <f t="shared" si="11"/>
        <v>#DIV/0!</v>
      </c>
      <c r="O28" s="660" t="e">
        <f t="shared" si="12"/>
        <v>#DIV/0!</v>
      </c>
      <c r="Q28" s="408"/>
    </row>
    <row r="29" spans="1:17">
      <c r="A29" s="662">
        <v>118</v>
      </c>
      <c r="B29" s="655" t="s">
        <v>75</v>
      </c>
      <c r="C29" s="539">
        <f>VLOOKUP(A29,'2-Kosten per locatie'!$A$13:$C$87,3,FALSE)</f>
        <v>2</v>
      </c>
      <c r="D29" s="655" t="str">
        <f ca="1">VLOOKUP(A29,'3-Ruimtestaat'!B:D,3,FALSE)</f>
        <v>Oostlijn bovengronds</v>
      </c>
      <c r="E29" s="655" t="s">
        <v>914</v>
      </c>
      <c r="F29" s="651">
        <v>10</v>
      </c>
      <c r="G29" s="650" t="s">
        <v>915</v>
      </c>
      <c r="H29" s="658">
        <v>1340</v>
      </c>
      <c r="I29" s="658">
        <v>188</v>
      </c>
      <c r="J29" s="659" t="e">
        <f t="shared" si="9"/>
        <v>#DIV/0!</v>
      </c>
      <c r="K29" s="659" t="e">
        <f t="shared" si="10"/>
        <v>#DIV/0!</v>
      </c>
      <c r="L29" s="660">
        <f t="shared" si="2"/>
        <v>0</v>
      </c>
      <c r="M29" s="661"/>
      <c r="N29" s="660" t="e">
        <f t="shared" si="11"/>
        <v>#DIV/0!</v>
      </c>
      <c r="O29" s="660" t="e">
        <f t="shared" si="12"/>
        <v>#DIV/0!</v>
      </c>
      <c r="Q29" s="408"/>
    </row>
    <row r="30" spans="1:17">
      <c r="A30" s="662">
        <v>119</v>
      </c>
      <c r="B30" s="655" t="s">
        <v>76</v>
      </c>
      <c r="C30" s="539">
        <f>VLOOKUP(A30,'2-Kosten per locatie'!$A$13:$C$87,3,FALSE)</f>
        <v>2</v>
      </c>
      <c r="D30" s="655" t="str">
        <f ca="1">VLOOKUP(A30,'3-Ruimtestaat'!B:D,3,FALSE)</f>
        <v>Oostlijn bovengronds</v>
      </c>
      <c r="E30" s="655" t="s">
        <v>914</v>
      </c>
      <c r="F30" s="651">
        <v>10</v>
      </c>
      <c r="G30" s="650" t="s">
        <v>915</v>
      </c>
      <c r="H30" s="658">
        <v>1637</v>
      </c>
      <c r="I30" s="658">
        <v>190</v>
      </c>
      <c r="J30" s="659" t="e">
        <f t="shared" si="9"/>
        <v>#DIV/0!</v>
      </c>
      <c r="K30" s="659" t="e">
        <f t="shared" si="10"/>
        <v>#DIV/0!</v>
      </c>
      <c r="L30" s="660">
        <f t="shared" si="2"/>
        <v>0</v>
      </c>
      <c r="M30" s="661"/>
      <c r="N30" s="660" t="e">
        <f t="shared" si="11"/>
        <v>#DIV/0!</v>
      </c>
      <c r="O30" s="660" t="e">
        <f t="shared" si="12"/>
        <v>#DIV/0!</v>
      </c>
      <c r="Q30" s="408"/>
    </row>
    <row r="31" spans="1:17">
      <c r="A31" s="662">
        <v>120</v>
      </c>
      <c r="B31" s="655" t="s">
        <v>77</v>
      </c>
      <c r="C31" s="539">
        <f>VLOOKUP(A31,'2-Kosten per locatie'!$A$13:$C$87,3,FALSE)</f>
        <v>2</v>
      </c>
      <c r="D31" s="655" t="str">
        <f ca="1">VLOOKUP(A31,'3-Ruimtestaat'!B:D,3,FALSE)</f>
        <v>Oostlijn bovengronds</v>
      </c>
      <c r="E31" s="655" t="s">
        <v>914</v>
      </c>
      <c r="F31" s="651">
        <v>10</v>
      </c>
      <c r="G31" s="650" t="s">
        <v>915</v>
      </c>
      <c r="H31" s="658">
        <v>1881</v>
      </c>
      <c r="I31" s="658">
        <v>143</v>
      </c>
      <c r="J31" s="659" t="e">
        <f t="shared" si="9"/>
        <v>#DIV/0!</v>
      </c>
      <c r="K31" s="659" t="e">
        <f t="shared" si="10"/>
        <v>#DIV/0!</v>
      </c>
      <c r="L31" s="660">
        <f t="shared" si="2"/>
        <v>0</v>
      </c>
      <c r="M31" s="661"/>
      <c r="N31" s="660" t="e">
        <f t="shared" si="11"/>
        <v>#DIV/0!</v>
      </c>
      <c r="O31" s="660" t="e">
        <f t="shared" si="12"/>
        <v>#DIV/0!</v>
      </c>
      <c r="Q31" s="408"/>
    </row>
    <row r="32" spans="1:17">
      <c r="A32" s="662">
        <v>121</v>
      </c>
      <c r="B32" s="655" t="s">
        <v>78</v>
      </c>
      <c r="C32" s="539">
        <f>VLOOKUP(A32,'2-Kosten per locatie'!$A$13:$C$87,3,FALSE)</f>
        <v>2</v>
      </c>
      <c r="D32" s="655" t="str">
        <f ca="1">VLOOKUP(A32,'3-Ruimtestaat'!B:D,3,FALSE)</f>
        <v>Oostlijn bovengronds</v>
      </c>
      <c r="E32" s="655" t="s">
        <v>914</v>
      </c>
      <c r="F32" s="651">
        <v>10</v>
      </c>
      <c r="G32" s="650" t="s">
        <v>915</v>
      </c>
      <c r="H32" s="658">
        <v>1428</v>
      </c>
      <c r="I32" s="658">
        <v>170</v>
      </c>
      <c r="J32" s="659" t="e">
        <f t="shared" si="9"/>
        <v>#DIV/0!</v>
      </c>
      <c r="K32" s="659" t="e">
        <f t="shared" si="10"/>
        <v>#DIV/0!</v>
      </c>
      <c r="L32" s="660">
        <f t="shared" si="2"/>
        <v>0</v>
      </c>
      <c r="M32" s="661"/>
      <c r="N32" s="660" t="e">
        <f t="shared" si="11"/>
        <v>#DIV/0!</v>
      </c>
      <c r="O32" s="660" t="e">
        <f t="shared" si="12"/>
        <v>#DIV/0!</v>
      </c>
      <c r="Q32" s="408"/>
    </row>
    <row r="33" spans="1:19" s="220" customFormat="1">
      <c r="A33" s="663">
        <v>302</v>
      </c>
      <c r="B33" s="656" t="s">
        <v>101</v>
      </c>
      <c r="C33" s="539">
        <f>VLOOKUP(A33,'2-Kosten per locatie'!$A$13:$C$87,3,FALSE)</f>
        <v>2</v>
      </c>
      <c r="D33" s="655" t="str">
        <f ca="1">VLOOKUP(A33,'3-Ruimtestaat'!B:D,3,FALSE)</f>
        <v>Ringlijn</v>
      </c>
      <c r="E33" s="656" t="s">
        <v>914</v>
      </c>
      <c r="F33" s="651">
        <v>10</v>
      </c>
      <c r="G33" s="650" t="s">
        <v>915</v>
      </c>
      <c r="H33" s="658">
        <v>1178</v>
      </c>
      <c r="I33" s="658">
        <v>181</v>
      </c>
      <c r="J33" s="664" t="e">
        <f t="shared" si="5"/>
        <v>#DIV/0!</v>
      </c>
      <c r="K33" s="665" t="e">
        <f t="shared" si="6"/>
        <v>#DIV/0!</v>
      </c>
      <c r="L33" s="666">
        <f t="shared" si="2"/>
        <v>0</v>
      </c>
      <c r="M33" s="661"/>
      <c r="N33" s="666" t="e">
        <f>J33*L33</f>
        <v>#DIV/0!</v>
      </c>
      <c r="O33" s="666" t="e">
        <f t="shared" si="8"/>
        <v>#DIV/0!</v>
      </c>
      <c r="Q33" s="408"/>
      <c r="R33" s="145"/>
      <c r="S33" s="145"/>
    </row>
    <row r="34" spans="1:19" s="220" customFormat="1">
      <c r="A34" s="663">
        <v>303</v>
      </c>
      <c r="B34" s="656" t="s">
        <v>102</v>
      </c>
      <c r="C34" s="539">
        <f>VLOOKUP(A34,'2-Kosten per locatie'!$A$13:$C$87,3,FALSE)</f>
        <v>2</v>
      </c>
      <c r="D34" s="655" t="str">
        <f ca="1">VLOOKUP(A34,'3-Ruimtestaat'!B:D,3,FALSE)</f>
        <v>Ringlijn</v>
      </c>
      <c r="E34" s="656" t="s">
        <v>914</v>
      </c>
      <c r="F34" s="651">
        <v>8</v>
      </c>
      <c r="G34" s="650" t="s">
        <v>915</v>
      </c>
      <c r="H34" s="658">
        <v>1703</v>
      </c>
      <c r="I34" s="658">
        <v>1013</v>
      </c>
      <c r="J34" s="664" t="e">
        <f t="shared" si="5"/>
        <v>#DIV/0!</v>
      </c>
      <c r="K34" s="665" t="e">
        <f t="shared" si="6"/>
        <v>#DIV/0!</v>
      </c>
      <c r="L34" s="666">
        <f t="shared" si="2"/>
        <v>0</v>
      </c>
      <c r="M34" s="661"/>
      <c r="N34" s="666" t="e">
        <f t="shared" ref="N34:N36" si="13">J34*L34</f>
        <v>#DIV/0!</v>
      </c>
      <c r="O34" s="666" t="e">
        <f t="shared" si="8"/>
        <v>#DIV/0!</v>
      </c>
      <c r="Q34" s="408"/>
      <c r="R34" s="145"/>
      <c r="S34" s="145"/>
    </row>
    <row r="35" spans="1:19" s="220" customFormat="1">
      <c r="A35" s="663">
        <v>307</v>
      </c>
      <c r="B35" s="656" t="s">
        <v>108</v>
      </c>
      <c r="C35" s="539">
        <f>VLOOKUP(A35,'2-Kosten per locatie'!$A$13:$C$87,3,FALSE)</f>
        <v>2</v>
      </c>
      <c r="D35" s="655" t="str">
        <f ca="1">VLOOKUP(A35,'3-Ruimtestaat'!B:D,3,FALSE)</f>
        <v>Ringlijn</v>
      </c>
      <c r="E35" s="656" t="s">
        <v>914</v>
      </c>
      <c r="F35" s="651">
        <v>10</v>
      </c>
      <c r="G35" s="650" t="s">
        <v>915</v>
      </c>
      <c r="H35" s="658">
        <v>1626</v>
      </c>
      <c r="I35" s="658">
        <v>391</v>
      </c>
      <c r="J35" s="664" t="e">
        <f t="shared" si="5"/>
        <v>#DIV/0!</v>
      </c>
      <c r="K35" s="665" t="e">
        <f t="shared" si="6"/>
        <v>#DIV/0!</v>
      </c>
      <c r="L35" s="666">
        <f t="shared" si="2"/>
        <v>0</v>
      </c>
      <c r="M35" s="661"/>
      <c r="N35" s="666" t="e">
        <f t="shared" si="13"/>
        <v>#DIV/0!</v>
      </c>
      <c r="O35" s="666" t="e">
        <f t="shared" si="8"/>
        <v>#DIV/0!</v>
      </c>
      <c r="Q35" s="408"/>
      <c r="R35" s="145"/>
      <c r="S35" s="145"/>
    </row>
    <row r="36" spans="1:19" s="220" customFormat="1">
      <c r="A36" s="469">
        <v>311</v>
      </c>
      <c r="B36" s="221" t="s">
        <v>112</v>
      </c>
      <c r="C36" s="539">
        <f>VLOOKUP(A36,'2-Kosten per locatie'!$A$13:$C$87,3,FALSE)</f>
        <v>2</v>
      </c>
      <c r="D36" s="222" t="str">
        <f ca="1">VLOOKUP(A36,'3-Ruimtestaat'!B:D,3,FALSE)</f>
        <v>Ringlijn</v>
      </c>
      <c r="E36" s="221" t="s">
        <v>914</v>
      </c>
      <c r="F36" s="651">
        <v>10</v>
      </c>
      <c r="G36" s="650" t="s">
        <v>915</v>
      </c>
      <c r="H36" s="263">
        <v>1562</v>
      </c>
      <c r="I36" s="263">
        <v>427</v>
      </c>
      <c r="J36" s="264" t="e">
        <f t="shared" si="5"/>
        <v>#DIV/0!</v>
      </c>
      <c r="K36" s="265" t="e">
        <f t="shared" si="6"/>
        <v>#DIV/0!</v>
      </c>
      <c r="L36" s="266">
        <f t="shared" si="2"/>
        <v>0</v>
      </c>
      <c r="M36" s="267"/>
      <c r="N36" s="266" t="e">
        <f t="shared" si="13"/>
        <v>#DIV/0!</v>
      </c>
      <c r="O36" s="666" t="e">
        <f t="shared" si="8"/>
        <v>#DIV/0!</v>
      </c>
      <c r="Q36" s="408"/>
      <c r="R36" s="145"/>
      <c r="S36" s="145"/>
    </row>
    <row r="37" spans="1:19" s="223" customFormat="1">
      <c r="A37" s="667" t="s">
        <v>917</v>
      </c>
      <c r="B37" s="668"/>
      <c r="C37" s="668"/>
      <c r="D37" s="668"/>
      <c r="E37" s="668"/>
      <c r="F37" s="668"/>
      <c r="G37" s="668"/>
      <c r="H37" s="669"/>
      <c r="I37" s="669"/>
      <c r="J37" s="669"/>
      <c r="K37" s="669"/>
      <c r="L37" s="669"/>
      <c r="M37" s="669"/>
      <c r="N37" s="670"/>
      <c r="O37" s="671" t="e">
        <f>SUM(O19:O36)</f>
        <v>#DIV/0!</v>
      </c>
    </row>
  </sheetData>
  <autoFilter ref="A18:O37" xr:uid="{00000000-0001-0000-0600-000000000000}"/>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M43"/>
  <sheetViews>
    <sheetView showGridLines="0" zoomScale="82" zoomScaleNormal="82" workbookViewId="0">
      <pane ySplit="15" topLeftCell="A16" activePane="bottomLeft" state="frozen"/>
      <selection pane="bottomLeft" activeCell="D21" sqref="D21"/>
      <selection activeCell="A872" sqref="A872"/>
    </sheetView>
  </sheetViews>
  <sheetFormatPr defaultColWidth="8.7109375" defaultRowHeight="13.15"/>
  <cols>
    <col min="1" max="1" width="22.140625" style="122" customWidth="1"/>
    <col min="2" max="3" width="22.28515625" style="109" customWidth="1"/>
    <col min="4" max="4" width="24.42578125" style="109" customWidth="1"/>
    <col min="5" max="5" width="54.5703125" style="109" customWidth="1"/>
    <col min="6" max="6" width="12.140625" style="109" bestFit="1" customWidth="1"/>
    <col min="7" max="7" width="16" style="109" customWidth="1"/>
    <col min="8" max="9" width="13.42578125" style="122" customWidth="1"/>
    <col min="10" max="10" width="15" style="122" bestFit="1" customWidth="1"/>
    <col min="11" max="11" width="16.7109375" style="122" customWidth="1"/>
    <col min="12" max="12" width="17.140625" style="206" customWidth="1"/>
    <col min="13" max="13" width="14.85546875" style="206" bestFit="1" customWidth="1"/>
    <col min="14" max="16384" width="8.7109375" style="206"/>
  </cols>
  <sheetData>
    <row r="1" spans="1:13">
      <c r="A1" s="672" t="s">
        <v>0</v>
      </c>
    </row>
    <row r="2" spans="1:13" ht="15.6">
      <c r="A2" s="109"/>
      <c r="E2" s="110"/>
      <c r="F2" s="110"/>
      <c r="G2" s="110"/>
    </row>
    <row r="3" spans="1:13" ht="15.6">
      <c r="A3" s="111" t="s">
        <v>1</v>
      </c>
      <c r="C3" s="174" t="str">
        <f>'1-Inschrijfstaat'!B3</f>
        <v>GVB Infra B.V.</v>
      </c>
      <c r="G3" s="122"/>
      <c r="K3" s="206"/>
    </row>
    <row r="4" spans="1:13" ht="15.6">
      <c r="A4" s="111" t="s">
        <v>918</v>
      </c>
      <c r="C4" s="213" t="e">
        <f ca="1">MID(CELL("bestandsnaam",$C$9),SEARCH("]",CELL("bestandsnaam",$C$9),1)+1,256)</f>
        <v>#VALUE!</v>
      </c>
      <c r="E4" s="110"/>
      <c r="F4" s="110"/>
      <c r="G4" s="122"/>
      <c r="K4" s="206"/>
    </row>
    <row r="5" spans="1:13" ht="15.6">
      <c r="A5" s="111" t="s">
        <v>4</v>
      </c>
      <c r="C5" s="174" t="str">
        <f>'1-Inschrijfstaat'!B5</f>
        <v>Diverse</v>
      </c>
      <c r="G5" s="122"/>
      <c r="K5" s="206"/>
    </row>
    <row r="6" spans="1:13" ht="15.6">
      <c r="A6" s="12" t="s">
        <v>47</v>
      </c>
      <c r="C6" s="174" t="str">
        <f>'1-Inschrijfstaat'!B6</f>
        <v>2024-20</v>
      </c>
      <c r="E6" s="110"/>
      <c r="F6" s="110"/>
      <c r="G6" s="122"/>
      <c r="K6" s="206"/>
    </row>
    <row r="7" spans="1:13" ht="15.6">
      <c r="A7" s="111" t="s">
        <v>8</v>
      </c>
      <c r="C7" s="174">
        <f>'1-Inschrijfstaat'!B7</f>
        <v>0</v>
      </c>
      <c r="G7" s="122"/>
      <c r="K7" s="206"/>
    </row>
    <row r="8" spans="1:13" ht="15.6">
      <c r="A8" s="111" t="s">
        <v>9</v>
      </c>
      <c r="C8" s="136" t="str">
        <f>'1-Inschrijfstaat'!B8</f>
        <v>1 januari 2025</v>
      </c>
      <c r="E8" s="110"/>
      <c r="F8" s="110"/>
      <c r="G8" s="122"/>
      <c r="K8" s="206"/>
    </row>
    <row r="9" spans="1:13" ht="15.6">
      <c r="A9" s="115" t="s">
        <v>11</v>
      </c>
      <c r="C9" s="391" t="str">
        <f>'1-Inschrijfstaat'!B9</f>
        <v>2 Specialistiche schoonmaak</v>
      </c>
      <c r="G9" s="122"/>
      <c r="K9" s="206"/>
    </row>
    <row r="10" spans="1:13" ht="15.6">
      <c r="A10" s="12" t="s">
        <v>892</v>
      </c>
      <c r="B10" s="201"/>
      <c r="C10" s="201" t="s">
        <v>893</v>
      </c>
      <c r="E10" s="110"/>
      <c r="F10" s="110"/>
      <c r="G10" s="122"/>
      <c r="K10" s="206"/>
    </row>
    <row r="11" spans="1:13" ht="15.6">
      <c r="A11" s="165"/>
      <c r="C11" s="214"/>
      <c r="G11" s="122"/>
      <c r="K11" s="206"/>
    </row>
    <row r="12" spans="1:13" ht="15.6">
      <c r="A12" s="648" t="s">
        <v>896</v>
      </c>
      <c r="B12" s="649" t="s">
        <v>897</v>
      </c>
      <c r="C12" s="649" t="s">
        <v>898</v>
      </c>
      <c r="E12" s="110"/>
      <c r="F12" s="110"/>
      <c r="G12" s="122"/>
      <c r="K12" s="206"/>
    </row>
    <row r="13" spans="1:13" ht="15.6">
      <c r="A13" s="650" t="s">
        <v>899</v>
      </c>
      <c r="B13" s="651" t="s">
        <v>900</v>
      </c>
      <c r="C13" s="673">
        <v>0</v>
      </c>
      <c r="D13" s="119"/>
      <c r="E13" s="119"/>
      <c r="F13" s="117"/>
      <c r="G13" s="117"/>
      <c r="H13" s="113"/>
      <c r="I13" s="113"/>
      <c r="J13" s="110"/>
      <c r="K13" s="206"/>
    </row>
    <row r="14" spans="1:13" ht="15.6">
      <c r="A14" s="118"/>
      <c r="B14" s="117"/>
      <c r="C14" s="117"/>
      <c r="D14" s="117"/>
      <c r="E14" s="117"/>
      <c r="F14" s="117"/>
      <c r="G14" s="117"/>
      <c r="H14" s="113"/>
      <c r="I14" s="113"/>
    </row>
    <row r="15" spans="1:13" s="43" customFormat="1" ht="66">
      <c r="A15" s="674" t="s">
        <v>919</v>
      </c>
      <c r="B15" s="674" t="s">
        <v>50</v>
      </c>
      <c r="C15" s="674" t="s">
        <v>11</v>
      </c>
      <c r="D15" s="674" t="s">
        <v>51</v>
      </c>
      <c r="E15" s="675" t="s">
        <v>920</v>
      </c>
      <c r="F15" s="676" t="s">
        <v>921</v>
      </c>
      <c r="G15" s="676" t="s">
        <v>922</v>
      </c>
      <c r="H15" s="677" t="s">
        <v>923</v>
      </c>
      <c r="I15" s="677" t="s">
        <v>924</v>
      </c>
      <c r="J15" s="649" t="s">
        <v>898</v>
      </c>
      <c r="K15" s="611" t="s">
        <v>913</v>
      </c>
      <c r="M15" s="206"/>
    </row>
    <row r="16" spans="1:13">
      <c r="A16" s="678">
        <v>107</v>
      </c>
      <c r="B16" s="679" t="s">
        <v>64</v>
      </c>
      <c r="C16" s="680">
        <f>VLOOKUP(A16,'2-Kosten per locatie'!$A$13:$C$88,3,FALSE)</f>
        <v>2</v>
      </c>
      <c r="D16" s="681" t="str">
        <f ca="1">VLOOKUP(A16,'3-Ruimtestaat'!B:D,3,FALSE)</f>
        <v>Oostlijn bovengronds</v>
      </c>
      <c r="E16" s="682" t="s">
        <v>925</v>
      </c>
      <c r="F16" s="547">
        <v>2</v>
      </c>
      <c r="G16" s="541">
        <v>1</v>
      </c>
      <c r="H16" s="542"/>
      <c r="I16" s="542"/>
      <c r="J16" s="543">
        <f t="shared" ref="J16:J41" si="0">$C$13</f>
        <v>0</v>
      </c>
      <c r="K16" s="543">
        <f t="shared" ref="K16:K17" si="1">((F16*H16*G16)+(G16*I16))*J16</f>
        <v>0</v>
      </c>
      <c r="L16" s="43"/>
    </row>
    <row r="17" spans="1:12">
      <c r="A17" s="678">
        <v>108</v>
      </c>
      <c r="B17" s="679" t="s">
        <v>65</v>
      </c>
      <c r="C17" s="680">
        <f>VLOOKUP(A17,'2-Kosten per locatie'!$A$13:$C$88,3,FALSE)</f>
        <v>2</v>
      </c>
      <c r="D17" s="681" t="str">
        <f ca="1">VLOOKUP(A17,'3-Ruimtestaat'!B:D,3,FALSE)</f>
        <v>Oostlijn bovengronds</v>
      </c>
      <c r="E17" s="682" t="s">
        <v>925</v>
      </c>
      <c r="F17" s="547">
        <v>2</v>
      </c>
      <c r="G17" s="541">
        <v>1</v>
      </c>
      <c r="H17" s="542"/>
      <c r="I17" s="542"/>
      <c r="J17" s="543">
        <f t="shared" si="0"/>
        <v>0</v>
      </c>
      <c r="K17" s="543">
        <f t="shared" si="1"/>
        <v>0</v>
      </c>
      <c r="L17" s="43"/>
    </row>
    <row r="18" spans="1:12">
      <c r="A18" s="678">
        <v>110</v>
      </c>
      <c r="B18" s="679" t="s">
        <v>67</v>
      </c>
      <c r="C18" s="680">
        <f>VLOOKUP(A18,'2-Kosten per locatie'!$A$13:$C$88,3,FALSE)</f>
        <v>2</v>
      </c>
      <c r="D18" s="681" t="str">
        <f ca="1">VLOOKUP(A18,'3-Ruimtestaat'!B:D,3,FALSE)</f>
        <v>Oostlijn bovengronds</v>
      </c>
      <c r="E18" s="682" t="s">
        <v>925</v>
      </c>
      <c r="F18" s="547">
        <v>2</v>
      </c>
      <c r="G18" s="541">
        <v>1</v>
      </c>
      <c r="H18" s="542"/>
      <c r="I18" s="542"/>
      <c r="J18" s="543">
        <f t="shared" si="0"/>
        <v>0</v>
      </c>
      <c r="K18" s="543">
        <f>((F18*H18*G18)+(G18*I18))*J18</f>
        <v>0</v>
      </c>
      <c r="L18" s="43"/>
    </row>
    <row r="19" spans="1:12">
      <c r="A19" s="678">
        <v>111</v>
      </c>
      <c r="B19" s="679" t="s">
        <v>68</v>
      </c>
      <c r="C19" s="680">
        <f>VLOOKUP(A19,'2-Kosten per locatie'!$A$13:$C$88,3,FALSE)</f>
        <v>2</v>
      </c>
      <c r="D19" s="681" t="str">
        <f ca="1">VLOOKUP(A19,'3-Ruimtestaat'!B:D,3,FALSE)</f>
        <v>Oostlijn bovengronds</v>
      </c>
      <c r="E19" s="682" t="s">
        <v>925</v>
      </c>
      <c r="F19" s="547">
        <v>3</v>
      </c>
      <c r="G19" s="541">
        <v>1</v>
      </c>
      <c r="H19" s="542"/>
      <c r="I19" s="542"/>
      <c r="J19" s="543">
        <f t="shared" si="0"/>
        <v>0</v>
      </c>
      <c r="K19" s="543">
        <f t="shared" ref="K19:K41" si="2">((F19*H19*G19)+(G19*I19))*J19</f>
        <v>0</v>
      </c>
      <c r="L19" s="43"/>
    </row>
    <row r="20" spans="1:12">
      <c r="A20" s="678">
        <v>112</v>
      </c>
      <c r="B20" s="679" t="s">
        <v>69</v>
      </c>
      <c r="C20" s="680">
        <f>VLOOKUP(A20,'2-Kosten per locatie'!$A$13:$C$88,3,FALSE)</f>
        <v>2</v>
      </c>
      <c r="D20" s="681" t="str">
        <f ca="1">VLOOKUP(A20,'3-Ruimtestaat'!B:D,3,FALSE)</f>
        <v>Oostlijn bovengronds</v>
      </c>
      <c r="E20" s="682" t="s">
        <v>925</v>
      </c>
      <c r="F20" s="547">
        <v>2</v>
      </c>
      <c r="G20" s="541">
        <v>1</v>
      </c>
      <c r="H20" s="542"/>
      <c r="I20" s="542"/>
      <c r="J20" s="543">
        <f t="shared" si="0"/>
        <v>0</v>
      </c>
      <c r="K20" s="543">
        <f t="shared" si="2"/>
        <v>0</v>
      </c>
      <c r="L20" s="43"/>
    </row>
    <row r="21" spans="1:12">
      <c r="A21" s="678">
        <v>113</v>
      </c>
      <c r="B21" s="679" t="s">
        <v>70</v>
      </c>
      <c r="C21" s="680">
        <f>VLOOKUP(A21,'2-Kosten per locatie'!$A$13:$C$88,3,FALSE)</f>
        <v>2</v>
      </c>
      <c r="D21" s="681" t="str">
        <f ca="1">VLOOKUP(A21,'3-Ruimtestaat'!B:D,3,FALSE)</f>
        <v>Oostlijn bovengronds</v>
      </c>
      <c r="E21" s="682" t="s">
        <v>925</v>
      </c>
      <c r="F21" s="547">
        <v>2</v>
      </c>
      <c r="G21" s="541">
        <v>1</v>
      </c>
      <c r="H21" s="542"/>
      <c r="I21" s="542"/>
      <c r="J21" s="543">
        <f t="shared" si="0"/>
        <v>0</v>
      </c>
      <c r="K21" s="543">
        <f t="shared" si="2"/>
        <v>0</v>
      </c>
      <c r="L21" s="43"/>
    </row>
    <row r="22" spans="1:12">
      <c r="A22" s="678">
        <v>114</v>
      </c>
      <c r="B22" s="679" t="s">
        <v>71</v>
      </c>
      <c r="C22" s="680">
        <f>VLOOKUP(A22,'2-Kosten per locatie'!$A$13:$C$88,3,FALSE)</f>
        <v>2</v>
      </c>
      <c r="D22" s="681" t="str">
        <f ca="1">VLOOKUP(A22,'3-Ruimtestaat'!B:D,3,FALSE)</f>
        <v>Oostlijn bovengronds</v>
      </c>
      <c r="E22" s="682" t="s">
        <v>925</v>
      </c>
      <c r="F22" s="547">
        <v>2</v>
      </c>
      <c r="G22" s="541">
        <v>1</v>
      </c>
      <c r="H22" s="542"/>
      <c r="I22" s="542"/>
      <c r="J22" s="543">
        <f t="shared" si="0"/>
        <v>0</v>
      </c>
      <c r="K22" s="543">
        <f t="shared" si="2"/>
        <v>0</v>
      </c>
      <c r="L22" s="43"/>
    </row>
    <row r="23" spans="1:12">
      <c r="A23" s="678">
        <v>115</v>
      </c>
      <c r="B23" s="679" t="s">
        <v>72</v>
      </c>
      <c r="C23" s="680">
        <f>VLOOKUP(A23,'2-Kosten per locatie'!$A$13:$C$88,3,FALSE)</f>
        <v>2</v>
      </c>
      <c r="D23" s="681" t="str">
        <f ca="1">VLOOKUP(A23,'3-Ruimtestaat'!B:D,3,FALSE)</f>
        <v>Oostlijn Bovengronds</v>
      </c>
      <c r="E23" s="682" t="s">
        <v>925</v>
      </c>
      <c r="F23" s="547">
        <v>2</v>
      </c>
      <c r="G23" s="541">
        <v>1</v>
      </c>
      <c r="H23" s="542"/>
      <c r="I23" s="542"/>
      <c r="J23" s="543">
        <f t="shared" si="0"/>
        <v>0</v>
      </c>
      <c r="K23" s="543">
        <f t="shared" si="2"/>
        <v>0</v>
      </c>
      <c r="L23" s="43"/>
    </row>
    <row r="24" spans="1:12">
      <c r="A24" s="678">
        <v>116</v>
      </c>
      <c r="B24" s="679" t="s">
        <v>73</v>
      </c>
      <c r="C24" s="680">
        <f>VLOOKUP(A24,'2-Kosten per locatie'!$A$13:$C$88,3,FALSE)</f>
        <v>2</v>
      </c>
      <c r="D24" s="681" t="str">
        <f ca="1">VLOOKUP(A24,'3-Ruimtestaat'!B:D,3,FALSE)</f>
        <v>Oostlijn bovengronds</v>
      </c>
      <c r="E24" s="682" t="s">
        <v>925</v>
      </c>
      <c r="F24" s="547">
        <v>1</v>
      </c>
      <c r="G24" s="541">
        <v>1</v>
      </c>
      <c r="H24" s="542"/>
      <c r="I24" s="542"/>
      <c r="J24" s="543">
        <f t="shared" si="0"/>
        <v>0</v>
      </c>
      <c r="K24" s="543">
        <f t="shared" ref="K24:K30" si="3">((F24*H24*G24)+(G24*I24))*J24</f>
        <v>0</v>
      </c>
      <c r="L24" s="43"/>
    </row>
    <row r="25" spans="1:12">
      <c r="A25" s="678">
        <v>117</v>
      </c>
      <c r="B25" s="679" t="s">
        <v>74</v>
      </c>
      <c r="C25" s="680">
        <f>VLOOKUP(A25,'2-Kosten per locatie'!$A$13:$C$88,3,FALSE)</f>
        <v>2</v>
      </c>
      <c r="D25" s="681" t="str">
        <f ca="1">VLOOKUP(A25,'3-Ruimtestaat'!B:D,3,FALSE)</f>
        <v>Oostlijn bovengronds</v>
      </c>
      <c r="E25" s="682" t="s">
        <v>925</v>
      </c>
      <c r="F25" s="547">
        <v>2</v>
      </c>
      <c r="G25" s="541">
        <v>1</v>
      </c>
      <c r="H25" s="542"/>
      <c r="I25" s="542"/>
      <c r="J25" s="543">
        <f t="shared" si="0"/>
        <v>0</v>
      </c>
      <c r="K25" s="543">
        <f t="shared" si="3"/>
        <v>0</v>
      </c>
      <c r="L25" s="43"/>
    </row>
    <row r="26" spans="1:12">
      <c r="A26" s="678">
        <v>118</v>
      </c>
      <c r="B26" s="679" t="s">
        <v>75</v>
      </c>
      <c r="C26" s="680">
        <f>VLOOKUP(A26,'2-Kosten per locatie'!$A$13:$C$88,3,FALSE)</f>
        <v>2</v>
      </c>
      <c r="D26" s="681" t="str">
        <f ca="1">VLOOKUP(A26,'3-Ruimtestaat'!B:D,3,FALSE)</f>
        <v>Oostlijn bovengronds</v>
      </c>
      <c r="E26" s="682" t="s">
        <v>925</v>
      </c>
      <c r="F26" s="547">
        <v>1</v>
      </c>
      <c r="G26" s="541">
        <v>1</v>
      </c>
      <c r="H26" s="542"/>
      <c r="I26" s="542"/>
      <c r="J26" s="543">
        <f t="shared" si="0"/>
        <v>0</v>
      </c>
      <c r="K26" s="543">
        <f t="shared" si="3"/>
        <v>0</v>
      </c>
      <c r="L26" s="43"/>
    </row>
    <row r="27" spans="1:12">
      <c r="A27" s="678">
        <v>119</v>
      </c>
      <c r="B27" s="679" t="s">
        <v>76</v>
      </c>
      <c r="C27" s="680">
        <f>VLOOKUP(A27,'2-Kosten per locatie'!$A$13:$C$88,3,FALSE)</f>
        <v>2</v>
      </c>
      <c r="D27" s="681" t="str">
        <f ca="1">VLOOKUP(A27,'3-Ruimtestaat'!B:D,3,FALSE)</f>
        <v>Oostlijn bovengronds</v>
      </c>
      <c r="E27" s="682" t="s">
        <v>925</v>
      </c>
      <c r="F27" s="547">
        <v>3</v>
      </c>
      <c r="G27" s="541">
        <v>1</v>
      </c>
      <c r="H27" s="542"/>
      <c r="I27" s="542"/>
      <c r="J27" s="543">
        <f t="shared" si="0"/>
        <v>0</v>
      </c>
      <c r="K27" s="543">
        <f t="shared" si="3"/>
        <v>0</v>
      </c>
      <c r="L27" s="43"/>
    </row>
    <row r="28" spans="1:12">
      <c r="A28" s="678">
        <v>120</v>
      </c>
      <c r="B28" s="679" t="s">
        <v>77</v>
      </c>
      <c r="C28" s="680">
        <f>VLOOKUP(A28,'2-Kosten per locatie'!$A$13:$C$88,3,FALSE)</f>
        <v>2</v>
      </c>
      <c r="D28" s="681" t="str">
        <f ca="1">VLOOKUP(A28,'3-Ruimtestaat'!B:D,3,FALSE)</f>
        <v>Oostlijn bovengronds</v>
      </c>
      <c r="E28" s="682" t="s">
        <v>925</v>
      </c>
      <c r="F28" s="547">
        <v>3</v>
      </c>
      <c r="G28" s="541">
        <v>1</v>
      </c>
      <c r="H28" s="542"/>
      <c r="I28" s="542"/>
      <c r="J28" s="543">
        <f t="shared" si="0"/>
        <v>0</v>
      </c>
      <c r="K28" s="543">
        <f t="shared" si="3"/>
        <v>0</v>
      </c>
      <c r="L28" s="43"/>
    </row>
    <row r="29" spans="1:12">
      <c r="A29" s="678">
        <v>121</v>
      </c>
      <c r="B29" s="679" t="s">
        <v>78</v>
      </c>
      <c r="C29" s="680">
        <f>VLOOKUP(A29,'2-Kosten per locatie'!$A$13:$C$88,3,FALSE)</f>
        <v>2</v>
      </c>
      <c r="D29" s="681" t="str">
        <f ca="1">VLOOKUP(A29,'3-Ruimtestaat'!B:D,3,FALSE)</f>
        <v>Oostlijn bovengronds</v>
      </c>
      <c r="E29" s="682" t="s">
        <v>925</v>
      </c>
      <c r="F29" s="547">
        <v>1</v>
      </c>
      <c r="G29" s="541">
        <v>1</v>
      </c>
      <c r="H29" s="542"/>
      <c r="I29" s="542"/>
      <c r="J29" s="543">
        <f t="shared" si="0"/>
        <v>0</v>
      </c>
      <c r="K29" s="543">
        <f t="shared" si="3"/>
        <v>0</v>
      </c>
      <c r="L29" s="43"/>
    </row>
    <row r="30" spans="1:12">
      <c r="A30" s="678">
        <v>1002</v>
      </c>
      <c r="B30" s="679" t="s">
        <v>117</v>
      </c>
      <c r="C30" s="680">
        <f>VLOOKUP(A30,'2-Kosten per locatie'!$A$13:$C$88,3,FALSE)</f>
        <v>2</v>
      </c>
      <c r="D30" s="681" t="str">
        <f ca="1">VLOOKUP(A30,'3-Ruimtestaat'!B:D,3,FALSE)</f>
        <v>Ijtram</v>
      </c>
      <c r="E30" s="682" t="s">
        <v>925</v>
      </c>
      <c r="F30" s="547">
        <v>2</v>
      </c>
      <c r="G30" s="541">
        <v>2</v>
      </c>
      <c r="H30" s="542"/>
      <c r="I30" s="542"/>
      <c r="J30" s="543">
        <f t="shared" si="0"/>
        <v>0</v>
      </c>
      <c r="K30" s="543">
        <f t="shared" si="3"/>
        <v>0</v>
      </c>
      <c r="L30" s="43"/>
    </row>
    <row r="31" spans="1:12">
      <c r="A31" s="620">
        <v>302</v>
      </c>
      <c r="B31" s="622" t="s">
        <v>101</v>
      </c>
      <c r="C31" s="680">
        <f>VLOOKUP(A31,'2-Kosten per locatie'!$A$13:$C$88,3,FALSE)</f>
        <v>2</v>
      </c>
      <c r="D31" s="681" t="str">
        <f ca="1">VLOOKUP(A31,'3-Ruimtestaat'!B:D,3,FALSE)</f>
        <v>Ringlijn</v>
      </c>
      <c r="E31" s="682" t="s">
        <v>925</v>
      </c>
      <c r="F31" s="547">
        <v>1</v>
      </c>
      <c r="G31" s="541">
        <v>1</v>
      </c>
      <c r="H31" s="542"/>
      <c r="I31" s="542"/>
      <c r="J31" s="543">
        <f t="shared" si="0"/>
        <v>0</v>
      </c>
      <c r="K31" s="543">
        <f t="shared" si="2"/>
        <v>0</v>
      </c>
      <c r="L31" s="43"/>
    </row>
    <row r="32" spans="1:12">
      <c r="A32" s="620">
        <v>303</v>
      </c>
      <c r="B32" s="683" t="s">
        <v>102</v>
      </c>
      <c r="C32" s="680">
        <f>VLOOKUP(A32,'2-Kosten per locatie'!$A$13:$C$88,3,FALSE)</f>
        <v>2</v>
      </c>
      <c r="D32" s="681" t="str">
        <f ca="1">VLOOKUP(A32,'3-Ruimtestaat'!B:D,3,FALSE)</f>
        <v>Ringlijn</v>
      </c>
      <c r="E32" s="682" t="s">
        <v>925</v>
      </c>
      <c r="F32" s="547">
        <v>2</v>
      </c>
      <c r="G32" s="541">
        <v>1</v>
      </c>
      <c r="H32" s="542"/>
      <c r="I32" s="542"/>
      <c r="J32" s="543">
        <f t="shared" si="0"/>
        <v>0</v>
      </c>
      <c r="K32" s="543">
        <f t="shared" si="2"/>
        <v>0</v>
      </c>
      <c r="L32" s="43"/>
    </row>
    <row r="33" spans="1:12">
      <c r="A33" s="620">
        <v>304</v>
      </c>
      <c r="B33" s="683" t="s">
        <v>105</v>
      </c>
      <c r="C33" s="680">
        <f>VLOOKUP(A33,'2-Kosten per locatie'!$A$13:$C$88,3,FALSE)</f>
        <v>2</v>
      </c>
      <c r="D33" s="681" t="str">
        <f ca="1">VLOOKUP(A33,'3-Ruimtestaat'!B:D,3,FALSE)</f>
        <v>Ringlijn</v>
      </c>
      <c r="E33" s="682" t="s">
        <v>925</v>
      </c>
      <c r="F33" s="547">
        <v>2</v>
      </c>
      <c r="G33" s="541">
        <v>1</v>
      </c>
      <c r="H33" s="542"/>
      <c r="I33" s="542"/>
      <c r="J33" s="543">
        <f t="shared" si="0"/>
        <v>0</v>
      </c>
      <c r="K33" s="543">
        <f t="shared" si="2"/>
        <v>0</v>
      </c>
      <c r="L33" s="43"/>
    </row>
    <row r="34" spans="1:12">
      <c r="A34" s="620">
        <v>305</v>
      </c>
      <c r="B34" s="622" t="s">
        <v>106</v>
      </c>
      <c r="C34" s="680">
        <f>VLOOKUP(A34,'2-Kosten per locatie'!$A$13:$C$88,3,FALSE)</f>
        <v>2</v>
      </c>
      <c r="D34" s="681" t="str">
        <f ca="1">VLOOKUP(A34,'3-Ruimtestaat'!B:D,3,FALSE)</f>
        <v>Ringlijn</v>
      </c>
      <c r="E34" s="682" t="s">
        <v>925</v>
      </c>
      <c r="F34" s="547">
        <v>1</v>
      </c>
      <c r="G34" s="541">
        <v>1</v>
      </c>
      <c r="H34" s="542"/>
      <c r="I34" s="542"/>
      <c r="J34" s="543">
        <f t="shared" si="0"/>
        <v>0</v>
      </c>
      <c r="K34" s="543">
        <f t="shared" si="2"/>
        <v>0</v>
      </c>
      <c r="L34" s="43"/>
    </row>
    <row r="35" spans="1:12">
      <c r="A35" s="620">
        <v>306</v>
      </c>
      <c r="B35" s="622" t="s">
        <v>107</v>
      </c>
      <c r="C35" s="680">
        <f>VLOOKUP(A35,'2-Kosten per locatie'!$A$13:$C$88,3,FALSE)</f>
        <v>2</v>
      </c>
      <c r="D35" s="681" t="str">
        <f ca="1">VLOOKUP(A35,'3-Ruimtestaat'!B:D,3,FALSE)</f>
        <v>Ringlijn</v>
      </c>
      <c r="E35" s="682" t="s">
        <v>925</v>
      </c>
      <c r="F35" s="547">
        <v>1</v>
      </c>
      <c r="G35" s="541">
        <v>1</v>
      </c>
      <c r="H35" s="542"/>
      <c r="I35" s="542"/>
      <c r="J35" s="543">
        <f t="shared" si="0"/>
        <v>0</v>
      </c>
      <c r="K35" s="543">
        <f t="shared" si="2"/>
        <v>0</v>
      </c>
      <c r="L35" s="43"/>
    </row>
    <row r="36" spans="1:12">
      <c r="A36" s="620">
        <v>307</v>
      </c>
      <c r="B36" s="622" t="s">
        <v>108</v>
      </c>
      <c r="C36" s="680">
        <f>VLOOKUP(A36,'2-Kosten per locatie'!$A$13:$C$88,3,FALSE)</f>
        <v>2</v>
      </c>
      <c r="D36" s="681" t="str">
        <f ca="1">VLOOKUP(A36,'3-Ruimtestaat'!B:D,3,FALSE)</f>
        <v>Ringlijn</v>
      </c>
      <c r="E36" s="682" t="s">
        <v>925</v>
      </c>
      <c r="F36" s="547">
        <v>3</v>
      </c>
      <c r="G36" s="541">
        <v>1</v>
      </c>
      <c r="H36" s="542"/>
      <c r="I36" s="542"/>
      <c r="J36" s="543">
        <f t="shared" si="0"/>
        <v>0</v>
      </c>
      <c r="K36" s="543">
        <f t="shared" si="2"/>
        <v>0</v>
      </c>
      <c r="L36" s="43"/>
    </row>
    <row r="37" spans="1:12">
      <c r="A37" s="620">
        <v>308</v>
      </c>
      <c r="B37" s="622" t="s">
        <v>109</v>
      </c>
      <c r="C37" s="680">
        <f>VLOOKUP(A37,'2-Kosten per locatie'!$A$13:$C$88,3,FALSE)</f>
        <v>2</v>
      </c>
      <c r="D37" s="681" t="str">
        <f ca="1">VLOOKUP(A37,'3-Ruimtestaat'!B:D,3,FALSE)</f>
        <v>Ringlijn</v>
      </c>
      <c r="E37" s="682" t="s">
        <v>925</v>
      </c>
      <c r="F37" s="547">
        <v>1</v>
      </c>
      <c r="G37" s="541">
        <v>1</v>
      </c>
      <c r="H37" s="542"/>
      <c r="I37" s="542"/>
      <c r="J37" s="543">
        <f t="shared" si="0"/>
        <v>0</v>
      </c>
      <c r="K37" s="543">
        <f t="shared" si="2"/>
        <v>0</v>
      </c>
      <c r="L37" s="43"/>
    </row>
    <row r="38" spans="1:12">
      <c r="A38" s="620">
        <v>309</v>
      </c>
      <c r="B38" s="622" t="s">
        <v>110</v>
      </c>
      <c r="C38" s="680">
        <f>VLOOKUP(A38,'2-Kosten per locatie'!$A$13:$C$88,3,FALSE)</f>
        <v>2</v>
      </c>
      <c r="D38" s="681" t="str">
        <f ca="1">VLOOKUP(A38,'3-Ruimtestaat'!B:D,3,FALSE)</f>
        <v>Ringlijn</v>
      </c>
      <c r="E38" s="682" t="s">
        <v>925</v>
      </c>
      <c r="F38" s="547">
        <v>1</v>
      </c>
      <c r="G38" s="541">
        <v>1</v>
      </c>
      <c r="H38" s="542"/>
      <c r="I38" s="542"/>
      <c r="J38" s="543">
        <f t="shared" si="0"/>
        <v>0</v>
      </c>
      <c r="K38" s="543">
        <f t="shared" si="2"/>
        <v>0</v>
      </c>
      <c r="L38" s="43"/>
    </row>
    <row r="39" spans="1:12">
      <c r="A39" s="620">
        <v>310</v>
      </c>
      <c r="B39" s="622" t="s">
        <v>111</v>
      </c>
      <c r="C39" s="680">
        <f>VLOOKUP(A39,'2-Kosten per locatie'!$A$13:$C$88,3,FALSE)</f>
        <v>2</v>
      </c>
      <c r="D39" s="681" t="str">
        <f ca="1">VLOOKUP(A39,'3-Ruimtestaat'!B:D,3,FALSE)</f>
        <v>Ringlijn</v>
      </c>
      <c r="E39" s="682" t="s">
        <v>925</v>
      </c>
      <c r="F39" s="547">
        <v>1</v>
      </c>
      <c r="G39" s="541">
        <v>1</v>
      </c>
      <c r="H39" s="542"/>
      <c r="I39" s="542"/>
      <c r="J39" s="543">
        <f t="shared" si="0"/>
        <v>0</v>
      </c>
      <c r="K39" s="543">
        <f t="shared" si="2"/>
        <v>0</v>
      </c>
      <c r="L39" s="43"/>
    </row>
    <row r="40" spans="1:12">
      <c r="A40" s="252">
        <v>311</v>
      </c>
      <c r="B40" s="215" t="s">
        <v>112</v>
      </c>
      <c r="C40" s="680">
        <f>VLOOKUP(A40,'2-Kosten per locatie'!$A$13:$C$88,3,FALSE)</f>
        <v>2</v>
      </c>
      <c r="D40" s="470" t="str">
        <f ca="1">VLOOKUP(A40,'3-Ruimtestaat'!B:D,3,FALSE)</f>
        <v>Ringlijn</v>
      </c>
      <c r="E40" s="471" t="s">
        <v>925</v>
      </c>
      <c r="F40" s="253">
        <v>2</v>
      </c>
      <c r="G40" s="254">
        <v>1</v>
      </c>
      <c r="H40" s="542"/>
      <c r="I40" s="287"/>
      <c r="J40" s="255">
        <f t="shared" si="0"/>
        <v>0</v>
      </c>
      <c r="K40" s="543">
        <f t="shared" si="2"/>
        <v>0</v>
      </c>
      <c r="L40" s="43"/>
    </row>
    <row r="41" spans="1:12">
      <c r="A41" s="551" t="s">
        <v>137</v>
      </c>
      <c r="B41" s="215" t="s">
        <v>5</v>
      </c>
      <c r="C41" s="680">
        <f>VLOOKUP(A41,'2-Kosten per locatie'!$A$13:$C$88,3,FALSE)</f>
        <v>2</v>
      </c>
      <c r="D41" s="472" t="s">
        <v>5</v>
      </c>
      <c r="E41" s="473" t="s">
        <v>926</v>
      </c>
      <c r="F41" s="254">
        <v>25</v>
      </c>
      <c r="G41" s="254">
        <v>12</v>
      </c>
      <c r="H41" s="542"/>
      <c r="I41" s="287"/>
      <c r="J41" s="255">
        <f t="shared" si="0"/>
        <v>0</v>
      </c>
      <c r="K41" s="543">
        <f t="shared" si="2"/>
        <v>0</v>
      </c>
      <c r="L41" s="43"/>
    </row>
    <row r="42" spans="1:12">
      <c r="A42" s="684" t="s">
        <v>917</v>
      </c>
      <c r="B42" s="685"/>
      <c r="C42" s="685"/>
      <c r="D42" s="685"/>
      <c r="E42" s="685"/>
      <c r="F42" s="686"/>
      <c r="G42" s="687"/>
      <c r="H42" s="687"/>
      <c r="I42" s="687"/>
      <c r="J42" s="688"/>
      <c r="K42" s="689">
        <f>SUM(K16:K41)</f>
        <v>0</v>
      </c>
      <c r="L42" s="43"/>
    </row>
    <row r="43" spans="1:12">
      <c r="L43" s="43"/>
    </row>
  </sheetData>
  <autoFilter ref="A15:K42" xr:uid="{F4D34306-0F5A-40F0-ADF4-49EE431F54CD}"/>
  <pageMargins left="0.70866141732283472" right="0.70866141732283472" top="0.74803149606299213" bottom="0.74803149606299213"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484C-8E0B-4411-A373-9E0ADAB48A2E}">
  <sheetPr>
    <tabColor theme="0" tint="-4.9989318521683403E-2"/>
  </sheetPr>
  <dimension ref="A1:V54"/>
  <sheetViews>
    <sheetView showGridLines="0" zoomScale="87" zoomScaleNormal="87" workbookViewId="0">
      <pane ySplit="10" topLeftCell="A23" activePane="bottomLeft" state="frozen"/>
      <selection pane="bottomLeft" activeCell="H50" sqref="H50"/>
      <selection activeCell="A872" sqref="A872"/>
    </sheetView>
  </sheetViews>
  <sheetFormatPr defaultColWidth="8.7109375" defaultRowHeight="13.15"/>
  <cols>
    <col min="1" max="1" width="12.42578125" style="206" customWidth="1"/>
    <col min="2" max="2" width="20.140625" style="206" bestFit="1" customWidth="1"/>
    <col min="3" max="3" width="20.140625" style="206" customWidth="1"/>
    <col min="4" max="4" width="27.85546875" style="122" bestFit="1" customWidth="1"/>
    <col min="5" max="5" width="19.28515625" style="109" customWidth="1"/>
    <col min="6" max="6" width="7.28515625" style="109" bestFit="1" customWidth="1"/>
    <col min="7" max="7" width="14.5703125" style="109" customWidth="1"/>
    <col min="8" max="8" width="14.42578125" style="109" bestFit="1" customWidth="1"/>
    <col min="9" max="9" width="8.5703125" style="109" bestFit="1" customWidth="1"/>
    <col min="10" max="10" width="10.28515625" style="122" bestFit="1" customWidth="1"/>
    <col min="11" max="11" width="13.140625" style="122" bestFit="1" customWidth="1"/>
    <col min="12" max="12" width="11.5703125" style="122" customWidth="1"/>
    <col min="13" max="13" width="14.85546875" style="206" bestFit="1" customWidth="1"/>
    <col min="14" max="14" width="17.140625" style="206" customWidth="1"/>
    <col min="15" max="16384" width="8.7109375" style="206"/>
  </cols>
  <sheetData>
    <row r="1" spans="1:22">
      <c r="A1" s="690" t="s">
        <v>0</v>
      </c>
      <c r="B1" s="690"/>
      <c r="C1" s="122"/>
      <c r="D1" s="109"/>
      <c r="I1" s="122"/>
      <c r="L1" s="206"/>
    </row>
    <row r="2" spans="1:22" ht="15.6">
      <c r="A2" s="109"/>
      <c r="C2" s="122"/>
      <c r="D2" s="109"/>
      <c r="F2" s="110"/>
      <c r="G2" s="110"/>
      <c r="H2" s="110"/>
      <c r="I2" s="122"/>
      <c r="L2" s="206"/>
    </row>
    <row r="3" spans="1:22" ht="15.6">
      <c r="A3" s="12" t="s">
        <v>1</v>
      </c>
      <c r="C3" s="201" t="str">
        <f>'1-Inschrijfstaat'!B3</f>
        <v>GVB Infra B.V.</v>
      </c>
      <c r="D3" s="109"/>
      <c r="G3" s="207"/>
      <c r="H3" s="110"/>
      <c r="I3" s="122"/>
      <c r="L3" s="206"/>
    </row>
    <row r="4" spans="1:22" ht="15.6">
      <c r="A4" s="12" t="s">
        <v>3</v>
      </c>
      <c r="C4" s="93" t="e">
        <f ca="1">MID(CELL("bestandsnaam",$D$31),SEARCH("]",CELL("bestandsnaam",$D$31),1)+1,256)</f>
        <v>#VALUE!</v>
      </c>
      <c r="D4" s="109"/>
      <c r="G4" s="208"/>
      <c r="H4" s="110"/>
      <c r="I4" s="113"/>
      <c r="J4" s="113"/>
      <c r="K4" s="113"/>
      <c r="L4" s="206"/>
    </row>
    <row r="5" spans="1:22" ht="15.6">
      <c r="A5" s="12" t="s">
        <v>4</v>
      </c>
      <c r="C5" s="201" t="str">
        <f>'1-Inschrijfstaat'!B5</f>
        <v>Diverse</v>
      </c>
      <c r="D5" s="109"/>
      <c r="G5" s="207"/>
      <c r="H5" s="110"/>
      <c r="I5" s="113"/>
      <c r="J5" s="113"/>
      <c r="K5" s="113"/>
      <c r="L5" s="206"/>
    </row>
    <row r="6" spans="1:22" ht="15.6">
      <c r="A6" s="12" t="s">
        <v>47</v>
      </c>
      <c r="C6" s="201" t="str">
        <f>'1-Inschrijfstaat'!B6</f>
        <v>2024-20</v>
      </c>
      <c r="D6" s="109"/>
      <c r="G6" s="207"/>
      <c r="H6" s="209"/>
      <c r="I6" s="113"/>
      <c r="J6" s="113"/>
      <c r="K6" s="113"/>
      <c r="L6" s="206"/>
    </row>
    <row r="7" spans="1:22" ht="15.6">
      <c r="A7" s="12" t="s">
        <v>8</v>
      </c>
      <c r="C7" s="201">
        <f>'1-Inschrijfstaat'!B7</f>
        <v>0</v>
      </c>
      <c r="D7" s="109"/>
      <c r="G7" s="207"/>
      <c r="H7" s="209"/>
      <c r="I7" s="113"/>
      <c r="J7" s="113"/>
      <c r="K7" s="110"/>
      <c r="L7" s="206"/>
    </row>
    <row r="8" spans="1:22" ht="15.6">
      <c r="A8" s="12" t="s">
        <v>9</v>
      </c>
      <c r="C8" s="136" t="str">
        <f>'1-Inschrijfstaat'!B8</f>
        <v>1 januari 2025</v>
      </c>
      <c r="D8" s="109"/>
      <c r="G8" s="210"/>
      <c r="H8" s="209"/>
      <c r="I8" s="113"/>
      <c r="J8" s="113"/>
      <c r="K8" s="110"/>
      <c r="L8" s="206"/>
    </row>
    <row r="9" spans="1:22" ht="15.6">
      <c r="A9" s="12" t="s">
        <v>11</v>
      </c>
      <c r="C9" s="390" t="str">
        <f>'1-Inschrijfstaat'!B9</f>
        <v>2 Specialistiche schoonmaak</v>
      </c>
      <c r="D9" s="109"/>
      <c r="G9" s="210"/>
      <c r="H9" s="209"/>
      <c r="I9" s="113"/>
      <c r="J9" s="113"/>
      <c r="K9" s="110"/>
      <c r="L9" s="206"/>
    </row>
    <row r="10" spans="1:22" ht="15.6">
      <c r="A10" s="12" t="s">
        <v>892</v>
      </c>
      <c r="B10" s="119"/>
      <c r="C10" s="201" t="s">
        <v>893</v>
      </c>
      <c r="D10" s="109"/>
      <c r="G10" s="210"/>
      <c r="H10" s="209"/>
      <c r="I10" s="113"/>
      <c r="J10" s="113"/>
      <c r="K10" s="110"/>
      <c r="L10" s="206"/>
    </row>
    <row r="11" spans="1:22" ht="15.6">
      <c r="A11" s="118"/>
      <c r="C11" s="122"/>
      <c r="D11" s="109"/>
      <c r="E11" s="119"/>
      <c r="F11" s="119"/>
      <c r="G11" s="119"/>
      <c r="H11" s="117"/>
      <c r="I11" s="113"/>
      <c r="J11" s="113"/>
      <c r="K11" s="110"/>
      <c r="L11" s="206"/>
    </row>
    <row r="12" spans="1:22" ht="15.6" customHeight="1">
      <c r="A12" s="691" t="s">
        <v>896</v>
      </c>
      <c r="B12" s="691"/>
      <c r="C12" s="250" t="s">
        <v>897</v>
      </c>
      <c r="D12" s="250" t="s">
        <v>898</v>
      </c>
      <c r="G12" s="210"/>
      <c r="H12" s="209"/>
      <c r="I12" s="113"/>
      <c r="J12" s="113"/>
      <c r="K12" s="206"/>
      <c r="L12" s="206"/>
    </row>
    <row r="13" spans="1:22" ht="15.6">
      <c r="A13" s="692" t="s">
        <v>899</v>
      </c>
      <c r="B13" s="692"/>
      <c r="C13" s="651" t="s">
        <v>900</v>
      </c>
      <c r="D13" s="601"/>
      <c r="F13" s="119"/>
      <c r="G13" s="119"/>
      <c r="H13" s="117"/>
      <c r="I13" s="113"/>
      <c r="J13" s="113"/>
      <c r="K13" s="206"/>
      <c r="L13" s="206"/>
    </row>
    <row r="14" spans="1:22" ht="15.6">
      <c r="D14" s="118"/>
      <c r="E14" s="117"/>
      <c r="F14" s="117"/>
      <c r="G14" s="117"/>
      <c r="H14" s="117"/>
      <c r="I14" s="117"/>
      <c r="J14" s="113"/>
      <c r="K14" s="113"/>
    </row>
    <row r="15" spans="1:22" s="43" customFormat="1" ht="39.6">
      <c r="A15" s="693" t="s">
        <v>49</v>
      </c>
      <c r="B15" s="693" t="s">
        <v>50</v>
      </c>
      <c r="C15" s="249"/>
      <c r="D15" s="249" t="s">
        <v>51</v>
      </c>
      <c r="E15" s="249" t="s">
        <v>920</v>
      </c>
      <c r="F15" s="250" t="s">
        <v>927</v>
      </c>
      <c r="G15" s="250" t="s">
        <v>928</v>
      </c>
      <c r="H15" s="250" t="s">
        <v>929</v>
      </c>
      <c r="I15" s="250" t="s">
        <v>930</v>
      </c>
      <c r="J15" s="649" t="s">
        <v>898</v>
      </c>
      <c r="K15" s="249" t="s">
        <v>931</v>
      </c>
      <c r="N15" s="206"/>
      <c r="O15" s="211"/>
      <c r="P15" s="211"/>
      <c r="Q15" s="211"/>
      <c r="R15" s="211"/>
      <c r="S15" s="211"/>
      <c r="T15" s="211"/>
      <c r="U15" s="211"/>
      <c r="V15" s="211"/>
    </row>
    <row r="16" spans="1:22">
      <c r="A16" s="544">
        <v>107</v>
      </c>
      <c r="B16" s="545" t="s">
        <v>64</v>
      </c>
      <c r="C16" s="539">
        <f>VLOOKUP(A16,'2-Kosten per locatie'!$A$13:$C$88,3,FALSE)</f>
        <v>2</v>
      </c>
      <c r="D16" s="540" t="str">
        <f ca="1">VLOOKUP(A16,'3-Ruimtestaat'!B:D,3,FALSE)</f>
        <v>Oostlijn bovengronds</v>
      </c>
      <c r="E16" s="546" t="s">
        <v>932</v>
      </c>
      <c r="F16" s="541">
        <v>2</v>
      </c>
      <c r="G16" s="541">
        <v>10</v>
      </c>
      <c r="H16" s="542"/>
      <c r="I16" s="548">
        <f t="shared" ref="I16:I17" si="0">H16*G16*F16</f>
        <v>0</v>
      </c>
      <c r="J16" s="543">
        <f t="shared" ref="J16:J53" si="1">$D$13</f>
        <v>0</v>
      </c>
      <c r="K16" s="543">
        <f t="shared" ref="K16:K17" si="2">J16*I16</f>
        <v>0</v>
      </c>
      <c r="L16" s="206"/>
    </row>
    <row r="17" spans="1:12">
      <c r="A17" s="544">
        <v>108</v>
      </c>
      <c r="B17" s="545" t="s">
        <v>65</v>
      </c>
      <c r="C17" s="539">
        <f>VLOOKUP(A17,'2-Kosten per locatie'!$A$13:$C$88,3,FALSE)</f>
        <v>2</v>
      </c>
      <c r="D17" s="540" t="str">
        <f ca="1">VLOOKUP(A17,'3-Ruimtestaat'!B:D,3,FALSE)</f>
        <v>Oostlijn bovengronds</v>
      </c>
      <c r="E17" s="546" t="s">
        <v>932</v>
      </c>
      <c r="F17" s="541">
        <v>3</v>
      </c>
      <c r="G17" s="541">
        <v>10</v>
      </c>
      <c r="H17" s="542"/>
      <c r="I17" s="548">
        <f t="shared" si="0"/>
        <v>0</v>
      </c>
      <c r="J17" s="543">
        <f t="shared" si="1"/>
        <v>0</v>
      </c>
      <c r="K17" s="543">
        <f t="shared" si="2"/>
        <v>0</v>
      </c>
      <c r="L17" s="206"/>
    </row>
    <row r="18" spans="1:12">
      <c r="A18" s="544">
        <v>110</v>
      </c>
      <c r="B18" s="545" t="s">
        <v>67</v>
      </c>
      <c r="C18" s="539">
        <f>VLOOKUP(A18,'2-Kosten per locatie'!$A$13:$C$88,3,FALSE)</f>
        <v>2</v>
      </c>
      <c r="D18" s="540" t="str">
        <f ca="1">VLOOKUP(A18,'3-Ruimtestaat'!B:D,3,FALSE)</f>
        <v>Oostlijn bovengronds</v>
      </c>
      <c r="E18" s="546" t="s">
        <v>932</v>
      </c>
      <c r="F18" s="541">
        <v>2</v>
      </c>
      <c r="G18" s="541">
        <v>10</v>
      </c>
      <c r="H18" s="542"/>
      <c r="I18" s="548">
        <f t="shared" ref="I18:I53" si="3">H18*G18*F18</f>
        <v>0</v>
      </c>
      <c r="J18" s="543">
        <f t="shared" si="1"/>
        <v>0</v>
      </c>
      <c r="K18" s="543">
        <f t="shared" ref="K18:K53" si="4">J18*I18</f>
        <v>0</v>
      </c>
      <c r="L18" s="206"/>
    </row>
    <row r="19" spans="1:12">
      <c r="A19" s="544">
        <v>111</v>
      </c>
      <c r="B19" s="545" t="s">
        <v>68</v>
      </c>
      <c r="C19" s="539">
        <f>VLOOKUP(A19,'2-Kosten per locatie'!$A$13:$C$88,3,FALSE)</f>
        <v>2</v>
      </c>
      <c r="D19" s="540" t="str">
        <f ca="1">VLOOKUP(A19,'3-Ruimtestaat'!B:D,3,FALSE)</f>
        <v>Oostlijn bovengronds</v>
      </c>
      <c r="E19" s="546" t="s">
        <v>932</v>
      </c>
      <c r="F19" s="541">
        <v>1</v>
      </c>
      <c r="G19" s="541">
        <v>8</v>
      </c>
      <c r="H19" s="542"/>
      <c r="I19" s="548">
        <f t="shared" si="3"/>
        <v>0</v>
      </c>
      <c r="J19" s="543">
        <f t="shared" si="1"/>
        <v>0</v>
      </c>
      <c r="K19" s="543">
        <f t="shared" si="4"/>
        <v>0</v>
      </c>
      <c r="L19" s="206"/>
    </row>
    <row r="20" spans="1:12">
      <c r="A20" s="544">
        <v>112</v>
      </c>
      <c r="B20" s="545" t="s">
        <v>69</v>
      </c>
      <c r="C20" s="539">
        <f>VLOOKUP(A20,'2-Kosten per locatie'!$A$13:$C$88,3,FALSE)</f>
        <v>2</v>
      </c>
      <c r="D20" s="540" t="str">
        <f ca="1">VLOOKUP(A20,'3-Ruimtestaat'!B:D,3,FALSE)</f>
        <v>Oostlijn bovengronds</v>
      </c>
      <c r="E20" s="546" t="s">
        <v>932</v>
      </c>
      <c r="F20" s="541">
        <v>2</v>
      </c>
      <c r="G20" s="541">
        <v>10</v>
      </c>
      <c r="H20" s="542"/>
      <c r="I20" s="548">
        <f t="shared" si="3"/>
        <v>0</v>
      </c>
      <c r="J20" s="543">
        <f t="shared" si="1"/>
        <v>0</v>
      </c>
      <c r="K20" s="543">
        <f t="shared" si="4"/>
        <v>0</v>
      </c>
      <c r="L20" s="206"/>
    </row>
    <row r="21" spans="1:12">
      <c r="A21" s="544">
        <v>113</v>
      </c>
      <c r="B21" s="545" t="s">
        <v>70</v>
      </c>
      <c r="C21" s="539">
        <f>VLOOKUP(A21,'2-Kosten per locatie'!$A$13:$C$88,3,FALSE)</f>
        <v>2</v>
      </c>
      <c r="D21" s="540" t="str">
        <f ca="1">VLOOKUP(A21,'3-Ruimtestaat'!B:D,3,FALSE)</f>
        <v>Oostlijn bovengronds</v>
      </c>
      <c r="E21" s="546" t="s">
        <v>932</v>
      </c>
      <c r="F21" s="541">
        <v>2</v>
      </c>
      <c r="G21" s="541">
        <v>10</v>
      </c>
      <c r="H21" s="542"/>
      <c r="I21" s="548">
        <f t="shared" si="3"/>
        <v>0</v>
      </c>
      <c r="J21" s="543">
        <f t="shared" si="1"/>
        <v>0</v>
      </c>
      <c r="K21" s="543">
        <f t="shared" si="4"/>
        <v>0</v>
      </c>
      <c r="L21" s="206"/>
    </row>
    <row r="22" spans="1:12">
      <c r="A22" s="544">
        <v>114</v>
      </c>
      <c r="B22" s="545" t="s">
        <v>71</v>
      </c>
      <c r="C22" s="539">
        <f>VLOOKUP(A22,'2-Kosten per locatie'!$A$13:$C$88,3,FALSE)</f>
        <v>2</v>
      </c>
      <c r="D22" s="540" t="str">
        <f ca="1">VLOOKUP(A22,'3-Ruimtestaat'!B:D,3,FALSE)</f>
        <v>Oostlijn bovengronds</v>
      </c>
      <c r="E22" s="546" t="s">
        <v>932</v>
      </c>
      <c r="F22" s="541">
        <v>2</v>
      </c>
      <c r="G22" s="541">
        <v>10</v>
      </c>
      <c r="H22" s="542"/>
      <c r="I22" s="548">
        <f t="shared" si="3"/>
        <v>0</v>
      </c>
      <c r="J22" s="543">
        <f t="shared" si="1"/>
        <v>0</v>
      </c>
      <c r="K22" s="543">
        <f t="shared" si="4"/>
        <v>0</v>
      </c>
      <c r="L22" s="206"/>
    </row>
    <row r="23" spans="1:12">
      <c r="A23" s="544">
        <v>115</v>
      </c>
      <c r="B23" s="545" t="s">
        <v>72</v>
      </c>
      <c r="C23" s="539">
        <f>VLOOKUP(A23,'2-Kosten per locatie'!$A$13:$C$88,3,FALSE)</f>
        <v>2</v>
      </c>
      <c r="D23" s="540" t="str">
        <f ca="1">VLOOKUP(A23,'3-Ruimtestaat'!B:D,3,FALSE)</f>
        <v>Oostlijn Bovengronds</v>
      </c>
      <c r="E23" s="546" t="s">
        <v>932</v>
      </c>
      <c r="F23" s="541">
        <v>2</v>
      </c>
      <c r="G23" s="541">
        <v>10</v>
      </c>
      <c r="H23" s="542"/>
      <c r="I23" s="548">
        <f t="shared" si="3"/>
        <v>0</v>
      </c>
      <c r="J23" s="543">
        <f t="shared" si="1"/>
        <v>0</v>
      </c>
      <c r="K23" s="543">
        <f t="shared" si="4"/>
        <v>0</v>
      </c>
      <c r="L23" s="206"/>
    </row>
    <row r="24" spans="1:12">
      <c r="A24" s="544">
        <v>116</v>
      </c>
      <c r="B24" s="545" t="s">
        <v>73</v>
      </c>
      <c r="C24" s="539">
        <f>VLOOKUP(A24,'2-Kosten per locatie'!$A$13:$C$88,3,FALSE)</f>
        <v>2</v>
      </c>
      <c r="D24" s="540" t="str">
        <f ca="1">VLOOKUP(A24,'3-Ruimtestaat'!B:D,3,FALSE)</f>
        <v>Oostlijn bovengronds</v>
      </c>
      <c r="E24" s="546" t="s">
        <v>932</v>
      </c>
      <c r="F24" s="541">
        <v>1</v>
      </c>
      <c r="G24" s="541">
        <v>10</v>
      </c>
      <c r="H24" s="542"/>
      <c r="I24" s="548">
        <f t="shared" ref="I24:I29" si="5">H24*G24*F24</f>
        <v>0</v>
      </c>
      <c r="J24" s="543">
        <f t="shared" si="1"/>
        <v>0</v>
      </c>
      <c r="K24" s="543">
        <f t="shared" ref="K24:K29" si="6">J24*I24</f>
        <v>0</v>
      </c>
      <c r="L24" s="206"/>
    </row>
    <row r="25" spans="1:12">
      <c r="A25" s="544">
        <v>117</v>
      </c>
      <c r="B25" s="545" t="s">
        <v>74</v>
      </c>
      <c r="C25" s="539">
        <f>VLOOKUP(A25,'2-Kosten per locatie'!$A$13:$C$88,3,FALSE)</f>
        <v>2</v>
      </c>
      <c r="D25" s="540" t="str">
        <f ca="1">VLOOKUP(A25,'3-Ruimtestaat'!B:D,3,FALSE)</f>
        <v>Oostlijn bovengronds</v>
      </c>
      <c r="E25" s="546" t="s">
        <v>932</v>
      </c>
      <c r="F25" s="541">
        <v>2</v>
      </c>
      <c r="G25" s="541">
        <v>10</v>
      </c>
      <c r="H25" s="542"/>
      <c r="I25" s="548">
        <f t="shared" si="5"/>
        <v>0</v>
      </c>
      <c r="J25" s="543">
        <f t="shared" si="1"/>
        <v>0</v>
      </c>
      <c r="K25" s="543">
        <f t="shared" si="6"/>
        <v>0</v>
      </c>
      <c r="L25" s="206"/>
    </row>
    <row r="26" spans="1:12">
      <c r="A26" s="544">
        <v>118</v>
      </c>
      <c r="B26" s="545" t="s">
        <v>75</v>
      </c>
      <c r="C26" s="539">
        <f>VLOOKUP(A26,'2-Kosten per locatie'!$A$13:$C$88,3,FALSE)</f>
        <v>2</v>
      </c>
      <c r="D26" s="540" t="str">
        <f ca="1">VLOOKUP(A26,'3-Ruimtestaat'!B:D,3,FALSE)</f>
        <v>Oostlijn bovengronds</v>
      </c>
      <c r="E26" s="546" t="s">
        <v>932</v>
      </c>
      <c r="F26" s="541">
        <v>1</v>
      </c>
      <c r="G26" s="541">
        <v>10</v>
      </c>
      <c r="H26" s="542"/>
      <c r="I26" s="548">
        <f t="shared" si="5"/>
        <v>0</v>
      </c>
      <c r="J26" s="543">
        <f t="shared" si="1"/>
        <v>0</v>
      </c>
      <c r="K26" s="543">
        <f t="shared" si="6"/>
        <v>0</v>
      </c>
      <c r="L26" s="206"/>
    </row>
    <row r="27" spans="1:12">
      <c r="A27" s="544">
        <v>119</v>
      </c>
      <c r="B27" s="545" t="s">
        <v>76</v>
      </c>
      <c r="C27" s="539">
        <f>VLOOKUP(A27,'2-Kosten per locatie'!$A$13:$C$88,3,FALSE)</f>
        <v>2</v>
      </c>
      <c r="D27" s="540" t="str">
        <f ca="1">VLOOKUP(A27,'3-Ruimtestaat'!B:D,3,FALSE)</f>
        <v>Oostlijn bovengronds</v>
      </c>
      <c r="E27" s="546" t="s">
        <v>932</v>
      </c>
      <c r="F27" s="541">
        <v>1</v>
      </c>
      <c r="G27" s="541">
        <v>10</v>
      </c>
      <c r="H27" s="542"/>
      <c r="I27" s="548">
        <f t="shared" si="5"/>
        <v>0</v>
      </c>
      <c r="J27" s="543">
        <f t="shared" si="1"/>
        <v>0</v>
      </c>
      <c r="K27" s="543">
        <f t="shared" si="6"/>
        <v>0</v>
      </c>
      <c r="L27" s="206"/>
    </row>
    <row r="28" spans="1:12">
      <c r="A28" s="544">
        <v>120</v>
      </c>
      <c r="B28" s="545" t="s">
        <v>77</v>
      </c>
      <c r="C28" s="539">
        <f>VLOOKUP(A28,'2-Kosten per locatie'!$A$13:$C$88,3,FALSE)</f>
        <v>2</v>
      </c>
      <c r="D28" s="540" t="str">
        <f ca="1">VLOOKUP(A28,'3-Ruimtestaat'!B:D,3,FALSE)</f>
        <v>Oostlijn bovengronds</v>
      </c>
      <c r="E28" s="546" t="s">
        <v>932</v>
      </c>
      <c r="F28" s="541">
        <v>1</v>
      </c>
      <c r="G28" s="541">
        <v>10</v>
      </c>
      <c r="H28" s="542"/>
      <c r="I28" s="548">
        <f t="shared" si="5"/>
        <v>0</v>
      </c>
      <c r="J28" s="543">
        <f t="shared" si="1"/>
        <v>0</v>
      </c>
      <c r="K28" s="543">
        <f t="shared" si="6"/>
        <v>0</v>
      </c>
      <c r="L28" s="206"/>
    </row>
    <row r="29" spans="1:12">
      <c r="A29" s="544">
        <v>121</v>
      </c>
      <c r="B29" s="545" t="s">
        <v>78</v>
      </c>
      <c r="C29" s="539">
        <f>VLOOKUP(A29,'2-Kosten per locatie'!$A$13:$C$88,3,FALSE)</f>
        <v>2</v>
      </c>
      <c r="D29" s="540" t="str">
        <f ca="1">VLOOKUP(A29,'3-Ruimtestaat'!B:D,3,FALSE)</f>
        <v>Oostlijn bovengronds</v>
      </c>
      <c r="E29" s="546" t="s">
        <v>932</v>
      </c>
      <c r="F29" s="541">
        <v>1</v>
      </c>
      <c r="G29" s="541">
        <v>10</v>
      </c>
      <c r="H29" s="542"/>
      <c r="I29" s="548">
        <f t="shared" si="5"/>
        <v>0</v>
      </c>
      <c r="J29" s="543">
        <f t="shared" si="1"/>
        <v>0</v>
      </c>
      <c r="K29" s="543">
        <f t="shared" si="6"/>
        <v>0</v>
      </c>
      <c r="L29" s="206"/>
    </row>
    <row r="30" spans="1:12">
      <c r="A30" s="544">
        <v>203</v>
      </c>
      <c r="B30" s="545" t="s">
        <v>81</v>
      </c>
      <c r="C30" s="539">
        <f>VLOOKUP(A30,'2-Kosten per locatie'!$A$13:$C$88,3,FALSE)</f>
        <v>2</v>
      </c>
      <c r="D30" s="540" t="str">
        <f ca="1">VLOOKUP(A30,'3-Ruimtestaat'!B:D,3,FALSE)</f>
        <v>Amstellijn</v>
      </c>
      <c r="E30" s="546" t="s">
        <v>932</v>
      </c>
      <c r="F30" s="541">
        <v>1</v>
      </c>
      <c r="G30" s="541">
        <v>10</v>
      </c>
      <c r="H30" s="542"/>
      <c r="I30" s="548">
        <f t="shared" ref="I30:I37" si="7">H30*G30*F30</f>
        <v>0</v>
      </c>
      <c r="J30" s="543">
        <f t="shared" si="1"/>
        <v>0</v>
      </c>
      <c r="K30" s="543">
        <f t="shared" ref="K30:K37" si="8">J30*I30</f>
        <v>0</v>
      </c>
    </row>
    <row r="31" spans="1:12">
      <c r="A31" s="544">
        <v>204</v>
      </c>
      <c r="B31" s="545" t="s">
        <v>82</v>
      </c>
      <c r="C31" s="539">
        <f>VLOOKUP(A31,'2-Kosten per locatie'!$A$13:$C$88,3,FALSE)</f>
        <v>2</v>
      </c>
      <c r="D31" s="540" t="str">
        <f ca="1">VLOOKUP(A31,'3-Ruimtestaat'!B:D,3,FALSE)</f>
        <v>Amstellijn</v>
      </c>
      <c r="E31" s="546" t="s">
        <v>932</v>
      </c>
      <c r="F31" s="541">
        <v>1</v>
      </c>
      <c r="G31" s="541">
        <v>10</v>
      </c>
      <c r="H31" s="542"/>
      <c r="I31" s="548">
        <f t="shared" si="7"/>
        <v>0</v>
      </c>
      <c r="J31" s="543">
        <f t="shared" si="1"/>
        <v>0</v>
      </c>
      <c r="K31" s="543">
        <f t="shared" si="8"/>
        <v>0</v>
      </c>
    </row>
    <row r="32" spans="1:12">
      <c r="A32" s="544">
        <v>205</v>
      </c>
      <c r="B32" s="545" t="s">
        <v>83</v>
      </c>
      <c r="C32" s="539">
        <f>VLOOKUP(A32,'2-Kosten per locatie'!$A$13:$C$88,3,FALSE)</f>
        <v>2</v>
      </c>
      <c r="D32" s="540" t="str">
        <f ca="1">VLOOKUP(A32,'3-Ruimtestaat'!B:D,3,FALSE)</f>
        <v>Amstellijn</v>
      </c>
      <c r="E32" s="546" t="s">
        <v>932</v>
      </c>
      <c r="F32" s="541">
        <v>1</v>
      </c>
      <c r="G32" s="541">
        <v>10</v>
      </c>
      <c r="H32" s="542"/>
      <c r="I32" s="548">
        <f t="shared" si="7"/>
        <v>0</v>
      </c>
      <c r="J32" s="543">
        <f t="shared" si="1"/>
        <v>0</v>
      </c>
      <c r="K32" s="543">
        <f t="shared" si="8"/>
        <v>0</v>
      </c>
    </row>
    <row r="33" spans="1:12">
      <c r="A33" s="544">
        <v>206</v>
      </c>
      <c r="B33" s="545" t="s">
        <v>84</v>
      </c>
      <c r="C33" s="539">
        <f>VLOOKUP(A33,'2-Kosten per locatie'!$A$13:$C$88,3,FALSE)</f>
        <v>2</v>
      </c>
      <c r="D33" s="540" t="str">
        <f ca="1">VLOOKUP(A33,'3-Ruimtestaat'!B:D,3,FALSE)</f>
        <v>Amstellijn</v>
      </c>
      <c r="E33" s="546" t="s">
        <v>932</v>
      </c>
      <c r="F33" s="541">
        <v>1</v>
      </c>
      <c r="G33" s="541">
        <v>10</v>
      </c>
      <c r="H33" s="542"/>
      <c r="I33" s="548">
        <f t="shared" si="7"/>
        <v>0</v>
      </c>
      <c r="J33" s="543">
        <f t="shared" si="1"/>
        <v>0</v>
      </c>
      <c r="K33" s="543">
        <f t="shared" si="8"/>
        <v>0</v>
      </c>
    </row>
    <row r="34" spans="1:12">
      <c r="A34" s="544">
        <v>207</v>
      </c>
      <c r="B34" s="545" t="s">
        <v>85</v>
      </c>
      <c r="C34" s="539">
        <f>VLOOKUP(A34,'2-Kosten per locatie'!$A$13:$C$88,3,FALSE)</f>
        <v>2</v>
      </c>
      <c r="D34" s="540" t="str">
        <f ca="1">VLOOKUP(A34,'3-Ruimtestaat'!B:D,3,FALSE)</f>
        <v>Amstellijn</v>
      </c>
      <c r="E34" s="546" t="s">
        <v>932</v>
      </c>
      <c r="F34" s="541">
        <v>1</v>
      </c>
      <c r="G34" s="541">
        <v>10</v>
      </c>
      <c r="H34" s="542"/>
      <c r="I34" s="548">
        <f t="shared" si="7"/>
        <v>0</v>
      </c>
      <c r="J34" s="543">
        <f t="shared" si="1"/>
        <v>0</v>
      </c>
      <c r="K34" s="543">
        <f t="shared" si="8"/>
        <v>0</v>
      </c>
    </row>
    <row r="35" spans="1:12">
      <c r="A35" s="544">
        <v>209</v>
      </c>
      <c r="B35" s="545" t="s">
        <v>87</v>
      </c>
      <c r="C35" s="539">
        <f>VLOOKUP(A35,'2-Kosten per locatie'!$A$13:$C$88,3,FALSE)</f>
        <v>2</v>
      </c>
      <c r="D35" s="540" t="str">
        <f ca="1">VLOOKUP(A35,'3-Ruimtestaat'!B:D,3,FALSE)</f>
        <v>Amstellijn</v>
      </c>
      <c r="E35" s="546" t="s">
        <v>932</v>
      </c>
      <c r="F35" s="541">
        <v>1</v>
      </c>
      <c r="G35" s="541">
        <v>10</v>
      </c>
      <c r="H35" s="542"/>
      <c r="I35" s="548">
        <f t="shared" si="7"/>
        <v>0</v>
      </c>
      <c r="J35" s="543">
        <f t="shared" si="1"/>
        <v>0</v>
      </c>
      <c r="K35" s="543">
        <f t="shared" si="8"/>
        <v>0</v>
      </c>
    </row>
    <row r="36" spans="1:12">
      <c r="A36" s="544">
        <v>210</v>
      </c>
      <c r="B36" s="545" t="s">
        <v>88</v>
      </c>
      <c r="C36" s="539">
        <f>VLOOKUP(A36,'2-Kosten per locatie'!$A$13:$C$88,3,FALSE)</f>
        <v>2</v>
      </c>
      <c r="D36" s="540" t="str">
        <f ca="1">VLOOKUP(A36,'3-Ruimtestaat'!B:D,3,FALSE)</f>
        <v>Amstellijn</v>
      </c>
      <c r="E36" s="546" t="s">
        <v>932</v>
      </c>
      <c r="F36" s="541">
        <v>1</v>
      </c>
      <c r="G36" s="541">
        <v>10</v>
      </c>
      <c r="H36" s="542"/>
      <c r="I36" s="548">
        <f t="shared" si="7"/>
        <v>0</v>
      </c>
      <c r="J36" s="543">
        <f t="shared" si="1"/>
        <v>0</v>
      </c>
      <c r="K36" s="543">
        <f t="shared" si="8"/>
        <v>0</v>
      </c>
    </row>
    <row r="37" spans="1:12">
      <c r="A37" s="544">
        <v>211</v>
      </c>
      <c r="B37" s="545" t="s">
        <v>89</v>
      </c>
      <c r="C37" s="539">
        <f>VLOOKUP(A37,'2-Kosten per locatie'!$A$13:$C$88,3,FALSE)</f>
        <v>2</v>
      </c>
      <c r="D37" s="540" t="str">
        <f ca="1">VLOOKUP(A37,'3-Ruimtestaat'!B:D,3,FALSE)</f>
        <v>Amstellijn</v>
      </c>
      <c r="E37" s="546" t="s">
        <v>932</v>
      </c>
      <c r="F37" s="541">
        <v>1</v>
      </c>
      <c r="G37" s="541">
        <v>10</v>
      </c>
      <c r="H37" s="542"/>
      <c r="I37" s="548">
        <f t="shared" si="7"/>
        <v>0</v>
      </c>
      <c r="J37" s="543">
        <f t="shared" si="1"/>
        <v>0</v>
      </c>
      <c r="K37" s="543">
        <f t="shared" si="8"/>
        <v>0</v>
      </c>
    </row>
    <row r="38" spans="1:12">
      <c r="A38" s="544">
        <v>301</v>
      </c>
      <c r="B38" s="545" t="s">
        <v>100</v>
      </c>
      <c r="C38" s="539">
        <f>VLOOKUP(A38,'2-Kosten per locatie'!$A$13:$C$88,3,FALSE)</f>
        <v>2</v>
      </c>
      <c r="D38" s="540" t="str">
        <f ca="1">VLOOKUP(A38,'3-Ruimtestaat'!B:D,3,FALSE)</f>
        <v>Ringlijn</v>
      </c>
      <c r="E38" s="546" t="s">
        <v>932</v>
      </c>
      <c r="F38" s="547">
        <v>2</v>
      </c>
      <c r="G38" s="541">
        <v>10</v>
      </c>
      <c r="H38" s="542"/>
      <c r="I38" s="548">
        <f t="shared" si="3"/>
        <v>0</v>
      </c>
      <c r="J38" s="543">
        <f t="shared" si="1"/>
        <v>0</v>
      </c>
      <c r="K38" s="543">
        <f t="shared" si="4"/>
        <v>0</v>
      </c>
      <c r="L38" s="206"/>
    </row>
    <row r="39" spans="1:12">
      <c r="A39" s="544">
        <v>302</v>
      </c>
      <c r="B39" s="545" t="s">
        <v>101</v>
      </c>
      <c r="C39" s="539">
        <f>VLOOKUP(A39,'2-Kosten per locatie'!$A$13:$C$88,3,FALSE)</f>
        <v>2</v>
      </c>
      <c r="D39" s="540" t="str">
        <f ca="1">VLOOKUP(A39,'3-Ruimtestaat'!B:D,3,FALSE)</f>
        <v>Ringlijn</v>
      </c>
      <c r="E39" s="546" t="s">
        <v>932</v>
      </c>
      <c r="F39" s="547">
        <v>1</v>
      </c>
      <c r="G39" s="541">
        <v>10</v>
      </c>
      <c r="H39" s="542"/>
      <c r="I39" s="548">
        <f t="shared" si="3"/>
        <v>0</v>
      </c>
      <c r="J39" s="543">
        <f t="shared" si="1"/>
        <v>0</v>
      </c>
      <c r="K39" s="543">
        <f t="shared" si="4"/>
        <v>0</v>
      </c>
      <c r="L39" s="206"/>
    </row>
    <row r="40" spans="1:12">
      <c r="A40" s="544">
        <v>303</v>
      </c>
      <c r="B40" s="545" t="s">
        <v>102</v>
      </c>
      <c r="C40" s="539">
        <f>VLOOKUP(A40,'2-Kosten per locatie'!$A$13:$C$88,3,FALSE)</f>
        <v>2</v>
      </c>
      <c r="D40" s="540" t="str">
        <f ca="1">VLOOKUP(A40,'3-Ruimtestaat'!B:D,3,FALSE)</f>
        <v>Ringlijn</v>
      </c>
      <c r="E40" s="546" t="s">
        <v>932</v>
      </c>
      <c r="F40" s="547">
        <v>1</v>
      </c>
      <c r="G40" s="541">
        <v>8</v>
      </c>
      <c r="H40" s="542"/>
      <c r="I40" s="548">
        <f t="shared" ref="I40" si="9">H40*G40*F40</f>
        <v>0</v>
      </c>
      <c r="J40" s="543">
        <f t="shared" si="1"/>
        <v>0</v>
      </c>
      <c r="K40" s="543">
        <f t="shared" ref="K40" si="10">J40*I40</f>
        <v>0</v>
      </c>
      <c r="L40" s="206"/>
    </row>
    <row r="41" spans="1:12">
      <c r="A41" s="544" t="s">
        <v>103</v>
      </c>
      <c r="B41" s="545" t="s">
        <v>104</v>
      </c>
      <c r="C41" s="539">
        <f>VLOOKUP(A41,'2-Kosten per locatie'!$A$13:$C$88,3,FALSE)</f>
        <v>2</v>
      </c>
      <c r="D41" s="540" t="str">
        <f ca="1">VLOOKUP(A41,'3-Ruimtestaat'!B:D,3,FALSE)</f>
        <v>Ringlijn</v>
      </c>
      <c r="E41" s="546" t="s">
        <v>932</v>
      </c>
      <c r="F41" s="547">
        <v>1</v>
      </c>
      <c r="G41" s="541">
        <v>10</v>
      </c>
      <c r="H41" s="542"/>
      <c r="I41" s="548">
        <f t="shared" si="3"/>
        <v>0</v>
      </c>
      <c r="J41" s="543">
        <f t="shared" si="1"/>
        <v>0</v>
      </c>
      <c r="K41" s="543">
        <f t="shared" si="4"/>
        <v>0</v>
      </c>
      <c r="L41" s="206"/>
    </row>
    <row r="42" spans="1:12">
      <c r="A42" s="544">
        <v>304</v>
      </c>
      <c r="B42" s="545" t="s">
        <v>105</v>
      </c>
      <c r="C42" s="539">
        <f>VLOOKUP(A42,'2-Kosten per locatie'!$A$13:$C$88,3,FALSE)</f>
        <v>2</v>
      </c>
      <c r="D42" s="540" t="str">
        <f ca="1">VLOOKUP(A42,'3-Ruimtestaat'!B:D,3,FALSE)</f>
        <v>Ringlijn</v>
      </c>
      <c r="E42" s="546" t="s">
        <v>932</v>
      </c>
      <c r="F42" s="547">
        <v>2</v>
      </c>
      <c r="G42" s="541">
        <v>10</v>
      </c>
      <c r="H42" s="542"/>
      <c r="I42" s="548">
        <f t="shared" si="3"/>
        <v>0</v>
      </c>
      <c r="J42" s="543">
        <f t="shared" si="1"/>
        <v>0</v>
      </c>
      <c r="K42" s="543">
        <f t="shared" si="4"/>
        <v>0</v>
      </c>
      <c r="L42" s="206"/>
    </row>
    <row r="43" spans="1:12">
      <c r="A43" s="544">
        <v>305</v>
      </c>
      <c r="B43" s="545" t="s">
        <v>106</v>
      </c>
      <c r="C43" s="539">
        <f>VLOOKUP(A43,'2-Kosten per locatie'!$A$13:$C$88,3,FALSE)</f>
        <v>2</v>
      </c>
      <c r="D43" s="540" t="str">
        <f ca="1">VLOOKUP(A43,'3-Ruimtestaat'!B:D,3,FALSE)</f>
        <v>Ringlijn</v>
      </c>
      <c r="E43" s="546" t="s">
        <v>932</v>
      </c>
      <c r="F43" s="547">
        <v>1</v>
      </c>
      <c r="G43" s="541">
        <v>10</v>
      </c>
      <c r="H43" s="542"/>
      <c r="I43" s="548">
        <f t="shared" si="3"/>
        <v>0</v>
      </c>
      <c r="J43" s="543">
        <f t="shared" si="1"/>
        <v>0</v>
      </c>
      <c r="K43" s="543">
        <f t="shared" si="4"/>
        <v>0</v>
      </c>
      <c r="L43" s="206"/>
    </row>
    <row r="44" spans="1:12">
      <c r="A44" s="544">
        <v>306</v>
      </c>
      <c r="B44" s="545" t="s">
        <v>107</v>
      </c>
      <c r="C44" s="539">
        <f>VLOOKUP(A44,'2-Kosten per locatie'!$A$13:$C$88,3,FALSE)</f>
        <v>2</v>
      </c>
      <c r="D44" s="540" t="str">
        <f ca="1">VLOOKUP(A44,'3-Ruimtestaat'!B:D,3,FALSE)</f>
        <v>Ringlijn</v>
      </c>
      <c r="E44" s="546" t="s">
        <v>932</v>
      </c>
      <c r="F44" s="547">
        <v>1</v>
      </c>
      <c r="G44" s="541">
        <v>10</v>
      </c>
      <c r="H44" s="542"/>
      <c r="I44" s="548">
        <f t="shared" si="3"/>
        <v>0</v>
      </c>
      <c r="J44" s="543">
        <f t="shared" si="1"/>
        <v>0</v>
      </c>
      <c r="K44" s="543">
        <f t="shared" si="4"/>
        <v>0</v>
      </c>
      <c r="L44" s="206"/>
    </row>
    <row r="45" spans="1:12">
      <c r="A45" s="544">
        <v>307</v>
      </c>
      <c r="B45" s="545" t="s">
        <v>108</v>
      </c>
      <c r="C45" s="539">
        <f>VLOOKUP(A45,'2-Kosten per locatie'!$A$13:$C$88,3,FALSE)</f>
        <v>2</v>
      </c>
      <c r="D45" s="540" t="str">
        <f ca="1">VLOOKUP(A45,'3-Ruimtestaat'!B:D,3,FALSE)</f>
        <v>Ringlijn</v>
      </c>
      <c r="E45" s="546" t="s">
        <v>932</v>
      </c>
      <c r="F45" s="547">
        <v>2</v>
      </c>
      <c r="G45" s="541">
        <v>10</v>
      </c>
      <c r="H45" s="542"/>
      <c r="I45" s="548">
        <f t="shared" si="3"/>
        <v>0</v>
      </c>
      <c r="J45" s="543">
        <f t="shared" si="1"/>
        <v>0</v>
      </c>
      <c r="K45" s="543">
        <f t="shared" si="4"/>
        <v>0</v>
      </c>
      <c r="L45" s="206"/>
    </row>
    <row r="46" spans="1:12">
      <c r="A46" s="544">
        <v>308</v>
      </c>
      <c r="B46" s="545" t="s">
        <v>109</v>
      </c>
      <c r="C46" s="539">
        <f>VLOOKUP(A46,'2-Kosten per locatie'!$A$13:$C$88,3,FALSE)</f>
        <v>2</v>
      </c>
      <c r="D46" s="540" t="str">
        <f ca="1">VLOOKUP(A46,'3-Ruimtestaat'!B:D,3,FALSE)</f>
        <v>Ringlijn</v>
      </c>
      <c r="E46" s="546" t="s">
        <v>932</v>
      </c>
      <c r="F46" s="547">
        <v>1</v>
      </c>
      <c r="G46" s="541">
        <v>10</v>
      </c>
      <c r="H46" s="542"/>
      <c r="I46" s="548">
        <f t="shared" si="3"/>
        <v>0</v>
      </c>
      <c r="J46" s="543">
        <f t="shared" si="1"/>
        <v>0</v>
      </c>
      <c r="K46" s="543">
        <f t="shared" si="4"/>
        <v>0</v>
      </c>
      <c r="L46" s="206"/>
    </row>
    <row r="47" spans="1:12">
      <c r="A47" s="544">
        <v>309</v>
      </c>
      <c r="B47" s="545" t="s">
        <v>110</v>
      </c>
      <c r="C47" s="539">
        <f>VLOOKUP(A47,'2-Kosten per locatie'!$A$13:$C$88,3,FALSE)</f>
        <v>2</v>
      </c>
      <c r="D47" s="540" t="str">
        <f ca="1">VLOOKUP(A47,'3-Ruimtestaat'!B:D,3,FALSE)</f>
        <v>Ringlijn</v>
      </c>
      <c r="E47" s="546" t="s">
        <v>932</v>
      </c>
      <c r="F47" s="547">
        <v>1</v>
      </c>
      <c r="G47" s="541">
        <v>10</v>
      </c>
      <c r="H47" s="542"/>
      <c r="I47" s="548">
        <f t="shared" si="3"/>
        <v>0</v>
      </c>
      <c r="J47" s="543">
        <f t="shared" si="1"/>
        <v>0</v>
      </c>
      <c r="K47" s="543">
        <f t="shared" si="4"/>
        <v>0</v>
      </c>
      <c r="L47" s="206"/>
    </row>
    <row r="48" spans="1:12">
      <c r="A48" s="544">
        <v>310</v>
      </c>
      <c r="B48" s="545" t="s">
        <v>111</v>
      </c>
      <c r="C48" s="539">
        <f>VLOOKUP(A48,'2-Kosten per locatie'!$A$13:$C$88,3,FALSE)</f>
        <v>2</v>
      </c>
      <c r="D48" s="540" t="str">
        <f ca="1">VLOOKUP(A48,'3-Ruimtestaat'!B:D,3,FALSE)</f>
        <v>Ringlijn</v>
      </c>
      <c r="E48" s="546" t="s">
        <v>932</v>
      </c>
      <c r="F48" s="547">
        <v>1</v>
      </c>
      <c r="G48" s="541">
        <v>10</v>
      </c>
      <c r="H48" s="542"/>
      <c r="I48" s="548">
        <f t="shared" si="3"/>
        <v>0</v>
      </c>
      <c r="J48" s="543">
        <f t="shared" si="1"/>
        <v>0</v>
      </c>
      <c r="K48" s="543">
        <f t="shared" si="4"/>
        <v>0</v>
      </c>
      <c r="L48" s="206"/>
    </row>
    <row r="49" spans="1:12">
      <c r="A49" s="544">
        <v>311</v>
      </c>
      <c r="B49" s="545" t="s">
        <v>112</v>
      </c>
      <c r="C49" s="539">
        <f>VLOOKUP(A49,'[91]2-Kosten per locatie'!$A$13:$C$88,3,FALSE)</f>
        <v>2</v>
      </c>
      <c r="D49" s="540" t="str">
        <f>VLOOKUP(A49,'[91]3-Ruimtestaat'!B:D,3,FALSE)</f>
        <v>Ringlijn</v>
      </c>
      <c r="E49" s="546" t="s">
        <v>932</v>
      </c>
      <c r="F49" s="547">
        <v>1</v>
      </c>
      <c r="G49" s="541">
        <v>10</v>
      </c>
      <c r="H49" s="542"/>
      <c r="I49" s="548">
        <f t="shared" si="3"/>
        <v>0</v>
      </c>
      <c r="J49" s="543">
        <f t="shared" si="1"/>
        <v>0</v>
      </c>
      <c r="K49" s="543">
        <f t="shared" si="4"/>
        <v>0</v>
      </c>
      <c r="L49" s="206"/>
    </row>
    <row r="50" spans="1:12">
      <c r="A50" s="404">
        <v>312</v>
      </c>
      <c r="B50" s="212" t="s">
        <v>115</v>
      </c>
      <c r="C50" s="539">
        <f>VLOOKUP(A50,'2-Kosten per locatie'!$A$13:$C$88,3,FALSE)</f>
        <v>2</v>
      </c>
      <c r="D50" s="540" t="str">
        <f ca="1">VLOOKUP(A50,'3-Ruimtestaat'!B:D,3,FALSE)</f>
        <v>Ringlijn</v>
      </c>
      <c r="E50" s="473" t="s">
        <v>932</v>
      </c>
      <c r="F50" s="254">
        <v>1</v>
      </c>
      <c r="G50" s="541">
        <v>10</v>
      </c>
      <c r="H50" s="542"/>
      <c r="I50" s="268">
        <f t="shared" ref="I50:I51" si="11">H50*G50*F50</f>
        <v>0</v>
      </c>
      <c r="J50" s="255">
        <f t="shared" si="1"/>
        <v>0</v>
      </c>
      <c r="K50" s="543">
        <f t="shared" ref="K50:K51" si="12">J50*I50</f>
        <v>0</v>
      </c>
      <c r="L50" s="206"/>
    </row>
    <row r="51" spans="1:12">
      <c r="A51" s="544" t="s">
        <v>113</v>
      </c>
      <c r="B51" s="545" t="s">
        <v>114</v>
      </c>
      <c r="C51" s="539">
        <f>VLOOKUP(A51,'2-Kosten per locatie'!$A$13:$C$88,3,FALSE)</f>
        <v>2</v>
      </c>
      <c r="D51" s="540" t="str">
        <f ca="1">VLOOKUP(A51,'3-Ruimtestaat'!B:D,3,FALSE)</f>
        <v>Ringlijn</v>
      </c>
      <c r="E51" s="473" t="s">
        <v>932</v>
      </c>
      <c r="F51" s="254">
        <v>1</v>
      </c>
      <c r="G51" s="541">
        <v>10</v>
      </c>
      <c r="H51" s="542"/>
      <c r="I51" s="268">
        <f t="shared" si="11"/>
        <v>0</v>
      </c>
      <c r="J51" s="255">
        <f t="shared" si="1"/>
        <v>0</v>
      </c>
      <c r="K51" s="543">
        <f t="shared" si="12"/>
        <v>0</v>
      </c>
      <c r="L51" s="206"/>
    </row>
    <row r="52" spans="1:12">
      <c r="A52" s="544">
        <v>1001</v>
      </c>
      <c r="B52" s="545" t="s">
        <v>116</v>
      </c>
      <c r="C52" s="539">
        <f>VLOOKUP(A52,'2-Kosten per locatie'!$A$13:$C$88,3,FALSE)</f>
        <v>2</v>
      </c>
      <c r="D52" s="540" t="str">
        <f ca="1">VLOOKUP(A52,'3-Ruimtestaat'!B:D,3,FALSE)</f>
        <v>Ijtram</v>
      </c>
      <c r="E52" s="546" t="s">
        <v>932</v>
      </c>
      <c r="F52" s="547">
        <v>1</v>
      </c>
      <c r="G52" s="541">
        <v>10</v>
      </c>
      <c r="H52" s="542"/>
      <c r="I52" s="548">
        <f t="shared" si="3"/>
        <v>0</v>
      </c>
      <c r="J52" s="543">
        <f t="shared" si="1"/>
        <v>0</v>
      </c>
      <c r="K52" s="543">
        <f t="shared" si="4"/>
        <v>0</v>
      </c>
      <c r="L52" s="206"/>
    </row>
    <row r="53" spans="1:12">
      <c r="A53" s="544">
        <v>1002</v>
      </c>
      <c r="B53" s="545" t="s">
        <v>117</v>
      </c>
      <c r="C53" s="539">
        <f>VLOOKUP(A53,'2-Kosten per locatie'!$A$13:$C$88,3,FALSE)</f>
        <v>2</v>
      </c>
      <c r="D53" s="540" t="str">
        <f ca="1">VLOOKUP(A53,'3-Ruimtestaat'!B:D,3,FALSE)</f>
        <v>Ijtram</v>
      </c>
      <c r="E53" s="473" t="s">
        <v>932</v>
      </c>
      <c r="F53" s="254">
        <v>2</v>
      </c>
      <c r="G53" s="541">
        <v>10</v>
      </c>
      <c r="H53" s="542"/>
      <c r="I53" s="268">
        <f t="shared" si="3"/>
        <v>0</v>
      </c>
      <c r="J53" s="255">
        <f t="shared" si="1"/>
        <v>0</v>
      </c>
      <c r="K53" s="543">
        <f t="shared" si="4"/>
        <v>0</v>
      </c>
      <c r="L53" s="206"/>
    </row>
    <row r="54" spans="1:12">
      <c r="A54" s="684" t="s">
        <v>917</v>
      </c>
      <c r="B54" s="694"/>
      <c r="C54" s="694"/>
      <c r="D54" s="695"/>
      <c r="E54" s="685"/>
      <c r="F54" s="696"/>
      <c r="G54" s="687"/>
      <c r="H54" s="687"/>
      <c r="I54" s="687"/>
      <c r="J54" s="688"/>
      <c r="K54" s="689">
        <f>SUM(K16:K53)</f>
        <v>0</v>
      </c>
      <c r="L54" s="206"/>
    </row>
  </sheetData>
  <autoFilter ref="A15:V54" xr:uid="{B6FF484C-8E0B-4411-A373-9E0ADAB48A2E}"/>
  <mergeCells count="3">
    <mergeCell ref="A12:B12"/>
    <mergeCell ref="A13:B13"/>
    <mergeCell ref="A1:B1"/>
  </mergeCells>
  <pageMargins left="0.70866141732283472" right="0.70866141732283472" top="0.74803149606299213" bottom="0.74803149606299213" header="0.31496062992125984" footer="0.31496062992125984"/>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P40"/>
  <sheetViews>
    <sheetView showGridLines="0" zoomScale="89" zoomScaleNormal="89" workbookViewId="0">
      <pane ySplit="10" topLeftCell="A11" activePane="bottomLeft" state="frozen"/>
      <selection pane="bottomLeft" activeCell="A25" sqref="A25"/>
      <selection activeCell="A872" sqref="A872"/>
    </sheetView>
  </sheetViews>
  <sheetFormatPr defaultColWidth="9.140625" defaultRowHeight="13.15"/>
  <cols>
    <col min="1" max="1" width="26.140625" style="108" bestFit="1" customWidth="1"/>
    <col min="2" max="3" width="23.140625" style="108" customWidth="1"/>
    <col min="4" max="4" width="20.28515625" style="108" customWidth="1"/>
    <col min="5" max="5" width="72.28515625" style="108" bestFit="1" customWidth="1"/>
    <col min="6" max="6" width="15.7109375" style="182" bestFit="1" customWidth="1"/>
    <col min="7" max="8" width="15.42578125" style="108" bestFit="1" customWidth="1"/>
    <col min="9" max="9" width="11.5703125" style="108" bestFit="1" customWidth="1"/>
    <col min="10" max="10" width="11.5703125" style="108" customWidth="1"/>
    <col min="11" max="12" width="16.42578125" style="108" bestFit="1" customWidth="1"/>
    <col min="13" max="13" width="16.42578125" style="108" customWidth="1"/>
    <col min="14" max="16" width="20.140625" style="108" customWidth="1"/>
    <col min="17" max="16384" width="9.140625" style="108"/>
  </cols>
  <sheetData>
    <row r="1" spans="1:16">
      <c r="A1" s="697" t="s">
        <v>0</v>
      </c>
      <c r="D1" s="187"/>
      <c r="E1" s="205"/>
      <c r="F1" s="108"/>
    </row>
    <row r="2" spans="1:16">
      <c r="E2" s="182"/>
      <c r="F2" s="108"/>
    </row>
    <row r="3" spans="1:16" ht="15.6">
      <c r="A3" s="12" t="s">
        <v>1</v>
      </c>
      <c r="B3" s="201" t="str">
        <f>'1-Inschrijfstaat'!B3</f>
        <v>GVB Infra B.V.</v>
      </c>
      <c r="E3" s="182"/>
      <c r="F3" s="108"/>
    </row>
    <row r="4" spans="1:16" ht="15.6">
      <c r="A4" s="12" t="s">
        <v>3</v>
      </c>
      <c r="B4" s="93" t="e">
        <f ca="1">MID(CELL("bestandsnaam",$D$15),SEARCH("]",CELL("bestandsnaam",$D$15),1)+1,256)</f>
        <v>#VALUE!</v>
      </c>
      <c r="F4" s="108"/>
    </row>
    <row r="5" spans="1:16" ht="15.6">
      <c r="A5" s="12" t="s">
        <v>4</v>
      </c>
      <c r="B5" s="201" t="str">
        <f>'1-Inschrijfstaat'!B5</f>
        <v>Diverse</v>
      </c>
      <c r="F5" s="108"/>
    </row>
    <row r="6" spans="1:16" ht="15.6">
      <c r="A6" s="12" t="s">
        <v>47</v>
      </c>
      <c r="B6" s="201" t="str">
        <f>'1-Inschrijfstaat'!B6</f>
        <v>2024-20</v>
      </c>
      <c r="F6" s="108"/>
    </row>
    <row r="7" spans="1:16" ht="15.6">
      <c r="A7" s="12" t="s">
        <v>8</v>
      </c>
      <c r="B7" s="201">
        <f>'1-Inschrijfstaat'!B7</f>
        <v>0</v>
      </c>
      <c r="F7" s="108"/>
    </row>
    <row r="8" spans="1:16" ht="15.6">
      <c r="A8" s="12" t="s">
        <v>9</v>
      </c>
      <c r="B8" s="136" t="str">
        <f>'1-Inschrijfstaat'!B8</f>
        <v>1 januari 2025</v>
      </c>
      <c r="F8" s="108"/>
    </row>
    <row r="9" spans="1:16" ht="15.6">
      <c r="A9" s="12" t="s">
        <v>11</v>
      </c>
      <c r="B9" s="390" t="str">
        <f>'1-Inschrijfstaat'!B9</f>
        <v>2 Specialistiche schoonmaak</v>
      </c>
      <c r="F9" s="108"/>
    </row>
    <row r="10" spans="1:16" s="158" customFormat="1" ht="15.6">
      <c r="A10" s="12" t="s">
        <v>892</v>
      </c>
      <c r="B10" s="201" t="s">
        <v>893</v>
      </c>
      <c r="C10" s="119"/>
    </row>
    <row r="11" spans="1:16" s="145" customFormat="1"/>
    <row r="12" spans="1:16" s="145" customFormat="1">
      <c r="A12" s="648" t="s">
        <v>896</v>
      </c>
      <c r="B12" s="250" t="s">
        <v>897</v>
      </c>
      <c r="C12" s="649" t="s">
        <v>898</v>
      </c>
    </row>
    <row r="13" spans="1:16" s="145" customFormat="1">
      <c r="A13" s="650" t="s">
        <v>899</v>
      </c>
      <c r="B13" s="651" t="s">
        <v>900</v>
      </c>
      <c r="C13" s="601"/>
    </row>
    <row r="14" spans="1:16" s="145" customFormat="1">
      <c r="A14" s="650" t="s">
        <v>899</v>
      </c>
      <c r="B14" s="651" t="s">
        <v>901</v>
      </c>
      <c r="C14" s="652"/>
    </row>
    <row r="16" spans="1:16" ht="66">
      <c r="A16" s="698" t="s">
        <v>919</v>
      </c>
      <c r="B16" s="698" t="s">
        <v>50</v>
      </c>
      <c r="C16" s="698" t="s">
        <v>11</v>
      </c>
      <c r="D16" s="698" t="s">
        <v>51</v>
      </c>
      <c r="E16" s="698" t="s">
        <v>933</v>
      </c>
      <c r="F16" s="699" t="s">
        <v>934</v>
      </c>
      <c r="G16" s="649" t="s">
        <v>898</v>
      </c>
      <c r="H16" s="649" t="s">
        <v>898</v>
      </c>
      <c r="I16" s="649" t="s">
        <v>935</v>
      </c>
      <c r="J16" s="649" t="s">
        <v>936</v>
      </c>
      <c r="K16" s="700" t="s">
        <v>937</v>
      </c>
      <c r="L16" s="700" t="s">
        <v>938</v>
      </c>
      <c r="M16" s="700" t="s">
        <v>939</v>
      </c>
      <c r="N16" s="700" t="s">
        <v>940</v>
      </c>
      <c r="O16" s="700" t="s">
        <v>941</v>
      </c>
      <c r="P16" s="700" t="s">
        <v>942</v>
      </c>
    </row>
    <row r="17" spans="1:16">
      <c r="A17" s="701">
        <v>108</v>
      </c>
      <c r="B17" s="549" t="s">
        <v>65</v>
      </c>
      <c r="C17" s="680">
        <f>VLOOKUP(A17,'2-Kosten per locatie'!$A$13:$C$88,3,FALSE)</f>
        <v>2</v>
      </c>
      <c r="D17" s="540" t="str">
        <f ca="1">VLOOKUP(A17,'3-Ruimtestaat'!B:D,3,FALSE)</f>
        <v>Oostlijn bovengronds</v>
      </c>
      <c r="E17" s="702" t="s">
        <v>943</v>
      </c>
      <c r="F17" s="703">
        <v>117</v>
      </c>
      <c r="G17" s="704">
        <f t="shared" ref="G17:G39" si="0">$C$13</f>
        <v>0</v>
      </c>
      <c r="H17" s="661"/>
      <c r="I17" s="533"/>
      <c r="J17" s="661"/>
      <c r="K17" s="535"/>
      <c r="L17" s="661"/>
      <c r="M17" s="705">
        <v>1</v>
      </c>
      <c r="N17" s="706">
        <f t="shared" ref="N17:N39" si="1">((G17)*I17+K17)*M17</f>
        <v>0</v>
      </c>
      <c r="O17" s="706">
        <f>((H17)*J17+L17)*M17</f>
        <v>0</v>
      </c>
      <c r="P17" s="706">
        <f>O17+N17</f>
        <v>0</v>
      </c>
    </row>
    <row r="18" spans="1:16">
      <c r="A18" s="701">
        <v>114</v>
      </c>
      <c r="B18" s="549" t="s">
        <v>71</v>
      </c>
      <c r="C18" s="680">
        <f>VLOOKUP(A18,'2-Kosten per locatie'!$A$13:$C$88,3,FALSE)</f>
        <v>2</v>
      </c>
      <c r="D18" s="540" t="str">
        <f ca="1">VLOOKUP(A18,'3-Ruimtestaat'!B:D,3,FALSE)</f>
        <v>Oostlijn bovengronds</v>
      </c>
      <c r="E18" s="702" t="s">
        <v>944</v>
      </c>
      <c r="F18" s="703">
        <v>40</v>
      </c>
      <c r="G18" s="661"/>
      <c r="H18" s="704">
        <f>$C$14</f>
        <v>0</v>
      </c>
      <c r="I18" s="661"/>
      <c r="J18" s="533"/>
      <c r="K18" s="661"/>
      <c r="L18" s="535"/>
      <c r="M18" s="705">
        <v>1</v>
      </c>
      <c r="N18" s="706">
        <f t="shared" si="1"/>
        <v>0</v>
      </c>
      <c r="O18" s="706">
        <f t="shared" ref="O18:O39" si="2">((H18)*J18+L18)*M18</f>
        <v>0</v>
      </c>
      <c r="P18" s="706">
        <f t="shared" ref="P18:P39" si="3">O18+N18</f>
        <v>0</v>
      </c>
    </row>
    <row r="19" spans="1:16">
      <c r="A19" s="701">
        <v>114</v>
      </c>
      <c r="B19" s="549" t="s">
        <v>71</v>
      </c>
      <c r="C19" s="680">
        <f>VLOOKUP(A19,'2-Kosten per locatie'!$A$13:$C$88,3,FALSE)</f>
        <v>2</v>
      </c>
      <c r="D19" s="540" t="str">
        <f ca="1">VLOOKUP(A19,'3-Ruimtestaat'!B:D,3,FALSE)</f>
        <v>Oostlijn bovengronds</v>
      </c>
      <c r="E19" s="702" t="s">
        <v>945</v>
      </c>
      <c r="F19" s="703">
        <v>184</v>
      </c>
      <c r="G19" s="661"/>
      <c r="H19" s="704">
        <f>$C$14</f>
        <v>0</v>
      </c>
      <c r="I19" s="661"/>
      <c r="J19" s="533"/>
      <c r="K19" s="661"/>
      <c r="L19" s="535"/>
      <c r="M19" s="705">
        <v>1</v>
      </c>
      <c r="N19" s="706">
        <f t="shared" si="1"/>
        <v>0</v>
      </c>
      <c r="O19" s="706">
        <f t="shared" si="2"/>
        <v>0</v>
      </c>
      <c r="P19" s="706">
        <f t="shared" si="3"/>
        <v>0</v>
      </c>
    </row>
    <row r="20" spans="1:16">
      <c r="A20" s="701">
        <v>114</v>
      </c>
      <c r="B20" s="549" t="s">
        <v>71</v>
      </c>
      <c r="C20" s="680">
        <f>VLOOKUP(A20,'2-Kosten per locatie'!$A$13:$C$88,3,FALSE)</f>
        <v>2</v>
      </c>
      <c r="D20" s="540" t="str">
        <f ca="1">VLOOKUP(A20,'3-Ruimtestaat'!B:D,3,FALSE)</f>
        <v>Oostlijn bovengronds</v>
      </c>
      <c r="E20" s="702" t="s">
        <v>946</v>
      </c>
      <c r="F20" s="703">
        <v>238</v>
      </c>
      <c r="G20" s="661"/>
      <c r="H20" s="704">
        <f>$C$14</f>
        <v>0</v>
      </c>
      <c r="I20" s="661"/>
      <c r="J20" s="533"/>
      <c r="K20" s="661"/>
      <c r="L20" s="535"/>
      <c r="M20" s="705">
        <v>1</v>
      </c>
      <c r="N20" s="706">
        <f t="shared" si="1"/>
        <v>0</v>
      </c>
      <c r="O20" s="706">
        <f t="shared" si="2"/>
        <v>0</v>
      </c>
      <c r="P20" s="706">
        <f t="shared" si="3"/>
        <v>0</v>
      </c>
    </row>
    <row r="21" spans="1:16">
      <c r="A21" s="701">
        <v>115</v>
      </c>
      <c r="B21" s="549" t="s">
        <v>72</v>
      </c>
      <c r="C21" s="680">
        <f>VLOOKUP(A21,'2-Kosten per locatie'!$A$13:$C$88,3,FALSE)</f>
        <v>2</v>
      </c>
      <c r="D21" s="540" t="str">
        <f ca="1">VLOOKUP(A21,'3-Ruimtestaat'!B:D,3,FALSE)</f>
        <v>Oostlijn Bovengronds</v>
      </c>
      <c r="E21" s="702" t="s">
        <v>947</v>
      </c>
      <c r="F21" s="703">
        <v>180</v>
      </c>
      <c r="G21" s="704">
        <f t="shared" si="0"/>
        <v>0</v>
      </c>
      <c r="H21" s="661"/>
      <c r="I21" s="533"/>
      <c r="J21" s="661"/>
      <c r="K21" s="533"/>
      <c r="L21" s="661"/>
      <c r="M21" s="705">
        <v>1</v>
      </c>
      <c r="N21" s="706">
        <f t="shared" si="1"/>
        <v>0</v>
      </c>
      <c r="O21" s="706">
        <f t="shared" si="2"/>
        <v>0</v>
      </c>
      <c r="P21" s="706">
        <f t="shared" si="3"/>
        <v>0</v>
      </c>
    </row>
    <row r="22" spans="1:16">
      <c r="A22" s="701">
        <v>115</v>
      </c>
      <c r="B22" s="549" t="s">
        <v>72</v>
      </c>
      <c r="C22" s="680">
        <f>VLOOKUP(A22,'2-Kosten per locatie'!$A$13:$C$88,3,FALSE)</f>
        <v>2</v>
      </c>
      <c r="D22" s="540" t="str">
        <f ca="1">VLOOKUP(A22,'3-Ruimtestaat'!B:D,3,FALSE)</f>
        <v>Oostlijn Bovengronds</v>
      </c>
      <c r="E22" s="702" t="s">
        <v>948</v>
      </c>
      <c r="F22" s="703">
        <v>167</v>
      </c>
      <c r="G22" s="704">
        <f t="shared" si="0"/>
        <v>0</v>
      </c>
      <c r="H22" s="661"/>
      <c r="I22" s="533"/>
      <c r="J22" s="661"/>
      <c r="K22" s="533"/>
      <c r="L22" s="661"/>
      <c r="M22" s="705">
        <v>1</v>
      </c>
      <c r="N22" s="706">
        <f t="shared" si="1"/>
        <v>0</v>
      </c>
      <c r="O22" s="706">
        <f t="shared" si="2"/>
        <v>0</v>
      </c>
      <c r="P22" s="706">
        <f t="shared" si="3"/>
        <v>0</v>
      </c>
    </row>
    <row r="23" spans="1:16">
      <c r="A23" s="701">
        <v>117</v>
      </c>
      <c r="B23" s="549" t="s">
        <v>74</v>
      </c>
      <c r="C23" s="680">
        <f>VLOOKUP(A23,'2-Kosten per locatie'!$A$13:$C$88,3,FALSE)</f>
        <v>2</v>
      </c>
      <c r="D23" s="540" t="str">
        <f ca="1">VLOOKUP(A23,'3-Ruimtestaat'!B:D,3,FALSE)</f>
        <v>Oostlijn bovengronds</v>
      </c>
      <c r="E23" s="707" t="s">
        <v>949</v>
      </c>
      <c r="F23" s="708">
        <v>138</v>
      </c>
      <c r="G23" s="704">
        <f t="shared" si="0"/>
        <v>0</v>
      </c>
      <c r="H23" s="661"/>
      <c r="I23" s="533"/>
      <c r="J23" s="661"/>
      <c r="K23" s="535"/>
      <c r="L23" s="661"/>
      <c r="M23" s="705">
        <v>1</v>
      </c>
      <c r="N23" s="706">
        <f t="shared" si="1"/>
        <v>0</v>
      </c>
      <c r="O23" s="706">
        <f t="shared" si="2"/>
        <v>0</v>
      </c>
      <c r="P23" s="706">
        <f t="shared" si="3"/>
        <v>0</v>
      </c>
    </row>
    <row r="24" spans="1:16">
      <c r="A24" s="701">
        <v>118</v>
      </c>
      <c r="B24" s="549" t="s">
        <v>75</v>
      </c>
      <c r="C24" s="680">
        <f>VLOOKUP(A24,'2-Kosten per locatie'!$A$13:$C$88,3,FALSE)</f>
        <v>2</v>
      </c>
      <c r="D24" s="540" t="str">
        <f ca="1">VLOOKUP(A24,'3-Ruimtestaat'!B:D,3,FALSE)</f>
        <v>Oostlijn bovengronds</v>
      </c>
      <c r="E24" s="702" t="s">
        <v>943</v>
      </c>
      <c r="F24" s="703">
        <v>61</v>
      </c>
      <c r="G24" s="704">
        <f t="shared" si="0"/>
        <v>0</v>
      </c>
      <c r="H24" s="661"/>
      <c r="I24" s="533"/>
      <c r="J24" s="661"/>
      <c r="K24" s="535"/>
      <c r="L24" s="661"/>
      <c r="M24" s="705">
        <v>1</v>
      </c>
      <c r="N24" s="706">
        <f t="shared" si="1"/>
        <v>0</v>
      </c>
      <c r="O24" s="706">
        <f t="shared" si="2"/>
        <v>0</v>
      </c>
      <c r="P24" s="706">
        <f t="shared" si="3"/>
        <v>0</v>
      </c>
    </row>
    <row r="25" spans="1:16">
      <c r="A25" s="701">
        <v>119</v>
      </c>
      <c r="B25" s="549" t="s">
        <v>76</v>
      </c>
      <c r="C25" s="680">
        <f>VLOOKUP(A25,'2-Kosten per locatie'!$A$13:$C$88,3,FALSE)</f>
        <v>2</v>
      </c>
      <c r="D25" s="540" t="str">
        <f ca="1">VLOOKUP(A25,'3-Ruimtestaat'!B:D,3,FALSE)</f>
        <v>Oostlijn bovengronds</v>
      </c>
      <c r="E25" s="702" t="s">
        <v>950</v>
      </c>
      <c r="F25" s="708">
        <v>182</v>
      </c>
      <c r="G25" s="704">
        <f t="shared" si="0"/>
        <v>0</v>
      </c>
      <c r="H25" s="661"/>
      <c r="I25" s="533"/>
      <c r="J25" s="661"/>
      <c r="K25" s="535"/>
      <c r="L25" s="661"/>
      <c r="M25" s="705">
        <v>1</v>
      </c>
      <c r="N25" s="706">
        <f t="shared" si="1"/>
        <v>0</v>
      </c>
      <c r="O25" s="706">
        <f t="shared" si="2"/>
        <v>0</v>
      </c>
      <c r="P25" s="706">
        <f t="shared" si="3"/>
        <v>0</v>
      </c>
    </row>
    <row r="26" spans="1:16" s="412" customFormat="1">
      <c r="A26" s="701">
        <v>119</v>
      </c>
      <c r="B26" s="549" t="s">
        <v>76</v>
      </c>
      <c r="C26" s="680">
        <f>VLOOKUP(A26,'2-Kosten per locatie'!$A$13:$C$88,3,FALSE)</f>
        <v>2</v>
      </c>
      <c r="D26" s="540" t="str">
        <f ca="1">VLOOKUP(A26,'3-Ruimtestaat'!B:D,3,FALSE)</f>
        <v>Oostlijn bovengronds</v>
      </c>
      <c r="E26" s="702" t="s">
        <v>944</v>
      </c>
      <c r="F26" s="708">
        <v>41</v>
      </c>
      <c r="G26" s="661"/>
      <c r="H26" s="704">
        <f>$C$14</f>
        <v>0</v>
      </c>
      <c r="I26" s="661"/>
      <c r="J26" s="533"/>
      <c r="K26" s="661"/>
      <c r="L26" s="535"/>
      <c r="M26" s="705">
        <v>1</v>
      </c>
      <c r="N26" s="706">
        <f t="shared" si="1"/>
        <v>0</v>
      </c>
      <c r="O26" s="706">
        <f t="shared" si="2"/>
        <v>0</v>
      </c>
      <c r="P26" s="706">
        <f t="shared" si="3"/>
        <v>0</v>
      </c>
    </row>
    <row r="27" spans="1:16">
      <c r="A27" s="701">
        <v>119</v>
      </c>
      <c r="B27" s="549" t="s">
        <v>76</v>
      </c>
      <c r="C27" s="680">
        <f>VLOOKUP(A27,'2-Kosten per locatie'!$A$13:$C$88,3,FALSE)</f>
        <v>2</v>
      </c>
      <c r="D27" s="540" t="str">
        <f ca="1">VLOOKUP(A27,'3-Ruimtestaat'!B:D,3,FALSE)</f>
        <v>Oostlijn bovengronds</v>
      </c>
      <c r="E27" s="702" t="s">
        <v>945</v>
      </c>
      <c r="F27" s="708">
        <v>134</v>
      </c>
      <c r="G27" s="661"/>
      <c r="H27" s="704">
        <f>$C$14</f>
        <v>0</v>
      </c>
      <c r="I27" s="661"/>
      <c r="J27" s="533"/>
      <c r="K27" s="661"/>
      <c r="L27" s="535"/>
      <c r="M27" s="705">
        <v>1</v>
      </c>
      <c r="N27" s="706">
        <f t="shared" si="1"/>
        <v>0</v>
      </c>
      <c r="O27" s="706">
        <f t="shared" si="2"/>
        <v>0</v>
      </c>
      <c r="P27" s="706">
        <f t="shared" si="3"/>
        <v>0</v>
      </c>
    </row>
    <row r="28" spans="1:16">
      <c r="A28" s="701">
        <v>119</v>
      </c>
      <c r="B28" s="549" t="s">
        <v>76</v>
      </c>
      <c r="C28" s="680">
        <f>VLOOKUP(A28,'2-Kosten per locatie'!$A$13:$C$88,3,FALSE)</f>
        <v>2</v>
      </c>
      <c r="D28" s="540" t="str">
        <f ca="1">VLOOKUP(A28,'3-Ruimtestaat'!B:D,3,FALSE)</f>
        <v>Oostlijn bovengronds</v>
      </c>
      <c r="E28" s="702" t="s">
        <v>946</v>
      </c>
      <c r="F28" s="708">
        <v>447</v>
      </c>
      <c r="G28" s="661"/>
      <c r="H28" s="704">
        <f>$C$14</f>
        <v>0</v>
      </c>
      <c r="I28" s="661"/>
      <c r="J28" s="533"/>
      <c r="K28" s="661"/>
      <c r="L28" s="535"/>
      <c r="M28" s="705">
        <v>1</v>
      </c>
      <c r="N28" s="706">
        <f t="shared" si="1"/>
        <v>0</v>
      </c>
      <c r="O28" s="706">
        <f t="shared" si="2"/>
        <v>0</v>
      </c>
      <c r="P28" s="706">
        <f t="shared" si="3"/>
        <v>0</v>
      </c>
    </row>
    <row r="29" spans="1:16">
      <c r="A29" s="709">
        <v>120</v>
      </c>
      <c r="B29" s="631" t="s">
        <v>77</v>
      </c>
      <c r="C29" s="680">
        <f>VLOOKUP(A29,'2-Kosten per locatie'!$A$13:$C$88,3,FALSE)</f>
        <v>2</v>
      </c>
      <c r="D29" s="540" t="str">
        <f ca="1">VLOOKUP(A29,'3-Ruimtestaat'!B:D,3,FALSE)</f>
        <v>Oostlijn bovengronds</v>
      </c>
      <c r="E29" s="707" t="s">
        <v>951</v>
      </c>
      <c r="F29" s="710">
        <v>494</v>
      </c>
      <c r="G29" s="704">
        <f t="shared" si="0"/>
        <v>0</v>
      </c>
      <c r="H29" s="661"/>
      <c r="I29" s="533"/>
      <c r="J29" s="661"/>
      <c r="K29" s="535"/>
      <c r="L29" s="661"/>
      <c r="M29" s="705">
        <v>1</v>
      </c>
      <c r="N29" s="706">
        <f t="shared" si="1"/>
        <v>0</v>
      </c>
      <c r="O29" s="706">
        <f t="shared" si="2"/>
        <v>0</v>
      </c>
      <c r="P29" s="706">
        <f t="shared" si="3"/>
        <v>0</v>
      </c>
    </row>
    <row r="30" spans="1:16">
      <c r="A30" s="701">
        <v>121</v>
      </c>
      <c r="B30" s="549" t="s">
        <v>78</v>
      </c>
      <c r="C30" s="680">
        <f>VLOOKUP(A30,'2-Kosten per locatie'!$A$13:$C$88,3,FALSE)</f>
        <v>2</v>
      </c>
      <c r="D30" s="540" t="str">
        <f ca="1">VLOOKUP(A30,'3-Ruimtestaat'!B:D,3,FALSE)</f>
        <v>Oostlijn bovengronds</v>
      </c>
      <c r="E30" s="702" t="s">
        <v>952</v>
      </c>
      <c r="F30" s="708">
        <v>54</v>
      </c>
      <c r="G30" s="704">
        <f t="shared" si="0"/>
        <v>0</v>
      </c>
      <c r="H30" s="661"/>
      <c r="I30" s="533"/>
      <c r="J30" s="661"/>
      <c r="K30" s="535"/>
      <c r="L30" s="661"/>
      <c r="M30" s="705">
        <v>1</v>
      </c>
      <c r="N30" s="706">
        <f t="shared" si="1"/>
        <v>0</v>
      </c>
      <c r="O30" s="706">
        <f t="shared" si="2"/>
        <v>0</v>
      </c>
      <c r="P30" s="706">
        <f t="shared" si="3"/>
        <v>0</v>
      </c>
    </row>
    <row r="31" spans="1:16">
      <c r="A31" s="701">
        <v>301</v>
      </c>
      <c r="B31" s="549" t="s">
        <v>100</v>
      </c>
      <c r="C31" s="680">
        <f>VLOOKUP(A31,'2-Kosten per locatie'!$A$13:$C$88,3,FALSE)</f>
        <v>2</v>
      </c>
      <c r="D31" s="540" t="str">
        <f ca="1">VLOOKUP(A31,'3-Ruimtestaat'!B:D,3,FALSE)</f>
        <v>Ringlijn</v>
      </c>
      <c r="E31" s="702" t="s">
        <v>953</v>
      </c>
      <c r="F31" s="703">
        <v>705</v>
      </c>
      <c r="G31" s="704">
        <f t="shared" si="0"/>
        <v>0</v>
      </c>
      <c r="H31" s="661"/>
      <c r="I31" s="533"/>
      <c r="J31" s="661"/>
      <c r="K31" s="535"/>
      <c r="L31" s="661"/>
      <c r="M31" s="705">
        <v>1</v>
      </c>
      <c r="N31" s="706">
        <f t="shared" si="1"/>
        <v>0</v>
      </c>
      <c r="O31" s="706">
        <f t="shared" si="2"/>
        <v>0</v>
      </c>
      <c r="P31" s="706">
        <f t="shared" si="3"/>
        <v>0</v>
      </c>
    </row>
    <row r="32" spans="1:16">
      <c r="A32" s="701">
        <v>304</v>
      </c>
      <c r="B32" s="549" t="s">
        <v>105</v>
      </c>
      <c r="C32" s="680">
        <f>VLOOKUP(A32,'2-Kosten per locatie'!$A$13:$C$88,3,FALSE)</f>
        <v>2</v>
      </c>
      <c r="D32" s="540" t="str">
        <f ca="1">VLOOKUP(A32,'3-Ruimtestaat'!B:D,3,FALSE)</f>
        <v>Ringlijn</v>
      </c>
      <c r="E32" s="702" t="s">
        <v>953</v>
      </c>
      <c r="F32" s="703">
        <v>345</v>
      </c>
      <c r="G32" s="704">
        <f t="shared" si="0"/>
        <v>0</v>
      </c>
      <c r="H32" s="661"/>
      <c r="I32" s="533"/>
      <c r="J32" s="661"/>
      <c r="K32" s="535"/>
      <c r="L32" s="661"/>
      <c r="M32" s="705">
        <v>1</v>
      </c>
      <c r="N32" s="706">
        <f t="shared" si="1"/>
        <v>0</v>
      </c>
      <c r="O32" s="706">
        <f t="shared" si="2"/>
        <v>0</v>
      </c>
      <c r="P32" s="706">
        <f t="shared" si="3"/>
        <v>0</v>
      </c>
    </row>
    <row r="33" spans="1:16">
      <c r="A33" s="701">
        <v>305</v>
      </c>
      <c r="B33" s="549" t="s">
        <v>106</v>
      </c>
      <c r="C33" s="680">
        <f>VLOOKUP(A33,'2-Kosten per locatie'!$A$13:$C$88,3,FALSE)</f>
        <v>2</v>
      </c>
      <c r="D33" s="540" t="str">
        <f ca="1">VLOOKUP(A33,'3-Ruimtestaat'!B:D,3,FALSE)</f>
        <v>Ringlijn</v>
      </c>
      <c r="E33" s="702" t="s">
        <v>953</v>
      </c>
      <c r="F33" s="703">
        <v>232</v>
      </c>
      <c r="G33" s="704">
        <f t="shared" si="0"/>
        <v>0</v>
      </c>
      <c r="H33" s="661"/>
      <c r="I33" s="533"/>
      <c r="J33" s="661"/>
      <c r="K33" s="535"/>
      <c r="L33" s="661"/>
      <c r="M33" s="705">
        <v>1</v>
      </c>
      <c r="N33" s="706">
        <f t="shared" si="1"/>
        <v>0</v>
      </c>
      <c r="O33" s="706">
        <f t="shared" si="2"/>
        <v>0</v>
      </c>
      <c r="P33" s="706">
        <f t="shared" si="3"/>
        <v>0</v>
      </c>
    </row>
    <row r="34" spans="1:16">
      <c r="A34" s="701">
        <v>306</v>
      </c>
      <c r="B34" s="549" t="s">
        <v>107</v>
      </c>
      <c r="C34" s="680">
        <f>VLOOKUP(A34,'2-Kosten per locatie'!$A$13:$C$88,3,FALSE)</f>
        <v>2</v>
      </c>
      <c r="D34" s="540" t="str">
        <f ca="1">VLOOKUP(A34,'3-Ruimtestaat'!B:D,3,FALSE)</f>
        <v>Ringlijn</v>
      </c>
      <c r="E34" s="702" t="s">
        <v>953</v>
      </c>
      <c r="F34" s="703">
        <v>299</v>
      </c>
      <c r="G34" s="704">
        <f t="shared" si="0"/>
        <v>0</v>
      </c>
      <c r="H34" s="661"/>
      <c r="I34" s="533"/>
      <c r="J34" s="661"/>
      <c r="K34" s="535"/>
      <c r="L34" s="661"/>
      <c r="M34" s="705">
        <v>1</v>
      </c>
      <c r="N34" s="706">
        <f t="shared" si="1"/>
        <v>0</v>
      </c>
      <c r="O34" s="706">
        <f t="shared" si="2"/>
        <v>0</v>
      </c>
      <c r="P34" s="706">
        <f t="shared" si="3"/>
        <v>0</v>
      </c>
    </row>
    <row r="35" spans="1:16">
      <c r="A35" s="701">
        <v>307</v>
      </c>
      <c r="B35" s="549" t="s">
        <v>108</v>
      </c>
      <c r="C35" s="680">
        <f>VLOOKUP(A35,'2-Kosten per locatie'!$A$13:$C$88,3,FALSE)</f>
        <v>2</v>
      </c>
      <c r="D35" s="540" t="str">
        <f ca="1">VLOOKUP(A35,'3-Ruimtestaat'!B:D,3,FALSE)</f>
        <v>Ringlijn</v>
      </c>
      <c r="E35" s="702" t="s">
        <v>953</v>
      </c>
      <c r="F35" s="703">
        <v>532</v>
      </c>
      <c r="G35" s="704">
        <f t="shared" si="0"/>
        <v>0</v>
      </c>
      <c r="H35" s="661"/>
      <c r="I35" s="533"/>
      <c r="J35" s="661"/>
      <c r="K35" s="535"/>
      <c r="L35" s="661"/>
      <c r="M35" s="705">
        <v>1</v>
      </c>
      <c r="N35" s="706">
        <f t="shared" si="1"/>
        <v>0</v>
      </c>
      <c r="O35" s="706">
        <f t="shared" si="2"/>
        <v>0</v>
      </c>
      <c r="P35" s="706">
        <f t="shared" si="3"/>
        <v>0</v>
      </c>
    </row>
    <row r="36" spans="1:16">
      <c r="A36" s="701">
        <v>308</v>
      </c>
      <c r="B36" s="549" t="s">
        <v>109</v>
      </c>
      <c r="C36" s="680">
        <f>VLOOKUP(A36,'2-Kosten per locatie'!$A$13:$C$88,3,FALSE)</f>
        <v>2</v>
      </c>
      <c r="D36" s="540" t="str">
        <f ca="1">VLOOKUP(A36,'3-Ruimtestaat'!B:D,3,FALSE)</f>
        <v>Ringlijn</v>
      </c>
      <c r="E36" s="702" t="s">
        <v>953</v>
      </c>
      <c r="F36" s="703">
        <v>299</v>
      </c>
      <c r="G36" s="704">
        <f t="shared" si="0"/>
        <v>0</v>
      </c>
      <c r="H36" s="661"/>
      <c r="I36" s="533"/>
      <c r="J36" s="661"/>
      <c r="K36" s="535"/>
      <c r="L36" s="661"/>
      <c r="M36" s="705">
        <v>1</v>
      </c>
      <c r="N36" s="706">
        <f t="shared" si="1"/>
        <v>0</v>
      </c>
      <c r="O36" s="706">
        <f t="shared" si="2"/>
        <v>0</v>
      </c>
      <c r="P36" s="706">
        <f t="shared" si="3"/>
        <v>0</v>
      </c>
    </row>
    <row r="37" spans="1:16">
      <c r="A37" s="701">
        <v>309</v>
      </c>
      <c r="B37" s="549" t="s">
        <v>110</v>
      </c>
      <c r="C37" s="680">
        <f>VLOOKUP(A37,'2-Kosten per locatie'!$A$13:$C$88,3,FALSE)</f>
        <v>2</v>
      </c>
      <c r="D37" s="540" t="str">
        <f ca="1">VLOOKUP(A37,'3-Ruimtestaat'!B:D,3,FALSE)</f>
        <v>Ringlijn</v>
      </c>
      <c r="E37" s="702" t="s">
        <v>953</v>
      </c>
      <c r="F37" s="703">
        <v>129</v>
      </c>
      <c r="G37" s="704">
        <f t="shared" si="0"/>
        <v>0</v>
      </c>
      <c r="H37" s="661"/>
      <c r="I37" s="533"/>
      <c r="J37" s="661"/>
      <c r="K37" s="535"/>
      <c r="L37" s="661"/>
      <c r="M37" s="705">
        <v>1</v>
      </c>
      <c r="N37" s="706">
        <f t="shared" si="1"/>
        <v>0</v>
      </c>
      <c r="O37" s="706">
        <f t="shared" si="2"/>
        <v>0</v>
      </c>
      <c r="P37" s="706">
        <f t="shared" si="3"/>
        <v>0</v>
      </c>
    </row>
    <row r="38" spans="1:16">
      <c r="A38" s="701">
        <v>310</v>
      </c>
      <c r="B38" s="549" t="s">
        <v>111</v>
      </c>
      <c r="C38" s="680">
        <f>VLOOKUP(A38,'2-Kosten per locatie'!$A$13:$C$88,3,FALSE)</f>
        <v>2</v>
      </c>
      <c r="D38" s="540" t="str">
        <f ca="1">VLOOKUP(A38,'3-Ruimtestaat'!B:D,3,FALSE)</f>
        <v>Ringlijn</v>
      </c>
      <c r="E38" s="702" t="s">
        <v>953</v>
      </c>
      <c r="F38" s="703">
        <v>132</v>
      </c>
      <c r="G38" s="704">
        <f t="shared" si="0"/>
        <v>0</v>
      </c>
      <c r="H38" s="661"/>
      <c r="I38" s="533"/>
      <c r="J38" s="661"/>
      <c r="K38" s="535"/>
      <c r="L38" s="661"/>
      <c r="M38" s="705">
        <v>1</v>
      </c>
      <c r="N38" s="706">
        <f t="shared" si="1"/>
        <v>0</v>
      </c>
      <c r="O38" s="706">
        <f t="shared" si="2"/>
        <v>0</v>
      </c>
      <c r="P38" s="706">
        <f t="shared" si="3"/>
        <v>0</v>
      </c>
    </row>
    <row r="39" spans="1:16">
      <c r="A39" s="701">
        <v>312</v>
      </c>
      <c r="B39" s="549" t="s">
        <v>115</v>
      </c>
      <c r="C39" s="680">
        <f>VLOOKUP(A39,'2-Kosten per locatie'!$A$16:$C$81,3,FALSE)</f>
        <v>2</v>
      </c>
      <c r="D39" s="540" t="str">
        <f ca="1">VLOOKUP(A39,'3-Ruimtestaat'!B:D,3,FALSE)</f>
        <v>Ringlijn</v>
      </c>
      <c r="E39" s="702" t="s">
        <v>953</v>
      </c>
      <c r="F39" s="703">
        <v>141</v>
      </c>
      <c r="G39" s="704">
        <f t="shared" si="0"/>
        <v>0</v>
      </c>
      <c r="H39" s="661"/>
      <c r="I39" s="533"/>
      <c r="J39" s="661"/>
      <c r="K39" s="535"/>
      <c r="L39" s="661"/>
      <c r="M39" s="705">
        <v>1</v>
      </c>
      <c r="N39" s="706">
        <f t="shared" si="1"/>
        <v>0</v>
      </c>
      <c r="O39" s="706">
        <f t="shared" si="2"/>
        <v>0</v>
      </c>
      <c r="P39" s="706">
        <f t="shared" si="3"/>
        <v>0</v>
      </c>
    </row>
    <row r="40" spans="1:16">
      <c r="A40" s="711" t="s">
        <v>917</v>
      </c>
      <c r="B40" s="712"/>
      <c r="C40" s="712"/>
      <c r="D40" s="712"/>
      <c r="E40" s="712"/>
      <c r="F40" s="713"/>
      <c r="G40" s="534"/>
      <c r="H40" s="534"/>
      <c r="I40" s="534"/>
      <c r="J40" s="534"/>
      <c r="K40" s="534"/>
      <c r="L40" s="534"/>
      <c r="M40" s="534"/>
      <c r="N40" s="714">
        <f>SUM(N17:N39)</f>
        <v>0</v>
      </c>
      <c r="O40" s="714">
        <f>SUM(O17:O39)</f>
        <v>0</v>
      </c>
      <c r="P40" s="714">
        <f>SUM(P17:P39)</f>
        <v>0</v>
      </c>
    </row>
  </sheetData>
  <autoFilter ref="A16:O40" xr:uid="{00000000-0001-0000-0A00-000000000000}"/>
  <pageMargins left="0.70866141732283472" right="0.70866141732283472" top="0.74803149606299213" bottom="0.74803149606299213" header="0.31496062992125984" footer="0.31496062992125984"/>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R745"/>
  <sheetViews>
    <sheetView showGridLines="0" zoomScale="96" zoomScaleNormal="96" workbookViewId="0">
      <pane xSplit="1" ySplit="12" topLeftCell="G13" activePane="bottomRight" state="frozen"/>
      <selection pane="bottomRight" activeCell="Q13" sqref="Q13:R25"/>
      <selection pane="bottomLeft" activeCell="A872" sqref="A872"/>
      <selection pane="topRight" activeCell="A872" sqref="A872"/>
    </sheetView>
  </sheetViews>
  <sheetFormatPr defaultColWidth="9.140625" defaultRowHeight="13.15"/>
  <cols>
    <col min="1" max="1" width="30.42578125" style="197" customWidth="1"/>
    <col min="2" max="2" width="22.28515625" style="257" customWidth="1"/>
    <col min="3" max="3" width="22.7109375" style="197" customWidth="1"/>
    <col min="4" max="4" width="16.28515625" style="257" customWidth="1"/>
    <col min="5" max="5" width="11.7109375" style="197" customWidth="1"/>
    <col min="6" max="6" width="24.5703125" style="197" customWidth="1"/>
    <col min="7" max="7" width="45.7109375" style="197" customWidth="1"/>
    <col min="8" max="10" width="13.7109375" style="197" customWidth="1"/>
    <col min="11" max="11" width="18" style="197" customWidth="1"/>
    <col min="12" max="14" width="13.7109375" style="197" customWidth="1"/>
    <col min="15" max="15" width="9.140625" style="197"/>
    <col min="16" max="16" width="32.7109375" style="197" customWidth="1"/>
    <col min="17" max="17" width="10.140625" style="197" customWidth="1"/>
    <col min="18" max="18" width="10" style="197" customWidth="1"/>
    <col min="19" max="16384" width="9.140625" style="197"/>
  </cols>
  <sheetData>
    <row r="1" spans="1:18">
      <c r="A1" s="715" t="s">
        <v>0</v>
      </c>
    </row>
    <row r="3" spans="1:18" ht="15.6">
      <c r="A3" s="111" t="s">
        <v>1</v>
      </c>
      <c r="B3" s="174" t="str">
        <f>'1-Inschrijfstaat'!B3</f>
        <v>GVB Infra B.V.</v>
      </c>
      <c r="D3" s="174"/>
    </row>
    <row r="4" spans="1:18" ht="15.6">
      <c r="A4" s="111" t="s">
        <v>918</v>
      </c>
      <c r="B4" s="93" t="e">
        <f ca="1">MID(CELL("bestandsnaam",$C$11),SEARCH("]",CELL("bestandsnaam",$C$11),1)+1,256)</f>
        <v>#VALUE!</v>
      </c>
      <c r="D4" s="93"/>
    </row>
    <row r="5" spans="1:18" ht="15.6">
      <c r="A5" s="111" t="s">
        <v>4</v>
      </c>
      <c r="B5" s="174" t="str">
        <f>'1-Inschrijfstaat'!B5</f>
        <v>Diverse</v>
      </c>
      <c r="D5" s="174"/>
    </row>
    <row r="6" spans="1:18" ht="15.6">
      <c r="A6" s="12" t="s">
        <v>47</v>
      </c>
      <c r="B6" s="174" t="str">
        <f>'1-Inschrijfstaat'!B6</f>
        <v>2024-20</v>
      </c>
      <c r="D6" s="174"/>
    </row>
    <row r="7" spans="1:18" ht="15.6">
      <c r="A7" s="111" t="s">
        <v>8</v>
      </c>
      <c r="B7" s="174">
        <f>'1-Inschrijfstaat'!B7</f>
        <v>0</v>
      </c>
      <c r="D7" s="174"/>
    </row>
    <row r="8" spans="1:18" ht="15.6">
      <c r="A8" s="111" t="s">
        <v>9</v>
      </c>
      <c r="B8" s="136" t="str">
        <f>'1-Inschrijfstaat'!B8</f>
        <v>1 januari 2025</v>
      </c>
      <c r="D8" s="136"/>
    </row>
    <row r="9" spans="1:18" ht="15.6">
      <c r="A9" s="115" t="s">
        <v>11</v>
      </c>
      <c r="B9" s="390" t="str">
        <f>'1-Inschrijfstaat'!B9</f>
        <v>2 Specialistiche schoonmaak</v>
      </c>
      <c r="D9" s="98"/>
    </row>
    <row r="10" spans="1:18" ht="15.6">
      <c r="A10" s="12" t="s">
        <v>892</v>
      </c>
      <c r="B10" s="201" t="s">
        <v>893</v>
      </c>
      <c r="D10" s="201"/>
    </row>
    <row r="11" spans="1:18" ht="15.6">
      <c r="A11" s="165"/>
      <c r="B11" s="202"/>
      <c r="D11" s="202"/>
    </row>
    <row r="12" spans="1:18" ht="85.9" customHeight="1">
      <c r="A12" s="611" t="s">
        <v>50</v>
      </c>
      <c r="B12" s="611" t="s">
        <v>919</v>
      </c>
      <c r="C12" s="611" t="s">
        <v>51</v>
      </c>
      <c r="D12" s="611" t="s">
        <v>11</v>
      </c>
      <c r="E12" s="611" t="s">
        <v>954</v>
      </c>
      <c r="F12" s="611" t="s">
        <v>955</v>
      </c>
      <c r="G12" s="611" t="s">
        <v>956</v>
      </c>
      <c r="H12" s="611" t="s">
        <v>957</v>
      </c>
      <c r="I12" s="611" t="s">
        <v>958</v>
      </c>
      <c r="J12" s="611" t="s">
        <v>959</v>
      </c>
      <c r="K12" s="611" t="s">
        <v>960</v>
      </c>
      <c r="L12" s="611" t="s">
        <v>961</v>
      </c>
      <c r="M12" s="611" t="s">
        <v>962</v>
      </c>
      <c r="N12" s="611" t="s">
        <v>913</v>
      </c>
      <c r="P12" s="716" t="s">
        <v>963</v>
      </c>
      <c r="Q12" s="717" t="s">
        <v>964</v>
      </c>
      <c r="R12" s="717" t="s">
        <v>965</v>
      </c>
    </row>
    <row r="13" spans="1:18">
      <c r="A13" s="639" t="s">
        <v>64</v>
      </c>
      <c r="B13" s="718">
        <v>107</v>
      </c>
      <c r="C13" s="719" t="s">
        <v>156</v>
      </c>
      <c r="D13" s="718">
        <f>VLOOKUP(B13,'2-Kosten per locatie'!$A$13:$C$88,3,FALSE)</f>
        <v>2</v>
      </c>
      <c r="E13" s="720" t="s">
        <v>505</v>
      </c>
      <c r="F13" s="639" t="s">
        <v>966</v>
      </c>
      <c r="G13" s="639" t="s">
        <v>967</v>
      </c>
      <c r="H13" s="705">
        <v>2</v>
      </c>
      <c r="I13" s="721">
        <f>6*2*2</f>
        <v>24</v>
      </c>
      <c r="J13" s="722" t="s">
        <v>968</v>
      </c>
      <c r="K13" s="722"/>
      <c r="L13" s="723">
        <f t="shared" ref="L13" si="0">IF(J13="ja",0,VLOOKUP(F13,Glassoort2,2,0))*I13</f>
        <v>0</v>
      </c>
      <c r="M13" s="723">
        <f t="shared" ref="M13" si="1">IF(J13="ja",VLOOKUP(F13,Glassoort2,3,0))*I13</f>
        <v>0</v>
      </c>
      <c r="N13" s="723">
        <f t="shared" ref="N13" si="2">(M13*H13)+(L13*H13)</f>
        <v>0</v>
      </c>
      <c r="P13" s="639" t="s">
        <v>969</v>
      </c>
      <c r="Q13" s="724"/>
      <c r="R13" s="724"/>
    </row>
    <row r="14" spans="1:18">
      <c r="A14" s="639" t="s">
        <v>64</v>
      </c>
      <c r="B14" s="718">
        <v>107</v>
      </c>
      <c r="C14" s="719" t="s">
        <v>156</v>
      </c>
      <c r="D14" s="718">
        <f>VLOOKUP(B14,'2-Kosten per locatie'!$A$13:$C$88,3,FALSE)</f>
        <v>2</v>
      </c>
      <c r="E14" s="720" t="s">
        <v>505</v>
      </c>
      <c r="F14" s="639" t="s">
        <v>966</v>
      </c>
      <c r="G14" s="639" t="s">
        <v>970</v>
      </c>
      <c r="H14" s="705">
        <v>2</v>
      </c>
      <c r="I14" s="721">
        <f>6*2*2</f>
        <v>24</v>
      </c>
      <c r="J14" s="722" t="s">
        <v>968</v>
      </c>
      <c r="K14" s="722"/>
      <c r="L14" s="723">
        <f t="shared" ref="L14:L77" si="3">IF(J14="ja",0,VLOOKUP(F14,Glassoort2,2,0))*I14</f>
        <v>0</v>
      </c>
      <c r="M14" s="723">
        <f t="shared" ref="M14:M77" si="4">IF(J14="ja",VLOOKUP(F14,Glassoort2,3,0))*I14</f>
        <v>0</v>
      </c>
      <c r="N14" s="723">
        <f t="shared" ref="N14:N77" si="5">(M14*H14)+(L14*H14)</f>
        <v>0</v>
      </c>
      <c r="P14" s="639" t="s">
        <v>971</v>
      </c>
      <c r="Q14" s="724"/>
      <c r="R14" s="724"/>
    </row>
    <row r="15" spans="1:18">
      <c r="A15" s="639" t="s">
        <v>64</v>
      </c>
      <c r="B15" s="718">
        <v>107</v>
      </c>
      <c r="C15" s="719" t="s">
        <v>156</v>
      </c>
      <c r="D15" s="718">
        <f>VLOOKUP(B15,'2-Kosten per locatie'!$A$13:$C$88,3,FALSE)</f>
        <v>2</v>
      </c>
      <c r="E15" s="720" t="s">
        <v>598</v>
      </c>
      <c r="F15" s="639" t="s">
        <v>972</v>
      </c>
      <c r="G15" s="639" t="s">
        <v>973</v>
      </c>
      <c r="H15" s="705">
        <v>2</v>
      </c>
      <c r="I15" s="721">
        <f>(2*(12*3.5+4*2))*2*50%</f>
        <v>100</v>
      </c>
      <c r="J15" s="722" t="s">
        <v>968</v>
      </c>
      <c r="K15" s="722" t="s">
        <v>974</v>
      </c>
      <c r="L15" s="723">
        <f t="shared" si="3"/>
        <v>0</v>
      </c>
      <c r="M15" s="723">
        <f t="shared" si="4"/>
        <v>0</v>
      </c>
      <c r="N15" s="723">
        <f t="shared" si="5"/>
        <v>0</v>
      </c>
      <c r="P15" s="639" t="s">
        <v>975</v>
      </c>
      <c r="Q15" s="724"/>
      <c r="R15" s="724"/>
    </row>
    <row r="16" spans="1:18">
      <c r="A16" s="639" t="s">
        <v>64</v>
      </c>
      <c r="B16" s="718">
        <v>107</v>
      </c>
      <c r="C16" s="719" t="s">
        <v>156</v>
      </c>
      <c r="D16" s="718">
        <f>VLOOKUP(B16,'2-Kosten per locatie'!$A$13:$C$88,3,FALSE)</f>
        <v>2</v>
      </c>
      <c r="E16" s="720" t="s">
        <v>598</v>
      </c>
      <c r="F16" s="639" t="s">
        <v>976</v>
      </c>
      <c r="G16" s="639" t="s">
        <v>973</v>
      </c>
      <c r="H16" s="705">
        <v>2</v>
      </c>
      <c r="I16" s="721">
        <f>(2*(12*3.5+4*2))*2*50%</f>
        <v>100</v>
      </c>
      <c r="J16" s="722" t="s">
        <v>968</v>
      </c>
      <c r="K16" s="722" t="s">
        <v>974</v>
      </c>
      <c r="L16" s="723">
        <f t="shared" si="3"/>
        <v>0</v>
      </c>
      <c r="M16" s="723">
        <f t="shared" si="4"/>
        <v>0</v>
      </c>
      <c r="N16" s="723">
        <f t="shared" si="5"/>
        <v>0</v>
      </c>
      <c r="P16" s="639" t="s">
        <v>977</v>
      </c>
      <c r="Q16" s="724"/>
      <c r="R16" s="724"/>
    </row>
    <row r="17" spans="1:18">
      <c r="A17" s="639" t="s">
        <v>64</v>
      </c>
      <c r="B17" s="718">
        <v>107</v>
      </c>
      <c r="C17" s="719" t="s">
        <v>156</v>
      </c>
      <c r="D17" s="718">
        <f>VLOOKUP(B17,'2-Kosten per locatie'!$A$13:$C$88,3,FALSE)</f>
        <v>2</v>
      </c>
      <c r="E17" s="720" t="s">
        <v>524</v>
      </c>
      <c r="F17" s="639" t="s">
        <v>972</v>
      </c>
      <c r="G17" s="639" t="s">
        <v>973</v>
      </c>
      <c r="H17" s="705">
        <v>2</v>
      </c>
      <c r="I17" s="721">
        <f>(2*(12*3.5+4*2))*2*50%</f>
        <v>100</v>
      </c>
      <c r="J17" s="722" t="s">
        <v>968</v>
      </c>
      <c r="K17" s="722" t="s">
        <v>974</v>
      </c>
      <c r="L17" s="723">
        <f t="shared" si="3"/>
        <v>0</v>
      </c>
      <c r="M17" s="723">
        <f t="shared" si="4"/>
        <v>0</v>
      </c>
      <c r="N17" s="723">
        <f t="shared" si="5"/>
        <v>0</v>
      </c>
      <c r="P17" s="639" t="s">
        <v>978</v>
      </c>
      <c r="Q17" s="724"/>
      <c r="R17" s="724"/>
    </row>
    <row r="18" spans="1:18">
      <c r="A18" s="639" t="s">
        <v>64</v>
      </c>
      <c r="B18" s="718">
        <v>107</v>
      </c>
      <c r="C18" s="719" t="s">
        <v>156</v>
      </c>
      <c r="D18" s="718">
        <f>VLOOKUP(B18,'2-Kosten per locatie'!$A$13:$C$88,3,FALSE)</f>
        <v>2</v>
      </c>
      <c r="E18" s="720" t="s">
        <v>524</v>
      </c>
      <c r="F18" s="639" t="s">
        <v>976</v>
      </c>
      <c r="G18" s="639" t="s">
        <v>973</v>
      </c>
      <c r="H18" s="705">
        <v>2</v>
      </c>
      <c r="I18" s="721">
        <f>(2*(12*3.5+4*2))*2*50%</f>
        <v>100</v>
      </c>
      <c r="J18" s="722" t="s">
        <v>968</v>
      </c>
      <c r="K18" s="722" t="s">
        <v>974</v>
      </c>
      <c r="L18" s="723">
        <f t="shared" si="3"/>
        <v>0</v>
      </c>
      <c r="M18" s="723">
        <f t="shared" si="4"/>
        <v>0</v>
      </c>
      <c r="N18" s="723">
        <f t="shared" si="5"/>
        <v>0</v>
      </c>
      <c r="P18" s="639" t="s">
        <v>979</v>
      </c>
      <c r="Q18" s="724"/>
      <c r="R18" s="724"/>
    </row>
    <row r="19" spans="1:18">
      <c r="A19" s="639" t="s">
        <v>64</v>
      </c>
      <c r="B19" s="718">
        <v>107</v>
      </c>
      <c r="C19" s="719" t="s">
        <v>156</v>
      </c>
      <c r="D19" s="718">
        <f>VLOOKUP(B19,'2-Kosten per locatie'!$A$13:$C$88,3,FALSE)</f>
        <v>2</v>
      </c>
      <c r="E19" s="720" t="s">
        <v>166</v>
      </c>
      <c r="F19" s="639" t="s">
        <v>980</v>
      </c>
      <c r="G19" s="639" t="s">
        <v>981</v>
      </c>
      <c r="H19" s="705">
        <v>2</v>
      </c>
      <c r="I19" s="721">
        <v>20.22</v>
      </c>
      <c r="J19" s="722" t="s">
        <v>982</v>
      </c>
      <c r="K19" s="722"/>
      <c r="L19" s="723">
        <f t="shared" si="3"/>
        <v>0</v>
      </c>
      <c r="M19" s="723">
        <f t="shared" si="4"/>
        <v>0</v>
      </c>
      <c r="N19" s="723">
        <f t="shared" si="5"/>
        <v>0</v>
      </c>
      <c r="P19" s="639" t="s">
        <v>972</v>
      </c>
      <c r="Q19" s="724"/>
      <c r="R19" s="724"/>
    </row>
    <row r="20" spans="1:18">
      <c r="A20" s="639" t="s">
        <v>64</v>
      </c>
      <c r="B20" s="718">
        <v>107</v>
      </c>
      <c r="C20" s="719" t="s">
        <v>156</v>
      </c>
      <c r="D20" s="718">
        <f>VLOOKUP(B20,'2-Kosten per locatie'!$A$13:$C$88,3,FALSE)</f>
        <v>2</v>
      </c>
      <c r="E20" s="720" t="s">
        <v>166</v>
      </c>
      <c r="F20" s="639" t="s">
        <v>983</v>
      </c>
      <c r="G20" s="639" t="s">
        <v>981</v>
      </c>
      <c r="H20" s="705">
        <v>2</v>
      </c>
      <c r="I20" s="721">
        <v>20.22</v>
      </c>
      <c r="J20" s="722" t="s">
        <v>968</v>
      </c>
      <c r="K20" s="722"/>
      <c r="L20" s="723">
        <f t="shared" si="3"/>
        <v>0</v>
      </c>
      <c r="M20" s="723">
        <f t="shared" si="4"/>
        <v>0</v>
      </c>
      <c r="N20" s="723">
        <f t="shared" si="5"/>
        <v>0</v>
      </c>
      <c r="P20" s="639" t="s">
        <v>976</v>
      </c>
      <c r="Q20" s="724"/>
      <c r="R20" s="724"/>
    </row>
    <row r="21" spans="1:18">
      <c r="A21" s="639" t="s">
        <v>64</v>
      </c>
      <c r="B21" s="718">
        <v>107</v>
      </c>
      <c r="C21" s="719" t="s">
        <v>156</v>
      </c>
      <c r="D21" s="718">
        <f>VLOOKUP(B21,'2-Kosten per locatie'!$A$13:$C$88,3,FALSE)</f>
        <v>2</v>
      </c>
      <c r="E21" s="720" t="s">
        <v>166</v>
      </c>
      <c r="F21" s="639" t="s">
        <v>984</v>
      </c>
      <c r="G21" s="639" t="s">
        <v>985</v>
      </c>
      <c r="H21" s="705">
        <v>2</v>
      </c>
      <c r="I21" s="721">
        <v>1.92</v>
      </c>
      <c r="J21" s="722" t="s">
        <v>982</v>
      </c>
      <c r="K21" s="722"/>
      <c r="L21" s="723">
        <f t="shared" si="3"/>
        <v>0</v>
      </c>
      <c r="M21" s="723">
        <f t="shared" si="4"/>
        <v>0</v>
      </c>
      <c r="N21" s="723">
        <f t="shared" si="5"/>
        <v>0</v>
      </c>
      <c r="P21" s="639" t="s">
        <v>984</v>
      </c>
      <c r="Q21" s="724"/>
      <c r="R21" s="724"/>
    </row>
    <row r="22" spans="1:18">
      <c r="A22" s="639" t="s">
        <v>64</v>
      </c>
      <c r="B22" s="718">
        <v>107</v>
      </c>
      <c r="C22" s="719" t="s">
        <v>156</v>
      </c>
      <c r="D22" s="718">
        <f>VLOOKUP(B22,'2-Kosten per locatie'!$A$13:$C$88,3,FALSE)</f>
        <v>2</v>
      </c>
      <c r="E22" s="720" t="s">
        <v>166</v>
      </c>
      <c r="F22" s="639" t="s">
        <v>984</v>
      </c>
      <c r="G22" s="639" t="s">
        <v>985</v>
      </c>
      <c r="H22" s="705">
        <v>2</v>
      </c>
      <c r="I22" s="721">
        <v>1.92</v>
      </c>
      <c r="J22" s="722" t="s">
        <v>982</v>
      </c>
      <c r="K22" s="722"/>
      <c r="L22" s="723">
        <f t="shared" si="3"/>
        <v>0</v>
      </c>
      <c r="M22" s="723">
        <f t="shared" si="4"/>
        <v>0</v>
      </c>
      <c r="N22" s="723">
        <f t="shared" si="5"/>
        <v>0</v>
      </c>
      <c r="P22" s="639" t="s">
        <v>986</v>
      </c>
      <c r="Q22" s="724"/>
      <c r="R22" s="724"/>
    </row>
    <row r="23" spans="1:18">
      <c r="A23" s="639" t="s">
        <v>64</v>
      </c>
      <c r="B23" s="718">
        <v>107</v>
      </c>
      <c r="C23" s="719" t="s">
        <v>156</v>
      </c>
      <c r="D23" s="718">
        <f>VLOOKUP(B23,'2-Kosten per locatie'!$A$13:$C$88,3,FALSE)</f>
        <v>2</v>
      </c>
      <c r="E23" s="720" t="s">
        <v>607</v>
      </c>
      <c r="F23" s="639" t="s">
        <v>980</v>
      </c>
      <c r="G23" s="639" t="s">
        <v>981</v>
      </c>
      <c r="H23" s="705">
        <v>2</v>
      </c>
      <c r="I23" s="721">
        <v>20.22</v>
      </c>
      <c r="J23" s="722" t="s">
        <v>982</v>
      </c>
      <c r="K23" s="722"/>
      <c r="L23" s="723">
        <f t="shared" si="3"/>
        <v>0</v>
      </c>
      <c r="M23" s="723">
        <f t="shared" si="4"/>
        <v>0</v>
      </c>
      <c r="N23" s="723">
        <f t="shared" si="5"/>
        <v>0</v>
      </c>
      <c r="P23" s="639" t="s">
        <v>980</v>
      </c>
      <c r="Q23" s="724"/>
      <c r="R23" s="724"/>
    </row>
    <row r="24" spans="1:18">
      <c r="A24" s="639" t="s">
        <v>64</v>
      </c>
      <c r="B24" s="718">
        <v>107</v>
      </c>
      <c r="C24" s="719" t="s">
        <v>156</v>
      </c>
      <c r="D24" s="718">
        <f>VLOOKUP(B24,'2-Kosten per locatie'!$A$13:$C$88,3,FALSE)</f>
        <v>2</v>
      </c>
      <c r="E24" s="720" t="s">
        <v>607</v>
      </c>
      <c r="F24" s="639" t="s">
        <v>983</v>
      </c>
      <c r="G24" s="639" t="s">
        <v>981</v>
      </c>
      <c r="H24" s="705">
        <v>2</v>
      </c>
      <c r="I24" s="721">
        <v>20.22</v>
      </c>
      <c r="J24" s="722" t="s">
        <v>968</v>
      </c>
      <c r="K24" s="722"/>
      <c r="L24" s="723">
        <f t="shared" si="3"/>
        <v>0</v>
      </c>
      <c r="M24" s="723">
        <f t="shared" si="4"/>
        <v>0</v>
      </c>
      <c r="N24" s="723">
        <f t="shared" si="5"/>
        <v>0</v>
      </c>
      <c r="P24" s="639" t="s">
        <v>983</v>
      </c>
      <c r="Q24" s="724"/>
      <c r="R24" s="724"/>
    </row>
    <row r="25" spans="1:18">
      <c r="A25" s="639" t="s">
        <v>64</v>
      </c>
      <c r="B25" s="718">
        <v>107</v>
      </c>
      <c r="C25" s="719" t="s">
        <v>156</v>
      </c>
      <c r="D25" s="718">
        <f>VLOOKUP(B25,'2-Kosten per locatie'!$A$13:$C$88,3,FALSE)</f>
        <v>2</v>
      </c>
      <c r="E25" s="720" t="s">
        <v>607</v>
      </c>
      <c r="F25" s="639" t="s">
        <v>984</v>
      </c>
      <c r="G25" s="639" t="s">
        <v>985</v>
      </c>
      <c r="H25" s="705">
        <v>2</v>
      </c>
      <c r="I25" s="721">
        <v>1.92</v>
      </c>
      <c r="J25" s="722" t="s">
        <v>982</v>
      </c>
      <c r="K25" s="722"/>
      <c r="L25" s="723">
        <f t="shared" si="3"/>
        <v>0</v>
      </c>
      <c r="M25" s="723">
        <f t="shared" si="4"/>
        <v>0</v>
      </c>
      <c r="N25" s="723">
        <f t="shared" si="5"/>
        <v>0</v>
      </c>
      <c r="P25" s="639" t="s">
        <v>966</v>
      </c>
      <c r="Q25" s="724"/>
      <c r="R25" s="724"/>
    </row>
    <row r="26" spans="1:18">
      <c r="A26" s="639" t="s">
        <v>64</v>
      </c>
      <c r="B26" s="718">
        <v>107</v>
      </c>
      <c r="C26" s="719" t="s">
        <v>156</v>
      </c>
      <c r="D26" s="718">
        <f>VLOOKUP(B26,'2-Kosten per locatie'!$A$13:$C$88,3,FALSE)</f>
        <v>2</v>
      </c>
      <c r="E26" s="720" t="s">
        <v>607</v>
      </c>
      <c r="F26" s="639" t="s">
        <v>986</v>
      </c>
      <c r="G26" s="639" t="s">
        <v>985</v>
      </c>
      <c r="H26" s="705">
        <v>2</v>
      </c>
      <c r="I26" s="721">
        <v>1.92</v>
      </c>
      <c r="J26" s="722" t="s">
        <v>982</v>
      </c>
      <c r="K26" s="722"/>
      <c r="L26" s="723">
        <f t="shared" si="3"/>
        <v>0</v>
      </c>
      <c r="M26" s="723">
        <f t="shared" si="4"/>
        <v>0</v>
      </c>
      <c r="N26" s="723">
        <f t="shared" si="5"/>
        <v>0</v>
      </c>
    </row>
    <row r="27" spans="1:18">
      <c r="A27" s="639" t="s">
        <v>64</v>
      </c>
      <c r="B27" s="718">
        <v>107</v>
      </c>
      <c r="C27" s="719" t="s">
        <v>156</v>
      </c>
      <c r="D27" s="718">
        <f>VLOOKUP(B27,'2-Kosten per locatie'!$A$13:$C$88,3,FALSE)</f>
        <v>2</v>
      </c>
      <c r="E27" s="725"/>
      <c r="F27" s="639" t="s">
        <v>971</v>
      </c>
      <c r="G27" s="639" t="s">
        <v>987</v>
      </c>
      <c r="H27" s="705">
        <v>2</v>
      </c>
      <c r="I27" s="721">
        <v>8.75</v>
      </c>
      <c r="J27" s="722" t="s">
        <v>968</v>
      </c>
      <c r="K27" s="722"/>
      <c r="L27" s="723">
        <f t="shared" si="3"/>
        <v>0</v>
      </c>
      <c r="M27" s="723">
        <f t="shared" si="4"/>
        <v>0</v>
      </c>
      <c r="N27" s="723">
        <f t="shared" si="5"/>
        <v>0</v>
      </c>
    </row>
    <row r="28" spans="1:18">
      <c r="A28" s="639" t="s">
        <v>64</v>
      </c>
      <c r="B28" s="718">
        <v>107</v>
      </c>
      <c r="C28" s="719" t="s">
        <v>156</v>
      </c>
      <c r="D28" s="718">
        <f>VLOOKUP(B28,'2-Kosten per locatie'!$A$13:$C$88,3,FALSE)</f>
        <v>2</v>
      </c>
      <c r="E28" s="725"/>
      <c r="F28" s="639" t="s">
        <v>977</v>
      </c>
      <c r="G28" s="639" t="s">
        <v>988</v>
      </c>
      <c r="H28" s="705">
        <v>2</v>
      </c>
      <c r="I28" s="721">
        <v>8.75</v>
      </c>
      <c r="J28" s="722" t="s">
        <v>968</v>
      </c>
      <c r="K28" s="722"/>
      <c r="L28" s="723">
        <f t="shared" si="3"/>
        <v>0</v>
      </c>
      <c r="M28" s="723">
        <f t="shared" si="4"/>
        <v>0</v>
      </c>
      <c r="N28" s="723">
        <f t="shared" si="5"/>
        <v>0</v>
      </c>
    </row>
    <row r="29" spans="1:18">
      <c r="A29" s="639" t="s">
        <v>64</v>
      </c>
      <c r="B29" s="718">
        <v>107</v>
      </c>
      <c r="C29" s="719" t="s">
        <v>156</v>
      </c>
      <c r="D29" s="718">
        <f>VLOOKUP(B29,'2-Kosten per locatie'!$A$13:$C$88,3,FALSE)</f>
        <v>2</v>
      </c>
      <c r="E29" s="725"/>
      <c r="F29" s="639" t="s">
        <v>971</v>
      </c>
      <c r="G29" s="639" t="s">
        <v>989</v>
      </c>
      <c r="H29" s="705">
        <v>2</v>
      </c>
      <c r="I29" s="721">
        <v>8.75</v>
      </c>
      <c r="J29" s="722" t="s">
        <v>968</v>
      </c>
      <c r="K29" s="722"/>
      <c r="L29" s="723">
        <f t="shared" si="3"/>
        <v>0</v>
      </c>
      <c r="M29" s="723">
        <f t="shared" si="4"/>
        <v>0</v>
      </c>
      <c r="N29" s="723">
        <f t="shared" si="5"/>
        <v>0</v>
      </c>
    </row>
    <row r="30" spans="1:18">
      <c r="A30" s="639" t="s">
        <v>64</v>
      </c>
      <c r="B30" s="718">
        <v>107</v>
      </c>
      <c r="C30" s="719" t="s">
        <v>156</v>
      </c>
      <c r="D30" s="718">
        <f>VLOOKUP(B30,'2-Kosten per locatie'!$A$13:$C$88,3,FALSE)</f>
        <v>2</v>
      </c>
      <c r="E30" s="725"/>
      <c r="F30" s="639" t="s">
        <v>977</v>
      </c>
      <c r="G30" s="639" t="s">
        <v>990</v>
      </c>
      <c r="H30" s="705">
        <v>2</v>
      </c>
      <c r="I30" s="721">
        <v>8.75</v>
      </c>
      <c r="J30" s="722" t="s">
        <v>968</v>
      </c>
      <c r="K30" s="722"/>
      <c r="L30" s="723">
        <f t="shared" si="3"/>
        <v>0</v>
      </c>
      <c r="M30" s="723">
        <f t="shared" si="4"/>
        <v>0</v>
      </c>
      <c r="N30" s="723">
        <f t="shared" si="5"/>
        <v>0</v>
      </c>
    </row>
    <row r="31" spans="1:18">
      <c r="A31" s="639" t="s">
        <v>64</v>
      </c>
      <c r="B31" s="718">
        <v>107</v>
      </c>
      <c r="C31" s="719" t="s">
        <v>156</v>
      </c>
      <c r="D31" s="718">
        <f>VLOOKUP(B31,'2-Kosten per locatie'!$A$13:$C$88,3,FALSE)</f>
        <v>2</v>
      </c>
      <c r="E31" s="725"/>
      <c r="F31" s="639" t="s">
        <v>966</v>
      </c>
      <c r="G31" s="639" t="s">
        <v>991</v>
      </c>
      <c r="H31" s="705">
        <v>26</v>
      </c>
      <c r="I31" s="721">
        <v>22</v>
      </c>
      <c r="J31" s="722" t="s">
        <v>982</v>
      </c>
      <c r="K31" s="722" t="s">
        <v>992</v>
      </c>
      <c r="L31" s="723">
        <f t="shared" si="3"/>
        <v>0</v>
      </c>
      <c r="M31" s="723">
        <f t="shared" si="4"/>
        <v>0</v>
      </c>
      <c r="N31" s="723">
        <f t="shared" si="5"/>
        <v>0</v>
      </c>
    </row>
    <row r="32" spans="1:18">
      <c r="A32" s="639" t="s">
        <v>993</v>
      </c>
      <c r="B32" s="718">
        <v>108</v>
      </c>
      <c r="C32" s="719" t="s">
        <v>156</v>
      </c>
      <c r="D32" s="718">
        <f>VLOOKUP(B32,'2-Kosten per locatie'!$A$13:$C$88,3,FALSE)</f>
        <v>2</v>
      </c>
      <c r="E32" s="725"/>
      <c r="F32" s="413" t="s">
        <v>980</v>
      </c>
      <c r="G32" s="639" t="s">
        <v>994</v>
      </c>
      <c r="H32" s="705">
        <v>2</v>
      </c>
      <c r="I32" s="721">
        <v>4.6100000000000003</v>
      </c>
      <c r="J32" s="722" t="s">
        <v>982</v>
      </c>
      <c r="K32" s="722"/>
      <c r="L32" s="723">
        <f t="shared" si="3"/>
        <v>0</v>
      </c>
      <c r="M32" s="723">
        <f t="shared" si="4"/>
        <v>0</v>
      </c>
      <c r="N32" s="723">
        <f t="shared" si="5"/>
        <v>0</v>
      </c>
    </row>
    <row r="33" spans="1:14">
      <c r="A33" s="639" t="s">
        <v>993</v>
      </c>
      <c r="B33" s="718">
        <v>108</v>
      </c>
      <c r="C33" s="719" t="s">
        <v>156</v>
      </c>
      <c r="D33" s="718">
        <f>VLOOKUP(B33,'2-Kosten per locatie'!$A$13:$C$88,3,FALSE)</f>
        <v>2</v>
      </c>
      <c r="E33" s="725"/>
      <c r="F33" s="413" t="s">
        <v>983</v>
      </c>
      <c r="G33" s="639" t="s">
        <v>995</v>
      </c>
      <c r="H33" s="705">
        <v>2</v>
      </c>
      <c r="I33" s="721">
        <v>4.6100000000000003</v>
      </c>
      <c r="J33" s="722" t="s">
        <v>968</v>
      </c>
      <c r="K33" s="722"/>
      <c r="L33" s="723">
        <f t="shared" si="3"/>
        <v>0</v>
      </c>
      <c r="M33" s="723">
        <f t="shared" si="4"/>
        <v>0</v>
      </c>
      <c r="N33" s="723">
        <f t="shared" si="5"/>
        <v>0</v>
      </c>
    </row>
    <row r="34" spans="1:14">
      <c r="A34" s="639" t="s">
        <v>993</v>
      </c>
      <c r="B34" s="718">
        <v>108</v>
      </c>
      <c r="C34" s="719" t="s">
        <v>156</v>
      </c>
      <c r="D34" s="718">
        <f>VLOOKUP(B34,'2-Kosten per locatie'!$A$13:$C$88,3,FALSE)</f>
        <v>2</v>
      </c>
      <c r="E34" s="725"/>
      <c r="F34" s="639" t="s">
        <v>984</v>
      </c>
      <c r="G34" s="639" t="s">
        <v>996</v>
      </c>
      <c r="H34" s="705">
        <v>2</v>
      </c>
      <c r="I34" s="721">
        <v>1.92</v>
      </c>
      <c r="J34" s="722" t="s">
        <v>982</v>
      </c>
      <c r="K34" s="722"/>
      <c r="L34" s="723">
        <f t="shared" si="3"/>
        <v>0</v>
      </c>
      <c r="M34" s="723">
        <f t="shared" si="4"/>
        <v>0</v>
      </c>
      <c r="N34" s="723">
        <f t="shared" si="5"/>
        <v>0</v>
      </c>
    </row>
    <row r="35" spans="1:14">
      <c r="A35" s="639" t="s">
        <v>993</v>
      </c>
      <c r="B35" s="718">
        <v>108</v>
      </c>
      <c r="C35" s="719" t="s">
        <v>156</v>
      </c>
      <c r="D35" s="718">
        <f>VLOOKUP(B35,'2-Kosten per locatie'!$A$13:$C$88,3,FALSE)</f>
        <v>2</v>
      </c>
      <c r="E35" s="725"/>
      <c r="F35" s="639" t="s">
        <v>984</v>
      </c>
      <c r="G35" s="639" t="s">
        <v>996</v>
      </c>
      <c r="H35" s="705">
        <v>2</v>
      </c>
      <c r="I35" s="721">
        <v>1.92</v>
      </c>
      <c r="J35" s="722" t="s">
        <v>982</v>
      </c>
      <c r="K35" s="722"/>
      <c r="L35" s="723">
        <f t="shared" si="3"/>
        <v>0</v>
      </c>
      <c r="M35" s="723">
        <f t="shared" si="4"/>
        <v>0</v>
      </c>
      <c r="N35" s="723">
        <f t="shared" si="5"/>
        <v>0</v>
      </c>
    </row>
    <row r="36" spans="1:14">
      <c r="A36" s="639" t="s">
        <v>993</v>
      </c>
      <c r="B36" s="718">
        <v>108</v>
      </c>
      <c r="C36" s="719" t="s">
        <v>156</v>
      </c>
      <c r="D36" s="718">
        <f>VLOOKUP(B36,'2-Kosten per locatie'!$A$13:$C$88,3,FALSE)</f>
        <v>2</v>
      </c>
      <c r="E36" s="725"/>
      <c r="F36" s="639" t="s">
        <v>980</v>
      </c>
      <c r="G36" s="639" t="s">
        <v>997</v>
      </c>
      <c r="H36" s="705">
        <v>2</v>
      </c>
      <c r="I36" s="721">
        <v>17.760000000000002</v>
      </c>
      <c r="J36" s="722" t="s">
        <v>982</v>
      </c>
      <c r="K36" s="722"/>
      <c r="L36" s="723">
        <f t="shared" si="3"/>
        <v>0</v>
      </c>
      <c r="M36" s="723">
        <f t="shared" si="4"/>
        <v>0</v>
      </c>
      <c r="N36" s="723">
        <f t="shared" si="5"/>
        <v>0</v>
      </c>
    </row>
    <row r="37" spans="1:14">
      <c r="A37" s="639" t="s">
        <v>993</v>
      </c>
      <c r="B37" s="718">
        <v>108</v>
      </c>
      <c r="C37" s="719" t="s">
        <v>156</v>
      </c>
      <c r="D37" s="718">
        <f>VLOOKUP(B37,'2-Kosten per locatie'!$A$13:$C$88,3,FALSE)</f>
        <v>2</v>
      </c>
      <c r="E37" s="725"/>
      <c r="F37" s="639" t="s">
        <v>983</v>
      </c>
      <c r="G37" s="639" t="s">
        <v>998</v>
      </c>
      <c r="H37" s="705">
        <v>2</v>
      </c>
      <c r="I37" s="721">
        <v>17.760000000000002</v>
      </c>
      <c r="J37" s="722" t="s">
        <v>968</v>
      </c>
      <c r="K37" s="722"/>
      <c r="L37" s="723">
        <f t="shared" si="3"/>
        <v>0</v>
      </c>
      <c r="M37" s="723">
        <f t="shared" si="4"/>
        <v>0</v>
      </c>
      <c r="N37" s="723">
        <f t="shared" si="5"/>
        <v>0</v>
      </c>
    </row>
    <row r="38" spans="1:14">
      <c r="A38" s="639" t="s">
        <v>993</v>
      </c>
      <c r="B38" s="718">
        <v>108</v>
      </c>
      <c r="C38" s="719" t="s">
        <v>156</v>
      </c>
      <c r="D38" s="718">
        <f>VLOOKUP(B38,'2-Kosten per locatie'!$A$13:$C$88,3,FALSE)</f>
        <v>2</v>
      </c>
      <c r="E38" s="725"/>
      <c r="F38" s="639" t="s">
        <v>984</v>
      </c>
      <c r="G38" s="639" t="s">
        <v>999</v>
      </c>
      <c r="H38" s="705">
        <v>2</v>
      </c>
      <c r="I38" s="721">
        <v>1.92</v>
      </c>
      <c r="J38" s="722" t="s">
        <v>982</v>
      </c>
      <c r="K38" s="722"/>
      <c r="L38" s="723">
        <f t="shared" si="3"/>
        <v>0</v>
      </c>
      <c r="M38" s="723">
        <f t="shared" si="4"/>
        <v>0</v>
      </c>
      <c r="N38" s="723">
        <f t="shared" si="5"/>
        <v>0</v>
      </c>
    </row>
    <row r="39" spans="1:14">
      <c r="A39" s="639" t="s">
        <v>993</v>
      </c>
      <c r="B39" s="718">
        <v>108</v>
      </c>
      <c r="C39" s="719" t="s">
        <v>156</v>
      </c>
      <c r="D39" s="718">
        <f>VLOOKUP(B39,'2-Kosten per locatie'!$A$13:$C$88,3,FALSE)</f>
        <v>2</v>
      </c>
      <c r="E39" s="725"/>
      <c r="F39" s="639" t="s">
        <v>984</v>
      </c>
      <c r="G39" s="639" t="s">
        <v>999</v>
      </c>
      <c r="H39" s="705">
        <v>2</v>
      </c>
      <c r="I39" s="721">
        <v>1.92</v>
      </c>
      <c r="J39" s="722" t="s">
        <v>982</v>
      </c>
      <c r="K39" s="722"/>
      <c r="L39" s="723">
        <f t="shared" si="3"/>
        <v>0</v>
      </c>
      <c r="M39" s="723">
        <f t="shared" si="4"/>
        <v>0</v>
      </c>
      <c r="N39" s="723">
        <f t="shared" si="5"/>
        <v>0</v>
      </c>
    </row>
    <row r="40" spans="1:14">
      <c r="A40" s="639" t="s">
        <v>993</v>
      </c>
      <c r="B40" s="718">
        <v>108</v>
      </c>
      <c r="C40" s="719" t="s">
        <v>156</v>
      </c>
      <c r="D40" s="718">
        <f>VLOOKUP(B40,'2-Kosten per locatie'!$A$13:$C$88,3,FALSE)</f>
        <v>2</v>
      </c>
      <c r="E40" s="725"/>
      <c r="F40" s="639" t="s">
        <v>980</v>
      </c>
      <c r="G40" s="639" t="s">
        <v>1000</v>
      </c>
      <c r="H40" s="705">
        <v>2</v>
      </c>
      <c r="I40" s="721">
        <v>17.760000000000002</v>
      </c>
      <c r="J40" s="722" t="s">
        <v>982</v>
      </c>
      <c r="K40" s="722"/>
      <c r="L40" s="723">
        <f t="shared" si="3"/>
        <v>0</v>
      </c>
      <c r="M40" s="723">
        <f t="shared" si="4"/>
        <v>0</v>
      </c>
      <c r="N40" s="723">
        <f t="shared" si="5"/>
        <v>0</v>
      </c>
    </row>
    <row r="41" spans="1:14">
      <c r="A41" s="639" t="s">
        <v>993</v>
      </c>
      <c r="B41" s="718">
        <v>108</v>
      </c>
      <c r="C41" s="719" t="s">
        <v>156</v>
      </c>
      <c r="D41" s="718">
        <f>VLOOKUP(B41,'2-Kosten per locatie'!$A$13:$C$88,3,FALSE)</f>
        <v>2</v>
      </c>
      <c r="E41" s="725"/>
      <c r="F41" s="639" t="s">
        <v>983</v>
      </c>
      <c r="G41" s="639" t="s">
        <v>1001</v>
      </c>
      <c r="H41" s="705">
        <v>2</v>
      </c>
      <c r="I41" s="721">
        <v>17.760000000000002</v>
      </c>
      <c r="J41" s="722" t="s">
        <v>968</v>
      </c>
      <c r="K41" s="722"/>
      <c r="L41" s="723">
        <f t="shared" si="3"/>
        <v>0</v>
      </c>
      <c r="M41" s="723">
        <f t="shared" si="4"/>
        <v>0</v>
      </c>
      <c r="N41" s="723">
        <f t="shared" si="5"/>
        <v>0</v>
      </c>
    </row>
    <row r="42" spans="1:14">
      <c r="A42" s="639" t="s">
        <v>993</v>
      </c>
      <c r="B42" s="718">
        <v>108</v>
      </c>
      <c r="C42" s="719" t="s">
        <v>156</v>
      </c>
      <c r="D42" s="718">
        <f>VLOOKUP(B42,'2-Kosten per locatie'!$A$13:$C$88,3,FALSE)</f>
        <v>2</v>
      </c>
      <c r="E42" s="725"/>
      <c r="F42" s="639" t="s">
        <v>984</v>
      </c>
      <c r="G42" s="639" t="s">
        <v>1002</v>
      </c>
      <c r="H42" s="705">
        <v>2</v>
      </c>
      <c r="I42" s="721">
        <v>1.92</v>
      </c>
      <c r="J42" s="722" t="s">
        <v>982</v>
      </c>
      <c r="K42" s="722"/>
      <c r="L42" s="723">
        <f t="shared" si="3"/>
        <v>0</v>
      </c>
      <c r="M42" s="723">
        <f t="shared" si="4"/>
        <v>0</v>
      </c>
      <c r="N42" s="723">
        <f t="shared" si="5"/>
        <v>0</v>
      </c>
    </row>
    <row r="43" spans="1:14">
      <c r="A43" s="639" t="s">
        <v>993</v>
      </c>
      <c r="B43" s="718">
        <v>108</v>
      </c>
      <c r="C43" s="719" t="s">
        <v>156</v>
      </c>
      <c r="D43" s="718">
        <f>VLOOKUP(B43,'2-Kosten per locatie'!$A$13:$C$88,3,FALSE)</f>
        <v>2</v>
      </c>
      <c r="E43" s="725"/>
      <c r="F43" s="639" t="s">
        <v>984</v>
      </c>
      <c r="G43" s="639" t="s">
        <v>1002</v>
      </c>
      <c r="H43" s="705">
        <v>2</v>
      </c>
      <c r="I43" s="721">
        <v>1.92</v>
      </c>
      <c r="J43" s="722" t="s">
        <v>982</v>
      </c>
      <c r="K43" s="722"/>
      <c r="L43" s="723">
        <f t="shared" si="3"/>
        <v>0</v>
      </c>
      <c r="M43" s="723">
        <f t="shared" si="4"/>
        <v>0</v>
      </c>
      <c r="N43" s="723">
        <f t="shared" si="5"/>
        <v>0</v>
      </c>
    </row>
    <row r="44" spans="1:14">
      <c r="A44" s="639" t="s">
        <v>993</v>
      </c>
      <c r="B44" s="718">
        <v>108</v>
      </c>
      <c r="C44" s="719" t="s">
        <v>156</v>
      </c>
      <c r="D44" s="718">
        <f>VLOOKUP(B44,'2-Kosten per locatie'!$A$13:$C$88,3,FALSE)</f>
        <v>2</v>
      </c>
      <c r="E44" s="725"/>
      <c r="F44" s="639" t="s">
        <v>971</v>
      </c>
      <c r="G44" s="639" t="s">
        <v>1003</v>
      </c>
      <c r="H44" s="705">
        <v>2</v>
      </c>
      <c r="I44" s="721">
        <v>38.07</v>
      </c>
      <c r="J44" s="722" t="s">
        <v>968</v>
      </c>
      <c r="K44" s="722"/>
      <c r="L44" s="723">
        <f t="shared" si="3"/>
        <v>0</v>
      </c>
      <c r="M44" s="723">
        <f t="shared" si="4"/>
        <v>0</v>
      </c>
      <c r="N44" s="723">
        <f t="shared" si="5"/>
        <v>0</v>
      </c>
    </row>
    <row r="45" spans="1:14">
      <c r="A45" s="639" t="s">
        <v>993</v>
      </c>
      <c r="B45" s="718">
        <v>108</v>
      </c>
      <c r="C45" s="719" t="s">
        <v>156</v>
      </c>
      <c r="D45" s="718">
        <f>VLOOKUP(B45,'2-Kosten per locatie'!$A$13:$C$88,3,FALSE)</f>
        <v>2</v>
      </c>
      <c r="E45" s="725"/>
      <c r="F45" s="639" t="s">
        <v>977</v>
      </c>
      <c r="G45" s="639" t="s">
        <v>1004</v>
      </c>
      <c r="H45" s="705">
        <v>2</v>
      </c>
      <c r="I45" s="721">
        <v>38.07</v>
      </c>
      <c r="J45" s="722" t="s">
        <v>968</v>
      </c>
      <c r="K45" s="722"/>
      <c r="L45" s="723">
        <f t="shared" si="3"/>
        <v>0</v>
      </c>
      <c r="M45" s="723">
        <f t="shared" si="4"/>
        <v>0</v>
      </c>
      <c r="N45" s="723">
        <f t="shared" si="5"/>
        <v>0</v>
      </c>
    </row>
    <row r="46" spans="1:14">
      <c r="A46" s="639" t="s">
        <v>993</v>
      </c>
      <c r="B46" s="718">
        <v>108</v>
      </c>
      <c r="C46" s="719" t="s">
        <v>156</v>
      </c>
      <c r="D46" s="718">
        <f>VLOOKUP(B46,'2-Kosten per locatie'!$A$13:$C$88,3,FALSE)</f>
        <v>2</v>
      </c>
      <c r="E46" s="725"/>
      <c r="F46" s="639" t="s">
        <v>971</v>
      </c>
      <c r="G46" s="639" t="s">
        <v>1005</v>
      </c>
      <c r="H46" s="705">
        <v>2</v>
      </c>
      <c r="I46" s="721">
        <v>29.26</v>
      </c>
      <c r="J46" s="722" t="s">
        <v>968</v>
      </c>
      <c r="K46" s="722"/>
      <c r="L46" s="723">
        <f t="shared" si="3"/>
        <v>0</v>
      </c>
      <c r="M46" s="723">
        <f t="shared" si="4"/>
        <v>0</v>
      </c>
      <c r="N46" s="723">
        <f t="shared" si="5"/>
        <v>0</v>
      </c>
    </row>
    <row r="47" spans="1:14">
      <c r="A47" s="639" t="s">
        <v>993</v>
      </c>
      <c r="B47" s="718">
        <v>108</v>
      </c>
      <c r="C47" s="719" t="s">
        <v>156</v>
      </c>
      <c r="D47" s="718">
        <f>VLOOKUP(B47,'2-Kosten per locatie'!$A$13:$C$88,3,FALSE)</f>
        <v>2</v>
      </c>
      <c r="E47" s="725"/>
      <c r="F47" s="639" t="s">
        <v>977</v>
      </c>
      <c r="G47" s="639" t="s">
        <v>1006</v>
      </c>
      <c r="H47" s="705">
        <v>2</v>
      </c>
      <c r="I47" s="721">
        <v>29.26</v>
      </c>
      <c r="J47" s="722" t="s">
        <v>968</v>
      </c>
      <c r="K47" s="722"/>
      <c r="L47" s="723">
        <f t="shared" si="3"/>
        <v>0</v>
      </c>
      <c r="M47" s="723">
        <f t="shared" si="4"/>
        <v>0</v>
      </c>
      <c r="N47" s="723">
        <f t="shared" si="5"/>
        <v>0</v>
      </c>
    </row>
    <row r="48" spans="1:14">
      <c r="A48" s="639" t="s">
        <v>993</v>
      </c>
      <c r="B48" s="718">
        <v>108</v>
      </c>
      <c r="C48" s="719" t="s">
        <v>156</v>
      </c>
      <c r="D48" s="718">
        <f>VLOOKUP(B48,'2-Kosten per locatie'!$A$13:$C$88,3,FALSE)</f>
        <v>2</v>
      </c>
      <c r="E48" s="725"/>
      <c r="F48" s="639" t="s">
        <v>971</v>
      </c>
      <c r="G48" s="639" t="s">
        <v>1007</v>
      </c>
      <c r="H48" s="705">
        <v>2</v>
      </c>
      <c r="I48" s="721">
        <v>23.63</v>
      </c>
      <c r="J48" s="722" t="s">
        <v>982</v>
      </c>
      <c r="K48" s="722"/>
      <c r="L48" s="723">
        <f t="shared" si="3"/>
        <v>0</v>
      </c>
      <c r="M48" s="723">
        <f t="shared" si="4"/>
        <v>0</v>
      </c>
      <c r="N48" s="723">
        <f t="shared" si="5"/>
        <v>0</v>
      </c>
    </row>
    <row r="49" spans="1:14">
      <c r="A49" s="639" t="s">
        <v>993</v>
      </c>
      <c r="B49" s="718">
        <v>108</v>
      </c>
      <c r="C49" s="719" t="s">
        <v>156</v>
      </c>
      <c r="D49" s="718">
        <f>VLOOKUP(B49,'2-Kosten per locatie'!$A$13:$C$88,3,FALSE)</f>
        <v>2</v>
      </c>
      <c r="E49" s="725"/>
      <c r="F49" s="639" t="s">
        <v>977</v>
      </c>
      <c r="G49" s="639" t="s">
        <v>1008</v>
      </c>
      <c r="H49" s="705">
        <v>2</v>
      </c>
      <c r="I49" s="721">
        <v>23.63</v>
      </c>
      <c r="J49" s="722" t="s">
        <v>968</v>
      </c>
      <c r="K49" s="722"/>
      <c r="L49" s="723">
        <f t="shared" si="3"/>
        <v>0</v>
      </c>
      <c r="M49" s="723">
        <f t="shared" si="4"/>
        <v>0</v>
      </c>
      <c r="N49" s="723">
        <f t="shared" si="5"/>
        <v>0</v>
      </c>
    </row>
    <row r="50" spans="1:14">
      <c r="A50" s="639" t="s">
        <v>993</v>
      </c>
      <c r="B50" s="718">
        <v>108</v>
      </c>
      <c r="C50" s="719" t="s">
        <v>156</v>
      </c>
      <c r="D50" s="718">
        <f>VLOOKUP(B50,'2-Kosten per locatie'!$A$13:$C$88,3,FALSE)</f>
        <v>2</v>
      </c>
      <c r="E50" s="725"/>
      <c r="F50" s="639" t="s">
        <v>971</v>
      </c>
      <c r="G50" s="639" t="s">
        <v>1009</v>
      </c>
      <c r="H50" s="705">
        <v>2</v>
      </c>
      <c r="I50" s="721">
        <v>20.74</v>
      </c>
      <c r="J50" s="722" t="s">
        <v>982</v>
      </c>
      <c r="K50" s="722"/>
      <c r="L50" s="723">
        <f t="shared" si="3"/>
        <v>0</v>
      </c>
      <c r="M50" s="723">
        <f t="shared" si="4"/>
        <v>0</v>
      </c>
      <c r="N50" s="723">
        <f t="shared" si="5"/>
        <v>0</v>
      </c>
    </row>
    <row r="51" spans="1:14">
      <c r="A51" s="639" t="s">
        <v>993</v>
      </c>
      <c r="B51" s="718">
        <v>108</v>
      </c>
      <c r="C51" s="719" t="s">
        <v>156</v>
      </c>
      <c r="D51" s="718">
        <f>VLOOKUP(B51,'2-Kosten per locatie'!$A$13:$C$88,3,FALSE)</f>
        <v>2</v>
      </c>
      <c r="E51" s="725"/>
      <c r="F51" s="639" t="s">
        <v>971</v>
      </c>
      <c r="G51" s="639" t="s">
        <v>1009</v>
      </c>
      <c r="H51" s="705">
        <v>2</v>
      </c>
      <c r="I51" s="721">
        <v>20.74</v>
      </c>
      <c r="J51" s="722" t="s">
        <v>968</v>
      </c>
      <c r="K51" s="722"/>
      <c r="L51" s="723">
        <f t="shared" si="3"/>
        <v>0</v>
      </c>
      <c r="M51" s="723">
        <f t="shared" si="4"/>
        <v>0</v>
      </c>
      <c r="N51" s="723">
        <f t="shared" si="5"/>
        <v>0</v>
      </c>
    </row>
    <row r="52" spans="1:14">
      <c r="A52" s="639" t="s">
        <v>993</v>
      </c>
      <c r="B52" s="718">
        <v>108</v>
      </c>
      <c r="C52" s="719" t="s">
        <v>156</v>
      </c>
      <c r="D52" s="718">
        <f>VLOOKUP(B52,'2-Kosten per locatie'!$A$13:$C$88,3,FALSE)</f>
        <v>2</v>
      </c>
      <c r="E52" s="725"/>
      <c r="F52" s="639" t="s">
        <v>971</v>
      </c>
      <c r="G52" s="639" t="s">
        <v>1010</v>
      </c>
      <c r="H52" s="705">
        <v>2</v>
      </c>
      <c r="I52" s="721">
        <v>10.36</v>
      </c>
      <c r="J52" s="722" t="s">
        <v>982</v>
      </c>
      <c r="K52" s="722"/>
      <c r="L52" s="723">
        <f t="shared" si="3"/>
        <v>0</v>
      </c>
      <c r="M52" s="723">
        <f t="shared" si="4"/>
        <v>0</v>
      </c>
      <c r="N52" s="723">
        <f t="shared" si="5"/>
        <v>0</v>
      </c>
    </row>
    <row r="53" spans="1:14">
      <c r="A53" s="639" t="s">
        <v>993</v>
      </c>
      <c r="B53" s="718">
        <v>108</v>
      </c>
      <c r="C53" s="719" t="s">
        <v>156</v>
      </c>
      <c r="D53" s="718">
        <f>VLOOKUP(B53,'2-Kosten per locatie'!$A$13:$C$88,3,FALSE)</f>
        <v>2</v>
      </c>
      <c r="E53" s="725"/>
      <c r="F53" s="639" t="s">
        <v>977</v>
      </c>
      <c r="G53" s="639" t="s">
        <v>1011</v>
      </c>
      <c r="H53" s="705">
        <v>2</v>
      </c>
      <c r="I53" s="721">
        <v>10.36</v>
      </c>
      <c r="J53" s="722" t="s">
        <v>982</v>
      </c>
      <c r="K53" s="722"/>
      <c r="L53" s="723">
        <f t="shared" si="3"/>
        <v>0</v>
      </c>
      <c r="M53" s="723">
        <f t="shared" si="4"/>
        <v>0</v>
      </c>
      <c r="N53" s="723">
        <f t="shared" si="5"/>
        <v>0</v>
      </c>
    </row>
    <row r="54" spans="1:14">
      <c r="A54" s="639" t="s">
        <v>993</v>
      </c>
      <c r="B54" s="718">
        <v>108</v>
      </c>
      <c r="C54" s="719" t="s">
        <v>156</v>
      </c>
      <c r="D54" s="718">
        <f>VLOOKUP(B54,'2-Kosten per locatie'!$A$13:$C$88,3,FALSE)</f>
        <v>2</v>
      </c>
      <c r="E54" s="725"/>
      <c r="F54" s="639" t="s">
        <v>971</v>
      </c>
      <c r="G54" s="639" t="s">
        <v>1012</v>
      </c>
      <c r="H54" s="705">
        <v>2</v>
      </c>
      <c r="I54" s="721">
        <v>7.32</v>
      </c>
      <c r="J54" s="722" t="s">
        <v>982</v>
      </c>
      <c r="K54" s="722"/>
      <c r="L54" s="723">
        <f t="shared" si="3"/>
        <v>0</v>
      </c>
      <c r="M54" s="723">
        <f t="shared" si="4"/>
        <v>0</v>
      </c>
      <c r="N54" s="723">
        <f t="shared" si="5"/>
        <v>0</v>
      </c>
    </row>
    <row r="55" spans="1:14">
      <c r="A55" s="639" t="s">
        <v>993</v>
      </c>
      <c r="B55" s="718">
        <v>108</v>
      </c>
      <c r="C55" s="719" t="s">
        <v>156</v>
      </c>
      <c r="D55" s="718">
        <f>VLOOKUP(B55,'2-Kosten per locatie'!$A$13:$C$88,3,FALSE)</f>
        <v>2</v>
      </c>
      <c r="E55" s="725"/>
      <c r="F55" s="639" t="s">
        <v>977</v>
      </c>
      <c r="G55" s="639" t="s">
        <v>1013</v>
      </c>
      <c r="H55" s="705">
        <v>2</v>
      </c>
      <c r="I55" s="721">
        <v>7.32</v>
      </c>
      <c r="J55" s="722" t="s">
        <v>968</v>
      </c>
      <c r="K55" s="722"/>
      <c r="L55" s="723">
        <f t="shared" si="3"/>
        <v>0</v>
      </c>
      <c r="M55" s="723">
        <f t="shared" si="4"/>
        <v>0</v>
      </c>
      <c r="N55" s="723">
        <f t="shared" si="5"/>
        <v>0</v>
      </c>
    </row>
    <row r="56" spans="1:14">
      <c r="A56" s="639" t="s">
        <v>993</v>
      </c>
      <c r="B56" s="718">
        <v>108</v>
      </c>
      <c r="C56" s="719" t="s">
        <v>156</v>
      </c>
      <c r="D56" s="718">
        <f>VLOOKUP(B56,'2-Kosten per locatie'!$A$13:$C$88,3,FALSE)</f>
        <v>2</v>
      </c>
      <c r="E56" s="725"/>
      <c r="F56" s="639" t="s">
        <v>966</v>
      </c>
      <c r="G56" s="639" t="s">
        <v>1014</v>
      </c>
      <c r="H56" s="705">
        <v>12</v>
      </c>
      <c r="I56" s="721">
        <v>10.8</v>
      </c>
      <c r="J56" s="722" t="s">
        <v>982</v>
      </c>
      <c r="K56" s="722"/>
      <c r="L56" s="723">
        <f t="shared" si="3"/>
        <v>0</v>
      </c>
      <c r="M56" s="723">
        <f t="shared" si="4"/>
        <v>0</v>
      </c>
      <c r="N56" s="723">
        <f t="shared" si="5"/>
        <v>0</v>
      </c>
    </row>
    <row r="57" spans="1:14">
      <c r="A57" s="639" t="s">
        <v>993</v>
      </c>
      <c r="B57" s="718">
        <v>108</v>
      </c>
      <c r="C57" s="719" t="s">
        <v>156</v>
      </c>
      <c r="D57" s="718">
        <f>VLOOKUP(B57,'2-Kosten per locatie'!$A$13:$C$88,3,FALSE)</f>
        <v>2</v>
      </c>
      <c r="E57" s="725"/>
      <c r="F57" s="639" t="s">
        <v>966</v>
      </c>
      <c r="G57" s="639" t="s">
        <v>1015</v>
      </c>
      <c r="H57" s="705">
        <v>12</v>
      </c>
      <c r="I57" s="721">
        <f>2*12</f>
        <v>24</v>
      </c>
      <c r="J57" s="722" t="s">
        <v>982</v>
      </c>
      <c r="K57" s="722"/>
      <c r="L57" s="723">
        <f t="shared" si="3"/>
        <v>0</v>
      </c>
      <c r="M57" s="723">
        <f t="shared" si="4"/>
        <v>0</v>
      </c>
      <c r="N57" s="723">
        <f t="shared" si="5"/>
        <v>0</v>
      </c>
    </row>
    <row r="58" spans="1:14">
      <c r="A58" s="639" t="s">
        <v>993</v>
      </c>
      <c r="B58" s="718">
        <v>108</v>
      </c>
      <c r="C58" s="719" t="s">
        <v>156</v>
      </c>
      <c r="D58" s="718">
        <f>VLOOKUP(B58,'2-Kosten per locatie'!$A$13:$C$88,3,FALSE)</f>
        <v>2</v>
      </c>
      <c r="E58" s="725"/>
      <c r="F58" s="639" t="s">
        <v>972</v>
      </c>
      <c r="G58" s="639" t="s">
        <v>1016</v>
      </c>
      <c r="H58" s="705">
        <v>2</v>
      </c>
      <c r="I58" s="721">
        <v>24</v>
      </c>
      <c r="J58" s="722" t="s">
        <v>982</v>
      </c>
      <c r="K58" s="722"/>
      <c r="L58" s="723">
        <f t="shared" si="3"/>
        <v>0</v>
      </c>
      <c r="M58" s="723">
        <f t="shared" si="4"/>
        <v>0</v>
      </c>
      <c r="N58" s="723">
        <f t="shared" si="5"/>
        <v>0</v>
      </c>
    </row>
    <row r="59" spans="1:14">
      <c r="A59" s="639" t="s">
        <v>993</v>
      </c>
      <c r="B59" s="718">
        <v>108</v>
      </c>
      <c r="C59" s="719" t="s">
        <v>156</v>
      </c>
      <c r="D59" s="718">
        <f>VLOOKUP(B59,'2-Kosten per locatie'!$A$13:$C$88,3,FALSE)</f>
        <v>2</v>
      </c>
      <c r="E59" s="725"/>
      <c r="F59" s="639" t="s">
        <v>972</v>
      </c>
      <c r="G59" s="639" t="s">
        <v>1017</v>
      </c>
      <c r="H59" s="705">
        <v>2</v>
      </c>
      <c r="I59" s="721">
        <v>24</v>
      </c>
      <c r="J59" s="722" t="s">
        <v>982</v>
      </c>
      <c r="K59" s="722"/>
      <c r="L59" s="723">
        <f t="shared" si="3"/>
        <v>0</v>
      </c>
      <c r="M59" s="723">
        <f t="shared" si="4"/>
        <v>0</v>
      </c>
      <c r="N59" s="723">
        <f t="shared" si="5"/>
        <v>0</v>
      </c>
    </row>
    <row r="60" spans="1:14">
      <c r="A60" s="639" t="s">
        <v>993</v>
      </c>
      <c r="B60" s="718">
        <v>108</v>
      </c>
      <c r="C60" s="719" t="s">
        <v>156</v>
      </c>
      <c r="D60" s="718">
        <f>VLOOKUP(B60,'2-Kosten per locatie'!$A$13:$C$88,3,FALSE)</f>
        <v>2</v>
      </c>
      <c r="E60" s="725"/>
      <c r="F60" s="639" t="s">
        <v>971</v>
      </c>
      <c r="G60" s="639" t="s">
        <v>1018</v>
      </c>
      <c r="H60" s="705">
        <v>2</v>
      </c>
      <c r="I60" s="721">
        <v>37.200000000000003</v>
      </c>
      <c r="J60" s="722" t="s">
        <v>968</v>
      </c>
      <c r="K60" s="722"/>
      <c r="L60" s="723">
        <f t="shared" si="3"/>
        <v>0</v>
      </c>
      <c r="M60" s="723">
        <f t="shared" si="4"/>
        <v>0</v>
      </c>
      <c r="N60" s="723">
        <f t="shared" si="5"/>
        <v>0</v>
      </c>
    </row>
    <row r="61" spans="1:14">
      <c r="A61" s="639" t="s">
        <v>993</v>
      </c>
      <c r="B61" s="718">
        <v>108</v>
      </c>
      <c r="C61" s="719" t="s">
        <v>156</v>
      </c>
      <c r="D61" s="718">
        <f>VLOOKUP(B61,'2-Kosten per locatie'!$A$13:$C$88,3,FALSE)</f>
        <v>2</v>
      </c>
      <c r="E61" s="725"/>
      <c r="F61" s="639" t="s">
        <v>977</v>
      </c>
      <c r="G61" s="639" t="s">
        <v>1018</v>
      </c>
      <c r="H61" s="705">
        <v>2</v>
      </c>
      <c r="I61" s="721">
        <v>37.200000000000003</v>
      </c>
      <c r="J61" s="722" t="s">
        <v>968</v>
      </c>
      <c r="K61" s="722"/>
      <c r="L61" s="723">
        <f t="shared" si="3"/>
        <v>0</v>
      </c>
      <c r="M61" s="723">
        <f t="shared" si="4"/>
        <v>0</v>
      </c>
      <c r="N61" s="723">
        <f t="shared" si="5"/>
        <v>0</v>
      </c>
    </row>
    <row r="62" spans="1:14">
      <c r="A62" s="639" t="s">
        <v>993</v>
      </c>
      <c r="B62" s="718">
        <v>108</v>
      </c>
      <c r="C62" s="719" t="s">
        <v>156</v>
      </c>
      <c r="D62" s="718">
        <f>VLOOKUP(B62,'2-Kosten per locatie'!$A$13:$C$88,3,FALSE)</f>
        <v>2</v>
      </c>
      <c r="E62" s="725"/>
      <c r="F62" s="639" t="s">
        <v>971</v>
      </c>
      <c r="G62" s="639" t="s">
        <v>1019</v>
      </c>
      <c r="H62" s="705">
        <v>2</v>
      </c>
      <c r="I62" s="721">
        <v>8.19</v>
      </c>
      <c r="J62" s="722" t="s">
        <v>968</v>
      </c>
      <c r="K62" s="722"/>
      <c r="L62" s="723">
        <f t="shared" si="3"/>
        <v>0</v>
      </c>
      <c r="M62" s="723">
        <f t="shared" si="4"/>
        <v>0</v>
      </c>
      <c r="N62" s="723">
        <f t="shared" si="5"/>
        <v>0</v>
      </c>
    </row>
    <row r="63" spans="1:14">
      <c r="A63" s="639" t="s">
        <v>993</v>
      </c>
      <c r="B63" s="718">
        <v>108</v>
      </c>
      <c r="C63" s="719" t="s">
        <v>156</v>
      </c>
      <c r="D63" s="718">
        <f>VLOOKUP(B63,'2-Kosten per locatie'!$A$13:$C$88,3,FALSE)</f>
        <v>2</v>
      </c>
      <c r="E63" s="725"/>
      <c r="F63" s="639" t="s">
        <v>977</v>
      </c>
      <c r="G63" s="639" t="s">
        <v>1019</v>
      </c>
      <c r="H63" s="705">
        <v>2</v>
      </c>
      <c r="I63" s="721">
        <v>8.19</v>
      </c>
      <c r="J63" s="722" t="s">
        <v>968</v>
      </c>
      <c r="K63" s="722"/>
      <c r="L63" s="723">
        <f t="shared" si="3"/>
        <v>0</v>
      </c>
      <c r="M63" s="723">
        <f t="shared" si="4"/>
        <v>0</v>
      </c>
      <c r="N63" s="723">
        <f t="shared" si="5"/>
        <v>0</v>
      </c>
    </row>
    <row r="64" spans="1:14">
      <c r="A64" s="639" t="s">
        <v>993</v>
      </c>
      <c r="B64" s="718">
        <v>108</v>
      </c>
      <c r="C64" s="719" t="s">
        <v>156</v>
      </c>
      <c r="D64" s="718">
        <f>VLOOKUP(B64,'2-Kosten per locatie'!$A$13:$C$88,3,FALSE)</f>
        <v>2</v>
      </c>
      <c r="E64" s="725"/>
      <c r="F64" s="639" t="s">
        <v>971</v>
      </c>
      <c r="G64" s="639" t="s">
        <v>1020</v>
      </c>
      <c r="H64" s="705">
        <v>2</v>
      </c>
      <c r="I64" s="721">
        <v>37.200000000000003</v>
      </c>
      <c r="J64" s="722" t="s">
        <v>968</v>
      </c>
      <c r="K64" s="722"/>
      <c r="L64" s="723">
        <f t="shared" si="3"/>
        <v>0</v>
      </c>
      <c r="M64" s="723">
        <f t="shared" si="4"/>
        <v>0</v>
      </c>
      <c r="N64" s="723">
        <f t="shared" si="5"/>
        <v>0</v>
      </c>
    </row>
    <row r="65" spans="1:14">
      <c r="A65" s="639" t="s">
        <v>993</v>
      </c>
      <c r="B65" s="718">
        <v>108</v>
      </c>
      <c r="C65" s="719" t="s">
        <v>156</v>
      </c>
      <c r="D65" s="718">
        <f>VLOOKUP(B65,'2-Kosten per locatie'!$A$13:$C$88,3,FALSE)</f>
        <v>2</v>
      </c>
      <c r="E65" s="725"/>
      <c r="F65" s="639" t="s">
        <v>977</v>
      </c>
      <c r="G65" s="639" t="s">
        <v>1020</v>
      </c>
      <c r="H65" s="705">
        <v>2</v>
      </c>
      <c r="I65" s="721">
        <v>37.200000000000003</v>
      </c>
      <c r="J65" s="722" t="s">
        <v>968</v>
      </c>
      <c r="K65" s="722"/>
      <c r="L65" s="723">
        <f t="shared" si="3"/>
        <v>0</v>
      </c>
      <c r="M65" s="723">
        <f t="shared" si="4"/>
        <v>0</v>
      </c>
      <c r="N65" s="723">
        <f t="shared" si="5"/>
        <v>0</v>
      </c>
    </row>
    <row r="66" spans="1:14">
      <c r="A66" s="639" t="s">
        <v>993</v>
      </c>
      <c r="B66" s="718">
        <v>108</v>
      </c>
      <c r="C66" s="719" t="s">
        <v>156</v>
      </c>
      <c r="D66" s="718">
        <f>VLOOKUP(B66,'2-Kosten per locatie'!$A$13:$C$88,3,FALSE)</f>
        <v>2</v>
      </c>
      <c r="E66" s="725"/>
      <c r="F66" s="639" t="s">
        <v>971</v>
      </c>
      <c r="G66" s="639" t="s">
        <v>1021</v>
      </c>
      <c r="H66" s="705">
        <v>2</v>
      </c>
      <c r="I66" s="721">
        <v>8.19</v>
      </c>
      <c r="J66" s="722" t="s">
        <v>968</v>
      </c>
      <c r="K66" s="722"/>
      <c r="L66" s="723">
        <f t="shared" si="3"/>
        <v>0</v>
      </c>
      <c r="M66" s="723">
        <f t="shared" si="4"/>
        <v>0</v>
      </c>
      <c r="N66" s="723">
        <f t="shared" si="5"/>
        <v>0</v>
      </c>
    </row>
    <row r="67" spans="1:14">
      <c r="A67" s="639" t="s">
        <v>993</v>
      </c>
      <c r="B67" s="718">
        <v>108</v>
      </c>
      <c r="C67" s="719" t="s">
        <v>156</v>
      </c>
      <c r="D67" s="718">
        <f>VLOOKUP(B67,'2-Kosten per locatie'!$A$13:$C$88,3,FALSE)</f>
        <v>2</v>
      </c>
      <c r="E67" s="725"/>
      <c r="F67" s="639" t="s">
        <v>977</v>
      </c>
      <c r="G67" s="639" t="s">
        <v>1021</v>
      </c>
      <c r="H67" s="705">
        <v>2</v>
      </c>
      <c r="I67" s="721">
        <v>8.19</v>
      </c>
      <c r="J67" s="722" t="s">
        <v>968</v>
      </c>
      <c r="K67" s="722"/>
      <c r="L67" s="723">
        <f t="shared" si="3"/>
        <v>0</v>
      </c>
      <c r="M67" s="723">
        <f t="shared" si="4"/>
        <v>0</v>
      </c>
      <c r="N67" s="723">
        <f t="shared" si="5"/>
        <v>0</v>
      </c>
    </row>
    <row r="68" spans="1:14">
      <c r="A68" s="639" t="s">
        <v>993</v>
      </c>
      <c r="B68" s="718">
        <v>108</v>
      </c>
      <c r="C68" s="719" t="s">
        <v>156</v>
      </c>
      <c r="D68" s="718">
        <f>VLOOKUP(B68,'2-Kosten per locatie'!$A$13:$C$88,3,FALSE)</f>
        <v>2</v>
      </c>
      <c r="E68" s="725"/>
      <c r="F68" s="639" t="s">
        <v>966</v>
      </c>
      <c r="G68" s="639" t="s">
        <v>991</v>
      </c>
      <c r="H68" s="705">
        <v>26</v>
      </c>
      <c r="I68" s="721">
        <v>5</v>
      </c>
      <c r="J68" s="722" t="s">
        <v>982</v>
      </c>
      <c r="K68" s="722" t="s">
        <v>992</v>
      </c>
      <c r="L68" s="723">
        <f t="shared" si="3"/>
        <v>0</v>
      </c>
      <c r="M68" s="723">
        <f t="shared" si="4"/>
        <v>0</v>
      </c>
      <c r="N68" s="723">
        <f t="shared" si="5"/>
        <v>0</v>
      </c>
    </row>
    <row r="69" spans="1:14">
      <c r="A69" s="639" t="s">
        <v>66</v>
      </c>
      <c r="B69" s="718">
        <v>109</v>
      </c>
      <c r="C69" s="719" t="s">
        <v>156</v>
      </c>
      <c r="D69" s="718">
        <f>VLOOKUP(B69,'2-Kosten per locatie'!$A$13:$C$88,3,FALSE)</f>
        <v>2</v>
      </c>
      <c r="E69" s="725"/>
      <c r="F69" s="639" t="s">
        <v>966</v>
      </c>
      <c r="G69" s="639" t="s">
        <v>991</v>
      </c>
      <c r="H69" s="705">
        <v>26</v>
      </c>
      <c r="I69" s="721">
        <f>1.7</f>
        <v>1.7</v>
      </c>
      <c r="J69" s="722" t="s">
        <v>982</v>
      </c>
      <c r="K69" s="722" t="s">
        <v>992</v>
      </c>
      <c r="L69" s="723">
        <f t="shared" si="3"/>
        <v>0</v>
      </c>
      <c r="M69" s="723">
        <f t="shared" si="4"/>
        <v>0</v>
      </c>
      <c r="N69" s="723">
        <f t="shared" si="5"/>
        <v>0</v>
      </c>
    </row>
    <row r="70" spans="1:14">
      <c r="A70" s="639" t="s">
        <v>1022</v>
      </c>
      <c r="B70" s="718">
        <v>110</v>
      </c>
      <c r="C70" s="719" t="s">
        <v>156</v>
      </c>
      <c r="D70" s="718">
        <f>VLOOKUP(B70,'2-Kosten per locatie'!$A$13:$C$88,3,FALSE)</f>
        <v>2</v>
      </c>
      <c r="E70" s="720" t="s">
        <v>506</v>
      </c>
      <c r="F70" s="639" t="s">
        <v>977</v>
      </c>
      <c r="G70" s="639" t="s">
        <v>1023</v>
      </c>
      <c r="H70" s="705">
        <v>2</v>
      </c>
      <c r="I70" s="721">
        <f>+(9.2+3.1+1.7+1.7+2.5+6.6)*3.15-2</f>
        <v>76.11999999999999</v>
      </c>
      <c r="J70" s="722" t="s">
        <v>968</v>
      </c>
      <c r="K70" s="722"/>
      <c r="L70" s="723">
        <f t="shared" si="3"/>
        <v>0</v>
      </c>
      <c r="M70" s="723">
        <f t="shared" si="4"/>
        <v>0</v>
      </c>
      <c r="N70" s="723">
        <f t="shared" si="5"/>
        <v>0</v>
      </c>
    </row>
    <row r="71" spans="1:14">
      <c r="A71" s="639" t="s">
        <v>1022</v>
      </c>
      <c r="B71" s="718">
        <v>110</v>
      </c>
      <c r="C71" s="719" t="s">
        <v>156</v>
      </c>
      <c r="D71" s="718">
        <f>VLOOKUP(B71,'2-Kosten per locatie'!$A$13:$C$88,3,FALSE)</f>
        <v>2</v>
      </c>
      <c r="E71" s="720" t="s">
        <v>506</v>
      </c>
      <c r="F71" s="639" t="s">
        <v>971</v>
      </c>
      <c r="G71" s="639" t="s">
        <v>1023</v>
      </c>
      <c r="H71" s="705">
        <v>2</v>
      </c>
      <c r="I71" s="721">
        <f>+(9.2+3.1+1.7+1.7+2.5+6.6)*3.15-2</f>
        <v>76.11999999999999</v>
      </c>
      <c r="J71" s="722" t="s">
        <v>968</v>
      </c>
      <c r="K71" s="722"/>
      <c r="L71" s="723">
        <f t="shared" si="3"/>
        <v>0</v>
      </c>
      <c r="M71" s="723">
        <f t="shared" si="4"/>
        <v>0</v>
      </c>
      <c r="N71" s="723">
        <f t="shared" si="5"/>
        <v>0</v>
      </c>
    </row>
    <row r="72" spans="1:14">
      <c r="A72" s="639" t="s">
        <v>1022</v>
      </c>
      <c r="B72" s="718">
        <v>110</v>
      </c>
      <c r="C72" s="719" t="s">
        <v>156</v>
      </c>
      <c r="D72" s="718">
        <f>VLOOKUP(B72,'2-Kosten per locatie'!$A$13:$C$88,3,FALSE)</f>
        <v>2</v>
      </c>
      <c r="E72" s="720" t="s">
        <v>506</v>
      </c>
      <c r="F72" s="639" t="s">
        <v>979</v>
      </c>
      <c r="G72" s="639" t="s">
        <v>1024</v>
      </c>
      <c r="H72" s="705">
        <v>2</v>
      </c>
      <c r="I72" s="721">
        <f>6.6*5</f>
        <v>33</v>
      </c>
      <c r="J72" s="722" t="s">
        <v>968</v>
      </c>
      <c r="K72" s="722" t="s">
        <v>1025</v>
      </c>
      <c r="L72" s="723">
        <f t="shared" si="3"/>
        <v>0</v>
      </c>
      <c r="M72" s="723">
        <f t="shared" si="4"/>
        <v>0</v>
      </c>
      <c r="N72" s="723">
        <f t="shared" si="5"/>
        <v>0</v>
      </c>
    </row>
    <row r="73" spans="1:14">
      <c r="A73" s="639" t="s">
        <v>1022</v>
      </c>
      <c r="B73" s="718">
        <v>110</v>
      </c>
      <c r="C73" s="719" t="s">
        <v>156</v>
      </c>
      <c r="D73" s="718">
        <f>VLOOKUP(B73,'2-Kosten per locatie'!$A$13:$C$88,3,FALSE)</f>
        <v>2</v>
      </c>
      <c r="E73" s="720" t="s">
        <v>506</v>
      </c>
      <c r="F73" s="639" t="s">
        <v>979</v>
      </c>
      <c r="G73" s="639" t="s">
        <v>1026</v>
      </c>
      <c r="H73" s="705">
        <v>2</v>
      </c>
      <c r="I73" s="721">
        <f>6.6*3.1</f>
        <v>20.46</v>
      </c>
      <c r="J73" s="722" t="s">
        <v>968</v>
      </c>
      <c r="K73" s="722" t="s">
        <v>1025</v>
      </c>
      <c r="L73" s="723">
        <f t="shared" si="3"/>
        <v>0</v>
      </c>
      <c r="M73" s="723">
        <f t="shared" si="4"/>
        <v>0</v>
      </c>
      <c r="N73" s="723">
        <f t="shared" si="5"/>
        <v>0</v>
      </c>
    </row>
    <row r="74" spans="1:14">
      <c r="A74" s="639" t="s">
        <v>1022</v>
      </c>
      <c r="B74" s="718">
        <v>110</v>
      </c>
      <c r="C74" s="719" t="s">
        <v>156</v>
      </c>
      <c r="D74" s="718">
        <f>VLOOKUP(B74,'2-Kosten per locatie'!$A$13:$C$88,3,FALSE)</f>
        <v>2</v>
      </c>
      <c r="E74" s="720" t="s">
        <v>506</v>
      </c>
      <c r="F74" s="639" t="s">
        <v>977</v>
      </c>
      <c r="G74" s="639" t="s">
        <v>1027</v>
      </c>
      <c r="H74" s="705">
        <v>2</v>
      </c>
      <c r="I74" s="721">
        <f>6*3.1*2</f>
        <v>37.200000000000003</v>
      </c>
      <c r="J74" s="722" t="s">
        <v>968</v>
      </c>
      <c r="K74" s="722"/>
      <c r="L74" s="723">
        <f t="shared" si="3"/>
        <v>0</v>
      </c>
      <c r="M74" s="723">
        <f t="shared" si="4"/>
        <v>0</v>
      </c>
      <c r="N74" s="723">
        <f t="shared" si="5"/>
        <v>0</v>
      </c>
    </row>
    <row r="75" spans="1:14">
      <c r="A75" s="639" t="s">
        <v>1022</v>
      </c>
      <c r="B75" s="718">
        <v>110</v>
      </c>
      <c r="C75" s="719" t="s">
        <v>156</v>
      </c>
      <c r="D75" s="718">
        <f>VLOOKUP(B75,'2-Kosten per locatie'!$A$13:$C$88,3,FALSE)</f>
        <v>2</v>
      </c>
      <c r="E75" s="720" t="s">
        <v>506</v>
      </c>
      <c r="F75" s="639" t="s">
        <v>971</v>
      </c>
      <c r="G75" s="639" t="s">
        <v>1027</v>
      </c>
      <c r="H75" s="705">
        <v>2</v>
      </c>
      <c r="I75" s="721">
        <f>6*3.1*2</f>
        <v>37.200000000000003</v>
      </c>
      <c r="J75" s="722" t="s">
        <v>968</v>
      </c>
      <c r="K75" s="722"/>
      <c r="L75" s="723">
        <f t="shared" si="3"/>
        <v>0</v>
      </c>
      <c r="M75" s="723">
        <f t="shared" si="4"/>
        <v>0</v>
      </c>
      <c r="N75" s="723">
        <f t="shared" si="5"/>
        <v>0</v>
      </c>
    </row>
    <row r="76" spans="1:14">
      <c r="A76" s="639" t="s">
        <v>1022</v>
      </c>
      <c r="B76" s="718">
        <v>110</v>
      </c>
      <c r="C76" s="719" t="s">
        <v>156</v>
      </c>
      <c r="D76" s="718">
        <f>VLOOKUP(B76,'2-Kosten per locatie'!$A$13:$C$88,3,FALSE)</f>
        <v>2</v>
      </c>
      <c r="E76" s="720" t="s">
        <v>506</v>
      </c>
      <c r="F76" s="639" t="s">
        <v>977</v>
      </c>
      <c r="G76" s="639" t="s">
        <v>1028</v>
      </c>
      <c r="H76" s="705">
        <v>2</v>
      </c>
      <c r="I76" s="721">
        <f>1.95*2.1*2</f>
        <v>8.19</v>
      </c>
      <c r="J76" s="722" t="s">
        <v>968</v>
      </c>
      <c r="K76" s="722"/>
      <c r="L76" s="723">
        <f t="shared" si="3"/>
        <v>0</v>
      </c>
      <c r="M76" s="723">
        <f t="shared" si="4"/>
        <v>0</v>
      </c>
      <c r="N76" s="723">
        <f t="shared" si="5"/>
        <v>0</v>
      </c>
    </row>
    <row r="77" spans="1:14">
      <c r="A77" s="639" t="s">
        <v>1022</v>
      </c>
      <c r="B77" s="718">
        <v>110</v>
      </c>
      <c r="C77" s="719" t="s">
        <v>156</v>
      </c>
      <c r="D77" s="718">
        <f>VLOOKUP(B77,'2-Kosten per locatie'!$A$13:$C$88,3,FALSE)</f>
        <v>2</v>
      </c>
      <c r="E77" s="720" t="s">
        <v>506</v>
      </c>
      <c r="F77" s="639" t="s">
        <v>971</v>
      </c>
      <c r="G77" s="639" t="s">
        <v>1028</v>
      </c>
      <c r="H77" s="705">
        <v>2</v>
      </c>
      <c r="I77" s="721">
        <f>1.95*2.1*2</f>
        <v>8.19</v>
      </c>
      <c r="J77" s="722" t="s">
        <v>968</v>
      </c>
      <c r="K77" s="722"/>
      <c r="L77" s="723">
        <f t="shared" si="3"/>
        <v>0</v>
      </c>
      <c r="M77" s="723">
        <f t="shared" si="4"/>
        <v>0</v>
      </c>
      <c r="N77" s="723">
        <f t="shared" si="5"/>
        <v>0</v>
      </c>
    </row>
    <row r="78" spans="1:14">
      <c r="A78" s="639" t="s">
        <v>1022</v>
      </c>
      <c r="B78" s="718">
        <v>110</v>
      </c>
      <c r="C78" s="719" t="s">
        <v>156</v>
      </c>
      <c r="D78" s="718">
        <f>VLOOKUP(B78,'2-Kosten per locatie'!$A$13:$C$88,3,FALSE)</f>
        <v>2</v>
      </c>
      <c r="E78" s="720" t="s">
        <v>506</v>
      </c>
      <c r="F78" s="639" t="s">
        <v>975</v>
      </c>
      <c r="G78" s="639" t="s">
        <v>1029</v>
      </c>
      <c r="H78" s="705">
        <v>2</v>
      </c>
      <c r="I78" s="721">
        <f>+(1.35+0.65)*12</f>
        <v>24</v>
      </c>
      <c r="J78" s="722" t="s">
        <v>968</v>
      </c>
      <c r="K78" s="722" t="s">
        <v>1030</v>
      </c>
      <c r="L78" s="723">
        <f t="shared" ref="L78:L141" si="6">IF(J78="ja",0,VLOOKUP(F78,Glassoort2,2,0))*I78</f>
        <v>0</v>
      </c>
      <c r="M78" s="723">
        <f t="shared" ref="M78:M141" si="7">IF(J78="ja",VLOOKUP(F78,Glassoort2,3,0))*I78</f>
        <v>0</v>
      </c>
      <c r="N78" s="723">
        <f t="shared" ref="N78:N141" si="8">(M78*H78)+(L78*H78)</f>
        <v>0</v>
      </c>
    </row>
    <row r="79" spans="1:14">
      <c r="A79" s="639" t="s">
        <v>1022</v>
      </c>
      <c r="B79" s="718">
        <v>110</v>
      </c>
      <c r="C79" s="719" t="s">
        <v>156</v>
      </c>
      <c r="D79" s="718">
        <f>VLOOKUP(B79,'2-Kosten per locatie'!$A$13:$C$88,3,FALSE)</f>
        <v>2</v>
      </c>
      <c r="E79" s="720" t="s">
        <v>506</v>
      </c>
      <c r="F79" s="639" t="s">
        <v>969</v>
      </c>
      <c r="G79" s="639" t="s">
        <v>1029</v>
      </c>
      <c r="H79" s="705">
        <v>2</v>
      </c>
      <c r="I79" s="721">
        <f>+(1.35+0.65)*12</f>
        <v>24</v>
      </c>
      <c r="J79" s="722" t="s">
        <v>968</v>
      </c>
      <c r="K79" s="722" t="s">
        <v>1030</v>
      </c>
      <c r="L79" s="723">
        <f t="shared" si="6"/>
        <v>0</v>
      </c>
      <c r="M79" s="723">
        <f t="shared" si="7"/>
        <v>0</v>
      </c>
      <c r="N79" s="723">
        <f t="shared" si="8"/>
        <v>0</v>
      </c>
    </row>
    <row r="80" spans="1:14">
      <c r="A80" s="639" t="s">
        <v>1022</v>
      </c>
      <c r="B80" s="718">
        <v>110</v>
      </c>
      <c r="C80" s="719" t="s">
        <v>156</v>
      </c>
      <c r="D80" s="718">
        <f>VLOOKUP(B80,'2-Kosten per locatie'!$A$13:$C$88,3,FALSE)</f>
        <v>2</v>
      </c>
      <c r="E80" s="720" t="s">
        <v>506</v>
      </c>
      <c r="F80" s="639" t="s">
        <v>980</v>
      </c>
      <c r="G80" s="639" t="s">
        <v>981</v>
      </c>
      <c r="H80" s="705">
        <v>2</v>
      </c>
      <c r="I80" s="721">
        <v>7.45</v>
      </c>
      <c r="J80" s="722" t="s">
        <v>982</v>
      </c>
      <c r="K80" s="722" t="s">
        <v>1031</v>
      </c>
      <c r="L80" s="723">
        <f t="shared" si="6"/>
        <v>0</v>
      </c>
      <c r="M80" s="723">
        <f t="shared" si="7"/>
        <v>0</v>
      </c>
      <c r="N80" s="723">
        <f t="shared" si="8"/>
        <v>0</v>
      </c>
    </row>
    <row r="81" spans="1:14">
      <c r="A81" s="639" t="s">
        <v>1022</v>
      </c>
      <c r="B81" s="718">
        <v>110</v>
      </c>
      <c r="C81" s="719" t="s">
        <v>156</v>
      </c>
      <c r="D81" s="718">
        <f>VLOOKUP(B81,'2-Kosten per locatie'!$A$13:$C$88,3,FALSE)</f>
        <v>2</v>
      </c>
      <c r="E81" s="720" t="s">
        <v>506</v>
      </c>
      <c r="F81" s="639" t="s">
        <v>983</v>
      </c>
      <c r="G81" s="639" t="s">
        <v>981</v>
      </c>
      <c r="H81" s="705">
        <v>2</v>
      </c>
      <c r="I81" s="721">
        <v>7.45</v>
      </c>
      <c r="J81" s="722" t="s">
        <v>968</v>
      </c>
      <c r="K81" s="722" t="s">
        <v>1031</v>
      </c>
      <c r="L81" s="723">
        <f t="shared" si="6"/>
        <v>0</v>
      </c>
      <c r="M81" s="723">
        <f t="shared" si="7"/>
        <v>0</v>
      </c>
      <c r="N81" s="723">
        <f t="shared" si="8"/>
        <v>0</v>
      </c>
    </row>
    <row r="82" spans="1:14">
      <c r="A82" s="639" t="s">
        <v>1022</v>
      </c>
      <c r="B82" s="718">
        <v>110</v>
      </c>
      <c r="C82" s="719" t="s">
        <v>156</v>
      </c>
      <c r="D82" s="718">
        <f>VLOOKUP(B82,'2-Kosten per locatie'!$A$13:$C$88,3,FALSE)</f>
        <v>2</v>
      </c>
      <c r="E82" s="720" t="s">
        <v>582</v>
      </c>
      <c r="F82" s="639" t="s">
        <v>972</v>
      </c>
      <c r="G82" s="639" t="s">
        <v>1032</v>
      </c>
      <c r="H82" s="705">
        <v>2</v>
      </c>
      <c r="I82" s="721">
        <v>2</v>
      </c>
      <c r="J82" s="722" t="s">
        <v>982</v>
      </c>
      <c r="K82" s="722"/>
      <c r="L82" s="723">
        <f t="shared" si="6"/>
        <v>0</v>
      </c>
      <c r="M82" s="723">
        <f t="shared" si="7"/>
        <v>0</v>
      </c>
      <c r="N82" s="723">
        <f t="shared" si="8"/>
        <v>0</v>
      </c>
    </row>
    <row r="83" spans="1:14">
      <c r="A83" s="639" t="s">
        <v>1022</v>
      </c>
      <c r="B83" s="718">
        <v>110</v>
      </c>
      <c r="C83" s="719" t="s">
        <v>156</v>
      </c>
      <c r="D83" s="718">
        <f>VLOOKUP(B83,'2-Kosten per locatie'!$A$13:$C$88,3,FALSE)</f>
        <v>2</v>
      </c>
      <c r="E83" s="720" t="s">
        <v>582</v>
      </c>
      <c r="F83" s="639" t="s">
        <v>976</v>
      </c>
      <c r="G83" s="639" t="s">
        <v>1032</v>
      </c>
      <c r="H83" s="705">
        <v>2</v>
      </c>
      <c r="I83" s="721">
        <v>2</v>
      </c>
      <c r="J83" s="722" t="s">
        <v>968</v>
      </c>
      <c r="K83" s="722"/>
      <c r="L83" s="723">
        <f t="shared" si="6"/>
        <v>0</v>
      </c>
      <c r="M83" s="723">
        <f t="shared" si="7"/>
        <v>0</v>
      </c>
      <c r="N83" s="723">
        <f t="shared" si="8"/>
        <v>0</v>
      </c>
    </row>
    <row r="84" spans="1:14">
      <c r="A84" s="639" t="s">
        <v>1022</v>
      </c>
      <c r="B84" s="718">
        <v>110</v>
      </c>
      <c r="C84" s="719" t="s">
        <v>156</v>
      </c>
      <c r="D84" s="718">
        <f>VLOOKUP(B84,'2-Kosten per locatie'!$A$13:$C$88,3,FALSE)</f>
        <v>2</v>
      </c>
      <c r="E84" s="720" t="s">
        <v>505</v>
      </c>
      <c r="F84" s="639" t="s">
        <v>977</v>
      </c>
      <c r="G84" s="639" t="s">
        <v>1033</v>
      </c>
      <c r="H84" s="705">
        <v>2</v>
      </c>
      <c r="I84" s="721">
        <f>+(1.6+2+4.2+9.7)*3.15-2</f>
        <v>53.125</v>
      </c>
      <c r="J84" s="722" t="s">
        <v>968</v>
      </c>
      <c r="K84" s="722"/>
      <c r="L84" s="723">
        <f t="shared" si="6"/>
        <v>0</v>
      </c>
      <c r="M84" s="723">
        <f t="shared" si="7"/>
        <v>0</v>
      </c>
      <c r="N84" s="723">
        <f t="shared" si="8"/>
        <v>0</v>
      </c>
    </row>
    <row r="85" spans="1:14">
      <c r="A85" s="639" t="s">
        <v>1022</v>
      </c>
      <c r="B85" s="718">
        <v>110</v>
      </c>
      <c r="C85" s="719" t="s">
        <v>156</v>
      </c>
      <c r="D85" s="718">
        <f>VLOOKUP(B85,'2-Kosten per locatie'!$A$13:$C$88,3,FALSE)</f>
        <v>2</v>
      </c>
      <c r="E85" s="720" t="s">
        <v>505</v>
      </c>
      <c r="F85" s="639" t="s">
        <v>971</v>
      </c>
      <c r="G85" s="639" t="s">
        <v>1033</v>
      </c>
      <c r="H85" s="705">
        <v>2</v>
      </c>
      <c r="I85" s="721">
        <f>+(1.6+2+4.2+9.7)*3.15-2</f>
        <v>53.125</v>
      </c>
      <c r="J85" s="722" t="s">
        <v>968</v>
      </c>
      <c r="K85" s="722"/>
      <c r="L85" s="723">
        <f t="shared" si="6"/>
        <v>0</v>
      </c>
      <c r="M85" s="723">
        <f t="shared" si="7"/>
        <v>0</v>
      </c>
      <c r="N85" s="723">
        <f t="shared" si="8"/>
        <v>0</v>
      </c>
    </row>
    <row r="86" spans="1:14">
      <c r="A86" s="639" t="s">
        <v>1022</v>
      </c>
      <c r="B86" s="718">
        <v>110</v>
      </c>
      <c r="C86" s="719" t="s">
        <v>156</v>
      </c>
      <c r="D86" s="718">
        <f>VLOOKUP(B86,'2-Kosten per locatie'!$A$13:$C$88,3,FALSE)</f>
        <v>2</v>
      </c>
      <c r="E86" s="720" t="s">
        <v>505</v>
      </c>
      <c r="F86" s="639" t="s">
        <v>979</v>
      </c>
      <c r="G86" s="639" t="s">
        <v>1024</v>
      </c>
      <c r="H86" s="705">
        <v>2</v>
      </c>
      <c r="I86" s="721">
        <f>6.6*5</f>
        <v>33</v>
      </c>
      <c r="J86" s="722" t="s">
        <v>968</v>
      </c>
      <c r="K86" s="722" t="s">
        <v>1025</v>
      </c>
      <c r="L86" s="723">
        <f t="shared" si="6"/>
        <v>0</v>
      </c>
      <c r="M86" s="723">
        <f t="shared" si="7"/>
        <v>0</v>
      </c>
      <c r="N86" s="723">
        <f t="shared" si="8"/>
        <v>0</v>
      </c>
    </row>
    <row r="87" spans="1:14">
      <c r="A87" s="639" t="s">
        <v>1022</v>
      </c>
      <c r="B87" s="718">
        <v>110</v>
      </c>
      <c r="C87" s="719" t="s">
        <v>156</v>
      </c>
      <c r="D87" s="718">
        <f>VLOOKUP(B87,'2-Kosten per locatie'!$A$13:$C$88,3,FALSE)</f>
        <v>2</v>
      </c>
      <c r="E87" s="720" t="s">
        <v>505</v>
      </c>
      <c r="F87" s="639" t="s">
        <v>979</v>
      </c>
      <c r="G87" s="639" t="s">
        <v>1026</v>
      </c>
      <c r="H87" s="705">
        <v>2</v>
      </c>
      <c r="I87" s="721">
        <f>6.6*3.1</f>
        <v>20.46</v>
      </c>
      <c r="J87" s="722" t="s">
        <v>968</v>
      </c>
      <c r="K87" s="722" t="s">
        <v>1025</v>
      </c>
      <c r="L87" s="723">
        <f t="shared" si="6"/>
        <v>0</v>
      </c>
      <c r="M87" s="723">
        <f t="shared" si="7"/>
        <v>0</v>
      </c>
      <c r="N87" s="723">
        <f t="shared" si="8"/>
        <v>0</v>
      </c>
    </row>
    <row r="88" spans="1:14">
      <c r="A88" s="639" t="s">
        <v>1022</v>
      </c>
      <c r="B88" s="718">
        <v>110</v>
      </c>
      <c r="C88" s="719" t="s">
        <v>156</v>
      </c>
      <c r="D88" s="718">
        <f>VLOOKUP(B88,'2-Kosten per locatie'!$A$13:$C$88,3,FALSE)</f>
        <v>2</v>
      </c>
      <c r="E88" s="720" t="s">
        <v>505</v>
      </c>
      <c r="F88" s="639" t="s">
        <v>977</v>
      </c>
      <c r="G88" s="639" t="s">
        <v>1034</v>
      </c>
      <c r="H88" s="705">
        <v>2</v>
      </c>
      <c r="I88" s="721">
        <f>6*3.1*2</f>
        <v>37.200000000000003</v>
      </c>
      <c r="J88" s="722" t="s">
        <v>968</v>
      </c>
      <c r="K88" s="722"/>
      <c r="L88" s="723">
        <f t="shared" si="6"/>
        <v>0</v>
      </c>
      <c r="M88" s="723">
        <f t="shared" si="7"/>
        <v>0</v>
      </c>
      <c r="N88" s="723">
        <f t="shared" si="8"/>
        <v>0</v>
      </c>
    </row>
    <row r="89" spans="1:14">
      <c r="A89" s="639" t="s">
        <v>1022</v>
      </c>
      <c r="B89" s="718">
        <v>110</v>
      </c>
      <c r="C89" s="719" t="s">
        <v>156</v>
      </c>
      <c r="D89" s="718">
        <f>VLOOKUP(B89,'2-Kosten per locatie'!$A$13:$C$88,3,FALSE)</f>
        <v>2</v>
      </c>
      <c r="E89" s="720" t="s">
        <v>505</v>
      </c>
      <c r="F89" s="639" t="s">
        <v>971</v>
      </c>
      <c r="G89" s="639" t="s">
        <v>1034</v>
      </c>
      <c r="H89" s="705">
        <v>2</v>
      </c>
      <c r="I89" s="721">
        <f>6*3.1*2</f>
        <v>37.200000000000003</v>
      </c>
      <c r="J89" s="722" t="s">
        <v>968</v>
      </c>
      <c r="K89" s="722"/>
      <c r="L89" s="723">
        <f t="shared" si="6"/>
        <v>0</v>
      </c>
      <c r="M89" s="723">
        <f t="shared" si="7"/>
        <v>0</v>
      </c>
      <c r="N89" s="723">
        <f t="shared" si="8"/>
        <v>0</v>
      </c>
    </row>
    <row r="90" spans="1:14">
      <c r="A90" s="639" t="s">
        <v>1022</v>
      </c>
      <c r="B90" s="718">
        <v>110</v>
      </c>
      <c r="C90" s="719" t="s">
        <v>156</v>
      </c>
      <c r="D90" s="718">
        <f>VLOOKUP(B90,'2-Kosten per locatie'!$A$13:$C$88,3,FALSE)</f>
        <v>2</v>
      </c>
      <c r="E90" s="720" t="s">
        <v>505</v>
      </c>
      <c r="F90" s="639" t="s">
        <v>977</v>
      </c>
      <c r="G90" s="639" t="s">
        <v>1035</v>
      </c>
      <c r="H90" s="705">
        <v>2</v>
      </c>
      <c r="I90" s="721">
        <f>1.95*2.1*2</f>
        <v>8.19</v>
      </c>
      <c r="J90" s="722" t="s">
        <v>968</v>
      </c>
      <c r="K90" s="722"/>
      <c r="L90" s="723">
        <f t="shared" si="6"/>
        <v>0</v>
      </c>
      <c r="M90" s="723">
        <f t="shared" si="7"/>
        <v>0</v>
      </c>
      <c r="N90" s="723">
        <f t="shared" si="8"/>
        <v>0</v>
      </c>
    </row>
    <row r="91" spans="1:14">
      <c r="A91" s="639" t="s">
        <v>1022</v>
      </c>
      <c r="B91" s="718">
        <v>110</v>
      </c>
      <c r="C91" s="719" t="s">
        <v>156</v>
      </c>
      <c r="D91" s="718">
        <f>VLOOKUP(B91,'2-Kosten per locatie'!$A$13:$C$88,3,FALSE)</f>
        <v>2</v>
      </c>
      <c r="E91" s="720" t="s">
        <v>505</v>
      </c>
      <c r="F91" s="639" t="s">
        <v>971</v>
      </c>
      <c r="G91" s="639" t="s">
        <v>1035</v>
      </c>
      <c r="H91" s="705">
        <v>2</v>
      </c>
      <c r="I91" s="721">
        <f>1.95*2.1*2</f>
        <v>8.19</v>
      </c>
      <c r="J91" s="722" t="s">
        <v>968</v>
      </c>
      <c r="K91" s="722"/>
      <c r="L91" s="723">
        <f t="shared" si="6"/>
        <v>0</v>
      </c>
      <c r="M91" s="723">
        <f t="shared" si="7"/>
        <v>0</v>
      </c>
      <c r="N91" s="723">
        <f t="shared" si="8"/>
        <v>0</v>
      </c>
    </row>
    <row r="92" spans="1:14">
      <c r="A92" s="639" t="s">
        <v>1022</v>
      </c>
      <c r="B92" s="718">
        <v>110</v>
      </c>
      <c r="C92" s="719" t="s">
        <v>156</v>
      </c>
      <c r="D92" s="718">
        <f>VLOOKUP(B92,'2-Kosten per locatie'!$A$13:$C$88,3,FALSE)</f>
        <v>2</v>
      </c>
      <c r="E92" s="720" t="s">
        <v>505</v>
      </c>
      <c r="F92" s="639" t="s">
        <v>975</v>
      </c>
      <c r="G92" s="639" t="s">
        <v>1036</v>
      </c>
      <c r="H92" s="705">
        <v>2</v>
      </c>
      <c r="I92" s="721">
        <f>+(1.35+0.65)*12</f>
        <v>24</v>
      </c>
      <c r="J92" s="722" t="s">
        <v>968</v>
      </c>
      <c r="K92" s="722" t="s">
        <v>1030</v>
      </c>
      <c r="L92" s="723">
        <f t="shared" si="6"/>
        <v>0</v>
      </c>
      <c r="M92" s="723">
        <f t="shared" si="7"/>
        <v>0</v>
      </c>
      <c r="N92" s="723">
        <f t="shared" si="8"/>
        <v>0</v>
      </c>
    </row>
    <row r="93" spans="1:14">
      <c r="A93" s="639" t="s">
        <v>1022</v>
      </c>
      <c r="B93" s="718">
        <v>110</v>
      </c>
      <c r="C93" s="719" t="s">
        <v>156</v>
      </c>
      <c r="D93" s="718">
        <f>VLOOKUP(B93,'2-Kosten per locatie'!$A$13:$C$88,3,FALSE)</f>
        <v>2</v>
      </c>
      <c r="E93" s="720" t="s">
        <v>505</v>
      </c>
      <c r="F93" s="639" t="s">
        <v>969</v>
      </c>
      <c r="G93" s="639" t="s">
        <v>1036</v>
      </c>
      <c r="H93" s="705">
        <v>2</v>
      </c>
      <c r="I93" s="721">
        <f>+(1.35+0.65)*12</f>
        <v>24</v>
      </c>
      <c r="J93" s="722" t="s">
        <v>968</v>
      </c>
      <c r="K93" s="722" t="s">
        <v>1030</v>
      </c>
      <c r="L93" s="723">
        <f t="shared" si="6"/>
        <v>0</v>
      </c>
      <c r="M93" s="723">
        <f t="shared" si="7"/>
        <v>0</v>
      </c>
      <c r="N93" s="723">
        <f t="shared" si="8"/>
        <v>0</v>
      </c>
    </row>
    <row r="94" spans="1:14">
      <c r="A94" s="639" t="s">
        <v>1022</v>
      </c>
      <c r="B94" s="718">
        <v>110</v>
      </c>
      <c r="C94" s="719" t="s">
        <v>156</v>
      </c>
      <c r="D94" s="718">
        <f>VLOOKUP(B94,'2-Kosten per locatie'!$A$13:$C$88,3,FALSE)</f>
        <v>2</v>
      </c>
      <c r="E94" s="720" t="s">
        <v>505</v>
      </c>
      <c r="F94" s="639" t="s">
        <v>980</v>
      </c>
      <c r="G94" s="639" t="s">
        <v>981</v>
      </c>
      <c r="H94" s="705">
        <v>2</v>
      </c>
      <c r="I94" s="721">
        <v>11.85</v>
      </c>
      <c r="J94" s="722" t="s">
        <v>982</v>
      </c>
      <c r="K94" s="722"/>
      <c r="L94" s="723">
        <f t="shared" si="6"/>
        <v>0</v>
      </c>
      <c r="M94" s="723">
        <f t="shared" si="7"/>
        <v>0</v>
      </c>
      <c r="N94" s="723">
        <f t="shared" si="8"/>
        <v>0</v>
      </c>
    </row>
    <row r="95" spans="1:14">
      <c r="A95" s="639" t="s">
        <v>1022</v>
      </c>
      <c r="B95" s="718">
        <v>110</v>
      </c>
      <c r="C95" s="719" t="s">
        <v>156</v>
      </c>
      <c r="D95" s="718">
        <f>VLOOKUP(B95,'2-Kosten per locatie'!$A$13:$C$88,3,FALSE)</f>
        <v>2</v>
      </c>
      <c r="E95" s="720" t="s">
        <v>505</v>
      </c>
      <c r="F95" s="639" t="s">
        <v>983</v>
      </c>
      <c r="G95" s="639" t="s">
        <v>981</v>
      </c>
      <c r="H95" s="705">
        <v>2</v>
      </c>
      <c r="I95" s="721">
        <v>11.85</v>
      </c>
      <c r="J95" s="722" t="s">
        <v>968</v>
      </c>
      <c r="K95" s="722"/>
      <c r="L95" s="723">
        <f t="shared" si="6"/>
        <v>0</v>
      </c>
      <c r="M95" s="723">
        <f t="shared" si="7"/>
        <v>0</v>
      </c>
      <c r="N95" s="723">
        <f t="shared" si="8"/>
        <v>0</v>
      </c>
    </row>
    <row r="96" spans="1:14">
      <c r="A96" s="639" t="s">
        <v>1022</v>
      </c>
      <c r="B96" s="718">
        <v>110</v>
      </c>
      <c r="C96" s="719" t="s">
        <v>156</v>
      </c>
      <c r="D96" s="718">
        <f>VLOOKUP(B96,'2-Kosten per locatie'!$A$13:$C$88,3,FALSE)</f>
        <v>2</v>
      </c>
      <c r="E96" s="720" t="s">
        <v>505</v>
      </c>
      <c r="F96" s="639" t="s">
        <v>984</v>
      </c>
      <c r="G96" s="639" t="s">
        <v>985</v>
      </c>
      <c r="H96" s="705">
        <v>2</v>
      </c>
      <c r="I96" s="721">
        <v>1.92</v>
      </c>
      <c r="J96" s="722" t="s">
        <v>982</v>
      </c>
      <c r="K96" s="722"/>
      <c r="L96" s="723">
        <f t="shared" si="6"/>
        <v>0</v>
      </c>
      <c r="M96" s="723">
        <f t="shared" si="7"/>
        <v>0</v>
      </c>
      <c r="N96" s="723">
        <f t="shared" si="8"/>
        <v>0</v>
      </c>
    </row>
    <row r="97" spans="1:14">
      <c r="A97" s="639" t="s">
        <v>1022</v>
      </c>
      <c r="B97" s="718">
        <v>110</v>
      </c>
      <c r="C97" s="719" t="s">
        <v>156</v>
      </c>
      <c r="D97" s="718">
        <f>VLOOKUP(B97,'2-Kosten per locatie'!$A$13:$C$88,3,FALSE)</f>
        <v>2</v>
      </c>
      <c r="E97" s="720" t="s">
        <v>505</v>
      </c>
      <c r="F97" s="639" t="s">
        <v>986</v>
      </c>
      <c r="G97" s="639" t="s">
        <v>985</v>
      </c>
      <c r="H97" s="705">
        <v>2</v>
      </c>
      <c r="I97" s="721">
        <v>1.92</v>
      </c>
      <c r="J97" s="722" t="s">
        <v>982</v>
      </c>
      <c r="K97" s="722"/>
      <c r="L97" s="723">
        <f t="shared" si="6"/>
        <v>0</v>
      </c>
      <c r="M97" s="723">
        <f t="shared" si="7"/>
        <v>0</v>
      </c>
      <c r="N97" s="723">
        <f t="shared" si="8"/>
        <v>0</v>
      </c>
    </row>
    <row r="98" spans="1:14">
      <c r="A98" s="639" t="s">
        <v>1022</v>
      </c>
      <c r="B98" s="718">
        <v>110</v>
      </c>
      <c r="C98" s="719" t="s">
        <v>156</v>
      </c>
      <c r="D98" s="718">
        <f>VLOOKUP(B98,'2-Kosten per locatie'!$A$13:$C$88,3,FALSE)</f>
        <v>2</v>
      </c>
      <c r="E98" s="725"/>
      <c r="F98" s="639" t="s">
        <v>966</v>
      </c>
      <c r="G98" s="639" t="s">
        <v>991</v>
      </c>
      <c r="H98" s="705">
        <v>26</v>
      </c>
      <c r="I98" s="721">
        <v>28</v>
      </c>
      <c r="J98" s="722" t="s">
        <v>982</v>
      </c>
      <c r="K98" s="722" t="s">
        <v>992</v>
      </c>
      <c r="L98" s="723">
        <f t="shared" si="6"/>
        <v>0</v>
      </c>
      <c r="M98" s="723">
        <f t="shared" si="7"/>
        <v>0</v>
      </c>
      <c r="N98" s="723">
        <f t="shared" si="8"/>
        <v>0</v>
      </c>
    </row>
    <row r="99" spans="1:14">
      <c r="A99" s="639" t="s">
        <v>68</v>
      </c>
      <c r="B99" s="718">
        <v>111</v>
      </c>
      <c r="C99" s="719" t="s">
        <v>156</v>
      </c>
      <c r="D99" s="718">
        <f>VLOOKUP(B99,'2-Kosten per locatie'!$A$13:$C$88,3,FALSE)</f>
        <v>2</v>
      </c>
      <c r="E99" s="720" t="s">
        <v>1037</v>
      </c>
      <c r="F99" s="639" t="s">
        <v>966</v>
      </c>
      <c r="G99" s="639" t="s">
        <v>1038</v>
      </c>
      <c r="H99" s="705">
        <v>12</v>
      </c>
      <c r="I99" s="721">
        <v>197.4</v>
      </c>
      <c r="J99" s="722" t="s">
        <v>982</v>
      </c>
      <c r="K99" s="722"/>
      <c r="L99" s="723">
        <f t="shared" si="6"/>
        <v>0</v>
      </c>
      <c r="M99" s="723">
        <f t="shared" si="7"/>
        <v>0</v>
      </c>
      <c r="N99" s="723">
        <f t="shared" si="8"/>
        <v>0</v>
      </c>
    </row>
    <row r="100" spans="1:14">
      <c r="A100" s="639" t="s">
        <v>68</v>
      </c>
      <c r="B100" s="718">
        <v>111</v>
      </c>
      <c r="C100" s="719" t="s">
        <v>156</v>
      </c>
      <c r="D100" s="718">
        <f>VLOOKUP(B100,'2-Kosten per locatie'!$A$13:$C$88,3,FALSE)</f>
        <v>2</v>
      </c>
      <c r="E100" s="720" t="s">
        <v>1037</v>
      </c>
      <c r="F100" s="639" t="s">
        <v>983</v>
      </c>
      <c r="G100" s="639" t="s">
        <v>1039</v>
      </c>
      <c r="H100" s="705">
        <v>4</v>
      </c>
      <c r="I100" s="721">
        <f>3.7*4.4</f>
        <v>16.28</v>
      </c>
      <c r="J100" s="722" t="s">
        <v>968</v>
      </c>
      <c r="K100" s="722"/>
      <c r="L100" s="723">
        <f t="shared" si="6"/>
        <v>0</v>
      </c>
      <c r="M100" s="723">
        <f t="shared" si="7"/>
        <v>0</v>
      </c>
      <c r="N100" s="723">
        <f t="shared" si="8"/>
        <v>0</v>
      </c>
    </row>
    <row r="101" spans="1:14">
      <c r="A101" s="639" t="s">
        <v>68</v>
      </c>
      <c r="B101" s="718">
        <v>111</v>
      </c>
      <c r="C101" s="719" t="s">
        <v>156</v>
      </c>
      <c r="D101" s="718">
        <f>VLOOKUP(B101,'2-Kosten per locatie'!$A$13:$C$88,3,FALSE)</f>
        <v>2</v>
      </c>
      <c r="E101" s="720" t="s">
        <v>1037</v>
      </c>
      <c r="F101" s="639" t="s">
        <v>983</v>
      </c>
      <c r="G101" s="639" t="s">
        <v>1040</v>
      </c>
      <c r="H101" s="705">
        <v>4</v>
      </c>
      <c r="I101" s="721">
        <f>I102-I100</f>
        <v>85.93</v>
      </c>
      <c r="J101" s="722" t="s">
        <v>968</v>
      </c>
      <c r="K101" s="722"/>
      <c r="L101" s="723">
        <f t="shared" si="6"/>
        <v>0</v>
      </c>
      <c r="M101" s="723">
        <f t="shared" si="7"/>
        <v>0</v>
      </c>
      <c r="N101" s="723">
        <f t="shared" si="8"/>
        <v>0</v>
      </c>
    </row>
    <row r="102" spans="1:14">
      <c r="A102" s="639" t="s">
        <v>68</v>
      </c>
      <c r="B102" s="718">
        <v>111</v>
      </c>
      <c r="C102" s="719" t="s">
        <v>156</v>
      </c>
      <c r="D102" s="718">
        <f>VLOOKUP(B102,'2-Kosten per locatie'!$A$13:$C$88,3,FALSE)</f>
        <v>2</v>
      </c>
      <c r="E102" s="720" t="s">
        <v>1037</v>
      </c>
      <c r="F102" s="639" t="s">
        <v>980</v>
      </c>
      <c r="G102" s="639" t="s">
        <v>1040</v>
      </c>
      <c r="H102" s="705">
        <v>4</v>
      </c>
      <c r="I102" s="721">
        <f>2.3*4.4+3.7*4.4+3.7*7.2+2.3*14.3+3.7*4.4</f>
        <v>102.21000000000001</v>
      </c>
      <c r="J102" s="722" t="s">
        <v>982</v>
      </c>
      <c r="K102" s="722"/>
      <c r="L102" s="723">
        <f t="shared" si="6"/>
        <v>0</v>
      </c>
      <c r="M102" s="723">
        <f t="shared" si="7"/>
        <v>0</v>
      </c>
      <c r="N102" s="723">
        <f t="shared" si="8"/>
        <v>0</v>
      </c>
    </row>
    <row r="103" spans="1:14">
      <c r="A103" s="639" t="s">
        <v>68</v>
      </c>
      <c r="B103" s="718">
        <v>111</v>
      </c>
      <c r="C103" s="719" t="s">
        <v>156</v>
      </c>
      <c r="D103" s="718">
        <f>VLOOKUP(B103,'2-Kosten per locatie'!$A$13:$C$88,3,FALSE)</f>
        <v>2</v>
      </c>
      <c r="E103" s="720" t="s">
        <v>1037</v>
      </c>
      <c r="F103" s="639" t="s">
        <v>984</v>
      </c>
      <c r="G103" s="639" t="s">
        <v>1041</v>
      </c>
      <c r="H103" s="705">
        <v>4</v>
      </c>
      <c r="I103" s="721">
        <f>+(2.2+1.8)*2*2.1</f>
        <v>16.8</v>
      </c>
      <c r="J103" s="722" t="s">
        <v>982</v>
      </c>
      <c r="K103" s="722"/>
      <c r="L103" s="723">
        <f t="shared" si="6"/>
        <v>0</v>
      </c>
      <c r="M103" s="723">
        <f t="shared" si="7"/>
        <v>0</v>
      </c>
      <c r="N103" s="723">
        <f t="shared" si="8"/>
        <v>0</v>
      </c>
    </row>
    <row r="104" spans="1:14">
      <c r="A104" s="639" t="s">
        <v>68</v>
      </c>
      <c r="B104" s="718">
        <v>111</v>
      </c>
      <c r="C104" s="719" t="s">
        <v>156</v>
      </c>
      <c r="D104" s="718">
        <f>VLOOKUP(B104,'2-Kosten per locatie'!$A$13:$C$88,3,FALSE)</f>
        <v>2</v>
      </c>
      <c r="E104" s="720" t="s">
        <v>1037</v>
      </c>
      <c r="F104" s="639" t="s">
        <v>986</v>
      </c>
      <c r="G104" s="639" t="s">
        <v>1041</v>
      </c>
      <c r="H104" s="705">
        <v>4</v>
      </c>
      <c r="I104" s="721">
        <f>+(2.2+1.8)*2*2.1</f>
        <v>16.8</v>
      </c>
      <c r="J104" s="722" t="s">
        <v>982</v>
      </c>
      <c r="K104" s="722"/>
      <c r="L104" s="723">
        <f t="shared" si="6"/>
        <v>0</v>
      </c>
      <c r="M104" s="723">
        <f t="shared" si="7"/>
        <v>0</v>
      </c>
      <c r="N104" s="723">
        <f t="shared" si="8"/>
        <v>0</v>
      </c>
    </row>
    <row r="105" spans="1:14">
      <c r="A105" s="639" t="s">
        <v>68</v>
      </c>
      <c r="B105" s="718">
        <v>111</v>
      </c>
      <c r="C105" s="719" t="s">
        <v>156</v>
      </c>
      <c r="D105" s="718">
        <f>VLOOKUP(B105,'2-Kosten per locatie'!$A$13:$C$88,3,FALSE)</f>
        <v>2</v>
      </c>
      <c r="E105" s="720" t="s">
        <v>1037</v>
      </c>
      <c r="F105" s="639" t="s">
        <v>971</v>
      </c>
      <c r="G105" s="639" t="s">
        <v>1042</v>
      </c>
      <c r="H105" s="705">
        <v>4</v>
      </c>
      <c r="I105" s="721">
        <f>3*0.9</f>
        <v>2.7</v>
      </c>
      <c r="J105" s="722" t="s">
        <v>982</v>
      </c>
      <c r="K105" s="722"/>
      <c r="L105" s="723">
        <f t="shared" si="6"/>
        <v>0</v>
      </c>
      <c r="M105" s="723">
        <f t="shared" si="7"/>
        <v>0</v>
      </c>
      <c r="N105" s="723">
        <f t="shared" si="8"/>
        <v>0</v>
      </c>
    </row>
    <row r="106" spans="1:14">
      <c r="A106" s="639" t="s">
        <v>68</v>
      </c>
      <c r="B106" s="718">
        <v>111</v>
      </c>
      <c r="C106" s="719" t="s">
        <v>156</v>
      </c>
      <c r="D106" s="718">
        <f>VLOOKUP(B106,'2-Kosten per locatie'!$A$13:$C$88,3,FALSE)</f>
        <v>2</v>
      </c>
      <c r="E106" s="720" t="s">
        <v>1037</v>
      </c>
      <c r="F106" s="639" t="s">
        <v>977</v>
      </c>
      <c r="G106" s="639" t="s">
        <v>1042</v>
      </c>
      <c r="H106" s="705">
        <v>4</v>
      </c>
      <c r="I106" s="721">
        <f>3*0.9</f>
        <v>2.7</v>
      </c>
      <c r="J106" s="722" t="s">
        <v>982</v>
      </c>
      <c r="K106" s="722"/>
      <c r="L106" s="723">
        <f t="shared" si="6"/>
        <v>0</v>
      </c>
      <c r="M106" s="723">
        <f t="shared" si="7"/>
        <v>0</v>
      </c>
      <c r="N106" s="723">
        <f t="shared" si="8"/>
        <v>0</v>
      </c>
    </row>
    <row r="107" spans="1:14">
      <c r="A107" s="639" t="s">
        <v>68</v>
      </c>
      <c r="B107" s="718">
        <v>111</v>
      </c>
      <c r="C107" s="726" t="s">
        <v>156</v>
      </c>
      <c r="D107" s="718">
        <f>VLOOKUP(B107,'2-Kosten per locatie'!$A$13:$C$88,3,FALSE)</f>
        <v>2</v>
      </c>
      <c r="E107" s="720" t="s">
        <v>1037</v>
      </c>
      <c r="F107" s="639" t="s">
        <v>971</v>
      </c>
      <c r="G107" s="639" t="s">
        <v>1043</v>
      </c>
      <c r="H107" s="705">
        <v>4</v>
      </c>
      <c r="I107" s="721">
        <f>3.3*1.2+4.65*1.2</f>
        <v>9.5399999999999991</v>
      </c>
      <c r="J107" s="722" t="s">
        <v>982</v>
      </c>
      <c r="K107" s="722"/>
      <c r="L107" s="723">
        <f t="shared" si="6"/>
        <v>0</v>
      </c>
      <c r="M107" s="723">
        <f t="shared" si="7"/>
        <v>0</v>
      </c>
      <c r="N107" s="723">
        <f t="shared" si="8"/>
        <v>0</v>
      </c>
    </row>
    <row r="108" spans="1:14">
      <c r="A108" s="639" t="s">
        <v>68</v>
      </c>
      <c r="B108" s="718">
        <v>111</v>
      </c>
      <c r="C108" s="726" t="s">
        <v>156</v>
      </c>
      <c r="D108" s="718">
        <f>VLOOKUP(B108,'2-Kosten per locatie'!$A$13:$C$88,3,FALSE)</f>
        <v>2</v>
      </c>
      <c r="E108" s="720" t="s">
        <v>1037</v>
      </c>
      <c r="F108" s="639" t="s">
        <v>977</v>
      </c>
      <c r="G108" s="639" t="s">
        <v>1043</v>
      </c>
      <c r="H108" s="705">
        <v>4</v>
      </c>
      <c r="I108" s="721">
        <f>3.3*1.2+4.65*1.2</f>
        <v>9.5399999999999991</v>
      </c>
      <c r="J108" s="722" t="s">
        <v>982</v>
      </c>
      <c r="K108" s="722"/>
      <c r="L108" s="723">
        <f t="shared" si="6"/>
        <v>0</v>
      </c>
      <c r="M108" s="723">
        <f t="shared" si="7"/>
        <v>0</v>
      </c>
      <c r="N108" s="723">
        <f t="shared" si="8"/>
        <v>0</v>
      </c>
    </row>
    <row r="109" spans="1:14">
      <c r="A109" s="639" t="s">
        <v>68</v>
      </c>
      <c r="B109" s="718">
        <v>111</v>
      </c>
      <c r="C109" s="726" t="s">
        <v>156</v>
      </c>
      <c r="D109" s="718">
        <f>VLOOKUP(B109,'2-Kosten per locatie'!$A$13:$C$88,3,FALSE)</f>
        <v>2</v>
      </c>
      <c r="E109" s="725"/>
      <c r="F109" s="639" t="s">
        <v>966</v>
      </c>
      <c r="G109" s="639" t="s">
        <v>991</v>
      </c>
      <c r="H109" s="705">
        <v>26</v>
      </c>
      <c r="I109" s="721">
        <v>84</v>
      </c>
      <c r="J109" s="722" t="s">
        <v>982</v>
      </c>
      <c r="K109" s="722" t="s">
        <v>992</v>
      </c>
      <c r="L109" s="723">
        <f t="shared" si="6"/>
        <v>0</v>
      </c>
      <c r="M109" s="723">
        <f t="shared" si="7"/>
        <v>0</v>
      </c>
      <c r="N109" s="723">
        <f t="shared" si="8"/>
        <v>0</v>
      </c>
    </row>
    <row r="110" spans="1:14">
      <c r="A110" s="639" t="s">
        <v>69</v>
      </c>
      <c r="B110" s="718">
        <v>112</v>
      </c>
      <c r="C110" s="726" t="s">
        <v>156</v>
      </c>
      <c r="D110" s="718">
        <f>VLOOKUP(B110,'2-Kosten per locatie'!$A$13:$C$88,3,FALSE)</f>
        <v>2</v>
      </c>
      <c r="E110" s="720" t="s">
        <v>506</v>
      </c>
      <c r="F110" s="639" t="s">
        <v>977</v>
      </c>
      <c r="G110" s="639" t="s">
        <v>1023</v>
      </c>
      <c r="H110" s="705">
        <v>2</v>
      </c>
      <c r="I110" s="721">
        <f>(1.7+1.6+3+9.1)*3.15</f>
        <v>48.509999999999991</v>
      </c>
      <c r="J110" s="722" t="s">
        <v>968</v>
      </c>
      <c r="K110" s="722"/>
      <c r="L110" s="723">
        <f t="shared" si="6"/>
        <v>0</v>
      </c>
      <c r="M110" s="723">
        <f t="shared" si="7"/>
        <v>0</v>
      </c>
      <c r="N110" s="723">
        <f t="shared" si="8"/>
        <v>0</v>
      </c>
    </row>
    <row r="111" spans="1:14">
      <c r="A111" s="639" t="s">
        <v>69</v>
      </c>
      <c r="B111" s="718">
        <v>112</v>
      </c>
      <c r="C111" s="726" t="s">
        <v>156</v>
      </c>
      <c r="D111" s="718">
        <f>VLOOKUP(B111,'2-Kosten per locatie'!$A$13:$C$88,3,FALSE)</f>
        <v>2</v>
      </c>
      <c r="E111" s="720" t="s">
        <v>506</v>
      </c>
      <c r="F111" s="639" t="s">
        <v>971</v>
      </c>
      <c r="G111" s="639" t="s">
        <v>1023</v>
      </c>
      <c r="H111" s="705">
        <v>2</v>
      </c>
      <c r="I111" s="721">
        <f>(1.7+1.6+3+9.1)*3.15</f>
        <v>48.509999999999991</v>
      </c>
      <c r="J111" s="722" t="s">
        <v>982</v>
      </c>
      <c r="K111" s="722"/>
      <c r="L111" s="723">
        <f t="shared" si="6"/>
        <v>0</v>
      </c>
      <c r="M111" s="723">
        <f t="shared" si="7"/>
        <v>0</v>
      </c>
      <c r="N111" s="723">
        <f t="shared" si="8"/>
        <v>0</v>
      </c>
    </row>
    <row r="112" spans="1:14">
      <c r="A112" s="639" t="s">
        <v>69</v>
      </c>
      <c r="B112" s="718">
        <v>112</v>
      </c>
      <c r="C112" s="726" t="s">
        <v>156</v>
      </c>
      <c r="D112" s="718">
        <f>VLOOKUP(B112,'2-Kosten per locatie'!$A$13:$C$88,3,FALSE)</f>
        <v>2</v>
      </c>
      <c r="E112" s="720" t="s">
        <v>1044</v>
      </c>
      <c r="F112" s="639" t="s">
        <v>977</v>
      </c>
      <c r="G112" s="639" t="s">
        <v>1023</v>
      </c>
      <c r="H112" s="705">
        <v>2</v>
      </c>
      <c r="I112" s="721">
        <f>(2.6+6.6)*3.15-2+6*2.5</f>
        <v>41.98</v>
      </c>
      <c r="J112" s="722" t="s">
        <v>968</v>
      </c>
      <c r="K112" s="722"/>
      <c r="L112" s="723">
        <f t="shared" si="6"/>
        <v>0</v>
      </c>
      <c r="M112" s="723">
        <f t="shared" si="7"/>
        <v>0</v>
      </c>
      <c r="N112" s="723">
        <f t="shared" si="8"/>
        <v>0</v>
      </c>
    </row>
    <row r="113" spans="1:14">
      <c r="A113" s="639" t="s">
        <v>69</v>
      </c>
      <c r="B113" s="718">
        <v>112</v>
      </c>
      <c r="C113" s="726" t="s">
        <v>156</v>
      </c>
      <c r="D113" s="718">
        <f>VLOOKUP(B113,'2-Kosten per locatie'!$A$13:$C$88,3,FALSE)</f>
        <v>2</v>
      </c>
      <c r="E113" s="720" t="s">
        <v>1044</v>
      </c>
      <c r="F113" s="639" t="s">
        <v>971</v>
      </c>
      <c r="G113" s="639" t="s">
        <v>1023</v>
      </c>
      <c r="H113" s="705">
        <v>2</v>
      </c>
      <c r="I113" s="721">
        <f>(2.6+6.6)*3.15-2+6*2.5</f>
        <v>41.98</v>
      </c>
      <c r="J113" s="722" t="s">
        <v>982</v>
      </c>
      <c r="K113" s="722"/>
      <c r="L113" s="723">
        <f t="shared" si="6"/>
        <v>0</v>
      </c>
      <c r="M113" s="723">
        <f t="shared" si="7"/>
        <v>0</v>
      </c>
      <c r="N113" s="723">
        <f t="shared" si="8"/>
        <v>0</v>
      </c>
    </row>
    <row r="114" spans="1:14">
      <c r="A114" s="639" t="s">
        <v>69</v>
      </c>
      <c r="B114" s="718">
        <v>112</v>
      </c>
      <c r="C114" s="726" t="s">
        <v>156</v>
      </c>
      <c r="D114" s="718">
        <f>VLOOKUP(B114,'2-Kosten per locatie'!$A$13:$C$88,3,FALSE)</f>
        <v>2</v>
      </c>
      <c r="E114" s="720" t="s">
        <v>506</v>
      </c>
      <c r="F114" s="639" t="s">
        <v>979</v>
      </c>
      <c r="G114" s="639" t="s">
        <v>1024</v>
      </c>
      <c r="H114" s="705">
        <v>2</v>
      </c>
      <c r="I114" s="721">
        <f>6.6*5</f>
        <v>33</v>
      </c>
      <c r="J114" s="722" t="s">
        <v>968</v>
      </c>
      <c r="K114" s="722" t="s">
        <v>1025</v>
      </c>
      <c r="L114" s="723">
        <f t="shared" si="6"/>
        <v>0</v>
      </c>
      <c r="M114" s="723">
        <f t="shared" si="7"/>
        <v>0</v>
      </c>
      <c r="N114" s="723">
        <f t="shared" si="8"/>
        <v>0</v>
      </c>
    </row>
    <row r="115" spans="1:14">
      <c r="A115" s="639" t="s">
        <v>69</v>
      </c>
      <c r="B115" s="718">
        <v>112</v>
      </c>
      <c r="C115" s="726" t="s">
        <v>156</v>
      </c>
      <c r="D115" s="718">
        <f>VLOOKUP(B115,'2-Kosten per locatie'!$A$13:$C$88,3,FALSE)</f>
        <v>2</v>
      </c>
      <c r="E115" s="720" t="s">
        <v>506</v>
      </c>
      <c r="F115" s="639" t="s">
        <v>979</v>
      </c>
      <c r="G115" s="639" t="s">
        <v>1026</v>
      </c>
      <c r="H115" s="705">
        <v>2</v>
      </c>
      <c r="I115" s="721">
        <f>6.6*3.2</f>
        <v>21.12</v>
      </c>
      <c r="J115" s="722" t="s">
        <v>968</v>
      </c>
      <c r="K115" s="722" t="s">
        <v>1025</v>
      </c>
      <c r="L115" s="723">
        <f t="shared" si="6"/>
        <v>0</v>
      </c>
      <c r="M115" s="723">
        <f t="shared" si="7"/>
        <v>0</v>
      </c>
      <c r="N115" s="723">
        <f t="shared" si="8"/>
        <v>0</v>
      </c>
    </row>
    <row r="116" spans="1:14">
      <c r="A116" s="639" t="s">
        <v>69</v>
      </c>
      <c r="B116" s="718">
        <v>112</v>
      </c>
      <c r="C116" s="726" t="s">
        <v>156</v>
      </c>
      <c r="D116" s="718">
        <f>VLOOKUP(B116,'2-Kosten per locatie'!$A$13:$C$88,3,FALSE)</f>
        <v>2</v>
      </c>
      <c r="E116" s="720" t="s">
        <v>506</v>
      </c>
      <c r="F116" s="639" t="s">
        <v>977</v>
      </c>
      <c r="G116" s="639" t="s">
        <v>1027</v>
      </c>
      <c r="H116" s="705">
        <v>2</v>
      </c>
      <c r="I116" s="721">
        <f>6.2*3.1*2</f>
        <v>38.440000000000005</v>
      </c>
      <c r="J116" s="722" t="s">
        <v>968</v>
      </c>
      <c r="K116" s="722"/>
      <c r="L116" s="723">
        <f t="shared" si="6"/>
        <v>0</v>
      </c>
      <c r="M116" s="723">
        <f t="shared" si="7"/>
        <v>0</v>
      </c>
      <c r="N116" s="723">
        <f t="shared" si="8"/>
        <v>0</v>
      </c>
    </row>
    <row r="117" spans="1:14">
      <c r="A117" s="639" t="s">
        <v>69</v>
      </c>
      <c r="B117" s="718">
        <v>112</v>
      </c>
      <c r="C117" s="726" t="s">
        <v>156</v>
      </c>
      <c r="D117" s="718">
        <f>VLOOKUP(B117,'2-Kosten per locatie'!$A$13:$C$88,3,FALSE)</f>
        <v>2</v>
      </c>
      <c r="E117" s="720" t="s">
        <v>506</v>
      </c>
      <c r="F117" s="639" t="s">
        <v>971</v>
      </c>
      <c r="G117" s="639" t="s">
        <v>1027</v>
      </c>
      <c r="H117" s="705">
        <v>2</v>
      </c>
      <c r="I117" s="721">
        <f>6.2*3.1*2</f>
        <v>38.440000000000005</v>
      </c>
      <c r="J117" s="722" t="s">
        <v>982</v>
      </c>
      <c r="K117" s="722"/>
      <c r="L117" s="723">
        <f t="shared" si="6"/>
        <v>0</v>
      </c>
      <c r="M117" s="723">
        <f t="shared" si="7"/>
        <v>0</v>
      </c>
      <c r="N117" s="723">
        <f t="shared" si="8"/>
        <v>0</v>
      </c>
    </row>
    <row r="118" spans="1:14">
      <c r="A118" s="639" t="s">
        <v>69</v>
      </c>
      <c r="B118" s="718">
        <v>112</v>
      </c>
      <c r="C118" s="726" t="s">
        <v>156</v>
      </c>
      <c r="D118" s="718">
        <f>VLOOKUP(B118,'2-Kosten per locatie'!$A$13:$C$88,3,FALSE)</f>
        <v>2</v>
      </c>
      <c r="E118" s="720" t="s">
        <v>506</v>
      </c>
      <c r="F118" s="639" t="s">
        <v>977</v>
      </c>
      <c r="G118" s="639" t="s">
        <v>1028</v>
      </c>
      <c r="H118" s="705">
        <v>2</v>
      </c>
      <c r="I118" s="721">
        <f>1.95*2.15*2</f>
        <v>8.3849999999999998</v>
      </c>
      <c r="J118" s="722" t="s">
        <v>968</v>
      </c>
      <c r="K118" s="722"/>
      <c r="L118" s="723">
        <f t="shared" si="6"/>
        <v>0</v>
      </c>
      <c r="M118" s="723">
        <f t="shared" si="7"/>
        <v>0</v>
      </c>
      <c r="N118" s="723">
        <f t="shared" si="8"/>
        <v>0</v>
      </c>
    </row>
    <row r="119" spans="1:14">
      <c r="A119" s="639" t="s">
        <v>69</v>
      </c>
      <c r="B119" s="718">
        <v>112</v>
      </c>
      <c r="C119" s="726" t="s">
        <v>156</v>
      </c>
      <c r="D119" s="718">
        <f>VLOOKUP(B119,'2-Kosten per locatie'!$A$13:$C$88,3,FALSE)</f>
        <v>2</v>
      </c>
      <c r="E119" s="720" t="s">
        <v>506</v>
      </c>
      <c r="F119" s="639" t="s">
        <v>971</v>
      </c>
      <c r="G119" s="639" t="s">
        <v>1028</v>
      </c>
      <c r="H119" s="705">
        <v>2</v>
      </c>
      <c r="I119" s="721">
        <f>1.95*2.15*2</f>
        <v>8.3849999999999998</v>
      </c>
      <c r="J119" s="722" t="s">
        <v>982</v>
      </c>
      <c r="K119" s="722"/>
      <c r="L119" s="723">
        <f t="shared" si="6"/>
        <v>0</v>
      </c>
      <c r="M119" s="723">
        <f t="shared" si="7"/>
        <v>0</v>
      </c>
      <c r="N119" s="723">
        <f t="shared" si="8"/>
        <v>0</v>
      </c>
    </row>
    <row r="120" spans="1:14">
      <c r="A120" s="639" t="s">
        <v>69</v>
      </c>
      <c r="B120" s="718">
        <v>112</v>
      </c>
      <c r="C120" s="726" t="s">
        <v>156</v>
      </c>
      <c r="D120" s="718">
        <f>VLOOKUP(B120,'2-Kosten per locatie'!$A$13:$C$88,3,FALSE)</f>
        <v>2</v>
      </c>
      <c r="E120" s="720" t="s">
        <v>506</v>
      </c>
      <c r="F120" s="639" t="s">
        <v>975</v>
      </c>
      <c r="G120" s="639" t="s">
        <v>1029</v>
      </c>
      <c r="H120" s="705">
        <v>2</v>
      </c>
      <c r="I120" s="721">
        <f>+(1.35+0.65)*12</f>
        <v>24</v>
      </c>
      <c r="J120" s="722" t="s">
        <v>968</v>
      </c>
      <c r="K120" s="722" t="s">
        <v>1030</v>
      </c>
      <c r="L120" s="723">
        <f t="shared" si="6"/>
        <v>0</v>
      </c>
      <c r="M120" s="723">
        <f t="shared" si="7"/>
        <v>0</v>
      </c>
      <c r="N120" s="723">
        <f t="shared" si="8"/>
        <v>0</v>
      </c>
    </row>
    <row r="121" spans="1:14">
      <c r="A121" s="639" t="s">
        <v>69</v>
      </c>
      <c r="B121" s="718">
        <v>112</v>
      </c>
      <c r="C121" s="726" t="s">
        <v>156</v>
      </c>
      <c r="D121" s="718">
        <f>VLOOKUP(B121,'2-Kosten per locatie'!$A$13:$C$88,3,FALSE)</f>
        <v>2</v>
      </c>
      <c r="E121" s="720" t="s">
        <v>506</v>
      </c>
      <c r="F121" s="639" t="s">
        <v>969</v>
      </c>
      <c r="G121" s="639" t="s">
        <v>1029</v>
      </c>
      <c r="H121" s="705">
        <v>2</v>
      </c>
      <c r="I121" s="721">
        <f>+(1.35+0.65)*12</f>
        <v>24</v>
      </c>
      <c r="J121" s="722" t="s">
        <v>968</v>
      </c>
      <c r="K121" s="722" t="s">
        <v>1030</v>
      </c>
      <c r="L121" s="723">
        <f t="shared" si="6"/>
        <v>0</v>
      </c>
      <c r="M121" s="723">
        <f t="shared" si="7"/>
        <v>0</v>
      </c>
      <c r="N121" s="723">
        <f t="shared" si="8"/>
        <v>0</v>
      </c>
    </row>
    <row r="122" spans="1:14">
      <c r="A122" s="639" t="s">
        <v>69</v>
      </c>
      <c r="B122" s="718">
        <v>112</v>
      </c>
      <c r="C122" s="726" t="s">
        <v>156</v>
      </c>
      <c r="D122" s="718">
        <f>VLOOKUP(B122,'2-Kosten per locatie'!$A$13:$C$88,3,FALSE)</f>
        <v>2</v>
      </c>
      <c r="E122" s="720" t="s">
        <v>506</v>
      </c>
      <c r="F122" s="639" t="s">
        <v>980</v>
      </c>
      <c r="G122" s="639" t="s">
        <v>981</v>
      </c>
      <c r="H122" s="705">
        <v>2</v>
      </c>
      <c r="I122" s="721">
        <v>7.45</v>
      </c>
      <c r="J122" s="722" t="s">
        <v>982</v>
      </c>
      <c r="K122" s="722" t="s">
        <v>1031</v>
      </c>
      <c r="L122" s="723">
        <f t="shared" si="6"/>
        <v>0</v>
      </c>
      <c r="M122" s="723">
        <f t="shared" si="7"/>
        <v>0</v>
      </c>
      <c r="N122" s="723">
        <f t="shared" si="8"/>
        <v>0</v>
      </c>
    </row>
    <row r="123" spans="1:14">
      <c r="A123" s="639" t="s">
        <v>69</v>
      </c>
      <c r="B123" s="718">
        <v>112</v>
      </c>
      <c r="C123" s="726" t="s">
        <v>156</v>
      </c>
      <c r="D123" s="718">
        <f>VLOOKUP(B123,'2-Kosten per locatie'!$A$13:$C$88,3,FALSE)</f>
        <v>2</v>
      </c>
      <c r="E123" s="720" t="s">
        <v>506</v>
      </c>
      <c r="F123" s="639" t="s">
        <v>983</v>
      </c>
      <c r="G123" s="639" t="s">
        <v>981</v>
      </c>
      <c r="H123" s="705">
        <v>2</v>
      </c>
      <c r="I123" s="721">
        <v>7.45</v>
      </c>
      <c r="J123" s="722" t="s">
        <v>968</v>
      </c>
      <c r="K123" s="722" t="s">
        <v>1031</v>
      </c>
      <c r="L123" s="723">
        <f t="shared" si="6"/>
        <v>0</v>
      </c>
      <c r="M123" s="723">
        <f t="shared" si="7"/>
        <v>0</v>
      </c>
      <c r="N123" s="723">
        <f t="shared" si="8"/>
        <v>0</v>
      </c>
    </row>
    <row r="124" spans="1:14">
      <c r="A124" s="639" t="s">
        <v>69</v>
      </c>
      <c r="B124" s="718">
        <v>112</v>
      </c>
      <c r="C124" s="726" t="s">
        <v>156</v>
      </c>
      <c r="D124" s="718">
        <f>VLOOKUP(B124,'2-Kosten per locatie'!$A$13:$C$88,3,FALSE)</f>
        <v>2</v>
      </c>
      <c r="E124" s="720" t="s">
        <v>582</v>
      </c>
      <c r="F124" s="639" t="s">
        <v>972</v>
      </c>
      <c r="G124" s="639" t="s">
        <v>1032</v>
      </c>
      <c r="H124" s="705">
        <v>2</v>
      </c>
      <c r="I124" s="721">
        <v>2</v>
      </c>
      <c r="J124" s="722" t="s">
        <v>982</v>
      </c>
      <c r="K124" s="722"/>
      <c r="L124" s="723">
        <f t="shared" si="6"/>
        <v>0</v>
      </c>
      <c r="M124" s="723">
        <f t="shared" si="7"/>
        <v>0</v>
      </c>
      <c r="N124" s="723">
        <f t="shared" si="8"/>
        <v>0</v>
      </c>
    </row>
    <row r="125" spans="1:14">
      <c r="A125" s="639" t="s">
        <v>69</v>
      </c>
      <c r="B125" s="718">
        <v>112</v>
      </c>
      <c r="C125" s="726" t="s">
        <v>156</v>
      </c>
      <c r="D125" s="718">
        <f>VLOOKUP(B125,'2-Kosten per locatie'!$A$13:$C$88,3,FALSE)</f>
        <v>2</v>
      </c>
      <c r="E125" s="720" t="s">
        <v>582</v>
      </c>
      <c r="F125" s="639" t="s">
        <v>976</v>
      </c>
      <c r="G125" s="639" t="s">
        <v>1032</v>
      </c>
      <c r="H125" s="705">
        <v>2</v>
      </c>
      <c r="I125" s="721">
        <v>2</v>
      </c>
      <c r="J125" s="722" t="s">
        <v>968</v>
      </c>
      <c r="K125" s="722"/>
      <c r="L125" s="723">
        <f t="shared" si="6"/>
        <v>0</v>
      </c>
      <c r="M125" s="723">
        <f t="shared" si="7"/>
        <v>0</v>
      </c>
      <c r="N125" s="723">
        <f t="shared" si="8"/>
        <v>0</v>
      </c>
    </row>
    <row r="126" spans="1:14">
      <c r="A126" s="639" t="s">
        <v>69</v>
      </c>
      <c r="B126" s="718">
        <v>112</v>
      </c>
      <c r="C126" s="726" t="s">
        <v>156</v>
      </c>
      <c r="D126" s="718">
        <f>VLOOKUP(B126,'2-Kosten per locatie'!$A$13:$C$88,3,FALSE)</f>
        <v>2</v>
      </c>
      <c r="E126" s="720" t="s">
        <v>505</v>
      </c>
      <c r="F126" s="639" t="s">
        <v>977</v>
      </c>
      <c r="G126" s="639" t="s">
        <v>1033</v>
      </c>
      <c r="H126" s="705">
        <v>2</v>
      </c>
      <c r="I126" s="721">
        <f>+(1.6+2+4.3+8.3+1+1.5)*3.15-2</f>
        <v>56.905000000000008</v>
      </c>
      <c r="J126" s="722" t="s">
        <v>968</v>
      </c>
      <c r="K126" s="722"/>
      <c r="L126" s="723">
        <f t="shared" si="6"/>
        <v>0</v>
      </c>
      <c r="M126" s="723">
        <f t="shared" si="7"/>
        <v>0</v>
      </c>
      <c r="N126" s="723">
        <f t="shared" si="8"/>
        <v>0</v>
      </c>
    </row>
    <row r="127" spans="1:14">
      <c r="A127" s="639" t="s">
        <v>69</v>
      </c>
      <c r="B127" s="718">
        <v>112</v>
      </c>
      <c r="C127" s="726" t="s">
        <v>156</v>
      </c>
      <c r="D127" s="718">
        <f>VLOOKUP(B127,'2-Kosten per locatie'!$A$13:$C$88,3,FALSE)</f>
        <v>2</v>
      </c>
      <c r="E127" s="720" t="s">
        <v>505</v>
      </c>
      <c r="F127" s="639" t="s">
        <v>971</v>
      </c>
      <c r="G127" s="639" t="s">
        <v>1033</v>
      </c>
      <c r="H127" s="705">
        <v>2</v>
      </c>
      <c r="I127" s="721">
        <f>+(1.6+2+4.3+8.3+1+1.5)*3.15-2</f>
        <v>56.905000000000008</v>
      </c>
      <c r="J127" s="722" t="s">
        <v>982</v>
      </c>
      <c r="K127" s="722"/>
      <c r="L127" s="723">
        <f t="shared" si="6"/>
        <v>0</v>
      </c>
      <c r="M127" s="723">
        <f t="shared" si="7"/>
        <v>0</v>
      </c>
      <c r="N127" s="723">
        <f t="shared" si="8"/>
        <v>0</v>
      </c>
    </row>
    <row r="128" spans="1:14">
      <c r="A128" s="639" t="s">
        <v>69</v>
      </c>
      <c r="B128" s="718">
        <v>112</v>
      </c>
      <c r="C128" s="726" t="s">
        <v>156</v>
      </c>
      <c r="D128" s="718">
        <f>VLOOKUP(B128,'2-Kosten per locatie'!$A$13:$C$88,3,FALSE)</f>
        <v>2</v>
      </c>
      <c r="E128" s="720" t="s">
        <v>1037</v>
      </c>
      <c r="F128" s="639" t="s">
        <v>977</v>
      </c>
      <c r="G128" s="639" t="s">
        <v>1033</v>
      </c>
      <c r="H128" s="705">
        <v>2</v>
      </c>
      <c r="I128" s="721">
        <f>(2.75+4+2+4)*3.15+5*2.1</f>
        <v>50.662500000000001</v>
      </c>
      <c r="J128" s="722" t="s">
        <v>968</v>
      </c>
      <c r="K128" s="722" t="s">
        <v>1045</v>
      </c>
      <c r="L128" s="723">
        <f t="shared" si="6"/>
        <v>0</v>
      </c>
      <c r="M128" s="723">
        <f t="shared" si="7"/>
        <v>0</v>
      </c>
      <c r="N128" s="723">
        <f t="shared" si="8"/>
        <v>0</v>
      </c>
    </row>
    <row r="129" spans="1:14">
      <c r="A129" s="639" t="s">
        <v>69</v>
      </c>
      <c r="B129" s="718">
        <v>112</v>
      </c>
      <c r="C129" s="726" t="s">
        <v>156</v>
      </c>
      <c r="D129" s="718">
        <f>VLOOKUP(B129,'2-Kosten per locatie'!$A$13:$C$88,3,FALSE)</f>
        <v>2</v>
      </c>
      <c r="E129" s="720" t="s">
        <v>1037</v>
      </c>
      <c r="F129" s="639" t="s">
        <v>971</v>
      </c>
      <c r="G129" s="639" t="s">
        <v>1033</v>
      </c>
      <c r="H129" s="705">
        <v>2</v>
      </c>
      <c r="I129" s="721">
        <f>(2.75+4+2+4)*3.15+5*2.1</f>
        <v>50.662500000000001</v>
      </c>
      <c r="J129" s="722" t="s">
        <v>982</v>
      </c>
      <c r="K129" s="722" t="s">
        <v>1045</v>
      </c>
      <c r="L129" s="723">
        <f t="shared" si="6"/>
        <v>0</v>
      </c>
      <c r="M129" s="723">
        <f t="shared" si="7"/>
        <v>0</v>
      </c>
      <c r="N129" s="723">
        <f t="shared" si="8"/>
        <v>0</v>
      </c>
    </row>
    <row r="130" spans="1:14">
      <c r="A130" s="639" t="s">
        <v>69</v>
      </c>
      <c r="B130" s="718">
        <v>112</v>
      </c>
      <c r="C130" s="726" t="s">
        <v>156</v>
      </c>
      <c r="D130" s="718">
        <f>VLOOKUP(B130,'2-Kosten per locatie'!$A$13:$C$88,3,FALSE)</f>
        <v>2</v>
      </c>
      <c r="E130" s="720" t="s">
        <v>505</v>
      </c>
      <c r="F130" s="639" t="s">
        <v>979</v>
      </c>
      <c r="G130" s="639" t="s">
        <v>1024</v>
      </c>
      <c r="H130" s="705">
        <v>2</v>
      </c>
      <c r="I130" s="721">
        <f>6.6*5</f>
        <v>33</v>
      </c>
      <c r="J130" s="722" t="s">
        <v>968</v>
      </c>
      <c r="K130" s="722" t="s">
        <v>1025</v>
      </c>
      <c r="L130" s="723">
        <f t="shared" si="6"/>
        <v>0</v>
      </c>
      <c r="M130" s="723">
        <f t="shared" si="7"/>
        <v>0</v>
      </c>
      <c r="N130" s="723">
        <f t="shared" si="8"/>
        <v>0</v>
      </c>
    </row>
    <row r="131" spans="1:14">
      <c r="A131" s="639" t="s">
        <v>69</v>
      </c>
      <c r="B131" s="718">
        <v>112</v>
      </c>
      <c r="C131" s="726" t="s">
        <v>156</v>
      </c>
      <c r="D131" s="718">
        <f>VLOOKUP(B131,'2-Kosten per locatie'!$A$13:$C$88,3,FALSE)</f>
        <v>2</v>
      </c>
      <c r="E131" s="720" t="s">
        <v>505</v>
      </c>
      <c r="F131" s="639" t="s">
        <v>979</v>
      </c>
      <c r="G131" s="639" t="s">
        <v>1026</v>
      </c>
      <c r="H131" s="705">
        <v>2</v>
      </c>
      <c r="I131" s="721">
        <f>6.6*3.1</f>
        <v>20.46</v>
      </c>
      <c r="J131" s="722" t="s">
        <v>968</v>
      </c>
      <c r="K131" s="722" t="s">
        <v>1025</v>
      </c>
      <c r="L131" s="723">
        <f t="shared" si="6"/>
        <v>0</v>
      </c>
      <c r="M131" s="723">
        <f t="shared" si="7"/>
        <v>0</v>
      </c>
      <c r="N131" s="723">
        <f t="shared" si="8"/>
        <v>0</v>
      </c>
    </row>
    <row r="132" spans="1:14">
      <c r="A132" s="639" t="s">
        <v>69</v>
      </c>
      <c r="B132" s="718">
        <v>112</v>
      </c>
      <c r="C132" s="726" t="s">
        <v>156</v>
      </c>
      <c r="D132" s="718">
        <f>VLOOKUP(B132,'2-Kosten per locatie'!$A$13:$C$88,3,FALSE)</f>
        <v>2</v>
      </c>
      <c r="E132" s="720" t="s">
        <v>505</v>
      </c>
      <c r="F132" s="639" t="s">
        <v>977</v>
      </c>
      <c r="G132" s="639" t="s">
        <v>1034</v>
      </c>
      <c r="H132" s="705">
        <v>2</v>
      </c>
      <c r="I132" s="721">
        <f>6.2*3.1*2</f>
        <v>38.440000000000005</v>
      </c>
      <c r="J132" s="722" t="s">
        <v>968</v>
      </c>
      <c r="K132" s="722"/>
      <c r="L132" s="723">
        <f t="shared" si="6"/>
        <v>0</v>
      </c>
      <c r="M132" s="723">
        <f t="shared" si="7"/>
        <v>0</v>
      </c>
      <c r="N132" s="723">
        <f t="shared" si="8"/>
        <v>0</v>
      </c>
    </row>
    <row r="133" spans="1:14">
      <c r="A133" s="639" t="s">
        <v>69</v>
      </c>
      <c r="B133" s="718">
        <v>112</v>
      </c>
      <c r="C133" s="726" t="s">
        <v>156</v>
      </c>
      <c r="D133" s="718">
        <f>VLOOKUP(B133,'2-Kosten per locatie'!$A$13:$C$88,3,FALSE)</f>
        <v>2</v>
      </c>
      <c r="E133" s="720" t="s">
        <v>505</v>
      </c>
      <c r="F133" s="639" t="s">
        <v>971</v>
      </c>
      <c r="G133" s="639" t="s">
        <v>1034</v>
      </c>
      <c r="H133" s="705">
        <v>2</v>
      </c>
      <c r="I133" s="721">
        <f>6.2*3.1*2</f>
        <v>38.440000000000005</v>
      </c>
      <c r="J133" s="722" t="s">
        <v>982</v>
      </c>
      <c r="K133" s="722"/>
      <c r="L133" s="723">
        <f t="shared" si="6"/>
        <v>0</v>
      </c>
      <c r="M133" s="723">
        <f t="shared" si="7"/>
        <v>0</v>
      </c>
      <c r="N133" s="723">
        <f t="shared" si="8"/>
        <v>0</v>
      </c>
    </row>
    <row r="134" spans="1:14">
      <c r="A134" s="639" t="s">
        <v>69</v>
      </c>
      <c r="B134" s="718">
        <v>112</v>
      </c>
      <c r="C134" s="726" t="s">
        <v>156</v>
      </c>
      <c r="D134" s="718">
        <f>VLOOKUP(B134,'2-Kosten per locatie'!$A$13:$C$88,3,FALSE)</f>
        <v>2</v>
      </c>
      <c r="E134" s="720" t="s">
        <v>505</v>
      </c>
      <c r="F134" s="639" t="s">
        <v>977</v>
      </c>
      <c r="G134" s="639" t="s">
        <v>1035</v>
      </c>
      <c r="H134" s="705">
        <v>2</v>
      </c>
      <c r="I134" s="721">
        <f>1.95*2.1*2</f>
        <v>8.19</v>
      </c>
      <c r="J134" s="722" t="s">
        <v>968</v>
      </c>
      <c r="K134" s="722"/>
      <c r="L134" s="723">
        <f t="shared" si="6"/>
        <v>0</v>
      </c>
      <c r="M134" s="723">
        <f t="shared" si="7"/>
        <v>0</v>
      </c>
      <c r="N134" s="723">
        <f t="shared" si="8"/>
        <v>0</v>
      </c>
    </row>
    <row r="135" spans="1:14">
      <c r="A135" s="639" t="s">
        <v>69</v>
      </c>
      <c r="B135" s="718">
        <v>112</v>
      </c>
      <c r="C135" s="726" t="s">
        <v>156</v>
      </c>
      <c r="D135" s="718">
        <f>VLOOKUP(B135,'2-Kosten per locatie'!$A$13:$C$88,3,FALSE)</f>
        <v>2</v>
      </c>
      <c r="E135" s="720" t="s">
        <v>505</v>
      </c>
      <c r="F135" s="639" t="s">
        <v>971</v>
      </c>
      <c r="G135" s="639" t="s">
        <v>1035</v>
      </c>
      <c r="H135" s="705">
        <v>2</v>
      </c>
      <c r="I135" s="721">
        <f>1.95*2.1*2</f>
        <v>8.19</v>
      </c>
      <c r="J135" s="722" t="s">
        <v>982</v>
      </c>
      <c r="K135" s="722"/>
      <c r="L135" s="723">
        <f t="shared" si="6"/>
        <v>0</v>
      </c>
      <c r="M135" s="723">
        <f t="shared" si="7"/>
        <v>0</v>
      </c>
      <c r="N135" s="723">
        <f t="shared" si="8"/>
        <v>0</v>
      </c>
    </row>
    <row r="136" spans="1:14">
      <c r="A136" s="639" t="s">
        <v>69</v>
      </c>
      <c r="B136" s="718">
        <v>112</v>
      </c>
      <c r="C136" s="726" t="s">
        <v>156</v>
      </c>
      <c r="D136" s="718">
        <f>VLOOKUP(B136,'2-Kosten per locatie'!$A$13:$C$88,3,FALSE)</f>
        <v>2</v>
      </c>
      <c r="E136" s="720" t="s">
        <v>505</v>
      </c>
      <c r="F136" s="639" t="s">
        <v>975</v>
      </c>
      <c r="G136" s="639" t="s">
        <v>1036</v>
      </c>
      <c r="H136" s="705">
        <v>2</v>
      </c>
      <c r="I136" s="721">
        <f>+(1.35+0.65)*12</f>
        <v>24</v>
      </c>
      <c r="J136" s="722" t="s">
        <v>968</v>
      </c>
      <c r="K136" s="722" t="s">
        <v>1030</v>
      </c>
      <c r="L136" s="723">
        <f t="shared" si="6"/>
        <v>0</v>
      </c>
      <c r="M136" s="723">
        <f t="shared" si="7"/>
        <v>0</v>
      </c>
      <c r="N136" s="723">
        <f t="shared" si="8"/>
        <v>0</v>
      </c>
    </row>
    <row r="137" spans="1:14">
      <c r="A137" s="639" t="s">
        <v>69</v>
      </c>
      <c r="B137" s="718">
        <v>112</v>
      </c>
      <c r="C137" s="726" t="s">
        <v>156</v>
      </c>
      <c r="D137" s="718">
        <f>VLOOKUP(B137,'2-Kosten per locatie'!$A$13:$C$88,3,FALSE)</f>
        <v>2</v>
      </c>
      <c r="E137" s="720" t="s">
        <v>505</v>
      </c>
      <c r="F137" s="639" t="s">
        <v>969</v>
      </c>
      <c r="G137" s="639" t="s">
        <v>1036</v>
      </c>
      <c r="H137" s="705">
        <v>2</v>
      </c>
      <c r="I137" s="721">
        <f>+(1.35+0.65)*12</f>
        <v>24</v>
      </c>
      <c r="J137" s="722" t="s">
        <v>968</v>
      </c>
      <c r="K137" s="722" t="s">
        <v>1030</v>
      </c>
      <c r="L137" s="723">
        <f t="shared" si="6"/>
        <v>0</v>
      </c>
      <c r="M137" s="723">
        <f t="shared" si="7"/>
        <v>0</v>
      </c>
      <c r="N137" s="723">
        <f t="shared" si="8"/>
        <v>0</v>
      </c>
    </row>
    <row r="138" spans="1:14">
      <c r="A138" s="639" t="s">
        <v>69</v>
      </c>
      <c r="B138" s="718">
        <v>112</v>
      </c>
      <c r="C138" s="726" t="s">
        <v>156</v>
      </c>
      <c r="D138" s="718">
        <f>VLOOKUP(B138,'2-Kosten per locatie'!$A$13:$C$88,3,FALSE)</f>
        <v>2</v>
      </c>
      <c r="E138" s="720" t="s">
        <v>505</v>
      </c>
      <c r="F138" s="639" t="s">
        <v>980</v>
      </c>
      <c r="G138" s="639" t="s">
        <v>981</v>
      </c>
      <c r="H138" s="705">
        <v>2</v>
      </c>
      <c r="I138" s="721">
        <v>11.85</v>
      </c>
      <c r="J138" s="722" t="s">
        <v>982</v>
      </c>
      <c r="K138" s="722"/>
      <c r="L138" s="723">
        <f t="shared" si="6"/>
        <v>0</v>
      </c>
      <c r="M138" s="723">
        <f t="shared" si="7"/>
        <v>0</v>
      </c>
      <c r="N138" s="723">
        <f t="shared" si="8"/>
        <v>0</v>
      </c>
    </row>
    <row r="139" spans="1:14">
      <c r="A139" s="639" t="s">
        <v>69</v>
      </c>
      <c r="B139" s="718">
        <v>112</v>
      </c>
      <c r="C139" s="726" t="s">
        <v>156</v>
      </c>
      <c r="D139" s="718">
        <f>VLOOKUP(B139,'2-Kosten per locatie'!$A$13:$C$88,3,FALSE)</f>
        <v>2</v>
      </c>
      <c r="E139" s="720" t="s">
        <v>505</v>
      </c>
      <c r="F139" s="639" t="s">
        <v>983</v>
      </c>
      <c r="G139" s="639" t="s">
        <v>981</v>
      </c>
      <c r="H139" s="705">
        <v>2</v>
      </c>
      <c r="I139" s="721">
        <v>11.85</v>
      </c>
      <c r="J139" s="722" t="s">
        <v>968</v>
      </c>
      <c r="K139" s="722"/>
      <c r="L139" s="723">
        <f t="shared" si="6"/>
        <v>0</v>
      </c>
      <c r="M139" s="723">
        <f t="shared" si="7"/>
        <v>0</v>
      </c>
      <c r="N139" s="723">
        <f t="shared" si="8"/>
        <v>0</v>
      </c>
    </row>
    <row r="140" spans="1:14">
      <c r="A140" s="639" t="s">
        <v>69</v>
      </c>
      <c r="B140" s="718">
        <v>112</v>
      </c>
      <c r="C140" s="726" t="s">
        <v>156</v>
      </c>
      <c r="D140" s="718">
        <f>VLOOKUP(B140,'2-Kosten per locatie'!$A$13:$C$88,3,FALSE)</f>
        <v>2</v>
      </c>
      <c r="E140" s="720" t="s">
        <v>505</v>
      </c>
      <c r="F140" s="639" t="s">
        <v>984</v>
      </c>
      <c r="G140" s="639" t="s">
        <v>985</v>
      </c>
      <c r="H140" s="705">
        <v>2</v>
      </c>
      <c r="I140" s="721">
        <v>1.92</v>
      </c>
      <c r="J140" s="722" t="s">
        <v>982</v>
      </c>
      <c r="K140" s="722"/>
      <c r="L140" s="723">
        <f t="shared" si="6"/>
        <v>0</v>
      </c>
      <c r="M140" s="723">
        <f t="shared" si="7"/>
        <v>0</v>
      </c>
      <c r="N140" s="723">
        <f t="shared" si="8"/>
        <v>0</v>
      </c>
    </row>
    <row r="141" spans="1:14">
      <c r="A141" s="639" t="s">
        <v>69</v>
      </c>
      <c r="B141" s="718">
        <v>112</v>
      </c>
      <c r="C141" s="726" t="s">
        <v>156</v>
      </c>
      <c r="D141" s="718">
        <f>VLOOKUP(B141,'2-Kosten per locatie'!$A$13:$C$88,3,FALSE)</f>
        <v>2</v>
      </c>
      <c r="E141" s="720" t="s">
        <v>505</v>
      </c>
      <c r="F141" s="639" t="s">
        <v>986</v>
      </c>
      <c r="G141" s="639" t="s">
        <v>985</v>
      </c>
      <c r="H141" s="705">
        <v>2</v>
      </c>
      <c r="I141" s="721">
        <v>1.92</v>
      </c>
      <c r="J141" s="722" t="s">
        <v>982</v>
      </c>
      <c r="K141" s="722"/>
      <c r="L141" s="723">
        <f t="shared" si="6"/>
        <v>0</v>
      </c>
      <c r="M141" s="723">
        <f t="shared" si="7"/>
        <v>0</v>
      </c>
      <c r="N141" s="723">
        <f t="shared" si="8"/>
        <v>0</v>
      </c>
    </row>
    <row r="142" spans="1:14">
      <c r="A142" s="639" t="s">
        <v>69</v>
      </c>
      <c r="B142" s="718">
        <v>112</v>
      </c>
      <c r="C142" s="726" t="s">
        <v>156</v>
      </c>
      <c r="D142" s="718">
        <f>VLOOKUP(B142,'2-Kosten per locatie'!$A$13:$C$88,3,FALSE)</f>
        <v>2</v>
      </c>
      <c r="E142" s="725"/>
      <c r="F142" s="639" t="s">
        <v>966</v>
      </c>
      <c r="G142" s="639" t="s">
        <v>991</v>
      </c>
      <c r="H142" s="705">
        <v>26</v>
      </c>
      <c r="I142" s="721">
        <v>28</v>
      </c>
      <c r="J142" s="722" t="s">
        <v>982</v>
      </c>
      <c r="K142" s="722" t="s">
        <v>992</v>
      </c>
      <c r="L142" s="723">
        <f t="shared" ref="L142:L205" si="9">IF(J142="ja",0,VLOOKUP(F142,Glassoort2,2,0))*I142</f>
        <v>0</v>
      </c>
      <c r="M142" s="723">
        <f t="shared" ref="M142:M205" si="10">IF(J142="ja",VLOOKUP(F142,Glassoort2,3,0))*I142</f>
        <v>0</v>
      </c>
      <c r="N142" s="723">
        <f t="shared" ref="N142:N205" si="11">(M142*H142)+(L142*H142)</f>
        <v>0</v>
      </c>
    </row>
    <row r="143" spans="1:14">
      <c r="A143" s="639" t="s">
        <v>70</v>
      </c>
      <c r="B143" s="718">
        <v>113</v>
      </c>
      <c r="C143" s="726" t="s">
        <v>156</v>
      </c>
      <c r="D143" s="718">
        <f>VLOOKUP(B143,'2-Kosten per locatie'!$A$13:$C$88,3,FALSE)</f>
        <v>2</v>
      </c>
      <c r="E143" s="720" t="s">
        <v>505</v>
      </c>
      <c r="F143" s="639" t="s">
        <v>977</v>
      </c>
      <c r="G143" s="639" t="s">
        <v>1023</v>
      </c>
      <c r="H143" s="705">
        <v>2</v>
      </c>
      <c r="I143" s="721">
        <f>+(1.55+2+4.2+8.2+1+1.5)*3.1-2</f>
        <v>55.195</v>
      </c>
      <c r="J143" s="722" t="s">
        <v>968</v>
      </c>
      <c r="K143" s="722"/>
      <c r="L143" s="723">
        <f t="shared" si="9"/>
        <v>0</v>
      </c>
      <c r="M143" s="723">
        <f t="shared" si="10"/>
        <v>0</v>
      </c>
      <c r="N143" s="723">
        <f t="shared" si="11"/>
        <v>0</v>
      </c>
    </row>
    <row r="144" spans="1:14">
      <c r="A144" s="639" t="s">
        <v>70</v>
      </c>
      <c r="B144" s="718">
        <v>113</v>
      </c>
      <c r="C144" s="726" t="s">
        <v>156</v>
      </c>
      <c r="D144" s="718">
        <f>VLOOKUP(B144,'2-Kosten per locatie'!$A$13:$C$88,3,FALSE)</f>
        <v>2</v>
      </c>
      <c r="E144" s="720" t="s">
        <v>505</v>
      </c>
      <c r="F144" s="639" t="s">
        <v>971</v>
      </c>
      <c r="G144" s="639" t="s">
        <v>1023</v>
      </c>
      <c r="H144" s="705">
        <v>2</v>
      </c>
      <c r="I144" s="721">
        <f>+(1.55+2+4.2+8.2+1+1.5)*3.1-2</f>
        <v>55.195</v>
      </c>
      <c r="J144" s="722" t="s">
        <v>968</v>
      </c>
      <c r="K144" s="722"/>
      <c r="L144" s="723">
        <f t="shared" si="9"/>
        <v>0</v>
      </c>
      <c r="M144" s="723">
        <f t="shared" si="10"/>
        <v>0</v>
      </c>
      <c r="N144" s="723">
        <f t="shared" si="11"/>
        <v>0</v>
      </c>
    </row>
    <row r="145" spans="1:14">
      <c r="A145" s="639" t="s">
        <v>70</v>
      </c>
      <c r="B145" s="718">
        <v>113</v>
      </c>
      <c r="C145" s="726" t="s">
        <v>156</v>
      </c>
      <c r="D145" s="718">
        <f>VLOOKUP(B145,'2-Kosten per locatie'!$A$13:$C$88,3,FALSE)</f>
        <v>2</v>
      </c>
      <c r="E145" s="720" t="s">
        <v>509</v>
      </c>
      <c r="F145" s="639" t="s">
        <v>977</v>
      </c>
      <c r="G145" s="639" t="s">
        <v>1023</v>
      </c>
      <c r="H145" s="705">
        <v>2</v>
      </c>
      <c r="I145" s="721">
        <f>(4+2+4+2.8)*3.1+5*2.5</f>
        <v>52.180000000000007</v>
      </c>
      <c r="J145" s="722" t="s">
        <v>968</v>
      </c>
      <c r="K145" s="722"/>
      <c r="L145" s="723">
        <f t="shared" si="9"/>
        <v>0</v>
      </c>
      <c r="M145" s="723">
        <f t="shared" si="10"/>
        <v>0</v>
      </c>
      <c r="N145" s="723">
        <f t="shared" si="11"/>
        <v>0</v>
      </c>
    </row>
    <row r="146" spans="1:14">
      <c r="A146" s="639" t="s">
        <v>70</v>
      </c>
      <c r="B146" s="718">
        <v>113</v>
      </c>
      <c r="C146" s="726" t="s">
        <v>156</v>
      </c>
      <c r="D146" s="718">
        <f>VLOOKUP(B146,'2-Kosten per locatie'!$A$13:$C$88,3,FALSE)</f>
        <v>2</v>
      </c>
      <c r="E146" s="720" t="s">
        <v>509</v>
      </c>
      <c r="F146" s="639" t="s">
        <v>971</v>
      </c>
      <c r="G146" s="639" t="s">
        <v>1023</v>
      </c>
      <c r="H146" s="705">
        <v>2</v>
      </c>
      <c r="I146" s="721">
        <f>(4+2+4+2.8)*3.1+5*2.5</f>
        <v>52.180000000000007</v>
      </c>
      <c r="J146" s="722" t="s">
        <v>982</v>
      </c>
      <c r="K146" s="722"/>
      <c r="L146" s="723">
        <f t="shared" si="9"/>
        <v>0</v>
      </c>
      <c r="M146" s="723">
        <f t="shared" si="10"/>
        <v>0</v>
      </c>
      <c r="N146" s="723">
        <f t="shared" si="11"/>
        <v>0</v>
      </c>
    </row>
    <row r="147" spans="1:14">
      <c r="A147" s="639" t="s">
        <v>70</v>
      </c>
      <c r="B147" s="718">
        <v>113</v>
      </c>
      <c r="C147" s="726" t="s">
        <v>156</v>
      </c>
      <c r="D147" s="718">
        <f>VLOOKUP(B147,'2-Kosten per locatie'!$A$13:$C$88,3,FALSE)</f>
        <v>2</v>
      </c>
      <c r="E147" s="720" t="s">
        <v>505</v>
      </c>
      <c r="F147" s="639" t="s">
        <v>979</v>
      </c>
      <c r="G147" s="639" t="s">
        <v>1024</v>
      </c>
      <c r="H147" s="705">
        <v>2</v>
      </c>
      <c r="I147" s="721">
        <f>6.8*5</f>
        <v>34</v>
      </c>
      <c r="J147" s="722" t="s">
        <v>968</v>
      </c>
      <c r="K147" s="722" t="s">
        <v>1025</v>
      </c>
      <c r="L147" s="723">
        <f t="shared" si="9"/>
        <v>0</v>
      </c>
      <c r="M147" s="723">
        <f t="shared" si="10"/>
        <v>0</v>
      </c>
      <c r="N147" s="723">
        <f t="shared" si="11"/>
        <v>0</v>
      </c>
    </row>
    <row r="148" spans="1:14">
      <c r="A148" s="639" t="s">
        <v>70</v>
      </c>
      <c r="B148" s="718">
        <v>113</v>
      </c>
      <c r="C148" s="726" t="s">
        <v>156</v>
      </c>
      <c r="D148" s="718">
        <f>VLOOKUP(B148,'2-Kosten per locatie'!$A$13:$C$88,3,FALSE)</f>
        <v>2</v>
      </c>
      <c r="E148" s="720" t="s">
        <v>505</v>
      </c>
      <c r="F148" s="639" t="s">
        <v>979</v>
      </c>
      <c r="G148" s="639" t="s">
        <v>1026</v>
      </c>
      <c r="H148" s="705">
        <v>2</v>
      </c>
      <c r="I148" s="721">
        <f>6.6*3.2</f>
        <v>21.12</v>
      </c>
      <c r="J148" s="722" t="s">
        <v>968</v>
      </c>
      <c r="K148" s="722" t="s">
        <v>1025</v>
      </c>
      <c r="L148" s="723">
        <f t="shared" si="9"/>
        <v>0</v>
      </c>
      <c r="M148" s="723">
        <f t="shared" si="10"/>
        <v>0</v>
      </c>
      <c r="N148" s="723">
        <f t="shared" si="11"/>
        <v>0</v>
      </c>
    </row>
    <row r="149" spans="1:14">
      <c r="A149" s="639" t="s">
        <v>70</v>
      </c>
      <c r="B149" s="718">
        <v>113</v>
      </c>
      <c r="C149" s="726" t="s">
        <v>156</v>
      </c>
      <c r="D149" s="718">
        <f>VLOOKUP(B149,'2-Kosten per locatie'!$A$13:$C$88,3,FALSE)</f>
        <v>2</v>
      </c>
      <c r="E149" s="720" t="s">
        <v>505</v>
      </c>
      <c r="F149" s="639" t="s">
        <v>977</v>
      </c>
      <c r="G149" s="639" t="s">
        <v>1027</v>
      </c>
      <c r="H149" s="705">
        <v>2</v>
      </c>
      <c r="I149" s="721">
        <f>6.5*3.1*2</f>
        <v>40.300000000000004</v>
      </c>
      <c r="J149" s="722" t="s">
        <v>968</v>
      </c>
      <c r="K149" s="722"/>
      <c r="L149" s="723">
        <f t="shared" si="9"/>
        <v>0</v>
      </c>
      <c r="M149" s="723">
        <f t="shared" si="10"/>
        <v>0</v>
      </c>
      <c r="N149" s="723">
        <f t="shared" si="11"/>
        <v>0</v>
      </c>
    </row>
    <row r="150" spans="1:14">
      <c r="A150" s="639" t="s">
        <v>70</v>
      </c>
      <c r="B150" s="718">
        <v>113</v>
      </c>
      <c r="C150" s="726" t="s">
        <v>156</v>
      </c>
      <c r="D150" s="718">
        <f>VLOOKUP(B150,'2-Kosten per locatie'!$A$13:$C$88,3,FALSE)</f>
        <v>2</v>
      </c>
      <c r="E150" s="720" t="s">
        <v>505</v>
      </c>
      <c r="F150" s="639" t="s">
        <v>971</v>
      </c>
      <c r="G150" s="639" t="s">
        <v>1027</v>
      </c>
      <c r="H150" s="705">
        <v>2</v>
      </c>
      <c r="I150" s="721">
        <f>6.5*3.1*2</f>
        <v>40.300000000000004</v>
      </c>
      <c r="J150" s="722" t="s">
        <v>982</v>
      </c>
      <c r="K150" s="722"/>
      <c r="L150" s="723">
        <f t="shared" si="9"/>
        <v>0</v>
      </c>
      <c r="M150" s="723">
        <f t="shared" si="10"/>
        <v>0</v>
      </c>
      <c r="N150" s="723">
        <f t="shared" si="11"/>
        <v>0</v>
      </c>
    </row>
    <row r="151" spans="1:14">
      <c r="A151" s="639" t="s">
        <v>70</v>
      </c>
      <c r="B151" s="718">
        <v>113</v>
      </c>
      <c r="C151" s="726" t="s">
        <v>156</v>
      </c>
      <c r="D151" s="718">
        <f>VLOOKUP(B151,'2-Kosten per locatie'!$A$13:$C$88,3,FALSE)</f>
        <v>2</v>
      </c>
      <c r="E151" s="720" t="s">
        <v>505</v>
      </c>
      <c r="F151" s="639" t="s">
        <v>977</v>
      </c>
      <c r="G151" s="639" t="s">
        <v>1028</v>
      </c>
      <c r="H151" s="705">
        <v>2</v>
      </c>
      <c r="I151" s="721">
        <f>1.95*2.15*2</f>
        <v>8.3849999999999998</v>
      </c>
      <c r="J151" s="722" t="s">
        <v>968</v>
      </c>
      <c r="K151" s="722"/>
      <c r="L151" s="723">
        <f t="shared" si="9"/>
        <v>0</v>
      </c>
      <c r="M151" s="723">
        <f t="shared" si="10"/>
        <v>0</v>
      </c>
      <c r="N151" s="723">
        <f t="shared" si="11"/>
        <v>0</v>
      </c>
    </row>
    <row r="152" spans="1:14">
      <c r="A152" s="639" t="s">
        <v>70</v>
      </c>
      <c r="B152" s="718">
        <v>113</v>
      </c>
      <c r="C152" s="726" t="s">
        <v>156</v>
      </c>
      <c r="D152" s="718">
        <f>VLOOKUP(B152,'2-Kosten per locatie'!$A$13:$C$88,3,FALSE)</f>
        <v>2</v>
      </c>
      <c r="E152" s="720" t="s">
        <v>505</v>
      </c>
      <c r="F152" s="639" t="s">
        <v>971</v>
      </c>
      <c r="G152" s="639" t="s">
        <v>1028</v>
      </c>
      <c r="H152" s="705">
        <v>2</v>
      </c>
      <c r="I152" s="721">
        <f>1.95*2.15*2</f>
        <v>8.3849999999999998</v>
      </c>
      <c r="J152" s="722" t="s">
        <v>982</v>
      </c>
      <c r="K152" s="722"/>
      <c r="L152" s="723">
        <f t="shared" si="9"/>
        <v>0</v>
      </c>
      <c r="M152" s="723">
        <f t="shared" si="10"/>
        <v>0</v>
      </c>
      <c r="N152" s="723">
        <f t="shared" si="11"/>
        <v>0</v>
      </c>
    </row>
    <row r="153" spans="1:14">
      <c r="A153" s="639" t="s">
        <v>70</v>
      </c>
      <c r="B153" s="718">
        <v>113</v>
      </c>
      <c r="C153" s="726" t="s">
        <v>156</v>
      </c>
      <c r="D153" s="718">
        <f>VLOOKUP(B153,'2-Kosten per locatie'!$A$13:$C$88,3,FALSE)</f>
        <v>2</v>
      </c>
      <c r="E153" s="720" t="s">
        <v>505</v>
      </c>
      <c r="F153" s="639" t="s">
        <v>975</v>
      </c>
      <c r="G153" s="639" t="s">
        <v>1029</v>
      </c>
      <c r="H153" s="705">
        <v>2</v>
      </c>
      <c r="I153" s="721">
        <f>+(1.35+0.65)*12</f>
        <v>24</v>
      </c>
      <c r="J153" s="722" t="s">
        <v>968</v>
      </c>
      <c r="K153" s="722" t="s">
        <v>1030</v>
      </c>
      <c r="L153" s="723">
        <f t="shared" si="9"/>
        <v>0</v>
      </c>
      <c r="M153" s="723">
        <f t="shared" si="10"/>
        <v>0</v>
      </c>
      <c r="N153" s="723">
        <f t="shared" si="11"/>
        <v>0</v>
      </c>
    </row>
    <row r="154" spans="1:14">
      <c r="A154" s="639" t="s">
        <v>70</v>
      </c>
      <c r="B154" s="718">
        <v>113</v>
      </c>
      <c r="C154" s="726" t="s">
        <v>156</v>
      </c>
      <c r="D154" s="718">
        <f>VLOOKUP(B154,'2-Kosten per locatie'!$A$13:$C$88,3,FALSE)</f>
        <v>2</v>
      </c>
      <c r="E154" s="720" t="s">
        <v>505</v>
      </c>
      <c r="F154" s="639" t="s">
        <v>969</v>
      </c>
      <c r="G154" s="639" t="s">
        <v>1029</v>
      </c>
      <c r="H154" s="705">
        <v>2</v>
      </c>
      <c r="I154" s="721">
        <f>+(1.35+0.65)*12</f>
        <v>24</v>
      </c>
      <c r="J154" s="722" t="s">
        <v>968</v>
      </c>
      <c r="K154" s="722" t="s">
        <v>1030</v>
      </c>
      <c r="L154" s="723">
        <f t="shared" si="9"/>
        <v>0</v>
      </c>
      <c r="M154" s="723">
        <f t="shared" si="10"/>
        <v>0</v>
      </c>
      <c r="N154" s="723">
        <f t="shared" si="11"/>
        <v>0</v>
      </c>
    </row>
    <row r="155" spans="1:14">
      <c r="A155" s="639" t="s">
        <v>70</v>
      </c>
      <c r="B155" s="718">
        <v>113</v>
      </c>
      <c r="C155" s="726" t="s">
        <v>156</v>
      </c>
      <c r="D155" s="718">
        <f>VLOOKUP(B155,'2-Kosten per locatie'!$A$13:$C$88,3,FALSE)</f>
        <v>2</v>
      </c>
      <c r="E155" s="720" t="s">
        <v>505</v>
      </c>
      <c r="F155" s="639" t="s">
        <v>980</v>
      </c>
      <c r="G155" s="639" t="s">
        <v>1046</v>
      </c>
      <c r="H155" s="705">
        <v>2</v>
      </c>
      <c r="I155" s="721">
        <v>11.85</v>
      </c>
      <c r="J155" s="722" t="s">
        <v>982</v>
      </c>
      <c r="K155" s="722"/>
      <c r="L155" s="723">
        <f t="shared" si="9"/>
        <v>0</v>
      </c>
      <c r="M155" s="723">
        <f t="shared" si="10"/>
        <v>0</v>
      </c>
      <c r="N155" s="723">
        <f t="shared" si="11"/>
        <v>0</v>
      </c>
    </row>
    <row r="156" spans="1:14">
      <c r="A156" s="639" t="s">
        <v>70</v>
      </c>
      <c r="B156" s="718">
        <v>113</v>
      </c>
      <c r="C156" s="726" t="s">
        <v>156</v>
      </c>
      <c r="D156" s="718">
        <f>VLOOKUP(B156,'2-Kosten per locatie'!$A$13:$C$88,3,FALSE)</f>
        <v>2</v>
      </c>
      <c r="E156" s="720" t="s">
        <v>505</v>
      </c>
      <c r="F156" s="639" t="s">
        <v>983</v>
      </c>
      <c r="G156" s="639" t="s">
        <v>1046</v>
      </c>
      <c r="H156" s="705">
        <v>2</v>
      </c>
      <c r="I156" s="721">
        <v>11.85</v>
      </c>
      <c r="J156" s="722" t="s">
        <v>968</v>
      </c>
      <c r="K156" s="722"/>
      <c r="L156" s="723">
        <f t="shared" si="9"/>
        <v>0</v>
      </c>
      <c r="M156" s="723">
        <f t="shared" si="10"/>
        <v>0</v>
      </c>
      <c r="N156" s="723">
        <f t="shared" si="11"/>
        <v>0</v>
      </c>
    </row>
    <row r="157" spans="1:14">
      <c r="A157" s="639" t="s">
        <v>70</v>
      </c>
      <c r="B157" s="718">
        <v>113</v>
      </c>
      <c r="C157" s="726" t="s">
        <v>156</v>
      </c>
      <c r="D157" s="718">
        <f>VLOOKUP(B157,'2-Kosten per locatie'!$A$13:$C$88,3,FALSE)</f>
        <v>2</v>
      </c>
      <c r="E157" s="720" t="s">
        <v>505</v>
      </c>
      <c r="F157" s="639" t="s">
        <v>984</v>
      </c>
      <c r="G157" s="639" t="s">
        <v>1047</v>
      </c>
      <c r="H157" s="705">
        <v>2</v>
      </c>
      <c r="I157" s="721">
        <v>1.92</v>
      </c>
      <c r="J157" s="722" t="s">
        <v>982</v>
      </c>
      <c r="K157" s="722"/>
      <c r="L157" s="723">
        <f t="shared" si="9"/>
        <v>0</v>
      </c>
      <c r="M157" s="723">
        <f t="shared" si="10"/>
        <v>0</v>
      </c>
      <c r="N157" s="723">
        <f t="shared" si="11"/>
        <v>0</v>
      </c>
    </row>
    <row r="158" spans="1:14">
      <c r="A158" s="639" t="s">
        <v>70</v>
      </c>
      <c r="B158" s="718">
        <v>113</v>
      </c>
      <c r="C158" s="726" t="s">
        <v>156</v>
      </c>
      <c r="D158" s="718">
        <f>VLOOKUP(B158,'2-Kosten per locatie'!$A$13:$C$88,3,FALSE)</f>
        <v>2</v>
      </c>
      <c r="E158" s="720" t="s">
        <v>505</v>
      </c>
      <c r="F158" s="639" t="s">
        <v>986</v>
      </c>
      <c r="G158" s="639" t="s">
        <v>1047</v>
      </c>
      <c r="H158" s="705">
        <v>2</v>
      </c>
      <c r="I158" s="721">
        <v>1.92</v>
      </c>
      <c r="J158" s="722" t="s">
        <v>982</v>
      </c>
      <c r="K158" s="722"/>
      <c r="L158" s="723">
        <f t="shared" si="9"/>
        <v>0</v>
      </c>
      <c r="M158" s="723">
        <f t="shared" si="10"/>
        <v>0</v>
      </c>
      <c r="N158" s="723">
        <f t="shared" si="11"/>
        <v>0</v>
      </c>
    </row>
    <row r="159" spans="1:14">
      <c r="A159" s="639" t="s">
        <v>70</v>
      </c>
      <c r="B159" s="718">
        <v>113</v>
      </c>
      <c r="C159" s="726" t="s">
        <v>156</v>
      </c>
      <c r="D159" s="718">
        <f>VLOOKUP(B159,'2-Kosten per locatie'!$A$13:$C$88,3,FALSE)</f>
        <v>2</v>
      </c>
      <c r="E159" s="720" t="s">
        <v>582</v>
      </c>
      <c r="F159" s="639" t="s">
        <v>972</v>
      </c>
      <c r="G159" s="639" t="s">
        <v>1032</v>
      </c>
      <c r="H159" s="705">
        <v>2</v>
      </c>
      <c r="I159" s="721">
        <v>2</v>
      </c>
      <c r="J159" s="722" t="s">
        <v>982</v>
      </c>
      <c r="K159" s="722"/>
      <c r="L159" s="723">
        <f t="shared" si="9"/>
        <v>0</v>
      </c>
      <c r="M159" s="723">
        <f t="shared" si="10"/>
        <v>0</v>
      </c>
      <c r="N159" s="723">
        <f t="shared" si="11"/>
        <v>0</v>
      </c>
    </row>
    <row r="160" spans="1:14">
      <c r="A160" s="639" t="s">
        <v>70</v>
      </c>
      <c r="B160" s="718">
        <v>113</v>
      </c>
      <c r="C160" s="726" t="s">
        <v>156</v>
      </c>
      <c r="D160" s="718">
        <f>VLOOKUP(B160,'2-Kosten per locatie'!$A$13:$C$88,3,FALSE)</f>
        <v>2</v>
      </c>
      <c r="E160" s="720" t="s">
        <v>582</v>
      </c>
      <c r="F160" s="639" t="s">
        <v>976</v>
      </c>
      <c r="G160" s="639" t="s">
        <v>1032</v>
      </c>
      <c r="H160" s="705">
        <v>2</v>
      </c>
      <c r="I160" s="721">
        <v>2</v>
      </c>
      <c r="J160" s="722" t="s">
        <v>968</v>
      </c>
      <c r="K160" s="722"/>
      <c r="L160" s="723">
        <f t="shared" si="9"/>
        <v>0</v>
      </c>
      <c r="M160" s="723">
        <f t="shared" si="10"/>
        <v>0</v>
      </c>
      <c r="N160" s="723">
        <f t="shared" si="11"/>
        <v>0</v>
      </c>
    </row>
    <row r="161" spans="1:14">
      <c r="A161" s="639" t="s">
        <v>70</v>
      </c>
      <c r="B161" s="718">
        <v>113</v>
      </c>
      <c r="C161" s="726" t="s">
        <v>156</v>
      </c>
      <c r="D161" s="718">
        <f>VLOOKUP(B161,'2-Kosten per locatie'!$A$13:$C$88,3,FALSE)</f>
        <v>2</v>
      </c>
      <c r="E161" s="720" t="s">
        <v>505</v>
      </c>
      <c r="F161" s="639" t="s">
        <v>977</v>
      </c>
      <c r="G161" s="639" t="s">
        <v>1033</v>
      </c>
      <c r="H161" s="705">
        <v>2</v>
      </c>
      <c r="I161" s="721">
        <f>+(1.55+2+4.2+8.2+1+1.5)*3.1-2</f>
        <v>55.195</v>
      </c>
      <c r="J161" s="722" t="s">
        <v>968</v>
      </c>
      <c r="K161" s="722"/>
      <c r="L161" s="723">
        <f t="shared" si="9"/>
        <v>0</v>
      </c>
      <c r="M161" s="723">
        <f t="shared" si="10"/>
        <v>0</v>
      </c>
      <c r="N161" s="723">
        <f t="shared" si="11"/>
        <v>0</v>
      </c>
    </row>
    <row r="162" spans="1:14">
      <c r="A162" s="639" t="s">
        <v>70</v>
      </c>
      <c r="B162" s="718">
        <v>113</v>
      </c>
      <c r="C162" s="726" t="s">
        <v>156</v>
      </c>
      <c r="D162" s="718">
        <f>VLOOKUP(B162,'2-Kosten per locatie'!$A$13:$C$88,3,FALSE)</f>
        <v>2</v>
      </c>
      <c r="E162" s="720" t="s">
        <v>505</v>
      </c>
      <c r="F162" s="639" t="s">
        <v>971</v>
      </c>
      <c r="G162" s="639" t="s">
        <v>1033</v>
      </c>
      <c r="H162" s="705">
        <v>2</v>
      </c>
      <c r="I162" s="721">
        <f>+(1.55+2+4.2+8.2+1+1.5)*3.1-2</f>
        <v>55.195</v>
      </c>
      <c r="J162" s="722" t="s">
        <v>968</v>
      </c>
      <c r="K162" s="722"/>
      <c r="L162" s="723">
        <f t="shared" si="9"/>
        <v>0</v>
      </c>
      <c r="M162" s="723">
        <f t="shared" si="10"/>
        <v>0</v>
      </c>
      <c r="N162" s="723">
        <f t="shared" si="11"/>
        <v>0</v>
      </c>
    </row>
    <row r="163" spans="1:14">
      <c r="A163" s="639" t="s">
        <v>70</v>
      </c>
      <c r="B163" s="718">
        <v>113</v>
      </c>
      <c r="C163" s="726" t="s">
        <v>156</v>
      </c>
      <c r="D163" s="718">
        <f>VLOOKUP(B163,'2-Kosten per locatie'!$A$13:$C$88,3,FALSE)</f>
        <v>2</v>
      </c>
      <c r="E163" s="720" t="s">
        <v>509</v>
      </c>
      <c r="F163" s="639" t="s">
        <v>977</v>
      </c>
      <c r="G163" s="639" t="s">
        <v>1033</v>
      </c>
      <c r="H163" s="705">
        <v>2</v>
      </c>
      <c r="I163" s="721">
        <f>(4+2+4+2.8)*3.1+5*2.5</f>
        <v>52.180000000000007</v>
      </c>
      <c r="J163" s="722" t="s">
        <v>968</v>
      </c>
      <c r="K163" s="722"/>
      <c r="L163" s="723">
        <f t="shared" si="9"/>
        <v>0</v>
      </c>
      <c r="M163" s="723">
        <f t="shared" si="10"/>
        <v>0</v>
      </c>
      <c r="N163" s="723">
        <f t="shared" si="11"/>
        <v>0</v>
      </c>
    </row>
    <row r="164" spans="1:14">
      <c r="A164" s="639" t="s">
        <v>70</v>
      </c>
      <c r="B164" s="718">
        <v>113</v>
      </c>
      <c r="C164" s="726" t="s">
        <v>156</v>
      </c>
      <c r="D164" s="718">
        <f>VLOOKUP(B164,'2-Kosten per locatie'!$A$13:$C$88,3,FALSE)</f>
        <v>2</v>
      </c>
      <c r="E164" s="720" t="s">
        <v>509</v>
      </c>
      <c r="F164" s="639" t="s">
        <v>971</v>
      </c>
      <c r="G164" s="639" t="s">
        <v>1033</v>
      </c>
      <c r="H164" s="705">
        <v>2</v>
      </c>
      <c r="I164" s="721">
        <f>(4+2+4+2.8)*3.1+5*2.5</f>
        <v>52.180000000000007</v>
      </c>
      <c r="J164" s="722" t="s">
        <v>968</v>
      </c>
      <c r="K164" s="722"/>
      <c r="L164" s="723">
        <f t="shared" si="9"/>
        <v>0</v>
      </c>
      <c r="M164" s="723">
        <f t="shared" si="10"/>
        <v>0</v>
      </c>
      <c r="N164" s="723">
        <f t="shared" si="11"/>
        <v>0</v>
      </c>
    </row>
    <row r="165" spans="1:14">
      <c r="A165" s="639" t="s">
        <v>70</v>
      </c>
      <c r="B165" s="718">
        <v>113</v>
      </c>
      <c r="C165" s="726" t="s">
        <v>156</v>
      </c>
      <c r="D165" s="718">
        <f>VLOOKUP(B165,'2-Kosten per locatie'!$A$13:$C$88,3,FALSE)</f>
        <v>2</v>
      </c>
      <c r="E165" s="720" t="s">
        <v>505</v>
      </c>
      <c r="F165" s="639" t="s">
        <v>979</v>
      </c>
      <c r="G165" s="639" t="s">
        <v>1024</v>
      </c>
      <c r="H165" s="705">
        <v>2</v>
      </c>
      <c r="I165" s="721">
        <f>6.8*5</f>
        <v>34</v>
      </c>
      <c r="J165" s="722" t="s">
        <v>968</v>
      </c>
      <c r="K165" s="722" t="s">
        <v>1025</v>
      </c>
      <c r="L165" s="723">
        <f t="shared" si="9"/>
        <v>0</v>
      </c>
      <c r="M165" s="723">
        <f t="shared" si="10"/>
        <v>0</v>
      </c>
      <c r="N165" s="723">
        <f t="shared" si="11"/>
        <v>0</v>
      </c>
    </row>
    <row r="166" spans="1:14">
      <c r="A166" s="639" t="s">
        <v>70</v>
      </c>
      <c r="B166" s="718">
        <v>113</v>
      </c>
      <c r="C166" s="726" t="s">
        <v>156</v>
      </c>
      <c r="D166" s="718">
        <f>VLOOKUP(B166,'2-Kosten per locatie'!$A$13:$C$88,3,FALSE)</f>
        <v>2</v>
      </c>
      <c r="E166" s="720" t="s">
        <v>505</v>
      </c>
      <c r="F166" s="639" t="s">
        <v>979</v>
      </c>
      <c r="G166" s="639" t="s">
        <v>1026</v>
      </c>
      <c r="H166" s="705">
        <v>2</v>
      </c>
      <c r="I166" s="721">
        <f>6.6*3.2</f>
        <v>21.12</v>
      </c>
      <c r="J166" s="722" t="s">
        <v>968</v>
      </c>
      <c r="K166" s="722" t="s">
        <v>1025</v>
      </c>
      <c r="L166" s="723">
        <f t="shared" si="9"/>
        <v>0</v>
      </c>
      <c r="M166" s="723">
        <f t="shared" si="10"/>
        <v>0</v>
      </c>
      <c r="N166" s="723">
        <f t="shared" si="11"/>
        <v>0</v>
      </c>
    </row>
    <row r="167" spans="1:14">
      <c r="A167" s="639" t="s">
        <v>70</v>
      </c>
      <c r="B167" s="718">
        <v>113</v>
      </c>
      <c r="C167" s="726" t="s">
        <v>156</v>
      </c>
      <c r="D167" s="718">
        <f>VLOOKUP(B167,'2-Kosten per locatie'!$A$13:$C$88,3,FALSE)</f>
        <v>2</v>
      </c>
      <c r="E167" s="720" t="s">
        <v>505</v>
      </c>
      <c r="F167" s="639" t="s">
        <v>977</v>
      </c>
      <c r="G167" s="639" t="s">
        <v>1034</v>
      </c>
      <c r="H167" s="705">
        <v>2</v>
      </c>
      <c r="I167" s="721">
        <f>6.5*3.1*2</f>
        <v>40.300000000000004</v>
      </c>
      <c r="J167" s="722" t="s">
        <v>968</v>
      </c>
      <c r="K167" s="722"/>
      <c r="L167" s="723">
        <f t="shared" si="9"/>
        <v>0</v>
      </c>
      <c r="M167" s="723">
        <f t="shared" si="10"/>
        <v>0</v>
      </c>
      <c r="N167" s="723">
        <f t="shared" si="11"/>
        <v>0</v>
      </c>
    </row>
    <row r="168" spans="1:14">
      <c r="A168" s="639" t="s">
        <v>70</v>
      </c>
      <c r="B168" s="718">
        <v>113</v>
      </c>
      <c r="C168" s="726" t="s">
        <v>156</v>
      </c>
      <c r="D168" s="718">
        <f>VLOOKUP(B168,'2-Kosten per locatie'!$A$13:$C$88,3,FALSE)</f>
        <v>2</v>
      </c>
      <c r="E168" s="720" t="s">
        <v>505</v>
      </c>
      <c r="F168" s="639" t="s">
        <v>971</v>
      </c>
      <c r="G168" s="639" t="s">
        <v>1034</v>
      </c>
      <c r="H168" s="705">
        <v>2</v>
      </c>
      <c r="I168" s="721">
        <f>6.5*3.1*2</f>
        <v>40.300000000000004</v>
      </c>
      <c r="J168" s="722" t="s">
        <v>968</v>
      </c>
      <c r="K168" s="722"/>
      <c r="L168" s="723">
        <f t="shared" si="9"/>
        <v>0</v>
      </c>
      <c r="M168" s="723">
        <f t="shared" si="10"/>
        <v>0</v>
      </c>
      <c r="N168" s="723">
        <f t="shared" si="11"/>
        <v>0</v>
      </c>
    </row>
    <row r="169" spans="1:14">
      <c r="A169" s="639" t="s">
        <v>70</v>
      </c>
      <c r="B169" s="718">
        <v>113</v>
      </c>
      <c r="C169" s="726" t="s">
        <v>156</v>
      </c>
      <c r="D169" s="718">
        <f>VLOOKUP(B169,'2-Kosten per locatie'!$A$13:$C$88,3,FALSE)</f>
        <v>2</v>
      </c>
      <c r="E169" s="720" t="s">
        <v>505</v>
      </c>
      <c r="F169" s="639" t="s">
        <v>977</v>
      </c>
      <c r="G169" s="639" t="s">
        <v>1035</v>
      </c>
      <c r="H169" s="705">
        <v>2</v>
      </c>
      <c r="I169" s="721">
        <f>1.95*2.15*2</f>
        <v>8.3849999999999998</v>
      </c>
      <c r="J169" s="722" t="s">
        <v>968</v>
      </c>
      <c r="K169" s="722"/>
      <c r="L169" s="723">
        <f t="shared" si="9"/>
        <v>0</v>
      </c>
      <c r="M169" s="723">
        <f t="shared" si="10"/>
        <v>0</v>
      </c>
      <c r="N169" s="723">
        <f t="shared" si="11"/>
        <v>0</v>
      </c>
    </row>
    <row r="170" spans="1:14">
      <c r="A170" s="639" t="s">
        <v>70</v>
      </c>
      <c r="B170" s="718">
        <v>113</v>
      </c>
      <c r="C170" s="726" t="s">
        <v>156</v>
      </c>
      <c r="D170" s="718">
        <f>VLOOKUP(B170,'2-Kosten per locatie'!$A$13:$C$88,3,FALSE)</f>
        <v>2</v>
      </c>
      <c r="E170" s="720" t="s">
        <v>505</v>
      </c>
      <c r="F170" s="639" t="s">
        <v>971</v>
      </c>
      <c r="G170" s="639" t="s">
        <v>1035</v>
      </c>
      <c r="H170" s="705">
        <v>2</v>
      </c>
      <c r="I170" s="721">
        <f>1.95*2.15*2</f>
        <v>8.3849999999999998</v>
      </c>
      <c r="J170" s="722" t="s">
        <v>968</v>
      </c>
      <c r="K170" s="722"/>
      <c r="L170" s="723">
        <f t="shared" si="9"/>
        <v>0</v>
      </c>
      <c r="M170" s="723">
        <f t="shared" si="10"/>
        <v>0</v>
      </c>
      <c r="N170" s="723">
        <f t="shared" si="11"/>
        <v>0</v>
      </c>
    </row>
    <row r="171" spans="1:14">
      <c r="A171" s="639" t="s">
        <v>70</v>
      </c>
      <c r="B171" s="718">
        <v>113</v>
      </c>
      <c r="C171" s="726" t="s">
        <v>156</v>
      </c>
      <c r="D171" s="718">
        <f>VLOOKUP(B171,'2-Kosten per locatie'!$A$13:$C$88,3,FALSE)</f>
        <v>2</v>
      </c>
      <c r="E171" s="720" t="s">
        <v>505</v>
      </c>
      <c r="F171" s="639" t="s">
        <v>975</v>
      </c>
      <c r="G171" s="639" t="s">
        <v>1036</v>
      </c>
      <c r="H171" s="705">
        <v>2</v>
      </c>
      <c r="I171" s="721">
        <f>+(1.35+0.65)*12</f>
        <v>24</v>
      </c>
      <c r="J171" s="722" t="s">
        <v>968</v>
      </c>
      <c r="K171" s="722" t="s">
        <v>1030</v>
      </c>
      <c r="L171" s="723">
        <f t="shared" si="9"/>
        <v>0</v>
      </c>
      <c r="M171" s="723">
        <f t="shared" si="10"/>
        <v>0</v>
      </c>
      <c r="N171" s="723">
        <f t="shared" si="11"/>
        <v>0</v>
      </c>
    </row>
    <row r="172" spans="1:14">
      <c r="A172" s="639" t="s">
        <v>70</v>
      </c>
      <c r="B172" s="718">
        <v>113</v>
      </c>
      <c r="C172" s="726" t="s">
        <v>156</v>
      </c>
      <c r="D172" s="718">
        <f>VLOOKUP(B172,'2-Kosten per locatie'!$A$13:$C$88,3,FALSE)</f>
        <v>2</v>
      </c>
      <c r="E172" s="720" t="s">
        <v>505</v>
      </c>
      <c r="F172" s="639" t="s">
        <v>969</v>
      </c>
      <c r="G172" s="639" t="s">
        <v>1036</v>
      </c>
      <c r="H172" s="705">
        <v>2</v>
      </c>
      <c r="I172" s="721">
        <f>+(1.35+0.65)*12</f>
        <v>24</v>
      </c>
      <c r="J172" s="722" t="s">
        <v>968</v>
      </c>
      <c r="K172" s="722" t="s">
        <v>1030</v>
      </c>
      <c r="L172" s="723">
        <f t="shared" si="9"/>
        <v>0</v>
      </c>
      <c r="M172" s="723">
        <f t="shared" si="10"/>
        <v>0</v>
      </c>
      <c r="N172" s="723">
        <f t="shared" si="11"/>
        <v>0</v>
      </c>
    </row>
    <row r="173" spans="1:14">
      <c r="A173" s="639" t="s">
        <v>70</v>
      </c>
      <c r="B173" s="718">
        <v>113</v>
      </c>
      <c r="C173" s="726" t="s">
        <v>156</v>
      </c>
      <c r="D173" s="718">
        <f>VLOOKUP(B173,'2-Kosten per locatie'!$A$13:$C$88,3,FALSE)</f>
        <v>2</v>
      </c>
      <c r="E173" s="720" t="s">
        <v>505</v>
      </c>
      <c r="F173" s="639" t="s">
        <v>980</v>
      </c>
      <c r="G173" s="639" t="s">
        <v>981</v>
      </c>
      <c r="H173" s="705">
        <v>2</v>
      </c>
      <c r="I173" s="721">
        <v>11.85</v>
      </c>
      <c r="J173" s="722" t="s">
        <v>982</v>
      </c>
      <c r="K173" s="722"/>
      <c r="L173" s="723">
        <f t="shared" si="9"/>
        <v>0</v>
      </c>
      <c r="M173" s="723">
        <f t="shared" si="10"/>
        <v>0</v>
      </c>
      <c r="N173" s="723">
        <f t="shared" si="11"/>
        <v>0</v>
      </c>
    </row>
    <row r="174" spans="1:14">
      <c r="A174" s="639" t="s">
        <v>70</v>
      </c>
      <c r="B174" s="718">
        <v>113</v>
      </c>
      <c r="C174" s="726" t="s">
        <v>156</v>
      </c>
      <c r="D174" s="718">
        <f>VLOOKUP(B174,'2-Kosten per locatie'!$A$13:$C$88,3,FALSE)</f>
        <v>2</v>
      </c>
      <c r="E174" s="720" t="s">
        <v>505</v>
      </c>
      <c r="F174" s="639" t="s">
        <v>983</v>
      </c>
      <c r="G174" s="639" t="s">
        <v>981</v>
      </c>
      <c r="H174" s="705">
        <v>2</v>
      </c>
      <c r="I174" s="721">
        <v>11.85</v>
      </c>
      <c r="J174" s="722" t="s">
        <v>968</v>
      </c>
      <c r="K174" s="722"/>
      <c r="L174" s="723">
        <f t="shared" si="9"/>
        <v>0</v>
      </c>
      <c r="M174" s="723">
        <f t="shared" si="10"/>
        <v>0</v>
      </c>
      <c r="N174" s="723">
        <f t="shared" si="11"/>
        <v>0</v>
      </c>
    </row>
    <row r="175" spans="1:14">
      <c r="A175" s="639" t="s">
        <v>70</v>
      </c>
      <c r="B175" s="718">
        <v>113</v>
      </c>
      <c r="C175" s="726" t="s">
        <v>156</v>
      </c>
      <c r="D175" s="718">
        <f>VLOOKUP(B175,'2-Kosten per locatie'!$A$13:$C$88,3,FALSE)</f>
        <v>2</v>
      </c>
      <c r="E175" s="720" t="s">
        <v>505</v>
      </c>
      <c r="F175" s="639" t="s">
        <v>984</v>
      </c>
      <c r="G175" s="639" t="s">
        <v>985</v>
      </c>
      <c r="H175" s="705">
        <v>2</v>
      </c>
      <c r="I175" s="721">
        <v>1.92</v>
      </c>
      <c r="J175" s="722" t="s">
        <v>982</v>
      </c>
      <c r="K175" s="722"/>
      <c r="L175" s="723">
        <f t="shared" si="9"/>
        <v>0</v>
      </c>
      <c r="M175" s="723">
        <f t="shared" si="10"/>
        <v>0</v>
      </c>
      <c r="N175" s="723">
        <f t="shared" si="11"/>
        <v>0</v>
      </c>
    </row>
    <row r="176" spans="1:14">
      <c r="A176" s="639" t="s">
        <v>70</v>
      </c>
      <c r="B176" s="718">
        <v>113</v>
      </c>
      <c r="C176" s="726" t="s">
        <v>156</v>
      </c>
      <c r="D176" s="718">
        <f>VLOOKUP(B176,'2-Kosten per locatie'!$A$13:$C$88,3,FALSE)</f>
        <v>2</v>
      </c>
      <c r="E176" s="720" t="s">
        <v>505</v>
      </c>
      <c r="F176" s="639" t="s">
        <v>986</v>
      </c>
      <c r="G176" s="639" t="s">
        <v>985</v>
      </c>
      <c r="H176" s="705">
        <v>2</v>
      </c>
      <c r="I176" s="721">
        <v>1.92</v>
      </c>
      <c r="J176" s="722" t="s">
        <v>982</v>
      </c>
      <c r="K176" s="722"/>
      <c r="L176" s="723">
        <f t="shared" si="9"/>
        <v>0</v>
      </c>
      <c r="M176" s="723">
        <f t="shared" si="10"/>
        <v>0</v>
      </c>
      <c r="N176" s="723">
        <f t="shared" si="11"/>
        <v>0</v>
      </c>
    </row>
    <row r="177" spans="1:14">
      <c r="A177" s="639" t="s">
        <v>70</v>
      </c>
      <c r="B177" s="718">
        <v>113</v>
      </c>
      <c r="C177" s="726" t="s">
        <v>156</v>
      </c>
      <c r="D177" s="718">
        <f>VLOOKUP(B177,'2-Kosten per locatie'!$A$13:$C$88,3,FALSE)</f>
        <v>2</v>
      </c>
      <c r="E177" s="725"/>
      <c r="F177" s="639" t="s">
        <v>966</v>
      </c>
      <c r="G177" s="639" t="s">
        <v>991</v>
      </c>
      <c r="H177" s="705">
        <v>26</v>
      </c>
      <c r="I177" s="721">
        <v>28</v>
      </c>
      <c r="J177" s="722" t="s">
        <v>982</v>
      </c>
      <c r="K177" s="722" t="s">
        <v>992</v>
      </c>
      <c r="L177" s="723">
        <f t="shared" si="9"/>
        <v>0</v>
      </c>
      <c r="M177" s="723">
        <f t="shared" si="10"/>
        <v>0</v>
      </c>
      <c r="N177" s="723">
        <f t="shared" si="11"/>
        <v>0</v>
      </c>
    </row>
    <row r="178" spans="1:14">
      <c r="A178" s="639" t="s">
        <v>71</v>
      </c>
      <c r="B178" s="718">
        <v>114</v>
      </c>
      <c r="C178" s="726" t="s">
        <v>156</v>
      </c>
      <c r="D178" s="718">
        <f>VLOOKUP(B178,'2-Kosten per locatie'!$A$13:$C$88,3,FALSE)</f>
        <v>2</v>
      </c>
      <c r="E178" s="720" t="s">
        <v>524</v>
      </c>
      <c r="F178" s="639" t="s">
        <v>972</v>
      </c>
      <c r="G178" s="639" t="s">
        <v>1032</v>
      </c>
      <c r="H178" s="705">
        <v>2</v>
      </c>
      <c r="I178" s="721">
        <v>2</v>
      </c>
      <c r="J178" s="722" t="s">
        <v>982</v>
      </c>
      <c r="K178" s="722"/>
      <c r="L178" s="723">
        <f t="shared" si="9"/>
        <v>0</v>
      </c>
      <c r="M178" s="723">
        <f t="shared" si="10"/>
        <v>0</v>
      </c>
      <c r="N178" s="723">
        <f t="shared" si="11"/>
        <v>0</v>
      </c>
    </row>
    <row r="179" spans="1:14">
      <c r="A179" s="639" t="s">
        <v>71</v>
      </c>
      <c r="B179" s="718">
        <v>114</v>
      </c>
      <c r="C179" s="726" t="s">
        <v>156</v>
      </c>
      <c r="D179" s="718">
        <f>VLOOKUP(B179,'2-Kosten per locatie'!$A$13:$C$88,3,FALSE)</f>
        <v>2</v>
      </c>
      <c r="E179" s="720" t="s">
        <v>524</v>
      </c>
      <c r="F179" s="639" t="s">
        <v>976</v>
      </c>
      <c r="G179" s="639" t="s">
        <v>1032</v>
      </c>
      <c r="H179" s="705">
        <v>2</v>
      </c>
      <c r="I179" s="721">
        <v>2</v>
      </c>
      <c r="J179" s="722" t="s">
        <v>968</v>
      </c>
      <c r="K179" s="722"/>
      <c r="L179" s="723">
        <f t="shared" si="9"/>
        <v>0</v>
      </c>
      <c r="M179" s="723">
        <f t="shared" si="10"/>
        <v>0</v>
      </c>
      <c r="N179" s="723">
        <f t="shared" si="11"/>
        <v>0</v>
      </c>
    </row>
    <row r="180" spans="1:14">
      <c r="A180" s="639" t="s">
        <v>71</v>
      </c>
      <c r="B180" s="718">
        <v>114</v>
      </c>
      <c r="C180" s="726" t="s">
        <v>156</v>
      </c>
      <c r="D180" s="718">
        <f>VLOOKUP(B180,'2-Kosten per locatie'!$A$13:$C$88,3,FALSE)</f>
        <v>2</v>
      </c>
      <c r="E180" s="720" t="s">
        <v>505</v>
      </c>
      <c r="F180" s="639" t="s">
        <v>977</v>
      </c>
      <c r="G180" s="639" t="s">
        <v>1048</v>
      </c>
      <c r="H180" s="705">
        <v>2</v>
      </c>
      <c r="I180" s="721">
        <f>(3.85+2.9+9.5*2)*3.9</f>
        <v>100.425</v>
      </c>
      <c r="J180" s="722" t="s">
        <v>968</v>
      </c>
      <c r="K180" s="722"/>
      <c r="L180" s="723">
        <f t="shared" si="9"/>
        <v>0</v>
      </c>
      <c r="M180" s="723">
        <f t="shared" si="10"/>
        <v>0</v>
      </c>
      <c r="N180" s="723">
        <f t="shared" si="11"/>
        <v>0</v>
      </c>
    </row>
    <row r="181" spans="1:14">
      <c r="A181" s="639" t="s">
        <v>71</v>
      </c>
      <c r="B181" s="718">
        <v>114</v>
      </c>
      <c r="C181" s="726" t="s">
        <v>156</v>
      </c>
      <c r="D181" s="718">
        <f>VLOOKUP(B181,'2-Kosten per locatie'!$A$13:$C$88,3,FALSE)</f>
        <v>2</v>
      </c>
      <c r="E181" s="720" t="s">
        <v>505</v>
      </c>
      <c r="F181" s="639" t="s">
        <v>971</v>
      </c>
      <c r="G181" s="639" t="s">
        <v>1048</v>
      </c>
      <c r="H181" s="705">
        <v>2</v>
      </c>
      <c r="I181" s="721">
        <f>(3.85+2.9+9.5*2)*3.9</f>
        <v>100.425</v>
      </c>
      <c r="J181" s="722" t="s">
        <v>968</v>
      </c>
      <c r="K181" s="722"/>
      <c r="L181" s="723">
        <f t="shared" si="9"/>
        <v>0</v>
      </c>
      <c r="M181" s="723">
        <f t="shared" si="10"/>
        <v>0</v>
      </c>
      <c r="N181" s="723">
        <f t="shared" si="11"/>
        <v>0</v>
      </c>
    </row>
    <row r="182" spans="1:14">
      <c r="A182" s="639" t="s">
        <v>71</v>
      </c>
      <c r="B182" s="718">
        <v>114</v>
      </c>
      <c r="C182" s="726" t="s">
        <v>156</v>
      </c>
      <c r="D182" s="718">
        <f>VLOOKUP(B182,'2-Kosten per locatie'!$A$13:$C$88,3,FALSE)</f>
        <v>2</v>
      </c>
      <c r="E182" s="720" t="s">
        <v>505</v>
      </c>
      <c r="F182" s="639" t="s">
        <v>977</v>
      </c>
      <c r="G182" s="639" t="s">
        <v>1049</v>
      </c>
      <c r="H182" s="705">
        <v>2</v>
      </c>
      <c r="I182" s="721">
        <f>6.6*4.4</f>
        <v>29.04</v>
      </c>
      <c r="J182" s="722" t="s">
        <v>968</v>
      </c>
      <c r="K182" s="722"/>
      <c r="L182" s="723">
        <f t="shared" si="9"/>
        <v>0</v>
      </c>
      <c r="M182" s="723">
        <f t="shared" si="10"/>
        <v>0</v>
      </c>
      <c r="N182" s="723">
        <f t="shared" si="11"/>
        <v>0</v>
      </c>
    </row>
    <row r="183" spans="1:14">
      <c r="A183" s="639" t="s">
        <v>71</v>
      </c>
      <c r="B183" s="718">
        <v>114</v>
      </c>
      <c r="C183" s="726" t="s">
        <v>156</v>
      </c>
      <c r="D183" s="718">
        <f>VLOOKUP(B183,'2-Kosten per locatie'!$A$13:$C$88,3,FALSE)</f>
        <v>2</v>
      </c>
      <c r="E183" s="720" t="s">
        <v>505</v>
      </c>
      <c r="F183" s="639" t="s">
        <v>971</v>
      </c>
      <c r="G183" s="639" t="s">
        <v>1049</v>
      </c>
      <c r="H183" s="705">
        <v>2</v>
      </c>
      <c r="I183" s="721">
        <f>6.6*4.4</f>
        <v>29.04</v>
      </c>
      <c r="J183" s="722" t="s">
        <v>968</v>
      </c>
      <c r="K183" s="722"/>
      <c r="L183" s="723">
        <f t="shared" si="9"/>
        <v>0</v>
      </c>
      <c r="M183" s="723">
        <f t="shared" si="10"/>
        <v>0</v>
      </c>
      <c r="N183" s="723">
        <f t="shared" si="11"/>
        <v>0</v>
      </c>
    </row>
    <row r="184" spans="1:14">
      <c r="A184" s="639" t="s">
        <v>71</v>
      </c>
      <c r="B184" s="718">
        <v>114</v>
      </c>
      <c r="C184" s="726" t="s">
        <v>156</v>
      </c>
      <c r="D184" s="718">
        <f>VLOOKUP(B184,'2-Kosten per locatie'!$A$13:$C$88,3,FALSE)</f>
        <v>2</v>
      </c>
      <c r="E184" s="720" t="s">
        <v>505</v>
      </c>
      <c r="F184" s="639" t="s">
        <v>977</v>
      </c>
      <c r="G184" s="639" t="s">
        <v>1050</v>
      </c>
      <c r="H184" s="705">
        <v>2</v>
      </c>
      <c r="I184" s="721">
        <f>6.6*2.85</f>
        <v>18.809999999999999</v>
      </c>
      <c r="J184" s="722" t="s">
        <v>968</v>
      </c>
      <c r="K184" s="722"/>
      <c r="L184" s="723">
        <f t="shared" si="9"/>
        <v>0</v>
      </c>
      <c r="M184" s="723">
        <f t="shared" si="10"/>
        <v>0</v>
      </c>
      <c r="N184" s="723">
        <f t="shared" si="11"/>
        <v>0</v>
      </c>
    </row>
    <row r="185" spans="1:14">
      <c r="A185" s="639" t="s">
        <v>71</v>
      </c>
      <c r="B185" s="718">
        <v>114</v>
      </c>
      <c r="C185" s="726" t="s">
        <v>156</v>
      </c>
      <c r="D185" s="718">
        <f>VLOOKUP(B185,'2-Kosten per locatie'!$A$13:$C$88,3,FALSE)</f>
        <v>2</v>
      </c>
      <c r="E185" s="720" t="s">
        <v>505</v>
      </c>
      <c r="F185" s="639" t="s">
        <v>971</v>
      </c>
      <c r="G185" s="639" t="s">
        <v>1050</v>
      </c>
      <c r="H185" s="705">
        <v>2</v>
      </c>
      <c r="I185" s="721">
        <f>6.6*2.85</f>
        <v>18.809999999999999</v>
      </c>
      <c r="J185" s="722" t="s">
        <v>968</v>
      </c>
      <c r="K185" s="722"/>
      <c r="L185" s="723">
        <f t="shared" si="9"/>
        <v>0</v>
      </c>
      <c r="M185" s="723">
        <f t="shared" si="10"/>
        <v>0</v>
      </c>
      <c r="N185" s="723">
        <f t="shared" si="11"/>
        <v>0</v>
      </c>
    </row>
    <row r="186" spans="1:14">
      <c r="A186" s="639" t="s">
        <v>71</v>
      </c>
      <c r="B186" s="718">
        <v>114</v>
      </c>
      <c r="C186" s="726" t="s">
        <v>156</v>
      </c>
      <c r="D186" s="718">
        <f>VLOOKUP(B186,'2-Kosten per locatie'!$A$13:$C$88,3,FALSE)</f>
        <v>2</v>
      </c>
      <c r="E186" s="720" t="s">
        <v>505</v>
      </c>
      <c r="F186" s="639" t="s">
        <v>979</v>
      </c>
      <c r="G186" s="639" t="s">
        <v>1026</v>
      </c>
      <c r="H186" s="705">
        <v>2</v>
      </c>
      <c r="I186" s="721">
        <f>6.6*3.6</f>
        <v>23.759999999999998</v>
      </c>
      <c r="J186" s="722" t="s">
        <v>968</v>
      </c>
      <c r="K186" s="722" t="s">
        <v>1025</v>
      </c>
      <c r="L186" s="723">
        <f t="shared" si="9"/>
        <v>0</v>
      </c>
      <c r="M186" s="723">
        <f t="shared" si="10"/>
        <v>0</v>
      </c>
      <c r="N186" s="723">
        <f t="shared" si="11"/>
        <v>0</v>
      </c>
    </row>
    <row r="187" spans="1:14">
      <c r="A187" s="639" t="s">
        <v>71</v>
      </c>
      <c r="B187" s="718">
        <v>114</v>
      </c>
      <c r="C187" s="726" t="s">
        <v>156</v>
      </c>
      <c r="D187" s="718">
        <f>VLOOKUP(B187,'2-Kosten per locatie'!$A$13:$C$88,3,FALSE)</f>
        <v>2</v>
      </c>
      <c r="E187" s="720" t="s">
        <v>505</v>
      </c>
      <c r="F187" s="639" t="s">
        <v>977</v>
      </c>
      <c r="G187" s="639" t="s">
        <v>1019</v>
      </c>
      <c r="H187" s="705">
        <v>2</v>
      </c>
      <c r="I187" s="721">
        <f>+(2*1.85+1*1.3)*2</f>
        <v>10</v>
      </c>
      <c r="J187" s="722" t="s">
        <v>968</v>
      </c>
      <c r="K187" s="722"/>
      <c r="L187" s="723">
        <f t="shared" si="9"/>
        <v>0</v>
      </c>
      <c r="M187" s="723">
        <f t="shared" si="10"/>
        <v>0</v>
      </c>
      <c r="N187" s="723">
        <f t="shared" si="11"/>
        <v>0</v>
      </c>
    </row>
    <row r="188" spans="1:14">
      <c r="A188" s="639" t="s">
        <v>71</v>
      </c>
      <c r="B188" s="718">
        <v>114</v>
      </c>
      <c r="C188" s="726" t="s">
        <v>156</v>
      </c>
      <c r="D188" s="718">
        <f>VLOOKUP(B188,'2-Kosten per locatie'!$A$13:$C$88,3,FALSE)</f>
        <v>2</v>
      </c>
      <c r="E188" s="720" t="s">
        <v>505</v>
      </c>
      <c r="F188" s="639" t="s">
        <v>971</v>
      </c>
      <c r="G188" s="639" t="s">
        <v>1019</v>
      </c>
      <c r="H188" s="705">
        <v>2</v>
      </c>
      <c r="I188" s="721">
        <f>+(2*1.85+1*1.3)*2</f>
        <v>10</v>
      </c>
      <c r="J188" s="722" t="s">
        <v>968</v>
      </c>
      <c r="K188" s="722"/>
      <c r="L188" s="723">
        <f t="shared" si="9"/>
        <v>0</v>
      </c>
      <c r="M188" s="723">
        <f t="shared" si="10"/>
        <v>0</v>
      </c>
      <c r="N188" s="723">
        <f t="shared" si="11"/>
        <v>0</v>
      </c>
    </row>
    <row r="189" spans="1:14">
      <c r="A189" s="639" t="s">
        <v>71</v>
      </c>
      <c r="B189" s="718">
        <v>114</v>
      </c>
      <c r="C189" s="726" t="s">
        <v>156</v>
      </c>
      <c r="D189" s="718">
        <f>VLOOKUP(B189,'2-Kosten per locatie'!$A$13:$C$88,3,FALSE)</f>
        <v>2</v>
      </c>
      <c r="E189" s="720" t="s">
        <v>505</v>
      </c>
      <c r="F189" s="639" t="s">
        <v>975</v>
      </c>
      <c r="G189" s="639" t="s">
        <v>1051</v>
      </c>
      <c r="H189" s="705">
        <v>2</v>
      </c>
      <c r="I189" s="721">
        <f>+(1.35+0.65)*10</f>
        <v>20</v>
      </c>
      <c r="J189" s="722" t="s">
        <v>968</v>
      </c>
      <c r="K189" s="722" t="s">
        <v>1030</v>
      </c>
      <c r="L189" s="723">
        <f t="shared" si="9"/>
        <v>0</v>
      </c>
      <c r="M189" s="723">
        <f t="shared" si="10"/>
        <v>0</v>
      </c>
      <c r="N189" s="723">
        <f t="shared" si="11"/>
        <v>0</v>
      </c>
    </row>
    <row r="190" spans="1:14">
      <c r="A190" s="639" t="s">
        <v>71</v>
      </c>
      <c r="B190" s="718">
        <v>114</v>
      </c>
      <c r="C190" s="726" t="s">
        <v>156</v>
      </c>
      <c r="D190" s="718">
        <f>VLOOKUP(B190,'2-Kosten per locatie'!$A$13:$C$88,3,FALSE)</f>
        <v>2</v>
      </c>
      <c r="E190" s="720" t="s">
        <v>505</v>
      </c>
      <c r="F190" s="639" t="s">
        <v>969</v>
      </c>
      <c r="G190" s="639" t="s">
        <v>1051</v>
      </c>
      <c r="H190" s="705">
        <v>2</v>
      </c>
      <c r="I190" s="721">
        <f>+(1.35+0.65)*10</f>
        <v>20</v>
      </c>
      <c r="J190" s="722" t="s">
        <v>968</v>
      </c>
      <c r="K190" s="722" t="s">
        <v>1030</v>
      </c>
      <c r="L190" s="723">
        <f t="shared" si="9"/>
        <v>0</v>
      </c>
      <c r="M190" s="723">
        <f t="shared" si="10"/>
        <v>0</v>
      </c>
      <c r="N190" s="723">
        <f t="shared" si="11"/>
        <v>0</v>
      </c>
    </row>
    <row r="191" spans="1:14">
      <c r="A191" s="639" t="s">
        <v>71</v>
      </c>
      <c r="B191" s="718">
        <v>114</v>
      </c>
      <c r="C191" s="726" t="s">
        <v>156</v>
      </c>
      <c r="D191" s="718">
        <f>VLOOKUP(B191,'2-Kosten per locatie'!$A$13:$C$88,3,FALSE)</f>
        <v>2</v>
      </c>
      <c r="E191" s="720" t="s">
        <v>505</v>
      </c>
      <c r="F191" s="639" t="s">
        <v>980</v>
      </c>
      <c r="G191" s="639" t="s">
        <v>981</v>
      </c>
      <c r="H191" s="705">
        <v>2</v>
      </c>
      <c r="I191" s="721">
        <v>12.18</v>
      </c>
      <c r="J191" s="722" t="s">
        <v>982</v>
      </c>
      <c r="K191" s="722"/>
      <c r="L191" s="723">
        <f t="shared" si="9"/>
        <v>0</v>
      </c>
      <c r="M191" s="723">
        <f t="shared" si="10"/>
        <v>0</v>
      </c>
      <c r="N191" s="723">
        <f t="shared" si="11"/>
        <v>0</v>
      </c>
    </row>
    <row r="192" spans="1:14">
      <c r="A192" s="639" t="s">
        <v>71</v>
      </c>
      <c r="B192" s="718">
        <v>114</v>
      </c>
      <c r="C192" s="719" t="s">
        <v>156</v>
      </c>
      <c r="D192" s="718">
        <f>VLOOKUP(B192,'2-Kosten per locatie'!$A$13:$C$88,3,FALSE)</f>
        <v>2</v>
      </c>
      <c r="E192" s="720" t="s">
        <v>505</v>
      </c>
      <c r="F192" s="639" t="s">
        <v>983</v>
      </c>
      <c r="G192" s="639" t="s">
        <v>981</v>
      </c>
      <c r="H192" s="705">
        <v>2</v>
      </c>
      <c r="I192" s="721">
        <v>12.18</v>
      </c>
      <c r="J192" s="722" t="s">
        <v>968</v>
      </c>
      <c r="K192" s="722"/>
      <c r="L192" s="723">
        <f t="shared" si="9"/>
        <v>0</v>
      </c>
      <c r="M192" s="723">
        <f t="shared" si="10"/>
        <v>0</v>
      </c>
      <c r="N192" s="723">
        <f t="shared" si="11"/>
        <v>0</v>
      </c>
    </row>
    <row r="193" spans="1:14">
      <c r="A193" s="639" t="s">
        <v>71</v>
      </c>
      <c r="B193" s="718">
        <v>114</v>
      </c>
      <c r="C193" s="719" t="s">
        <v>156</v>
      </c>
      <c r="D193" s="718">
        <f>VLOOKUP(B193,'2-Kosten per locatie'!$A$13:$C$88,3,FALSE)</f>
        <v>2</v>
      </c>
      <c r="E193" s="720" t="s">
        <v>505</v>
      </c>
      <c r="F193" s="639" t="s">
        <v>984</v>
      </c>
      <c r="G193" s="639" t="s">
        <v>985</v>
      </c>
      <c r="H193" s="705">
        <v>2</v>
      </c>
      <c r="I193" s="721">
        <v>1.92</v>
      </c>
      <c r="J193" s="722" t="s">
        <v>982</v>
      </c>
      <c r="K193" s="722"/>
      <c r="L193" s="723">
        <f t="shared" si="9"/>
        <v>0</v>
      </c>
      <c r="M193" s="723">
        <f t="shared" si="10"/>
        <v>0</v>
      </c>
      <c r="N193" s="723">
        <f t="shared" si="11"/>
        <v>0</v>
      </c>
    </row>
    <row r="194" spans="1:14">
      <c r="A194" s="639" t="s">
        <v>71</v>
      </c>
      <c r="B194" s="718">
        <v>114</v>
      </c>
      <c r="C194" s="719" t="s">
        <v>156</v>
      </c>
      <c r="D194" s="718">
        <f>VLOOKUP(B194,'2-Kosten per locatie'!$A$13:$C$88,3,FALSE)</f>
        <v>2</v>
      </c>
      <c r="E194" s="720" t="s">
        <v>505</v>
      </c>
      <c r="F194" s="639" t="s">
        <v>986</v>
      </c>
      <c r="G194" s="639" t="s">
        <v>985</v>
      </c>
      <c r="H194" s="705">
        <v>2</v>
      </c>
      <c r="I194" s="721">
        <v>1.92</v>
      </c>
      <c r="J194" s="722" t="s">
        <v>982</v>
      </c>
      <c r="K194" s="722"/>
      <c r="L194" s="723">
        <f t="shared" si="9"/>
        <v>0</v>
      </c>
      <c r="M194" s="723">
        <f t="shared" si="10"/>
        <v>0</v>
      </c>
      <c r="N194" s="723">
        <f t="shared" si="11"/>
        <v>0</v>
      </c>
    </row>
    <row r="195" spans="1:14">
      <c r="A195" s="639" t="s">
        <v>71</v>
      </c>
      <c r="B195" s="718">
        <v>114</v>
      </c>
      <c r="C195" s="719" t="s">
        <v>156</v>
      </c>
      <c r="D195" s="718">
        <f>VLOOKUP(B195,'2-Kosten per locatie'!$A$13:$C$88,3,FALSE)</f>
        <v>2</v>
      </c>
      <c r="E195" s="720" t="s">
        <v>506</v>
      </c>
      <c r="F195" s="639" t="s">
        <v>975</v>
      </c>
      <c r="G195" s="639" t="s">
        <v>1052</v>
      </c>
      <c r="H195" s="705">
        <v>2</v>
      </c>
      <c r="I195" s="721">
        <f>+(19+7.5+17)*2.7</f>
        <v>117.45</v>
      </c>
      <c r="J195" s="722" t="s">
        <v>968</v>
      </c>
      <c r="K195" s="722"/>
      <c r="L195" s="723">
        <f t="shared" si="9"/>
        <v>0</v>
      </c>
      <c r="M195" s="723">
        <f t="shared" si="10"/>
        <v>0</v>
      </c>
      <c r="N195" s="723">
        <f t="shared" si="11"/>
        <v>0</v>
      </c>
    </row>
    <row r="196" spans="1:14">
      <c r="A196" s="639" t="s">
        <v>71</v>
      </c>
      <c r="B196" s="718">
        <v>114</v>
      </c>
      <c r="C196" s="719" t="s">
        <v>156</v>
      </c>
      <c r="D196" s="718">
        <f>VLOOKUP(B196,'2-Kosten per locatie'!$A$13:$C$88,3,FALSE)</f>
        <v>2</v>
      </c>
      <c r="E196" s="720" t="s">
        <v>506</v>
      </c>
      <c r="F196" s="639" t="s">
        <v>969</v>
      </c>
      <c r="G196" s="639" t="s">
        <v>1052</v>
      </c>
      <c r="H196" s="705">
        <v>2</v>
      </c>
      <c r="I196" s="721">
        <f>+(19+7.5+17)*2.7</f>
        <v>117.45</v>
      </c>
      <c r="J196" s="722" t="s">
        <v>968</v>
      </c>
      <c r="K196" s="722"/>
      <c r="L196" s="723">
        <f t="shared" si="9"/>
        <v>0</v>
      </c>
      <c r="M196" s="723">
        <f t="shared" si="10"/>
        <v>0</v>
      </c>
      <c r="N196" s="723">
        <f t="shared" si="11"/>
        <v>0</v>
      </c>
    </row>
    <row r="197" spans="1:14">
      <c r="A197" s="639" t="s">
        <v>71</v>
      </c>
      <c r="B197" s="718">
        <v>114</v>
      </c>
      <c r="C197" s="719" t="s">
        <v>156</v>
      </c>
      <c r="D197" s="718">
        <f>VLOOKUP(B197,'2-Kosten per locatie'!$A$13:$C$88,3,FALSE)</f>
        <v>2</v>
      </c>
      <c r="E197" s="720" t="s">
        <v>506</v>
      </c>
      <c r="F197" s="639" t="s">
        <v>966</v>
      </c>
      <c r="G197" s="639" t="s">
        <v>1053</v>
      </c>
      <c r="H197" s="705">
        <v>12</v>
      </c>
      <c r="I197" s="721">
        <f>13.5*2</f>
        <v>27</v>
      </c>
      <c r="J197" s="722" t="s">
        <v>982</v>
      </c>
      <c r="K197" s="722"/>
      <c r="L197" s="723">
        <f t="shared" si="9"/>
        <v>0</v>
      </c>
      <c r="M197" s="723">
        <f t="shared" si="10"/>
        <v>0</v>
      </c>
      <c r="N197" s="723">
        <f t="shared" si="11"/>
        <v>0</v>
      </c>
    </row>
    <row r="198" spans="1:14">
      <c r="A198" s="639" t="s">
        <v>71</v>
      </c>
      <c r="B198" s="718">
        <v>114</v>
      </c>
      <c r="C198" s="719" t="s">
        <v>156</v>
      </c>
      <c r="D198" s="718">
        <f>VLOOKUP(B198,'2-Kosten per locatie'!$A$13:$C$88,3,FALSE)</f>
        <v>2</v>
      </c>
      <c r="E198" s="720" t="s">
        <v>506</v>
      </c>
      <c r="F198" s="639" t="s">
        <v>977</v>
      </c>
      <c r="G198" s="639" t="s">
        <v>1054</v>
      </c>
      <c r="H198" s="705">
        <v>2</v>
      </c>
      <c r="I198" s="721">
        <f>22.2*3.85</f>
        <v>85.47</v>
      </c>
      <c r="J198" s="722" t="s">
        <v>968</v>
      </c>
      <c r="K198" s="722"/>
      <c r="L198" s="723">
        <f t="shared" si="9"/>
        <v>0</v>
      </c>
      <c r="M198" s="723">
        <f t="shared" si="10"/>
        <v>0</v>
      </c>
      <c r="N198" s="723">
        <f t="shared" si="11"/>
        <v>0</v>
      </c>
    </row>
    <row r="199" spans="1:14">
      <c r="A199" s="639" t="s">
        <v>71</v>
      </c>
      <c r="B199" s="718">
        <v>114</v>
      </c>
      <c r="C199" s="719" t="s">
        <v>156</v>
      </c>
      <c r="D199" s="718">
        <f>VLOOKUP(B199,'2-Kosten per locatie'!$A$13:$C$88,3,FALSE)</f>
        <v>2</v>
      </c>
      <c r="E199" s="720" t="s">
        <v>506</v>
      </c>
      <c r="F199" s="639" t="s">
        <v>971</v>
      </c>
      <c r="G199" s="639" t="s">
        <v>1054</v>
      </c>
      <c r="H199" s="705">
        <v>2</v>
      </c>
      <c r="I199" s="721">
        <f>22.2*3.85</f>
        <v>85.47</v>
      </c>
      <c r="J199" s="722" t="s">
        <v>968</v>
      </c>
      <c r="K199" s="722"/>
      <c r="L199" s="723">
        <f t="shared" si="9"/>
        <v>0</v>
      </c>
      <c r="M199" s="723">
        <f t="shared" si="10"/>
        <v>0</v>
      </c>
      <c r="N199" s="723">
        <f t="shared" si="11"/>
        <v>0</v>
      </c>
    </row>
    <row r="200" spans="1:14">
      <c r="A200" s="639" t="s">
        <v>71</v>
      </c>
      <c r="B200" s="718">
        <v>114</v>
      </c>
      <c r="C200" s="719" t="s">
        <v>156</v>
      </c>
      <c r="D200" s="718">
        <f>VLOOKUP(B200,'2-Kosten per locatie'!$A$13:$C$88,3,FALSE)</f>
        <v>2</v>
      </c>
      <c r="E200" s="720" t="s">
        <v>506</v>
      </c>
      <c r="F200" s="639" t="s">
        <v>977</v>
      </c>
      <c r="G200" s="639" t="s">
        <v>1021</v>
      </c>
      <c r="H200" s="705">
        <v>2</v>
      </c>
      <c r="I200" s="721">
        <f>22.2*3.85</f>
        <v>85.47</v>
      </c>
      <c r="J200" s="722" t="s">
        <v>968</v>
      </c>
      <c r="K200" s="722"/>
      <c r="L200" s="723">
        <f t="shared" si="9"/>
        <v>0</v>
      </c>
      <c r="M200" s="723">
        <f t="shared" si="10"/>
        <v>0</v>
      </c>
      <c r="N200" s="723">
        <f t="shared" si="11"/>
        <v>0</v>
      </c>
    </row>
    <row r="201" spans="1:14">
      <c r="A201" s="639" t="s">
        <v>71</v>
      </c>
      <c r="B201" s="718">
        <v>114</v>
      </c>
      <c r="C201" s="719" t="s">
        <v>156</v>
      </c>
      <c r="D201" s="718">
        <f>VLOOKUP(B201,'2-Kosten per locatie'!$A$13:$C$88,3,FALSE)</f>
        <v>2</v>
      </c>
      <c r="E201" s="720" t="s">
        <v>506</v>
      </c>
      <c r="F201" s="639" t="s">
        <v>971</v>
      </c>
      <c r="G201" s="639" t="s">
        <v>1021</v>
      </c>
      <c r="H201" s="705">
        <v>2</v>
      </c>
      <c r="I201" s="721">
        <f>17.65*3.85</f>
        <v>67.952500000000001</v>
      </c>
      <c r="J201" s="722" t="s">
        <v>968</v>
      </c>
      <c r="K201" s="722"/>
      <c r="L201" s="723">
        <f t="shared" si="9"/>
        <v>0</v>
      </c>
      <c r="M201" s="723">
        <f t="shared" si="10"/>
        <v>0</v>
      </c>
      <c r="N201" s="723">
        <f t="shared" si="11"/>
        <v>0</v>
      </c>
    </row>
    <row r="202" spans="1:14">
      <c r="A202" s="639" t="s">
        <v>71</v>
      </c>
      <c r="B202" s="718">
        <v>114</v>
      </c>
      <c r="C202" s="719" t="s">
        <v>156</v>
      </c>
      <c r="D202" s="718">
        <f>VLOOKUP(B202,'2-Kosten per locatie'!$A$13:$C$88,3,FALSE)</f>
        <v>2</v>
      </c>
      <c r="E202" s="720" t="s">
        <v>506</v>
      </c>
      <c r="F202" s="639" t="s">
        <v>971</v>
      </c>
      <c r="G202" s="639" t="s">
        <v>1020</v>
      </c>
      <c r="H202" s="705">
        <v>2</v>
      </c>
      <c r="I202" s="721">
        <f>(22.2-17.65-2.2)*3.85</f>
        <v>9.047500000000003</v>
      </c>
      <c r="J202" s="722" t="s">
        <v>982</v>
      </c>
      <c r="K202" s="722"/>
      <c r="L202" s="723">
        <f t="shared" si="9"/>
        <v>0</v>
      </c>
      <c r="M202" s="723">
        <f t="shared" si="10"/>
        <v>0</v>
      </c>
      <c r="N202" s="723">
        <f t="shared" si="11"/>
        <v>0</v>
      </c>
    </row>
    <row r="203" spans="1:14">
      <c r="A203" s="639" t="s">
        <v>71</v>
      </c>
      <c r="B203" s="718">
        <v>114</v>
      </c>
      <c r="C203" s="719" t="s">
        <v>156</v>
      </c>
      <c r="D203" s="718">
        <f>VLOOKUP(B203,'2-Kosten per locatie'!$A$13:$C$88,3,FALSE)</f>
        <v>2</v>
      </c>
      <c r="E203" s="720" t="s">
        <v>506</v>
      </c>
      <c r="F203" s="639" t="s">
        <v>980</v>
      </c>
      <c r="G203" s="639" t="s">
        <v>1055</v>
      </c>
      <c r="H203" s="705">
        <v>2</v>
      </c>
      <c r="I203" s="721">
        <f>2.2*3.85</f>
        <v>8.4700000000000006</v>
      </c>
      <c r="J203" s="722" t="s">
        <v>982</v>
      </c>
      <c r="K203" s="722"/>
      <c r="L203" s="723">
        <f t="shared" si="9"/>
        <v>0</v>
      </c>
      <c r="M203" s="723">
        <f t="shared" si="10"/>
        <v>0</v>
      </c>
      <c r="N203" s="723">
        <f t="shared" si="11"/>
        <v>0</v>
      </c>
    </row>
    <row r="204" spans="1:14">
      <c r="A204" s="639" t="s">
        <v>71</v>
      </c>
      <c r="B204" s="718">
        <v>114</v>
      </c>
      <c r="C204" s="719" t="s">
        <v>156</v>
      </c>
      <c r="D204" s="718">
        <f>VLOOKUP(B204,'2-Kosten per locatie'!$A$13:$C$88,3,FALSE)</f>
        <v>2</v>
      </c>
      <c r="E204" s="720" t="s">
        <v>506</v>
      </c>
      <c r="F204" s="639" t="s">
        <v>980</v>
      </c>
      <c r="G204" s="639" t="s">
        <v>1056</v>
      </c>
      <c r="H204" s="705">
        <v>2</v>
      </c>
      <c r="I204" s="721">
        <f>3*9.9+2.1*11+2.2*3.85</f>
        <v>61.27</v>
      </c>
      <c r="J204" s="722" t="s">
        <v>982</v>
      </c>
      <c r="K204" s="722"/>
      <c r="L204" s="723">
        <f t="shared" si="9"/>
        <v>0</v>
      </c>
      <c r="M204" s="723">
        <f t="shared" si="10"/>
        <v>0</v>
      </c>
      <c r="N204" s="723">
        <f t="shared" si="11"/>
        <v>0</v>
      </c>
    </row>
    <row r="205" spans="1:14">
      <c r="A205" s="639" t="s">
        <v>71</v>
      </c>
      <c r="B205" s="718">
        <v>114</v>
      </c>
      <c r="C205" s="719" t="s">
        <v>156</v>
      </c>
      <c r="D205" s="718">
        <f>VLOOKUP(B205,'2-Kosten per locatie'!$A$13:$C$88,3,FALSE)</f>
        <v>2</v>
      </c>
      <c r="E205" s="720" t="s">
        <v>506</v>
      </c>
      <c r="F205" s="639" t="s">
        <v>984</v>
      </c>
      <c r="G205" s="639" t="s">
        <v>1041</v>
      </c>
      <c r="H205" s="705">
        <v>2</v>
      </c>
      <c r="I205" s="721">
        <f>2*1.15*2.3+2*2.15*2.3</f>
        <v>15.179999999999998</v>
      </c>
      <c r="J205" s="722" t="s">
        <v>982</v>
      </c>
      <c r="K205" s="722"/>
      <c r="L205" s="723">
        <f t="shared" si="9"/>
        <v>0</v>
      </c>
      <c r="M205" s="723">
        <f t="shared" si="10"/>
        <v>0</v>
      </c>
      <c r="N205" s="723">
        <f t="shared" si="11"/>
        <v>0</v>
      </c>
    </row>
    <row r="206" spans="1:14">
      <c r="A206" s="639" t="s">
        <v>71</v>
      </c>
      <c r="B206" s="718">
        <v>114</v>
      </c>
      <c r="C206" s="719" t="s">
        <v>156</v>
      </c>
      <c r="D206" s="718">
        <f>VLOOKUP(B206,'2-Kosten per locatie'!$A$13:$C$88,3,FALSE)</f>
        <v>2</v>
      </c>
      <c r="E206" s="720" t="s">
        <v>506</v>
      </c>
      <c r="F206" s="639" t="s">
        <v>986</v>
      </c>
      <c r="G206" s="639" t="s">
        <v>1041</v>
      </c>
      <c r="H206" s="705">
        <v>2</v>
      </c>
      <c r="I206" s="721">
        <f>2*1.15*2.3+2*2.15*2.3</f>
        <v>15.179999999999998</v>
      </c>
      <c r="J206" s="722" t="s">
        <v>982</v>
      </c>
      <c r="K206" s="722"/>
      <c r="L206" s="723">
        <f t="shared" ref="L206:L269" si="12">IF(J206="ja",0,VLOOKUP(F206,Glassoort2,2,0))*I206</f>
        <v>0</v>
      </c>
      <c r="M206" s="723">
        <f t="shared" ref="M206:M269" si="13">IF(J206="ja",VLOOKUP(F206,Glassoort2,3,0))*I206</f>
        <v>0</v>
      </c>
      <c r="N206" s="723">
        <f t="shared" ref="N206:N269" si="14">(M206*H206)+(L206*H206)</f>
        <v>0</v>
      </c>
    </row>
    <row r="207" spans="1:14">
      <c r="A207" s="639" t="s">
        <v>71</v>
      </c>
      <c r="B207" s="718">
        <v>114</v>
      </c>
      <c r="C207" s="719" t="s">
        <v>156</v>
      </c>
      <c r="D207" s="718">
        <f>VLOOKUP(B207,'2-Kosten per locatie'!$A$13:$C$88,3,FALSE)</f>
        <v>2</v>
      </c>
      <c r="E207" s="720" t="s">
        <v>506</v>
      </c>
      <c r="F207" s="639" t="s">
        <v>977</v>
      </c>
      <c r="G207" s="639" t="s">
        <v>1057</v>
      </c>
      <c r="H207" s="705">
        <v>2</v>
      </c>
      <c r="I207" s="721">
        <f>5.85*4.1+3*1.15*2</f>
        <v>30.884999999999994</v>
      </c>
      <c r="J207" s="722" t="s">
        <v>982</v>
      </c>
      <c r="K207" s="722"/>
      <c r="L207" s="723">
        <f t="shared" si="12"/>
        <v>0</v>
      </c>
      <c r="M207" s="723">
        <f t="shared" si="13"/>
        <v>0</v>
      </c>
      <c r="N207" s="723">
        <f t="shared" si="14"/>
        <v>0</v>
      </c>
    </row>
    <row r="208" spans="1:14">
      <c r="A208" s="639" t="s">
        <v>71</v>
      </c>
      <c r="B208" s="718">
        <v>114</v>
      </c>
      <c r="C208" s="719" t="s">
        <v>156</v>
      </c>
      <c r="D208" s="718">
        <f>VLOOKUP(B208,'2-Kosten per locatie'!$A$13:$C$88,3,FALSE)</f>
        <v>2</v>
      </c>
      <c r="E208" s="720" t="s">
        <v>506</v>
      </c>
      <c r="F208" s="639" t="s">
        <v>971</v>
      </c>
      <c r="G208" s="639" t="s">
        <v>1057</v>
      </c>
      <c r="H208" s="705">
        <v>2</v>
      </c>
      <c r="I208" s="721">
        <f>5.85*4.1+3*1.15*2</f>
        <v>30.884999999999994</v>
      </c>
      <c r="J208" s="722" t="s">
        <v>982</v>
      </c>
      <c r="K208" s="722"/>
      <c r="L208" s="723">
        <f t="shared" si="12"/>
        <v>0</v>
      </c>
      <c r="M208" s="723">
        <f t="shared" si="13"/>
        <v>0</v>
      </c>
      <c r="N208" s="723">
        <f t="shared" si="14"/>
        <v>0</v>
      </c>
    </row>
    <row r="209" spans="1:14">
      <c r="A209" s="639" t="s">
        <v>71</v>
      </c>
      <c r="B209" s="718">
        <v>114</v>
      </c>
      <c r="C209" s="719" t="s">
        <v>156</v>
      </c>
      <c r="D209" s="718">
        <f>VLOOKUP(B209,'2-Kosten per locatie'!$A$13:$C$88,3,FALSE)</f>
        <v>2</v>
      </c>
      <c r="E209" s="720" t="s">
        <v>506</v>
      </c>
      <c r="F209" s="639" t="s">
        <v>978</v>
      </c>
      <c r="G209" s="639" t="s">
        <v>1058</v>
      </c>
      <c r="H209" s="705">
        <v>2</v>
      </c>
      <c r="I209" s="721">
        <f>5.3*4.1+10.1*4.1*2+1.1*4.1*2</f>
        <v>113.56999999999998</v>
      </c>
      <c r="J209" s="722" t="s">
        <v>982</v>
      </c>
      <c r="K209" s="722" t="s">
        <v>1025</v>
      </c>
      <c r="L209" s="723">
        <f t="shared" si="12"/>
        <v>0</v>
      </c>
      <c r="M209" s="723">
        <f t="shared" si="13"/>
        <v>0</v>
      </c>
      <c r="N209" s="723">
        <f t="shared" si="14"/>
        <v>0</v>
      </c>
    </row>
    <row r="210" spans="1:14">
      <c r="A210" s="639" t="s">
        <v>71</v>
      </c>
      <c r="B210" s="718">
        <v>114</v>
      </c>
      <c r="C210" s="719" t="s">
        <v>156</v>
      </c>
      <c r="D210" s="718">
        <f>VLOOKUP(B210,'2-Kosten per locatie'!$A$13:$C$88,3,FALSE)</f>
        <v>2</v>
      </c>
      <c r="E210" s="720" t="s">
        <v>513</v>
      </c>
      <c r="F210" s="639" t="s">
        <v>977</v>
      </c>
      <c r="G210" s="639" t="s">
        <v>1059</v>
      </c>
      <c r="H210" s="705">
        <v>2</v>
      </c>
      <c r="I210" s="721">
        <f>5.3*4.1</f>
        <v>21.729999999999997</v>
      </c>
      <c r="J210" s="722" t="s">
        <v>982</v>
      </c>
      <c r="K210" s="722"/>
      <c r="L210" s="723">
        <f t="shared" si="12"/>
        <v>0</v>
      </c>
      <c r="M210" s="723">
        <f t="shared" si="13"/>
        <v>0</v>
      </c>
      <c r="N210" s="723">
        <f t="shared" si="14"/>
        <v>0</v>
      </c>
    </row>
    <row r="211" spans="1:14">
      <c r="A211" s="639" t="s">
        <v>71</v>
      </c>
      <c r="B211" s="718">
        <v>114</v>
      </c>
      <c r="C211" s="719" t="s">
        <v>156</v>
      </c>
      <c r="D211" s="718">
        <f>VLOOKUP(B211,'2-Kosten per locatie'!$A$13:$C$88,3,FALSE)</f>
        <v>2</v>
      </c>
      <c r="E211" s="720" t="s">
        <v>513</v>
      </c>
      <c r="F211" s="639" t="s">
        <v>971</v>
      </c>
      <c r="G211" s="639" t="s">
        <v>1059</v>
      </c>
      <c r="H211" s="705">
        <v>2</v>
      </c>
      <c r="I211" s="721">
        <f>5.3*3</f>
        <v>15.899999999999999</v>
      </c>
      <c r="J211" s="722" t="s">
        <v>982</v>
      </c>
      <c r="K211" s="722"/>
      <c r="L211" s="723">
        <f t="shared" si="12"/>
        <v>0</v>
      </c>
      <c r="M211" s="723">
        <f t="shared" si="13"/>
        <v>0</v>
      </c>
      <c r="N211" s="723">
        <f t="shared" si="14"/>
        <v>0</v>
      </c>
    </row>
    <row r="212" spans="1:14">
      <c r="A212" s="639" t="s">
        <v>71</v>
      </c>
      <c r="B212" s="718">
        <v>114</v>
      </c>
      <c r="C212" s="719" t="s">
        <v>156</v>
      </c>
      <c r="D212" s="718">
        <f>VLOOKUP(B212,'2-Kosten per locatie'!$A$13:$C$88,3,FALSE)</f>
        <v>2</v>
      </c>
      <c r="E212" s="720" t="s">
        <v>158</v>
      </c>
      <c r="F212" s="639" t="s">
        <v>971</v>
      </c>
      <c r="G212" s="639" t="s">
        <v>1060</v>
      </c>
      <c r="H212" s="705">
        <v>2</v>
      </c>
      <c r="I212" s="721">
        <f>2*2*2.5</f>
        <v>10</v>
      </c>
      <c r="J212" s="722" t="s">
        <v>968</v>
      </c>
      <c r="K212" s="722" t="s">
        <v>1025</v>
      </c>
      <c r="L212" s="723">
        <f t="shared" si="12"/>
        <v>0</v>
      </c>
      <c r="M212" s="723">
        <f t="shared" si="13"/>
        <v>0</v>
      </c>
      <c r="N212" s="723">
        <f t="shared" si="14"/>
        <v>0</v>
      </c>
    </row>
    <row r="213" spans="1:14">
      <c r="A213" s="639" t="s">
        <v>71</v>
      </c>
      <c r="B213" s="718">
        <v>114</v>
      </c>
      <c r="C213" s="719" t="s">
        <v>156</v>
      </c>
      <c r="D213" s="718">
        <f>VLOOKUP(B213,'2-Kosten per locatie'!$A$13:$C$88,3,FALSE)</f>
        <v>2</v>
      </c>
      <c r="E213" s="725"/>
      <c r="F213" s="639" t="s">
        <v>966</v>
      </c>
      <c r="G213" s="639" t="s">
        <v>991</v>
      </c>
      <c r="H213" s="705">
        <v>26</v>
      </c>
      <c r="I213" s="721">
        <v>18</v>
      </c>
      <c r="J213" s="722" t="s">
        <v>982</v>
      </c>
      <c r="K213" s="722" t="s">
        <v>992</v>
      </c>
      <c r="L213" s="723">
        <f t="shared" si="12"/>
        <v>0</v>
      </c>
      <c r="M213" s="723">
        <f t="shared" si="13"/>
        <v>0</v>
      </c>
      <c r="N213" s="723">
        <f t="shared" si="14"/>
        <v>0</v>
      </c>
    </row>
    <row r="214" spans="1:14">
      <c r="A214" s="639" t="s">
        <v>72</v>
      </c>
      <c r="B214" s="718">
        <v>115</v>
      </c>
      <c r="C214" s="719" t="s">
        <v>156</v>
      </c>
      <c r="D214" s="718">
        <f>VLOOKUP(B214,'2-Kosten per locatie'!$A$13:$C$88,3,FALSE)</f>
        <v>2</v>
      </c>
      <c r="E214" s="720" t="s">
        <v>505</v>
      </c>
      <c r="F214" s="639" t="s">
        <v>975</v>
      </c>
      <c r="G214" s="639" t="s">
        <v>1061</v>
      </c>
      <c r="H214" s="705">
        <v>2</v>
      </c>
      <c r="I214" s="721">
        <f>+(1.35+0.65)*12</f>
        <v>24</v>
      </c>
      <c r="J214" s="722" t="s">
        <v>968</v>
      </c>
      <c r="K214" s="722" t="s">
        <v>1030</v>
      </c>
      <c r="L214" s="723">
        <f t="shared" si="12"/>
        <v>0</v>
      </c>
      <c r="M214" s="723">
        <f t="shared" si="13"/>
        <v>0</v>
      </c>
      <c r="N214" s="723">
        <f t="shared" si="14"/>
        <v>0</v>
      </c>
    </row>
    <row r="215" spans="1:14">
      <c r="A215" s="639" t="s">
        <v>72</v>
      </c>
      <c r="B215" s="718">
        <v>115</v>
      </c>
      <c r="C215" s="719" t="s">
        <v>156</v>
      </c>
      <c r="D215" s="718">
        <f>VLOOKUP(B215,'2-Kosten per locatie'!$A$13:$C$88,3,FALSE)</f>
        <v>2</v>
      </c>
      <c r="E215" s="720" t="s">
        <v>505</v>
      </c>
      <c r="F215" s="639" t="s">
        <v>969</v>
      </c>
      <c r="G215" s="639" t="s">
        <v>1061</v>
      </c>
      <c r="H215" s="705">
        <v>2</v>
      </c>
      <c r="I215" s="721">
        <f>+(1.35+0.65)*12</f>
        <v>24</v>
      </c>
      <c r="J215" s="722" t="s">
        <v>968</v>
      </c>
      <c r="K215" s="722" t="s">
        <v>1030</v>
      </c>
      <c r="L215" s="723">
        <f t="shared" si="12"/>
        <v>0</v>
      </c>
      <c r="M215" s="723">
        <f t="shared" si="13"/>
        <v>0</v>
      </c>
      <c r="N215" s="723">
        <f t="shared" si="14"/>
        <v>0</v>
      </c>
    </row>
    <row r="216" spans="1:14">
      <c r="A216" s="639" t="s">
        <v>72</v>
      </c>
      <c r="B216" s="718">
        <v>115</v>
      </c>
      <c r="C216" s="719" t="s">
        <v>156</v>
      </c>
      <c r="D216" s="718">
        <f>VLOOKUP(B216,'2-Kosten per locatie'!$A$13:$C$88,3,FALSE)</f>
        <v>2</v>
      </c>
      <c r="E216" s="720" t="s">
        <v>505</v>
      </c>
      <c r="F216" s="639" t="s">
        <v>977</v>
      </c>
      <c r="G216" s="639" t="s">
        <v>1050</v>
      </c>
      <c r="H216" s="705">
        <v>2</v>
      </c>
      <c r="I216" s="721">
        <f>6.3*2.85</f>
        <v>17.954999999999998</v>
      </c>
      <c r="J216" s="722" t="s">
        <v>968</v>
      </c>
      <c r="K216" s="722"/>
      <c r="L216" s="723">
        <f t="shared" si="12"/>
        <v>0</v>
      </c>
      <c r="M216" s="723">
        <f t="shared" si="13"/>
        <v>0</v>
      </c>
      <c r="N216" s="723">
        <f t="shared" si="14"/>
        <v>0</v>
      </c>
    </row>
    <row r="217" spans="1:14">
      <c r="A217" s="639" t="s">
        <v>72</v>
      </c>
      <c r="B217" s="718">
        <v>115</v>
      </c>
      <c r="C217" s="719" t="s">
        <v>156</v>
      </c>
      <c r="D217" s="718">
        <f>VLOOKUP(B217,'2-Kosten per locatie'!$A$13:$C$88,3,FALSE)</f>
        <v>2</v>
      </c>
      <c r="E217" s="720" t="s">
        <v>505</v>
      </c>
      <c r="F217" s="639" t="s">
        <v>971</v>
      </c>
      <c r="G217" s="639" t="s">
        <v>1050</v>
      </c>
      <c r="H217" s="705">
        <v>2</v>
      </c>
      <c r="I217" s="721">
        <f>6.3*2.85</f>
        <v>17.954999999999998</v>
      </c>
      <c r="J217" s="722" t="s">
        <v>982</v>
      </c>
      <c r="K217" s="722"/>
      <c r="L217" s="723">
        <f t="shared" si="12"/>
        <v>0</v>
      </c>
      <c r="M217" s="723">
        <f t="shared" si="13"/>
        <v>0</v>
      </c>
      <c r="N217" s="723">
        <f t="shared" si="14"/>
        <v>0</v>
      </c>
    </row>
    <row r="218" spans="1:14">
      <c r="A218" s="639" t="s">
        <v>72</v>
      </c>
      <c r="B218" s="718">
        <v>115</v>
      </c>
      <c r="C218" s="719" t="s">
        <v>156</v>
      </c>
      <c r="D218" s="718">
        <f>VLOOKUP(B218,'2-Kosten per locatie'!$A$13:$C$88,3,FALSE)</f>
        <v>2</v>
      </c>
      <c r="E218" s="720" t="s">
        <v>505</v>
      </c>
      <c r="F218" s="639" t="s">
        <v>977</v>
      </c>
      <c r="G218" s="639" t="s">
        <v>1048</v>
      </c>
      <c r="H218" s="705">
        <v>2</v>
      </c>
      <c r="I218" s="721">
        <f>(8.55+8.55+3.15+5)*3.35</f>
        <v>84.587500000000006</v>
      </c>
      <c r="J218" s="722" t="s">
        <v>968</v>
      </c>
      <c r="K218" s="722"/>
      <c r="L218" s="723">
        <f t="shared" si="12"/>
        <v>0</v>
      </c>
      <c r="M218" s="723">
        <f t="shared" si="13"/>
        <v>0</v>
      </c>
      <c r="N218" s="723">
        <f t="shared" si="14"/>
        <v>0</v>
      </c>
    </row>
    <row r="219" spans="1:14">
      <c r="A219" s="639" t="s">
        <v>72</v>
      </c>
      <c r="B219" s="718">
        <v>115</v>
      </c>
      <c r="C219" s="719" t="s">
        <v>156</v>
      </c>
      <c r="D219" s="718">
        <f>VLOOKUP(B219,'2-Kosten per locatie'!$A$13:$C$88,3,FALSE)</f>
        <v>2</v>
      </c>
      <c r="E219" s="720" t="s">
        <v>505</v>
      </c>
      <c r="F219" s="639" t="s">
        <v>971</v>
      </c>
      <c r="G219" s="639" t="s">
        <v>1048</v>
      </c>
      <c r="H219" s="705">
        <v>2</v>
      </c>
      <c r="I219" s="721">
        <f>(8.55+8.55+3.15+5)*3.35</f>
        <v>84.587500000000006</v>
      </c>
      <c r="J219" s="722" t="s">
        <v>982</v>
      </c>
      <c r="K219" s="722"/>
      <c r="L219" s="723">
        <f t="shared" si="12"/>
        <v>0</v>
      </c>
      <c r="M219" s="723">
        <f t="shared" si="13"/>
        <v>0</v>
      </c>
      <c r="N219" s="723">
        <f t="shared" si="14"/>
        <v>0</v>
      </c>
    </row>
    <row r="220" spans="1:14">
      <c r="A220" s="639" t="s">
        <v>72</v>
      </c>
      <c r="B220" s="718">
        <v>115</v>
      </c>
      <c r="C220" s="719" t="s">
        <v>156</v>
      </c>
      <c r="D220" s="718">
        <f>VLOOKUP(B220,'2-Kosten per locatie'!$A$13:$C$88,3,FALSE)</f>
        <v>2</v>
      </c>
      <c r="E220" s="720" t="s">
        <v>505</v>
      </c>
      <c r="F220" s="639" t="s">
        <v>979</v>
      </c>
      <c r="G220" s="639" t="s">
        <v>1024</v>
      </c>
      <c r="H220" s="705">
        <v>2</v>
      </c>
      <c r="I220" s="721">
        <f>6.3*3.1</f>
        <v>19.53</v>
      </c>
      <c r="J220" s="722" t="s">
        <v>968</v>
      </c>
      <c r="K220" s="722" t="s">
        <v>1025</v>
      </c>
      <c r="L220" s="723">
        <f t="shared" si="12"/>
        <v>0</v>
      </c>
      <c r="M220" s="723">
        <f t="shared" si="13"/>
        <v>0</v>
      </c>
      <c r="N220" s="723">
        <f t="shared" si="14"/>
        <v>0</v>
      </c>
    </row>
    <row r="221" spans="1:14">
      <c r="A221" s="639" t="s">
        <v>72</v>
      </c>
      <c r="B221" s="718">
        <v>115</v>
      </c>
      <c r="C221" s="719" t="s">
        <v>156</v>
      </c>
      <c r="D221" s="718">
        <f>VLOOKUP(B221,'2-Kosten per locatie'!$A$13:$C$88,3,FALSE)</f>
        <v>2</v>
      </c>
      <c r="E221" s="720" t="s">
        <v>505</v>
      </c>
      <c r="F221" s="639" t="s">
        <v>979</v>
      </c>
      <c r="G221" s="639" t="s">
        <v>1026</v>
      </c>
      <c r="H221" s="705">
        <v>2</v>
      </c>
      <c r="I221" s="721">
        <f>6.3*3.5</f>
        <v>22.05</v>
      </c>
      <c r="J221" s="722" t="s">
        <v>968</v>
      </c>
      <c r="K221" s="722" t="s">
        <v>1025</v>
      </c>
      <c r="L221" s="723">
        <f t="shared" si="12"/>
        <v>0</v>
      </c>
      <c r="M221" s="723">
        <f t="shared" si="13"/>
        <v>0</v>
      </c>
      <c r="N221" s="723">
        <f t="shared" si="14"/>
        <v>0</v>
      </c>
    </row>
    <row r="222" spans="1:14">
      <c r="A222" s="639" t="s">
        <v>72</v>
      </c>
      <c r="B222" s="718">
        <v>115</v>
      </c>
      <c r="C222" s="719" t="s">
        <v>156</v>
      </c>
      <c r="D222" s="718">
        <f>VLOOKUP(B222,'2-Kosten per locatie'!$A$13:$C$88,3,FALSE)</f>
        <v>2</v>
      </c>
      <c r="E222" s="720" t="s">
        <v>505</v>
      </c>
      <c r="F222" s="639" t="s">
        <v>980</v>
      </c>
      <c r="G222" s="639" t="s">
        <v>1062</v>
      </c>
      <c r="H222" s="705">
        <v>2</v>
      </c>
      <c r="I222" s="721">
        <v>12.87</v>
      </c>
      <c r="J222" s="722" t="s">
        <v>982</v>
      </c>
      <c r="K222" s="722"/>
      <c r="L222" s="723">
        <f t="shared" si="12"/>
        <v>0</v>
      </c>
      <c r="M222" s="723">
        <f t="shared" si="13"/>
        <v>0</v>
      </c>
      <c r="N222" s="723">
        <f t="shared" si="14"/>
        <v>0</v>
      </c>
    </row>
    <row r="223" spans="1:14">
      <c r="A223" s="639" t="s">
        <v>72</v>
      </c>
      <c r="B223" s="718">
        <v>115</v>
      </c>
      <c r="C223" s="719" t="s">
        <v>156</v>
      </c>
      <c r="D223" s="718">
        <f>VLOOKUP(B223,'2-Kosten per locatie'!$A$13:$C$88,3,FALSE)</f>
        <v>2</v>
      </c>
      <c r="E223" s="720" t="s">
        <v>505</v>
      </c>
      <c r="F223" s="639" t="s">
        <v>983</v>
      </c>
      <c r="G223" s="639" t="s">
        <v>1062</v>
      </c>
      <c r="H223" s="705">
        <v>2</v>
      </c>
      <c r="I223" s="721">
        <v>12.87</v>
      </c>
      <c r="J223" s="722" t="s">
        <v>968</v>
      </c>
      <c r="K223" s="722"/>
      <c r="L223" s="723">
        <f t="shared" si="12"/>
        <v>0</v>
      </c>
      <c r="M223" s="723">
        <f t="shared" si="13"/>
        <v>0</v>
      </c>
      <c r="N223" s="723">
        <f t="shared" si="14"/>
        <v>0</v>
      </c>
    </row>
    <row r="224" spans="1:14">
      <c r="A224" s="639" t="s">
        <v>72</v>
      </c>
      <c r="B224" s="718">
        <v>115</v>
      </c>
      <c r="C224" s="719" t="s">
        <v>156</v>
      </c>
      <c r="D224" s="718">
        <f>VLOOKUP(B224,'2-Kosten per locatie'!$A$13:$C$88,3,FALSE)</f>
        <v>2</v>
      </c>
      <c r="E224" s="720" t="s">
        <v>505</v>
      </c>
      <c r="F224" s="639" t="s">
        <v>984</v>
      </c>
      <c r="G224" s="639" t="s">
        <v>985</v>
      </c>
      <c r="H224" s="705">
        <v>2</v>
      </c>
      <c r="I224" s="721">
        <v>1.92</v>
      </c>
      <c r="J224" s="722" t="s">
        <v>982</v>
      </c>
      <c r="K224" s="722"/>
      <c r="L224" s="723">
        <f t="shared" si="12"/>
        <v>0</v>
      </c>
      <c r="M224" s="723">
        <f t="shared" si="13"/>
        <v>0</v>
      </c>
      <c r="N224" s="723">
        <f t="shared" si="14"/>
        <v>0</v>
      </c>
    </row>
    <row r="225" spans="1:14">
      <c r="A225" s="639" t="s">
        <v>72</v>
      </c>
      <c r="B225" s="718">
        <v>115</v>
      </c>
      <c r="C225" s="719" t="s">
        <v>156</v>
      </c>
      <c r="D225" s="718">
        <f>VLOOKUP(B225,'2-Kosten per locatie'!$A$13:$C$88,3,FALSE)</f>
        <v>2</v>
      </c>
      <c r="E225" s="720" t="s">
        <v>505</v>
      </c>
      <c r="F225" s="639" t="s">
        <v>986</v>
      </c>
      <c r="G225" s="639" t="s">
        <v>985</v>
      </c>
      <c r="H225" s="705">
        <v>2</v>
      </c>
      <c r="I225" s="721">
        <v>1.92</v>
      </c>
      <c r="J225" s="722" t="s">
        <v>982</v>
      </c>
      <c r="K225" s="722"/>
      <c r="L225" s="723">
        <f t="shared" si="12"/>
        <v>0</v>
      </c>
      <c r="M225" s="723">
        <f t="shared" si="13"/>
        <v>0</v>
      </c>
      <c r="N225" s="723">
        <f t="shared" si="14"/>
        <v>0</v>
      </c>
    </row>
    <row r="226" spans="1:14">
      <c r="A226" s="639" t="s">
        <v>72</v>
      </c>
      <c r="B226" s="718">
        <v>115</v>
      </c>
      <c r="C226" s="719" t="s">
        <v>156</v>
      </c>
      <c r="D226" s="718">
        <f>VLOOKUP(B226,'2-Kosten per locatie'!$A$13:$C$88,3,FALSE)</f>
        <v>2</v>
      </c>
      <c r="E226" s="720" t="s">
        <v>505</v>
      </c>
      <c r="F226" s="639" t="s">
        <v>977</v>
      </c>
      <c r="G226" s="639" t="s">
        <v>1019</v>
      </c>
      <c r="H226" s="705">
        <v>2</v>
      </c>
      <c r="I226" s="721">
        <f>2*1.9*2</f>
        <v>7.6</v>
      </c>
      <c r="J226" s="722" t="s">
        <v>968</v>
      </c>
      <c r="K226" s="722"/>
      <c r="L226" s="723">
        <f t="shared" si="12"/>
        <v>0</v>
      </c>
      <c r="M226" s="723">
        <f t="shared" si="13"/>
        <v>0</v>
      </c>
      <c r="N226" s="723">
        <f t="shared" si="14"/>
        <v>0</v>
      </c>
    </row>
    <row r="227" spans="1:14">
      <c r="A227" s="639" t="s">
        <v>72</v>
      </c>
      <c r="B227" s="718">
        <v>115</v>
      </c>
      <c r="C227" s="719" t="s">
        <v>156</v>
      </c>
      <c r="D227" s="718">
        <f>VLOOKUP(B227,'2-Kosten per locatie'!$A$13:$C$88,3,FALSE)</f>
        <v>2</v>
      </c>
      <c r="E227" s="720" t="s">
        <v>505</v>
      </c>
      <c r="F227" s="639" t="s">
        <v>971</v>
      </c>
      <c r="G227" s="639" t="s">
        <v>1019</v>
      </c>
      <c r="H227" s="705">
        <v>2</v>
      </c>
      <c r="I227" s="721">
        <f>2*1.9*2</f>
        <v>7.6</v>
      </c>
      <c r="J227" s="722" t="s">
        <v>968</v>
      </c>
      <c r="K227" s="722"/>
      <c r="L227" s="723">
        <f t="shared" si="12"/>
        <v>0</v>
      </c>
      <c r="M227" s="723">
        <f t="shared" si="13"/>
        <v>0</v>
      </c>
      <c r="N227" s="723">
        <f t="shared" si="14"/>
        <v>0</v>
      </c>
    </row>
    <row r="228" spans="1:14">
      <c r="A228" s="639" t="s">
        <v>72</v>
      </c>
      <c r="B228" s="718">
        <v>115</v>
      </c>
      <c r="C228" s="719" t="s">
        <v>156</v>
      </c>
      <c r="D228" s="718">
        <f>VLOOKUP(B228,'2-Kosten per locatie'!$A$13:$C$88,3,FALSE)</f>
        <v>2</v>
      </c>
      <c r="E228" s="720" t="s">
        <v>506</v>
      </c>
      <c r="F228" s="639" t="s">
        <v>980</v>
      </c>
      <c r="G228" s="639" t="s">
        <v>1063</v>
      </c>
      <c r="H228" s="705">
        <v>2</v>
      </c>
      <c r="I228" s="721">
        <v>12.87</v>
      </c>
      <c r="J228" s="722" t="s">
        <v>982</v>
      </c>
      <c r="K228" s="722"/>
      <c r="L228" s="723">
        <f t="shared" si="12"/>
        <v>0</v>
      </c>
      <c r="M228" s="723">
        <f t="shared" si="13"/>
        <v>0</v>
      </c>
      <c r="N228" s="723">
        <f t="shared" si="14"/>
        <v>0</v>
      </c>
    </row>
    <row r="229" spans="1:14">
      <c r="A229" s="639" t="s">
        <v>72</v>
      </c>
      <c r="B229" s="718">
        <v>115</v>
      </c>
      <c r="C229" s="719" t="s">
        <v>156</v>
      </c>
      <c r="D229" s="718">
        <f>VLOOKUP(B229,'2-Kosten per locatie'!$A$13:$C$88,3,FALSE)</f>
        <v>2</v>
      </c>
      <c r="E229" s="720" t="s">
        <v>506</v>
      </c>
      <c r="F229" s="639" t="s">
        <v>983</v>
      </c>
      <c r="G229" s="639" t="s">
        <v>1063</v>
      </c>
      <c r="H229" s="705">
        <v>2</v>
      </c>
      <c r="I229" s="721">
        <v>12.87</v>
      </c>
      <c r="J229" s="722" t="s">
        <v>968</v>
      </c>
      <c r="K229" s="722"/>
      <c r="L229" s="723">
        <f t="shared" si="12"/>
        <v>0</v>
      </c>
      <c r="M229" s="723">
        <f t="shared" si="13"/>
        <v>0</v>
      </c>
      <c r="N229" s="723">
        <f t="shared" si="14"/>
        <v>0</v>
      </c>
    </row>
    <row r="230" spans="1:14">
      <c r="A230" s="639" t="s">
        <v>72</v>
      </c>
      <c r="B230" s="718">
        <v>115</v>
      </c>
      <c r="C230" s="719" t="s">
        <v>156</v>
      </c>
      <c r="D230" s="718">
        <f>VLOOKUP(B230,'2-Kosten per locatie'!$A$13:$C$88,3,FALSE)</f>
        <v>2</v>
      </c>
      <c r="E230" s="720" t="s">
        <v>506</v>
      </c>
      <c r="F230" s="639" t="s">
        <v>984</v>
      </c>
      <c r="G230" s="639" t="s">
        <v>985</v>
      </c>
      <c r="H230" s="705">
        <v>2</v>
      </c>
      <c r="I230" s="721">
        <v>1.92</v>
      </c>
      <c r="J230" s="722" t="s">
        <v>982</v>
      </c>
      <c r="K230" s="722"/>
      <c r="L230" s="723">
        <f t="shared" si="12"/>
        <v>0</v>
      </c>
      <c r="M230" s="723">
        <f t="shared" si="13"/>
        <v>0</v>
      </c>
      <c r="N230" s="723">
        <f t="shared" si="14"/>
        <v>0</v>
      </c>
    </row>
    <row r="231" spans="1:14">
      <c r="A231" s="639" t="s">
        <v>72</v>
      </c>
      <c r="B231" s="718">
        <v>115</v>
      </c>
      <c r="C231" s="719" t="s">
        <v>156</v>
      </c>
      <c r="D231" s="718">
        <f>VLOOKUP(B231,'2-Kosten per locatie'!$A$13:$C$88,3,FALSE)</f>
        <v>2</v>
      </c>
      <c r="E231" s="720" t="s">
        <v>506</v>
      </c>
      <c r="F231" s="639" t="s">
        <v>986</v>
      </c>
      <c r="G231" s="639" t="s">
        <v>985</v>
      </c>
      <c r="H231" s="705">
        <v>2</v>
      </c>
      <c r="I231" s="721">
        <v>1.92</v>
      </c>
      <c r="J231" s="722" t="s">
        <v>982</v>
      </c>
      <c r="K231" s="722"/>
      <c r="L231" s="723">
        <f t="shared" si="12"/>
        <v>0</v>
      </c>
      <c r="M231" s="723">
        <f t="shared" si="13"/>
        <v>0</v>
      </c>
      <c r="N231" s="723">
        <f t="shared" si="14"/>
        <v>0</v>
      </c>
    </row>
    <row r="232" spans="1:14">
      <c r="A232" s="639" t="s">
        <v>72</v>
      </c>
      <c r="B232" s="718">
        <v>115</v>
      </c>
      <c r="C232" s="719" t="s">
        <v>156</v>
      </c>
      <c r="D232" s="718">
        <f>VLOOKUP(B232,'2-Kosten per locatie'!$A$13:$C$88,3,FALSE)</f>
        <v>2</v>
      </c>
      <c r="E232" s="720" t="s">
        <v>524</v>
      </c>
      <c r="F232" s="639" t="s">
        <v>977</v>
      </c>
      <c r="G232" s="639" t="s">
        <v>1064</v>
      </c>
      <c r="H232" s="705">
        <v>2</v>
      </c>
      <c r="I232" s="721">
        <f>1.7*2.25*12+1.9*2.35</f>
        <v>50.364999999999995</v>
      </c>
      <c r="J232" s="722" t="s">
        <v>982</v>
      </c>
      <c r="K232" s="722"/>
      <c r="L232" s="723">
        <f t="shared" si="12"/>
        <v>0</v>
      </c>
      <c r="M232" s="723">
        <f t="shared" si="13"/>
        <v>0</v>
      </c>
      <c r="N232" s="723">
        <f t="shared" si="14"/>
        <v>0</v>
      </c>
    </row>
    <row r="233" spans="1:14">
      <c r="A233" s="639" t="s">
        <v>72</v>
      </c>
      <c r="B233" s="718">
        <v>115</v>
      </c>
      <c r="C233" s="719" t="s">
        <v>156</v>
      </c>
      <c r="D233" s="718">
        <f>VLOOKUP(B233,'2-Kosten per locatie'!$A$13:$C$88,3,FALSE)</f>
        <v>2</v>
      </c>
      <c r="E233" s="720" t="s">
        <v>524</v>
      </c>
      <c r="F233" s="639" t="s">
        <v>977</v>
      </c>
      <c r="G233" s="639" t="s">
        <v>1064</v>
      </c>
      <c r="H233" s="705">
        <v>2</v>
      </c>
      <c r="I233" s="721">
        <f>2.3*0.3*5+1*6.3</f>
        <v>9.75</v>
      </c>
      <c r="J233" s="722" t="s">
        <v>982</v>
      </c>
      <c r="K233" s="722"/>
      <c r="L233" s="723">
        <f t="shared" si="12"/>
        <v>0</v>
      </c>
      <c r="M233" s="723">
        <f t="shared" si="13"/>
        <v>0</v>
      </c>
      <c r="N233" s="723">
        <f t="shared" si="14"/>
        <v>0</v>
      </c>
    </row>
    <row r="234" spans="1:14">
      <c r="A234" s="639" t="s">
        <v>72</v>
      </c>
      <c r="B234" s="718">
        <v>115</v>
      </c>
      <c r="C234" s="719" t="s">
        <v>156</v>
      </c>
      <c r="D234" s="718">
        <f>VLOOKUP(B234,'2-Kosten per locatie'!$A$13:$C$88,3,FALSE)</f>
        <v>2</v>
      </c>
      <c r="E234" s="720" t="s">
        <v>524</v>
      </c>
      <c r="F234" s="639" t="s">
        <v>971</v>
      </c>
      <c r="G234" s="639" t="s">
        <v>1064</v>
      </c>
      <c r="H234" s="705">
        <v>2</v>
      </c>
      <c r="I234" s="721">
        <f>+I232+I233</f>
        <v>60.114999999999995</v>
      </c>
      <c r="J234" s="722" t="s">
        <v>982</v>
      </c>
      <c r="K234" s="722"/>
      <c r="L234" s="723">
        <f t="shared" si="12"/>
        <v>0</v>
      </c>
      <c r="M234" s="723">
        <f t="shared" si="13"/>
        <v>0</v>
      </c>
      <c r="N234" s="723">
        <f t="shared" si="14"/>
        <v>0</v>
      </c>
    </row>
    <row r="235" spans="1:14">
      <c r="A235" s="639" t="s">
        <v>72</v>
      </c>
      <c r="B235" s="718">
        <v>115</v>
      </c>
      <c r="C235" s="719" t="s">
        <v>156</v>
      </c>
      <c r="D235" s="718">
        <f>VLOOKUP(B235,'2-Kosten per locatie'!$A$13:$C$88,3,FALSE)</f>
        <v>2</v>
      </c>
      <c r="E235" s="720" t="s">
        <v>524</v>
      </c>
      <c r="F235" s="639" t="s">
        <v>977</v>
      </c>
      <c r="G235" s="639" t="s">
        <v>1065</v>
      </c>
      <c r="H235" s="705">
        <v>2</v>
      </c>
      <c r="I235" s="721">
        <f>0.45*2.3*2</f>
        <v>2.0699999999999998</v>
      </c>
      <c r="J235" s="722" t="s">
        <v>968</v>
      </c>
      <c r="K235" s="722" t="s">
        <v>1025</v>
      </c>
      <c r="L235" s="723">
        <f t="shared" si="12"/>
        <v>0</v>
      </c>
      <c r="M235" s="723">
        <f t="shared" si="13"/>
        <v>0</v>
      </c>
      <c r="N235" s="723">
        <f t="shared" si="14"/>
        <v>0</v>
      </c>
    </row>
    <row r="236" spans="1:14">
      <c r="A236" s="639" t="s">
        <v>72</v>
      </c>
      <c r="B236" s="718">
        <v>115</v>
      </c>
      <c r="C236" s="719" t="s">
        <v>156</v>
      </c>
      <c r="D236" s="718">
        <f>VLOOKUP(B236,'2-Kosten per locatie'!$A$13:$C$88,3,FALSE)</f>
        <v>2</v>
      </c>
      <c r="E236" s="720" t="s">
        <v>524</v>
      </c>
      <c r="F236" s="639" t="s">
        <v>975</v>
      </c>
      <c r="G236" s="639" t="s">
        <v>1065</v>
      </c>
      <c r="H236" s="705">
        <v>2</v>
      </c>
      <c r="I236" s="721">
        <f>1.7*2.5</f>
        <v>4.25</v>
      </c>
      <c r="J236" s="722" t="s">
        <v>968</v>
      </c>
      <c r="K236" s="722" t="s">
        <v>1025</v>
      </c>
      <c r="L236" s="723">
        <f t="shared" si="12"/>
        <v>0</v>
      </c>
      <c r="M236" s="723">
        <f t="shared" si="13"/>
        <v>0</v>
      </c>
      <c r="N236" s="723">
        <f t="shared" si="14"/>
        <v>0</v>
      </c>
    </row>
    <row r="237" spans="1:14">
      <c r="A237" s="639" t="s">
        <v>72</v>
      </c>
      <c r="B237" s="718">
        <v>115</v>
      </c>
      <c r="C237" s="719" t="s">
        <v>156</v>
      </c>
      <c r="D237" s="718">
        <f>VLOOKUP(B237,'2-Kosten per locatie'!$A$13:$C$88,3,FALSE)</f>
        <v>2</v>
      </c>
      <c r="E237" s="725"/>
      <c r="F237" s="639" t="s">
        <v>966</v>
      </c>
      <c r="G237" s="639" t="s">
        <v>991</v>
      </c>
      <c r="H237" s="705">
        <v>26</v>
      </c>
      <c r="I237" s="721">
        <v>52</v>
      </c>
      <c r="J237" s="722" t="s">
        <v>982</v>
      </c>
      <c r="K237" s="722" t="s">
        <v>992</v>
      </c>
      <c r="L237" s="723">
        <f t="shared" si="12"/>
        <v>0</v>
      </c>
      <c r="M237" s="723">
        <f t="shared" si="13"/>
        <v>0</v>
      </c>
      <c r="N237" s="723">
        <f t="shared" si="14"/>
        <v>0</v>
      </c>
    </row>
    <row r="238" spans="1:14">
      <c r="A238" s="639" t="s">
        <v>73</v>
      </c>
      <c r="B238" s="718">
        <v>116</v>
      </c>
      <c r="C238" s="719" t="s">
        <v>156</v>
      </c>
      <c r="D238" s="718">
        <f>VLOOKUP(B238,'2-Kosten per locatie'!$A$13:$C$88,3,FALSE)</f>
        <v>2</v>
      </c>
      <c r="E238" s="720" t="s">
        <v>505</v>
      </c>
      <c r="F238" s="639" t="s">
        <v>977</v>
      </c>
      <c r="G238" s="639" t="s">
        <v>1066</v>
      </c>
      <c r="H238" s="705">
        <v>2</v>
      </c>
      <c r="I238" s="721">
        <f>+(2.7+5.1+2.05+4.15)*2.5+(1.6+1+7.5+5.6)*2.5-2</f>
        <v>72.25</v>
      </c>
      <c r="J238" s="722" t="s">
        <v>968</v>
      </c>
      <c r="K238" s="722"/>
      <c r="L238" s="723">
        <f t="shared" si="12"/>
        <v>0</v>
      </c>
      <c r="M238" s="723">
        <f t="shared" si="13"/>
        <v>0</v>
      </c>
      <c r="N238" s="723">
        <f t="shared" si="14"/>
        <v>0</v>
      </c>
    </row>
    <row r="239" spans="1:14">
      <c r="A239" s="639" t="s">
        <v>73</v>
      </c>
      <c r="B239" s="718">
        <v>116</v>
      </c>
      <c r="C239" s="719" t="s">
        <v>156</v>
      </c>
      <c r="D239" s="718">
        <f>VLOOKUP(B239,'2-Kosten per locatie'!$A$13:$C$88,3,FALSE)</f>
        <v>2</v>
      </c>
      <c r="E239" s="720" t="s">
        <v>505</v>
      </c>
      <c r="F239" s="639" t="s">
        <v>971</v>
      </c>
      <c r="G239" s="639" t="s">
        <v>1066</v>
      </c>
      <c r="H239" s="705">
        <v>2</v>
      </c>
      <c r="I239" s="721">
        <f>+(2.7+5.1+2.05+4.15)*2.5+(1.6+1+7.5+5.6)*2.5-2</f>
        <v>72.25</v>
      </c>
      <c r="J239" s="722" t="s">
        <v>968</v>
      </c>
      <c r="K239" s="722"/>
      <c r="L239" s="723">
        <f t="shared" si="12"/>
        <v>0</v>
      </c>
      <c r="M239" s="723">
        <f t="shared" si="13"/>
        <v>0</v>
      </c>
      <c r="N239" s="723">
        <f t="shared" si="14"/>
        <v>0</v>
      </c>
    </row>
    <row r="240" spans="1:14">
      <c r="A240" s="639" t="s">
        <v>73</v>
      </c>
      <c r="B240" s="718">
        <v>116</v>
      </c>
      <c r="C240" s="719" t="s">
        <v>156</v>
      </c>
      <c r="D240" s="718">
        <f>VLOOKUP(B240,'2-Kosten per locatie'!$A$13:$C$88,3,FALSE)</f>
        <v>2</v>
      </c>
      <c r="E240" s="720" t="s">
        <v>522</v>
      </c>
      <c r="F240" s="639" t="s">
        <v>977</v>
      </c>
      <c r="G240" s="639" t="s">
        <v>1067</v>
      </c>
      <c r="H240" s="705">
        <v>2</v>
      </c>
      <c r="I240" s="721">
        <f>(1.9+1+1+1.9)*1.25</f>
        <v>7.25</v>
      </c>
      <c r="J240" s="722" t="s">
        <v>982</v>
      </c>
      <c r="K240" s="722"/>
      <c r="L240" s="723">
        <f t="shared" si="12"/>
        <v>0</v>
      </c>
      <c r="M240" s="723">
        <f t="shared" si="13"/>
        <v>0</v>
      </c>
      <c r="N240" s="723">
        <f t="shared" si="14"/>
        <v>0</v>
      </c>
    </row>
    <row r="241" spans="1:14">
      <c r="A241" s="639" t="s">
        <v>73</v>
      </c>
      <c r="B241" s="718">
        <v>116</v>
      </c>
      <c r="C241" s="719" t="s">
        <v>156</v>
      </c>
      <c r="D241" s="718">
        <f>VLOOKUP(B241,'2-Kosten per locatie'!$A$13:$C$88,3,FALSE)</f>
        <v>2</v>
      </c>
      <c r="E241" s="720" t="s">
        <v>522</v>
      </c>
      <c r="F241" s="639" t="s">
        <v>971</v>
      </c>
      <c r="G241" s="639" t="s">
        <v>1067</v>
      </c>
      <c r="H241" s="705">
        <v>2</v>
      </c>
      <c r="I241" s="721">
        <f>(1.9+1+1+1.9)*1.25</f>
        <v>7.25</v>
      </c>
      <c r="J241" s="722" t="s">
        <v>982</v>
      </c>
      <c r="K241" s="722"/>
      <c r="L241" s="723">
        <f t="shared" si="12"/>
        <v>0</v>
      </c>
      <c r="M241" s="723">
        <f t="shared" si="13"/>
        <v>0</v>
      </c>
      <c r="N241" s="723">
        <f t="shared" si="14"/>
        <v>0</v>
      </c>
    </row>
    <row r="242" spans="1:14">
      <c r="A242" s="639" t="s">
        <v>73</v>
      </c>
      <c r="B242" s="718">
        <v>116</v>
      </c>
      <c r="C242" s="719" t="s">
        <v>156</v>
      </c>
      <c r="D242" s="718">
        <f>VLOOKUP(B242,'2-Kosten per locatie'!$A$13:$C$88,3,FALSE)</f>
        <v>2</v>
      </c>
      <c r="E242" s="720" t="s">
        <v>524</v>
      </c>
      <c r="F242" s="639" t="s">
        <v>969</v>
      </c>
      <c r="G242" s="639" t="s">
        <v>1068</v>
      </c>
      <c r="H242" s="705">
        <v>2</v>
      </c>
      <c r="I242" s="721">
        <f>+(1.25*5.9)*2+(0.75*5.2)*2</f>
        <v>22.55</v>
      </c>
      <c r="J242" s="722" t="s">
        <v>968</v>
      </c>
      <c r="K242" s="722"/>
      <c r="L242" s="723">
        <f t="shared" si="12"/>
        <v>0</v>
      </c>
      <c r="M242" s="723">
        <f t="shared" si="13"/>
        <v>0</v>
      </c>
      <c r="N242" s="723">
        <f t="shared" si="14"/>
        <v>0</v>
      </c>
    </row>
    <row r="243" spans="1:14">
      <c r="A243" s="639" t="s">
        <v>73</v>
      </c>
      <c r="B243" s="718">
        <v>116</v>
      </c>
      <c r="C243" s="719" t="s">
        <v>156</v>
      </c>
      <c r="D243" s="718">
        <f>VLOOKUP(B243,'2-Kosten per locatie'!$A$13:$C$88,3,FALSE)</f>
        <v>2</v>
      </c>
      <c r="E243" s="720" t="s">
        <v>524</v>
      </c>
      <c r="F243" s="639" t="s">
        <v>975</v>
      </c>
      <c r="G243" s="639" t="s">
        <v>1068</v>
      </c>
      <c r="H243" s="705">
        <v>2</v>
      </c>
      <c r="I243" s="721">
        <f>+(1.25*5.9)*2+(0.75*5.2)*2</f>
        <v>22.55</v>
      </c>
      <c r="J243" s="722" t="s">
        <v>968</v>
      </c>
      <c r="K243" s="722"/>
      <c r="L243" s="723">
        <f t="shared" si="12"/>
        <v>0</v>
      </c>
      <c r="M243" s="723">
        <f t="shared" si="13"/>
        <v>0</v>
      </c>
      <c r="N243" s="723">
        <f t="shared" si="14"/>
        <v>0</v>
      </c>
    </row>
    <row r="244" spans="1:14">
      <c r="A244" s="639" t="s">
        <v>73</v>
      </c>
      <c r="B244" s="718">
        <v>117</v>
      </c>
      <c r="C244" s="719" t="s">
        <v>156</v>
      </c>
      <c r="D244" s="718">
        <f>VLOOKUP(B244,'2-Kosten per locatie'!$A$13:$C$88,3,FALSE)</f>
        <v>2</v>
      </c>
      <c r="E244" s="725"/>
      <c r="F244" s="639" t="s">
        <v>966</v>
      </c>
      <c r="G244" s="639" t="s">
        <v>1069</v>
      </c>
      <c r="H244" s="705">
        <v>12</v>
      </c>
      <c r="I244" s="721">
        <v>32.479999999999997</v>
      </c>
      <c r="J244" s="722" t="s">
        <v>982</v>
      </c>
      <c r="K244" s="722"/>
      <c r="L244" s="723">
        <f t="shared" si="12"/>
        <v>0</v>
      </c>
      <c r="M244" s="723">
        <f t="shared" si="13"/>
        <v>0</v>
      </c>
      <c r="N244" s="723">
        <f t="shared" si="14"/>
        <v>0</v>
      </c>
    </row>
    <row r="245" spans="1:14">
      <c r="A245" s="639" t="s">
        <v>73</v>
      </c>
      <c r="B245" s="718">
        <v>117</v>
      </c>
      <c r="C245" s="719" t="s">
        <v>156</v>
      </c>
      <c r="D245" s="718">
        <f>VLOOKUP(B245,'2-Kosten per locatie'!$A$13:$C$88,3,FALSE)</f>
        <v>2</v>
      </c>
      <c r="E245" s="725"/>
      <c r="F245" s="639" t="s">
        <v>966</v>
      </c>
      <c r="G245" s="639" t="s">
        <v>1069</v>
      </c>
      <c r="H245" s="705">
        <v>12</v>
      </c>
      <c r="I245" s="721">
        <v>32.479999999999997</v>
      </c>
      <c r="J245" s="722" t="s">
        <v>982</v>
      </c>
      <c r="K245" s="722"/>
      <c r="L245" s="723">
        <f t="shared" si="12"/>
        <v>0</v>
      </c>
      <c r="M245" s="723">
        <f t="shared" si="13"/>
        <v>0</v>
      </c>
      <c r="N245" s="723">
        <f t="shared" si="14"/>
        <v>0</v>
      </c>
    </row>
    <row r="246" spans="1:14">
      <c r="A246" s="639" t="s">
        <v>73</v>
      </c>
      <c r="B246" s="718">
        <v>116</v>
      </c>
      <c r="C246" s="719" t="s">
        <v>156</v>
      </c>
      <c r="D246" s="718">
        <f>VLOOKUP(B246,'2-Kosten per locatie'!$A$13:$C$88,3,FALSE)</f>
        <v>2</v>
      </c>
      <c r="E246" s="720" t="s">
        <v>519</v>
      </c>
      <c r="F246" s="639" t="s">
        <v>980</v>
      </c>
      <c r="G246" s="639" t="s">
        <v>1070</v>
      </c>
      <c r="H246" s="705">
        <v>2</v>
      </c>
      <c r="I246" s="721">
        <v>14.99</v>
      </c>
      <c r="J246" s="722" t="s">
        <v>982</v>
      </c>
      <c r="K246" s="722"/>
      <c r="L246" s="723">
        <f t="shared" si="12"/>
        <v>0</v>
      </c>
      <c r="M246" s="723">
        <f t="shared" si="13"/>
        <v>0</v>
      </c>
      <c r="N246" s="723">
        <f t="shared" si="14"/>
        <v>0</v>
      </c>
    </row>
    <row r="247" spans="1:14">
      <c r="A247" s="639" t="s">
        <v>73</v>
      </c>
      <c r="B247" s="718">
        <v>116</v>
      </c>
      <c r="C247" s="719" t="s">
        <v>156</v>
      </c>
      <c r="D247" s="718">
        <f>VLOOKUP(B247,'2-Kosten per locatie'!$A$13:$C$88,3,FALSE)</f>
        <v>2</v>
      </c>
      <c r="E247" s="720" t="s">
        <v>519</v>
      </c>
      <c r="F247" s="639" t="s">
        <v>983</v>
      </c>
      <c r="G247" s="639" t="s">
        <v>1070</v>
      </c>
      <c r="H247" s="705">
        <v>2</v>
      </c>
      <c r="I247" s="721">
        <v>14.99</v>
      </c>
      <c r="J247" s="722" t="s">
        <v>968</v>
      </c>
      <c r="K247" s="722"/>
      <c r="L247" s="723">
        <f t="shared" si="12"/>
        <v>0</v>
      </c>
      <c r="M247" s="723">
        <f t="shared" si="13"/>
        <v>0</v>
      </c>
      <c r="N247" s="723">
        <f t="shared" si="14"/>
        <v>0</v>
      </c>
    </row>
    <row r="248" spans="1:14">
      <c r="A248" s="639" t="s">
        <v>73</v>
      </c>
      <c r="B248" s="718">
        <v>116</v>
      </c>
      <c r="C248" s="719" t="s">
        <v>156</v>
      </c>
      <c r="D248" s="718">
        <f>VLOOKUP(B248,'2-Kosten per locatie'!$A$13:$C$88,3,FALSE)</f>
        <v>2</v>
      </c>
      <c r="E248" s="720" t="s">
        <v>519</v>
      </c>
      <c r="F248" s="639" t="s">
        <v>984</v>
      </c>
      <c r="G248" s="639" t="s">
        <v>985</v>
      </c>
      <c r="H248" s="705">
        <v>2</v>
      </c>
      <c r="I248" s="721">
        <v>1.92</v>
      </c>
      <c r="J248" s="722" t="s">
        <v>982</v>
      </c>
      <c r="K248" s="722"/>
      <c r="L248" s="723">
        <f t="shared" si="12"/>
        <v>0</v>
      </c>
      <c r="M248" s="723">
        <f t="shared" si="13"/>
        <v>0</v>
      </c>
      <c r="N248" s="723">
        <f t="shared" si="14"/>
        <v>0</v>
      </c>
    </row>
    <row r="249" spans="1:14">
      <c r="A249" s="639" t="s">
        <v>73</v>
      </c>
      <c r="B249" s="718">
        <v>116</v>
      </c>
      <c r="C249" s="719" t="s">
        <v>156</v>
      </c>
      <c r="D249" s="718">
        <f>VLOOKUP(B249,'2-Kosten per locatie'!$A$13:$C$88,3,FALSE)</f>
        <v>2</v>
      </c>
      <c r="E249" s="720" t="s">
        <v>519</v>
      </c>
      <c r="F249" s="639" t="s">
        <v>986</v>
      </c>
      <c r="G249" s="639" t="s">
        <v>985</v>
      </c>
      <c r="H249" s="705">
        <v>2</v>
      </c>
      <c r="I249" s="721">
        <v>1.92</v>
      </c>
      <c r="J249" s="722" t="s">
        <v>982</v>
      </c>
      <c r="K249" s="722"/>
      <c r="L249" s="723">
        <f t="shared" si="12"/>
        <v>0</v>
      </c>
      <c r="M249" s="723">
        <f t="shared" si="13"/>
        <v>0</v>
      </c>
      <c r="N249" s="723">
        <f t="shared" si="14"/>
        <v>0</v>
      </c>
    </row>
    <row r="250" spans="1:14">
      <c r="A250" s="639" t="s">
        <v>73</v>
      </c>
      <c r="B250" s="718">
        <v>116</v>
      </c>
      <c r="C250" s="719" t="s">
        <v>156</v>
      </c>
      <c r="D250" s="718">
        <f>VLOOKUP(B250,'2-Kosten per locatie'!$A$13:$C$88,3,FALSE)</f>
        <v>2</v>
      </c>
      <c r="E250" s="725"/>
      <c r="F250" s="639" t="s">
        <v>966</v>
      </c>
      <c r="G250" s="639" t="s">
        <v>991</v>
      </c>
      <c r="H250" s="705">
        <v>26</v>
      </c>
      <c r="I250" s="721">
        <v>20</v>
      </c>
      <c r="J250" s="722" t="s">
        <v>982</v>
      </c>
      <c r="K250" s="722" t="s">
        <v>992</v>
      </c>
      <c r="L250" s="723">
        <f t="shared" si="12"/>
        <v>0</v>
      </c>
      <c r="M250" s="723">
        <f t="shared" si="13"/>
        <v>0</v>
      </c>
      <c r="N250" s="723">
        <f t="shared" si="14"/>
        <v>0</v>
      </c>
    </row>
    <row r="251" spans="1:14">
      <c r="A251" s="639" t="s">
        <v>74</v>
      </c>
      <c r="B251" s="718">
        <v>117</v>
      </c>
      <c r="C251" s="719" t="s">
        <v>156</v>
      </c>
      <c r="D251" s="718">
        <f>VLOOKUP(B251,'2-Kosten per locatie'!$A$13:$C$88,3,FALSE)</f>
        <v>2</v>
      </c>
      <c r="E251" s="720" t="s">
        <v>505</v>
      </c>
      <c r="F251" s="639" t="s">
        <v>977</v>
      </c>
      <c r="G251" s="639" t="s">
        <v>1071</v>
      </c>
      <c r="H251" s="705">
        <v>2</v>
      </c>
      <c r="I251" s="721">
        <f>3.5*2.8+(3.15+4.6+4.6+3.2)*4.8-2</f>
        <v>82.44</v>
      </c>
      <c r="J251" s="722" t="s">
        <v>968</v>
      </c>
      <c r="K251" s="722"/>
      <c r="L251" s="723">
        <f t="shared" si="12"/>
        <v>0</v>
      </c>
      <c r="M251" s="723">
        <f t="shared" si="13"/>
        <v>0</v>
      </c>
      <c r="N251" s="723">
        <f t="shared" si="14"/>
        <v>0</v>
      </c>
    </row>
    <row r="252" spans="1:14">
      <c r="A252" s="639" t="s">
        <v>74</v>
      </c>
      <c r="B252" s="718">
        <v>117</v>
      </c>
      <c r="C252" s="719" t="s">
        <v>156</v>
      </c>
      <c r="D252" s="718">
        <f>VLOOKUP(B252,'2-Kosten per locatie'!$A$13:$C$88,3,FALSE)</f>
        <v>2</v>
      </c>
      <c r="E252" s="720" t="s">
        <v>505</v>
      </c>
      <c r="F252" s="639" t="s">
        <v>971</v>
      </c>
      <c r="G252" s="639" t="s">
        <v>1071</v>
      </c>
      <c r="H252" s="705">
        <v>2</v>
      </c>
      <c r="I252" s="721">
        <f>3.5*2.8+(3.15+4.6+4.6+3.2)*4.8-2</f>
        <v>82.44</v>
      </c>
      <c r="J252" s="722" t="s">
        <v>968</v>
      </c>
      <c r="K252" s="722"/>
      <c r="L252" s="723">
        <f t="shared" si="12"/>
        <v>0</v>
      </c>
      <c r="M252" s="723">
        <f t="shared" si="13"/>
        <v>0</v>
      </c>
      <c r="N252" s="723">
        <f t="shared" si="14"/>
        <v>0</v>
      </c>
    </row>
    <row r="253" spans="1:14">
      <c r="A253" s="639" t="s">
        <v>74</v>
      </c>
      <c r="B253" s="718">
        <v>117</v>
      </c>
      <c r="C253" s="719" t="s">
        <v>156</v>
      </c>
      <c r="D253" s="718">
        <f>VLOOKUP(B253,'2-Kosten per locatie'!$A$13:$C$88,3,FALSE)</f>
        <v>2</v>
      </c>
      <c r="E253" s="720" t="s">
        <v>505</v>
      </c>
      <c r="F253" s="639" t="s">
        <v>979</v>
      </c>
      <c r="G253" s="639" t="s">
        <v>1072</v>
      </c>
      <c r="H253" s="705">
        <v>2</v>
      </c>
      <c r="I253" s="721">
        <f>6.7*5.1</f>
        <v>34.17</v>
      </c>
      <c r="J253" s="722" t="s">
        <v>968</v>
      </c>
      <c r="K253" s="722" t="s">
        <v>1025</v>
      </c>
      <c r="L253" s="723">
        <f t="shared" si="12"/>
        <v>0</v>
      </c>
      <c r="M253" s="723">
        <f t="shared" si="13"/>
        <v>0</v>
      </c>
      <c r="N253" s="723">
        <f t="shared" si="14"/>
        <v>0</v>
      </c>
    </row>
    <row r="254" spans="1:14">
      <c r="A254" s="639" t="s">
        <v>74</v>
      </c>
      <c r="B254" s="718">
        <v>117</v>
      </c>
      <c r="C254" s="719" t="s">
        <v>156</v>
      </c>
      <c r="D254" s="718">
        <f>VLOOKUP(B254,'2-Kosten per locatie'!$A$13:$C$88,3,FALSE)</f>
        <v>2</v>
      </c>
      <c r="E254" s="720" t="s">
        <v>505</v>
      </c>
      <c r="F254" s="639" t="s">
        <v>979</v>
      </c>
      <c r="G254" s="639" t="s">
        <v>1073</v>
      </c>
      <c r="H254" s="705">
        <v>2</v>
      </c>
      <c r="I254" s="721">
        <f>6.7*2.3</f>
        <v>15.409999999999998</v>
      </c>
      <c r="J254" s="722" t="s">
        <v>968</v>
      </c>
      <c r="K254" s="722" t="s">
        <v>1025</v>
      </c>
      <c r="L254" s="723">
        <f t="shared" si="12"/>
        <v>0</v>
      </c>
      <c r="M254" s="723">
        <f t="shared" si="13"/>
        <v>0</v>
      </c>
      <c r="N254" s="723">
        <f t="shared" si="14"/>
        <v>0</v>
      </c>
    </row>
    <row r="255" spans="1:14">
      <c r="A255" s="639" t="s">
        <v>74</v>
      </c>
      <c r="B255" s="718">
        <v>117</v>
      </c>
      <c r="C255" s="719" t="s">
        <v>156</v>
      </c>
      <c r="D255" s="718">
        <f>VLOOKUP(B255,'2-Kosten per locatie'!$A$13:$C$88,3,FALSE)</f>
        <v>2</v>
      </c>
      <c r="E255" s="720" t="s">
        <v>505</v>
      </c>
      <c r="F255" s="639" t="s">
        <v>975</v>
      </c>
      <c r="G255" s="639" t="s">
        <v>1061</v>
      </c>
      <c r="H255" s="705">
        <v>2</v>
      </c>
      <c r="I255" s="721">
        <f>+(1.35+0.65)*12</f>
        <v>24</v>
      </c>
      <c r="J255" s="722" t="s">
        <v>968</v>
      </c>
      <c r="K255" s="722" t="s">
        <v>1030</v>
      </c>
      <c r="L255" s="723">
        <f t="shared" si="12"/>
        <v>0</v>
      </c>
      <c r="M255" s="723">
        <f t="shared" si="13"/>
        <v>0</v>
      </c>
      <c r="N255" s="723">
        <f t="shared" si="14"/>
        <v>0</v>
      </c>
    </row>
    <row r="256" spans="1:14">
      <c r="A256" s="639" t="s">
        <v>74</v>
      </c>
      <c r="B256" s="718">
        <v>117</v>
      </c>
      <c r="C256" s="719" t="s">
        <v>156</v>
      </c>
      <c r="D256" s="718">
        <f>VLOOKUP(B256,'2-Kosten per locatie'!$A$13:$C$88,3,FALSE)</f>
        <v>2</v>
      </c>
      <c r="E256" s="720" t="s">
        <v>505</v>
      </c>
      <c r="F256" s="639" t="s">
        <v>969</v>
      </c>
      <c r="G256" s="639" t="s">
        <v>1061</v>
      </c>
      <c r="H256" s="705">
        <v>2</v>
      </c>
      <c r="I256" s="721">
        <f>+(1.35+0.65)*12</f>
        <v>24</v>
      </c>
      <c r="J256" s="722" t="s">
        <v>968</v>
      </c>
      <c r="K256" s="722" t="s">
        <v>1030</v>
      </c>
      <c r="L256" s="723">
        <f t="shared" si="12"/>
        <v>0</v>
      </c>
      <c r="M256" s="723">
        <f t="shared" si="13"/>
        <v>0</v>
      </c>
      <c r="N256" s="723">
        <f t="shared" si="14"/>
        <v>0</v>
      </c>
    </row>
    <row r="257" spans="1:14">
      <c r="A257" s="639" t="s">
        <v>74</v>
      </c>
      <c r="B257" s="718">
        <v>117</v>
      </c>
      <c r="C257" s="719" t="s">
        <v>156</v>
      </c>
      <c r="D257" s="718">
        <f>VLOOKUP(B257,'2-Kosten per locatie'!$A$13:$C$88,3,FALSE)</f>
        <v>2</v>
      </c>
      <c r="E257" s="720" t="s">
        <v>582</v>
      </c>
      <c r="F257" s="639" t="s">
        <v>966</v>
      </c>
      <c r="G257" s="639" t="s">
        <v>1074</v>
      </c>
      <c r="H257" s="705">
        <v>12</v>
      </c>
      <c r="I257" s="721">
        <f>1*3.25*2</f>
        <v>6.5</v>
      </c>
      <c r="J257" s="722" t="s">
        <v>982</v>
      </c>
      <c r="K257" s="722"/>
      <c r="L257" s="723">
        <f t="shared" si="12"/>
        <v>0</v>
      </c>
      <c r="M257" s="723">
        <f t="shared" si="13"/>
        <v>0</v>
      </c>
      <c r="N257" s="723">
        <f t="shared" si="14"/>
        <v>0</v>
      </c>
    </row>
    <row r="258" spans="1:14">
      <c r="A258" s="639" t="s">
        <v>74</v>
      </c>
      <c r="B258" s="718">
        <v>117</v>
      </c>
      <c r="C258" s="719" t="s">
        <v>156</v>
      </c>
      <c r="D258" s="718">
        <f>VLOOKUP(B258,'2-Kosten per locatie'!$A$13:$C$88,3,FALSE)</f>
        <v>2</v>
      </c>
      <c r="E258" s="720" t="s">
        <v>519</v>
      </c>
      <c r="F258" s="639" t="s">
        <v>980</v>
      </c>
      <c r="G258" s="639" t="s">
        <v>1075</v>
      </c>
      <c r="H258" s="705">
        <v>2</v>
      </c>
      <c r="I258" s="721">
        <v>12.01</v>
      </c>
      <c r="J258" s="722" t="s">
        <v>982</v>
      </c>
      <c r="K258" s="722"/>
      <c r="L258" s="723">
        <f t="shared" si="12"/>
        <v>0</v>
      </c>
      <c r="M258" s="723">
        <f t="shared" si="13"/>
        <v>0</v>
      </c>
      <c r="N258" s="723">
        <f t="shared" si="14"/>
        <v>0</v>
      </c>
    </row>
    <row r="259" spans="1:14">
      <c r="A259" s="639" t="s">
        <v>74</v>
      </c>
      <c r="B259" s="718">
        <v>117</v>
      </c>
      <c r="C259" s="719" t="s">
        <v>156</v>
      </c>
      <c r="D259" s="718">
        <f>VLOOKUP(B259,'2-Kosten per locatie'!$A$13:$C$88,3,FALSE)</f>
        <v>2</v>
      </c>
      <c r="E259" s="720" t="s">
        <v>519</v>
      </c>
      <c r="F259" s="639" t="s">
        <v>983</v>
      </c>
      <c r="G259" s="639" t="s">
        <v>1075</v>
      </c>
      <c r="H259" s="705">
        <v>2</v>
      </c>
      <c r="I259" s="721">
        <v>12.01</v>
      </c>
      <c r="J259" s="722" t="s">
        <v>968</v>
      </c>
      <c r="K259" s="722"/>
      <c r="L259" s="723">
        <f t="shared" si="12"/>
        <v>0</v>
      </c>
      <c r="M259" s="723">
        <f t="shared" si="13"/>
        <v>0</v>
      </c>
      <c r="N259" s="723">
        <f t="shared" si="14"/>
        <v>0</v>
      </c>
    </row>
    <row r="260" spans="1:14">
      <c r="A260" s="639" t="s">
        <v>74</v>
      </c>
      <c r="B260" s="718">
        <v>117</v>
      </c>
      <c r="C260" s="719" t="s">
        <v>156</v>
      </c>
      <c r="D260" s="718">
        <f>VLOOKUP(B260,'2-Kosten per locatie'!$A$13:$C$88,3,FALSE)</f>
        <v>2</v>
      </c>
      <c r="E260" s="720" t="s">
        <v>519</v>
      </c>
      <c r="F260" s="639" t="s">
        <v>984</v>
      </c>
      <c r="G260" s="639" t="s">
        <v>985</v>
      </c>
      <c r="H260" s="705">
        <v>2</v>
      </c>
      <c r="I260" s="721">
        <v>1.92</v>
      </c>
      <c r="J260" s="722" t="s">
        <v>982</v>
      </c>
      <c r="K260" s="722"/>
      <c r="L260" s="723">
        <f t="shared" si="12"/>
        <v>0</v>
      </c>
      <c r="M260" s="723">
        <f t="shared" si="13"/>
        <v>0</v>
      </c>
      <c r="N260" s="723">
        <f t="shared" si="14"/>
        <v>0</v>
      </c>
    </row>
    <row r="261" spans="1:14">
      <c r="A261" s="639" t="s">
        <v>74</v>
      </c>
      <c r="B261" s="718">
        <v>117</v>
      </c>
      <c r="C261" s="719" t="s">
        <v>156</v>
      </c>
      <c r="D261" s="718">
        <f>VLOOKUP(B261,'2-Kosten per locatie'!$A$13:$C$88,3,FALSE)</f>
        <v>2</v>
      </c>
      <c r="E261" s="720" t="s">
        <v>519</v>
      </c>
      <c r="F261" s="639" t="s">
        <v>986</v>
      </c>
      <c r="G261" s="639" t="s">
        <v>985</v>
      </c>
      <c r="H261" s="705">
        <v>2</v>
      </c>
      <c r="I261" s="721">
        <v>1.92</v>
      </c>
      <c r="J261" s="722" t="s">
        <v>982</v>
      </c>
      <c r="K261" s="722"/>
      <c r="L261" s="723">
        <f t="shared" si="12"/>
        <v>0</v>
      </c>
      <c r="M261" s="723">
        <f t="shared" si="13"/>
        <v>0</v>
      </c>
      <c r="N261" s="723">
        <f t="shared" si="14"/>
        <v>0</v>
      </c>
    </row>
    <row r="262" spans="1:14">
      <c r="A262" s="639" t="s">
        <v>74</v>
      </c>
      <c r="B262" s="718">
        <v>117</v>
      </c>
      <c r="C262" s="719" t="s">
        <v>156</v>
      </c>
      <c r="D262" s="718">
        <f>VLOOKUP(B262,'2-Kosten per locatie'!$A$13:$C$88,3,FALSE)</f>
        <v>2</v>
      </c>
      <c r="E262" s="720" t="s">
        <v>505</v>
      </c>
      <c r="F262" s="639" t="s">
        <v>977</v>
      </c>
      <c r="G262" s="639" t="s">
        <v>1018</v>
      </c>
      <c r="H262" s="705">
        <v>2</v>
      </c>
      <c r="I262" s="721">
        <f>6*3*2</f>
        <v>36</v>
      </c>
      <c r="J262" s="722" t="s">
        <v>968</v>
      </c>
      <c r="K262" s="722"/>
      <c r="L262" s="723">
        <f t="shared" si="12"/>
        <v>0</v>
      </c>
      <c r="M262" s="723">
        <f t="shared" si="13"/>
        <v>0</v>
      </c>
      <c r="N262" s="723">
        <f t="shared" si="14"/>
        <v>0</v>
      </c>
    </row>
    <row r="263" spans="1:14">
      <c r="A263" s="639" t="s">
        <v>74</v>
      </c>
      <c r="B263" s="718">
        <v>117</v>
      </c>
      <c r="C263" s="719" t="s">
        <v>156</v>
      </c>
      <c r="D263" s="718">
        <f>VLOOKUP(B263,'2-Kosten per locatie'!$A$13:$C$88,3,FALSE)</f>
        <v>2</v>
      </c>
      <c r="E263" s="720" t="s">
        <v>505</v>
      </c>
      <c r="F263" s="639" t="s">
        <v>971</v>
      </c>
      <c r="G263" s="639" t="s">
        <v>1018</v>
      </c>
      <c r="H263" s="705">
        <v>2</v>
      </c>
      <c r="I263" s="721">
        <f>6*3*2</f>
        <v>36</v>
      </c>
      <c r="J263" s="722" t="s">
        <v>968</v>
      </c>
      <c r="K263" s="722"/>
      <c r="L263" s="723">
        <f t="shared" si="12"/>
        <v>0</v>
      </c>
      <c r="M263" s="723">
        <f t="shared" si="13"/>
        <v>0</v>
      </c>
      <c r="N263" s="723">
        <f t="shared" si="14"/>
        <v>0</v>
      </c>
    </row>
    <row r="264" spans="1:14">
      <c r="A264" s="639" t="s">
        <v>74</v>
      </c>
      <c r="B264" s="718">
        <v>117</v>
      </c>
      <c r="C264" s="719" t="s">
        <v>156</v>
      </c>
      <c r="D264" s="718">
        <f>VLOOKUP(B264,'2-Kosten per locatie'!$A$13:$C$88,3,FALSE)</f>
        <v>2</v>
      </c>
      <c r="E264" s="720" t="s">
        <v>582</v>
      </c>
      <c r="F264" s="639" t="s">
        <v>972</v>
      </c>
      <c r="G264" s="639" t="s">
        <v>1032</v>
      </c>
      <c r="H264" s="705">
        <v>2</v>
      </c>
      <c r="I264" s="721">
        <v>2</v>
      </c>
      <c r="J264" s="722" t="s">
        <v>982</v>
      </c>
      <c r="K264" s="722"/>
      <c r="L264" s="723">
        <f t="shared" si="12"/>
        <v>0</v>
      </c>
      <c r="M264" s="723">
        <f t="shared" si="13"/>
        <v>0</v>
      </c>
      <c r="N264" s="723">
        <f t="shared" si="14"/>
        <v>0</v>
      </c>
    </row>
    <row r="265" spans="1:14">
      <c r="A265" s="639" t="s">
        <v>74</v>
      </c>
      <c r="B265" s="718">
        <v>117</v>
      </c>
      <c r="C265" s="719" t="s">
        <v>156</v>
      </c>
      <c r="D265" s="718">
        <f>VLOOKUP(B265,'2-Kosten per locatie'!$A$13:$C$88,3,FALSE)</f>
        <v>2</v>
      </c>
      <c r="E265" s="720" t="s">
        <v>582</v>
      </c>
      <c r="F265" s="639" t="s">
        <v>976</v>
      </c>
      <c r="G265" s="639" t="s">
        <v>1032</v>
      </c>
      <c r="H265" s="705">
        <v>2</v>
      </c>
      <c r="I265" s="721">
        <v>2</v>
      </c>
      <c r="J265" s="722" t="s">
        <v>968</v>
      </c>
      <c r="K265" s="722"/>
      <c r="L265" s="723">
        <f t="shared" si="12"/>
        <v>0</v>
      </c>
      <c r="M265" s="723">
        <f t="shared" si="13"/>
        <v>0</v>
      </c>
      <c r="N265" s="723">
        <f t="shared" si="14"/>
        <v>0</v>
      </c>
    </row>
    <row r="266" spans="1:14">
      <c r="A266" s="639" t="s">
        <v>74</v>
      </c>
      <c r="B266" s="718">
        <v>117</v>
      </c>
      <c r="C266" s="719" t="s">
        <v>156</v>
      </c>
      <c r="D266" s="718">
        <f>VLOOKUP(B266,'2-Kosten per locatie'!$A$13:$C$88,3,FALSE)</f>
        <v>2</v>
      </c>
      <c r="E266" s="720" t="s">
        <v>506</v>
      </c>
      <c r="F266" s="639" t="s">
        <v>979</v>
      </c>
      <c r="G266" s="639" t="s">
        <v>1076</v>
      </c>
      <c r="H266" s="705">
        <v>2</v>
      </c>
      <c r="I266" s="721">
        <f>6.7*3.1</f>
        <v>20.77</v>
      </c>
      <c r="J266" s="722" t="s">
        <v>968</v>
      </c>
      <c r="K266" s="722" t="s">
        <v>1025</v>
      </c>
      <c r="L266" s="723">
        <f t="shared" si="12"/>
        <v>0</v>
      </c>
      <c r="M266" s="723">
        <f t="shared" si="13"/>
        <v>0</v>
      </c>
      <c r="N266" s="723">
        <f t="shared" si="14"/>
        <v>0</v>
      </c>
    </row>
    <row r="267" spans="1:14">
      <c r="A267" s="639" t="s">
        <v>74</v>
      </c>
      <c r="B267" s="718">
        <v>117</v>
      </c>
      <c r="C267" s="719" t="s">
        <v>156</v>
      </c>
      <c r="D267" s="718">
        <f>VLOOKUP(B267,'2-Kosten per locatie'!$A$13:$C$88,3,FALSE)</f>
        <v>2</v>
      </c>
      <c r="E267" s="720" t="s">
        <v>506</v>
      </c>
      <c r="F267" s="639" t="s">
        <v>979</v>
      </c>
      <c r="G267" s="639" t="s">
        <v>1077</v>
      </c>
      <c r="H267" s="705">
        <v>2</v>
      </c>
      <c r="I267" s="721">
        <f>6.7*2.4</f>
        <v>16.079999999999998</v>
      </c>
      <c r="J267" s="722" t="s">
        <v>968</v>
      </c>
      <c r="K267" s="722" t="s">
        <v>1025</v>
      </c>
      <c r="L267" s="723">
        <f t="shared" si="12"/>
        <v>0</v>
      </c>
      <c r="M267" s="723">
        <f t="shared" si="13"/>
        <v>0</v>
      </c>
      <c r="N267" s="723">
        <f t="shared" si="14"/>
        <v>0</v>
      </c>
    </row>
    <row r="268" spans="1:14">
      <c r="A268" s="639" t="s">
        <v>74</v>
      </c>
      <c r="B268" s="718">
        <v>117</v>
      </c>
      <c r="C268" s="719" t="s">
        <v>156</v>
      </c>
      <c r="D268" s="718">
        <f>VLOOKUP(B268,'2-Kosten per locatie'!$A$13:$C$88,3,FALSE)</f>
        <v>2</v>
      </c>
      <c r="E268" s="720" t="s">
        <v>582</v>
      </c>
      <c r="F268" s="639" t="s">
        <v>966</v>
      </c>
      <c r="G268" s="639" t="s">
        <v>1078</v>
      </c>
      <c r="H268" s="705">
        <v>12</v>
      </c>
      <c r="I268" s="721">
        <f>1*4.25*2</f>
        <v>8.5</v>
      </c>
      <c r="J268" s="722" t="s">
        <v>982</v>
      </c>
      <c r="K268" s="722"/>
      <c r="L268" s="723">
        <f t="shared" si="12"/>
        <v>0</v>
      </c>
      <c r="M268" s="723">
        <f t="shared" si="13"/>
        <v>0</v>
      </c>
      <c r="N268" s="723">
        <f t="shared" si="14"/>
        <v>0</v>
      </c>
    </row>
    <row r="269" spans="1:14">
      <c r="A269" s="639" t="s">
        <v>74</v>
      </c>
      <c r="B269" s="718">
        <v>117</v>
      </c>
      <c r="C269" s="719" t="s">
        <v>156</v>
      </c>
      <c r="D269" s="718">
        <f>VLOOKUP(B269,'2-Kosten per locatie'!$A$13:$C$88,3,FALSE)</f>
        <v>2</v>
      </c>
      <c r="E269" s="720" t="s">
        <v>371</v>
      </c>
      <c r="F269" s="639" t="s">
        <v>980</v>
      </c>
      <c r="G269" s="639" t="s">
        <v>1079</v>
      </c>
      <c r="H269" s="705">
        <v>2</v>
      </c>
      <c r="I269" s="721">
        <v>14.58</v>
      </c>
      <c r="J269" s="722" t="s">
        <v>982</v>
      </c>
      <c r="K269" s="722"/>
      <c r="L269" s="723">
        <f t="shared" si="12"/>
        <v>0</v>
      </c>
      <c r="M269" s="723">
        <f t="shared" si="13"/>
        <v>0</v>
      </c>
      <c r="N269" s="723">
        <f t="shared" si="14"/>
        <v>0</v>
      </c>
    </row>
    <row r="270" spans="1:14">
      <c r="A270" s="639" t="s">
        <v>74</v>
      </c>
      <c r="B270" s="718">
        <v>117</v>
      </c>
      <c r="C270" s="719" t="s">
        <v>156</v>
      </c>
      <c r="D270" s="718">
        <f>VLOOKUP(B270,'2-Kosten per locatie'!$A$13:$C$88,3,FALSE)</f>
        <v>2</v>
      </c>
      <c r="E270" s="720" t="s">
        <v>371</v>
      </c>
      <c r="F270" s="639" t="s">
        <v>983</v>
      </c>
      <c r="G270" s="639" t="s">
        <v>1079</v>
      </c>
      <c r="H270" s="705">
        <v>2</v>
      </c>
      <c r="I270" s="721">
        <v>14.58</v>
      </c>
      <c r="J270" s="722" t="s">
        <v>968</v>
      </c>
      <c r="K270" s="722"/>
      <c r="L270" s="723">
        <f t="shared" ref="L270:L333" si="15">IF(J270="ja",0,VLOOKUP(F270,Glassoort2,2,0))*I270</f>
        <v>0</v>
      </c>
      <c r="M270" s="723">
        <f t="shared" ref="M270:M333" si="16">IF(J270="ja",VLOOKUP(F270,Glassoort2,3,0))*I270</f>
        <v>0</v>
      </c>
      <c r="N270" s="723">
        <f t="shared" ref="N270:N333" si="17">(M270*H270)+(L270*H270)</f>
        <v>0</v>
      </c>
    </row>
    <row r="271" spans="1:14">
      <c r="A271" s="639" t="s">
        <v>74</v>
      </c>
      <c r="B271" s="718">
        <v>117</v>
      </c>
      <c r="C271" s="719" t="s">
        <v>156</v>
      </c>
      <c r="D271" s="718">
        <f>VLOOKUP(B271,'2-Kosten per locatie'!$A$13:$C$88,3,FALSE)</f>
        <v>2</v>
      </c>
      <c r="E271" s="720" t="s">
        <v>371</v>
      </c>
      <c r="F271" s="639" t="s">
        <v>984</v>
      </c>
      <c r="G271" s="639" t="s">
        <v>985</v>
      </c>
      <c r="H271" s="705">
        <v>2</v>
      </c>
      <c r="I271" s="721">
        <v>1.92</v>
      </c>
      <c r="J271" s="722" t="s">
        <v>982</v>
      </c>
      <c r="K271" s="722"/>
      <c r="L271" s="723">
        <f t="shared" si="15"/>
        <v>0</v>
      </c>
      <c r="M271" s="723">
        <f t="shared" si="16"/>
        <v>0</v>
      </c>
      <c r="N271" s="723">
        <f t="shared" si="17"/>
        <v>0</v>
      </c>
    </row>
    <row r="272" spans="1:14">
      <c r="A272" s="639" t="s">
        <v>74</v>
      </c>
      <c r="B272" s="718">
        <v>117</v>
      </c>
      <c r="C272" s="719" t="s">
        <v>156</v>
      </c>
      <c r="D272" s="718">
        <f>VLOOKUP(B272,'2-Kosten per locatie'!$A$13:$C$88,3,FALSE)</f>
        <v>2</v>
      </c>
      <c r="E272" s="720" t="s">
        <v>371</v>
      </c>
      <c r="F272" s="639" t="s">
        <v>986</v>
      </c>
      <c r="G272" s="639" t="s">
        <v>985</v>
      </c>
      <c r="H272" s="705">
        <v>2</v>
      </c>
      <c r="I272" s="721">
        <v>1.92</v>
      </c>
      <c r="J272" s="722" t="s">
        <v>982</v>
      </c>
      <c r="K272" s="722"/>
      <c r="L272" s="723">
        <f t="shared" si="15"/>
        <v>0</v>
      </c>
      <c r="M272" s="723">
        <f t="shared" si="16"/>
        <v>0</v>
      </c>
      <c r="N272" s="723">
        <f t="shared" si="17"/>
        <v>0</v>
      </c>
    </row>
    <row r="273" spans="1:14">
      <c r="A273" s="639" t="s">
        <v>74</v>
      </c>
      <c r="B273" s="718">
        <v>117</v>
      </c>
      <c r="C273" s="719" t="s">
        <v>156</v>
      </c>
      <c r="D273" s="718">
        <f>VLOOKUP(B273,'2-Kosten per locatie'!$A$13:$C$88,3,FALSE)</f>
        <v>2</v>
      </c>
      <c r="E273" s="720" t="s">
        <v>559</v>
      </c>
      <c r="F273" s="639" t="s">
        <v>971</v>
      </c>
      <c r="G273" s="639" t="s">
        <v>1080</v>
      </c>
      <c r="H273" s="705">
        <v>2</v>
      </c>
      <c r="I273" s="721">
        <v>5.46</v>
      </c>
      <c r="J273" s="722" t="s">
        <v>982</v>
      </c>
      <c r="K273" s="722" t="s">
        <v>1025</v>
      </c>
      <c r="L273" s="723">
        <f t="shared" si="15"/>
        <v>0</v>
      </c>
      <c r="M273" s="723">
        <f t="shared" si="16"/>
        <v>0</v>
      </c>
      <c r="N273" s="723">
        <f t="shared" si="17"/>
        <v>0</v>
      </c>
    </row>
    <row r="274" spans="1:14">
      <c r="A274" s="639" t="s">
        <v>74</v>
      </c>
      <c r="B274" s="718">
        <v>117</v>
      </c>
      <c r="C274" s="719" t="s">
        <v>156</v>
      </c>
      <c r="D274" s="718">
        <f>VLOOKUP(B274,'2-Kosten per locatie'!$A$13:$C$88,3,FALSE)</f>
        <v>2</v>
      </c>
      <c r="E274" s="720" t="s">
        <v>559</v>
      </c>
      <c r="F274" s="639" t="s">
        <v>977</v>
      </c>
      <c r="G274" s="639" t="s">
        <v>1080</v>
      </c>
      <c r="H274" s="705">
        <v>2</v>
      </c>
      <c r="I274" s="721">
        <v>5.46</v>
      </c>
      <c r="J274" s="722" t="s">
        <v>982</v>
      </c>
      <c r="K274" s="722"/>
      <c r="L274" s="723">
        <f t="shared" si="15"/>
        <v>0</v>
      </c>
      <c r="M274" s="723">
        <f t="shared" si="16"/>
        <v>0</v>
      </c>
      <c r="N274" s="723">
        <f t="shared" si="17"/>
        <v>0</v>
      </c>
    </row>
    <row r="275" spans="1:14">
      <c r="A275" s="639" t="s">
        <v>74</v>
      </c>
      <c r="B275" s="718">
        <v>117</v>
      </c>
      <c r="C275" s="719" t="s">
        <v>156</v>
      </c>
      <c r="D275" s="718">
        <f>VLOOKUP(B275,'2-Kosten per locatie'!$A$13:$C$88,3,FALSE)</f>
        <v>2</v>
      </c>
      <c r="E275" s="720" t="s">
        <v>559</v>
      </c>
      <c r="F275" s="639" t="s">
        <v>977</v>
      </c>
      <c r="G275" s="639" t="s">
        <v>1081</v>
      </c>
      <c r="H275" s="705">
        <v>2</v>
      </c>
      <c r="I275" s="721">
        <f>(9.35+1.95)*2.25</f>
        <v>25.424999999999997</v>
      </c>
      <c r="J275" s="722" t="s">
        <v>968</v>
      </c>
      <c r="K275" s="722"/>
      <c r="L275" s="723">
        <f t="shared" si="15"/>
        <v>0</v>
      </c>
      <c r="M275" s="723">
        <f t="shared" si="16"/>
        <v>0</v>
      </c>
      <c r="N275" s="723">
        <f t="shared" si="17"/>
        <v>0</v>
      </c>
    </row>
    <row r="276" spans="1:14">
      <c r="A276" s="639" t="s">
        <v>74</v>
      </c>
      <c r="B276" s="718">
        <v>117</v>
      </c>
      <c r="C276" s="719" t="s">
        <v>156</v>
      </c>
      <c r="D276" s="718">
        <f>VLOOKUP(B276,'2-Kosten per locatie'!$A$13:$C$88,3,FALSE)</f>
        <v>2</v>
      </c>
      <c r="E276" s="720" t="s">
        <v>559</v>
      </c>
      <c r="F276" s="639" t="s">
        <v>971</v>
      </c>
      <c r="G276" s="639" t="s">
        <v>1081</v>
      </c>
      <c r="H276" s="705">
        <v>2</v>
      </c>
      <c r="I276" s="721">
        <f>(9.35+1.95)*2.25</f>
        <v>25.424999999999997</v>
      </c>
      <c r="J276" s="722" t="s">
        <v>968</v>
      </c>
      <c r="K276" s="722"/>
      <c r="L276" s="723">
        <f t="shared" si="15"/>
        <v>0</v>
      </c>
      <c r="M276" s="723">
        <f t="shared" si="16"/>
        <v>0</v>
      </c>
      <c r="N276" s="723">
        <f t="shared" si="17"/>
        <v>0</v>
      </c>
    </row>
    <row r="277" spans="1:14">
      <c r="A277" s="639" t="s">
        <v>74</v>
      </c>
      <c r="B277" s="718">
        <v>117</v>
      </c>
      <c r="C277" s="719" t="s">
        <v>156</v>
      </c>
      <c r="D277" s="718">
        <f>VLOOKUP(B277,'2-Kosten per locatie'!$A$13:$C$88,3,FALSE)</f>
        <v>2</v>
      </c>
      <c r="E277" s="725"/>
      <c r="F277" s="639" t="s">
        <v>977</v>
      </c>
      <c r="G277" s="639" t="s">
        <v>1082</v>
      </c>
      <c r="H277" s="705">
        <v>2</v>
      </c>
      <c r="I277" s="721">
        <v>4.38</v>
      </c>
      <c r="J277" s="722" t="s">
        <v>982</v>
      </c>
      <c r="K277" s="722"/>
      <c r="L277" s="723">
        <f t="shared" si="15"/>
        <v>0</v>
      </c>
      <c r="M277" s="723">
        <f t="shared" si="16"/>
        <v>0</v>
      </c>
      <c r="N277" s="723">
        <f t="shared" si="17"/>
        <v>0</v>
      </c>
    </row>
    <row r="278" spans="1:14">
      <c r="A278" s="639" t="s">
        <v>74</v>
      </c>
      <c r="B278" s="718">
        <v>117</v>
      </c>
      <c r="C278" s="719" t="s">
        <v>156</v>
      </c>
      <c r="D278" s="718">
        <f>VLOOKUP(B278,'2-Kosten per locatie'!$A$13:$C$88,3,FALSE)</f>
        <v>2</v>
      </c>
      <c r="E278" s="725"/>
      <c r="F278" s="639" t="s">
        <v>971</v>
      </c>
      <c r="G278" s="639" t="s">
        <v>1082</v>
      </c>
      <c r="H278" s="705">
        <v>2</v>
      </c>
      <c r="I278" s="721">
        <v>4.38</v>
      </c>
      <c r="J278" s="722" t="s">
        <v>982</v>
      </c>
      <c r="K278" s="722"/>
      <c r="L278" s="723">
        <f t="shared" si="15"/>
        <v>0</v>
      </c>
      <c r="M278" s="723">
        <f t="shared" si="16"/>
        <v>0</v>
      </c>
      <c r="N278" s="723">
        <f t="shared" si="17"/>
        <v>0</v>
      </c>
    </row>
    <row r="279" spans="1:14">
      <c r="A279" s="639" t="s">
        <v>74</v>
      </c>
      <c r="B279" s="718">
        <v>117</v>
      </c>
      <c r="C279" s="719" t="s">
        <v>156</v>
      </c>
      <c r="D279" s="718">
        <f>VLOOKUP(B279,'2-Kosten per locatie'!$A$13:$C$88,3,FALSE)</f>
        <v>2</v>
      </c>
      <c r="E279" s="720" t="s">
        <v>570</v>
      </c>
      <c r="F279" s="639" t="s">
        <v>977</v>
      </c>
      <c r="G279" s="639" t="s">
        <v>1083</v>
      </c>
      <c r="H279" s="705">
        <v>2</v>
      </c>
      <c r="I279" s="721">
        <v>19.88</v>
      </c>
      <c r="J279" s="722" t="s">
        <v>982</v>
      </c>
      <c r="K279" s="722"/>
      <c r="L279" s="723">
        <f t="shared" si="15"/>
        <v>0</v>
      </c>
      <c r="M279" s="723">
        <f t="shared" si="16"/>
        <v>0</v>
      </c>
      <c r="N279" s="723">
        <f t="shared" si="17"/>
        <v>0</v>
      </c>
    </row>
    <row r="280" spans="1:14">
      <c r="A280" s="639" t="s">
        <v>74</v>
      </c>
      <c r="B280" s="718">
        <v>117</v>
      </c>
      <c r="C280" s="719" t="s">
        <v>156</v>
      </c>
      <c r="D280" s="718">
        <f>VLOOKUP(B280,'2-Kosten per locatie'!$A$13:$C$88,3,FALSE)</f>
        <v>2</v>
      </c>
      <c r="E280" s="720" t="s">
        <v>570</v>
      </c>
      <c r="F280" s="639" t="s">
        <v>971</v>
      </c>
      <c r="G280" s="639" t="s">
        <v>1083</v>
      </c>
      <c r="H280" s="705">
        <v>2</v>
      </c>
      <c r="I280" s="721">
        <v>19.88</v>
      </c>
      <c r="J280" s="722" t="s">
        <v>982</v>
      </c>
      <c r="K280" s="722"/>
      <c r="L280" s="723">
        <f t="shared" si="15"/>
        <v>0</v>
      </c>
      <c r="M280" s="723">
        <f t="shared" si="16"/>
        <v>0</v>
      </c>
      <c r="N280" s="723">
        <f t="shared" si="17"/>
        <v>0</v>
      </c>
    </row>
    <row r="281" spans="1:14">
      <c r="A281" s="639" t="s">
        <v>74</v>
      </c>
      <c r="B281" s="718">
        <v>117</v>
      </c>
      <c r="C281" s="719" t="s">
        <v>156</v>
      </c>
      <c r="D281" s="718">
        <f>VLOOKUP(B281,'2-Kosten per locatie'!$A$13:$C$88,3,FALSE)</f>
        <v>2</v>
      </c>
      <c r="E281" s="725"/>
      <c r="F281" s="639" t="s">
        <v>966</v>
      </c>
      <c r="G281" s="639" t="s">
        <v>991</v>
      </c>
      <c r="H281" s="705">
        <v>26</v>
      </c>
      <c r="I281" s="721">
        <v>23.8</v>
      </c>
      <c r="J281" s="722" t="s">
        <v>982</v>
      </c>
      <c r="K281" s="722" t="s">
        <v>992</v>
      </c>
      <c r="L281" s="723">
        <f t="shared" si="15"/>
        <v>0</v>
      </c>
      <c r="M281" s="723">
        <f t="shared" si="16"/>
        <v>0</v>
      </c>
      <c r="N281" s="723">
        <f t="shared" si="17"/>
        <v>0</v>
      </c>
    </row>
    <row r="282" spans="1:14">
      <c r="A282" s="639" t="s">
        <v>75</v>
      </c>
      <c r="B282" s="718">
        <v>118</v>
      </c>
      <c r="C282" s="719" t="s">
        <v>156</v>
      </c>
      <c r="D282" s="718">
        <f>VLOOKUP(B282,'2-Kosten per locatie'!$A$13:$C$88,3,FALSE)</f>
        <v>2</v>
      </c>
      <c r="E282" s="720" t="s">
        <v>505</v>
      </c>
      <c r="F282" s="639" t="s">
        <v>977</v>
      </c>
      <c r="G282" s="639" t="s">
        <v>1066</v>
      </c>
      <c r="H282" s="705">
        <v>2</v>
      </c>
      <c r="I282" s="721">
        <f>+(7.9+3.2)*2.8+(4.8+1+2.1+2.1)*2.8-2</f>
        <v>57.08</v>
      </c>
      <c r="J282" s="722" t="s">
        <v>968</v>
      </c>
      <c r="K282" s="722"/>
      <c r="L282" s="723">
        <f t="shared" si="15"/>
        <v>0</v>
      </c>
      <c r="M282" s="723">
        <f t="shared" si="16"/>
        <v>0</v>
      </c>
      <c r="N282" s="723">
        <f t="shared" si="17"/>
        <v>0</v>
      </c>
    </row>
    <row r="283" spans="1:14">
      <c r="A283" s="639" t="s">
        <v>75</v>
      </c>
      <c r="B283" s="718">
        <v>118</v>
      </c>
      <c r="C283" s="719" t="s">
        <v>156</v>
      </c>
      <c r="D283" s="718">
        <f>VLOOKUP(B283,'2-Kosten per locatie'!$A$13:$C$88,3,FALSE)</f>
        <v>2</v>
      </c>
      <c r="E283" s="720" t="s">
        <v>505</v>
      </c>
      <c r="F283" s="639" t="s">
        <v>971</v>
      </c>
      <c r="G283" s="639" t="s">
        <v>1066</v>
      </c>
      <c r="H283" s="705">
        <v>2</v>
      </c>
      <c r="I283" s="721">
        <f>+(7.9+3.2)*2.8+(4.8+1+2.1+2.1)*2.8-2</f>
        <v>57.08</v>
      </c>
      <c r="J283" s="722" t="s">
        <v>968</v>
      </c>
      <c r="K283" s="722"/>
      <c r="L283" s="723">
        <f t="shared" si="15"/>
        <v>0</v>
      </c>
      <c r="M283" s="723">
        <f t="shared" si="16"/>
        <v>0</v>
      </c>
      <c r="N283" s="723">
        <f t="shared" si="17"/>
        <v>0</v>
      </c>
    </row>
    <row r="284" spans="1:14">
      <c r="A284" s="639" t="s">
        <v>75</v>
      </c>
      <c r="B284" s="718">
        <v>118</v>
      </c>
      <c r="C284" s="719" t="s">
        <v>156</v>
      </c>
      <c r="D284" s="718">
        <f>VLOOKUP(B284,'2-Kosten per locatie'!$A$13:$C$88,3,FALSE)</f>
        <v>2</v>
      </c>
      <c r="E284" s="720" t="s">
        <v>521</v>
      </c>
      <c r="F284" s="639" t="s">
        <v>977</v>
      </c>
      <c r="G284" s="639" t="s">
        <v>1084</v>
      </c>
      <c r="H284" s="705">
        <v>2</v>
      </c>
      <c r="I284" s="721">
        <f>0.35*1.35+1.3*1.3+1.4*1.3+(1.8*0.75)*0.5</f>
        <v>4.6574999999999998</v>
      </c>
      <c r="J284" s="722" t="s">
        <v>982</v>
      </c>
      <c r="K284" s="722"/>
      <c r="L284" s="723">
        <f t="shared" si="15"/>
        <v>0</v>
      </c>
      <c r="M284" s="723">
        <f t="shared" si="16"/>
        <v>0</v>
      </c>
      <c r="N284" s="723">
        <f t="shared" si="17"/>
        <v>0</v>
      </c>
    </row>
    <row r="285" spans="1:14">
      <c r="A285" s="639" t="s">
        <v>75</v>
      </c>
      <c r="B285" s="718">
        <v>118</v>
      </c>
      <c r="C285" s="719" t="s">
        <v>156</v>
      </c>
      <c r="D285" s="718">
        <f>VLOOKUP(B285,'2-Kosten per locatie'!$A$13:$C$88,3,FALSE)</f>
        <v>2</v>
      </c>
      <c r="E285" s="720" t="s">
        <v>521</v>
      </c>
      <c r="F285" s="639" t="s">
        <v>971</v>
      </c>
      <c r="G285" s="639" t="s">
        <v>1084</v>
      </c>
      <c r="H285" s="705">
        <v>2</v>
      </c>
      <c r="I285" s="721">
        <f>0.35*1.35+1.3*1.3+1.4*1.3+(1.8*0.75)*0.5</f>
        <v>4.6574999999999998</v>
      </c>
      <c r="J285" s="722" t="s">
        <v>982</v>
      </c>
      <c r="K285" s="722"/>
      <c r="L285" s="723">
        <f t="shared" si="15"/>
        <v>0</v>
      </c>
      <c r="M285" s="723">
        <f t="shared" si="16"/>
        <v>0</v>
      </c>
      <c r="N285" s="723">
        <f t="shared" si="17"/>
        <v>0</v>
      </c>
    </row>
    <row r="286" spans="1:14">
      <c r="A286" s="639" t="s">
        <v>75</v>
      </c>
      <c r="B286" s="718">
        <v>118</v>
      </c>
      <c r="C286" s="719" t="s">
        <v>156</v>
      </c>
      <c r="D286" s="718">
        <f>VLOOKUP(B286,'2-Kosten per locatie'!$A$13:$C$88,3,FALSE)</f>
        <v>2</v>
      </c>
      <c r="E286" s="720" t="s">
        <v>505</v>
      </c>
      <c r="F286" s="639" t="s">
        <v>979</v>
      </c>
      <c r="G286" s="639" t="s">
        <v>1024</v>
      </c>
      <c r="H286" s="705">
        <v>2</v>
      </c>
      <c r="I286" s="721">
        <f>6.6*3.4</f>
        <v>22.439999999999998</v>
      </c>
      <c r="J286" s="722" t="s">
        <v>968</v>
      </c>
      <c r="K286" s="722" t="s">
        <v>1025</v>
      </c>
      <c r="L286" s="723">
        <f t="shared" si="15"/>
        <v>0</v>
      </c>
      <c r="M286" s="723">
        <f t="shared" si="16"/>
        <v>0</v>
      </c>
      <c r="N286" s="723">
        <f t="shared" si="17"/>
        <v>0</v>
      </c>
    </row>
    <row r="287" spans="1:14">
      <c r="A287" s="639" t="s">
        <v>75</v>
      </c>
      <c r="B287" s="718">
        <v>118</v>
      </c>
      <c r="C287" s="719" t="s">
        <v>156</v>
      </c>
      <c r="D287" s="718">
        <f>VLOOKUP(B287,'2-Kosten per locatie'!$A$13:$C$88,3,FALSE)</f>
        <v>2</v>
      </c>
      <c r="E287" s="720" t="s">
        <v>505</v>
      </c>
      <c r="F287" s="639" t="s">
        <v>979</v>
      </c>
      <c r="G287" s="639" t="s">
        <v>1026</v>
      </c>
      <c r="H287" s="705">
        <v>2</v>
      </c>
      <c r="I287" s="721">
        <f>6.6*2.45</f>
        <v>16.170000000000002</v>
      </c>
      <c r="J287" s="722" t="s">
        <v>968</v>
      </c>
      <c r="K287" s="722" t="s">
        <v>1025</v>
      </c>
      <c r="L287" s="723">
        <f t="shared" si="15"/>
        <v>0</v>
      </c>
      <c r="M287" s="723">
        <f t="shared" si="16"/>
        <v>0</v>
      </c>
      <c r="N287" s="723">
        <f t="shared" si="17"/>
        <v>0</v>
      </c>
    </row>
    <row r="288" spans="1:14">
      <c r="A288" s="639" t="s">
        <v>75</v>
      </c>
      <c r="B288" s="718">
        <v>118</v>
      </c>
      <c r="C288" s="719" t="s">
        <v>156</v>
      </c>
      <c r="D288" s="718">
        <f>VLOOKUP(B288,'2-Kosten per locatie'!$A$13:$C$88,3,FALSE)</f>
        <v>2</v>
      </c>
      <c r="E288" s="720" t="s">
        <v>505</v>
      </c>
      <c r="F288" s="639" t="s">
        <v>977</v>
      </c>
      <c r="G288" s="639" t="s">
        <v>1085</v>
      </c>
      <c r="H288" s="705">
        <v>2</v>
      </c>
      <c r="I288" s="721">
        <f>6*2.5*2</f>
        <v>30</v>
      </c>
      <c r="J288" s="722" t="s">
        <v>968</v>
      </c>
      <c r="K288" s="722"/>
      <c r="L288" s="723">
        <f t="shared" si="15"/>
        <v>0</v>
      </c>
      <c r="M288" s="723">
        <f t="shared" si="16"/>
        <v>0</v>
      </c>
      <c r="N288" s="723">
        <f t="shared" si="17"/>
        <v>0</v>
      </c>
    </row>
    <row r="289" spans="1:14">
      <c r="A289" s="639" t="s">
        <v>75</v>
      </c>
      <c r="B289" s="718">
        <v>118</v>
      </c>
      <c r="C289" s="719" t="s">
        <v>156</v>
      </c>
      <c r="D289" s="718">
        <f>VLOOKUP(B289,'2-Kosten per locatie'!$A$13:$C$88,3,FALSE)</f>
        <v>2</v>
      </c>
      <c r="E289" s="720" t="s">
        <v>505</v>
      </c>
      <c r="F289" s="639" t="s">
        <v>971</v>
      </c>
      <c r="G289" s="639" t="s">
        <v>1085</v>
      </c>
      <c r="H289" s="705">
        <v>2</v>
      </c>
      <c r="I289" s="721">
        <f>6*2.5*2</f>
        <v>30</v>
      </c>
      <c r="J289" s="722" t="s">
        <v>968</v>
      </c>
      <c r="K289" s="722"/>
      <c r="L289" s="723">
        <f t="shared" si="15"/>
        <v>0</v>
      </c>
      <c r="M289" s="723">
        <f t="shared" si="16"/>
        <v>0</v>
      </c>
      <c r="N289" s="723">
        <f t="shared" si="17"/>
        <v>0</v>
      </c>
    </row>
    <row r="290" spans="1:14">
      <c r="A290" s="639" t="s">
        <v>75</v>
      </c>
      <c r="B290" s="718">
        <v>118</v>
      </c>
      <c r="C290" s="719" t="s">
        <v>156</v>
      </c>
      <c r="D290" s="718">
        <f>VLOOKUP(B290,'2-Kosten per locatie'!$A$13:$C$88,3,FALSE)</f>
        <v>2</v>
      </c>
      <c r="E290" s="720" t="s">
        <v>598</v>
      </c>
      <c r="F290" s="639" t="s">
        <v>977</v>
      </c>
      <c r="G290" s="639" t="s">
        <v>1086</v>
      </c>
      <c r="H290" s="705">
        <v>2</v>
      </c>
      <c r="I290" s="721">
        <f>0.95*2.15*2</f>
        <v>4.085</v>
      </c>
      <c r="J290" s="722" t="s">
        <v>968</v>
      </c>
      <c r="K290" s="722"/>
      <c r="L290" s="723">
        <f t="shared" si="15"/>
        <v>0</v>
      </c>
      <c r="M290" s="723">
        <f t="shared" si="16"/>
        <v>0</v>
      </c>
      <c r="N290" s="723">
        <f t="shared" si="17"/>
        <v>0</v>
      </c>
    </row>
    <row r="291" spans="1:14">
      <c r="A291" s="639" t="s">
        <v>75</v>
      </c>
      <c r="B291" s="718">
        <v>118</v>
      </c>
      <c r="C291" s="719" t="s">
        <v>156</v>
      </c>
      <c r="D291" s="718">
        <f>VLOOKUP(B291,'2-Kosten per locatie'!$A$13:$C$88,3,FALSE)</f>
        <v>2</v>
      </c>
      <c r="E291" s="720" t="s">
        <v>598</v>
      </c>
      <c r="F291" s="639" t="s">
        <v>971</v>
      </c>
      <c r="G291" s="639" t="s">
        <v>1086</v>
      </c>
      <c r="H291" s="705">
        <v>2</v>
      </c>
      <c r="I291" s="721">
        <f>0.95*2.15*2</f>
        <v>4.085</v>
      </c>
      <c r="J291" s="722" t="s">
        <v>968</v>
      </c>
      <c r="K291" s="722"/>
      <c r="L291" s="723">
        <f t="shared" si="15"/>
        <v>0</v>
      </c>
      <c r="M291" s="723">
        <f t="shared" si="16"/>
        <v>0</v>
      </c>
      <c r="N291" s="723">
        <f t="shared" si="17"/>
        <v>0</v>
      </c>
    </row>
    <row r="292" spans="1:14">
      <c r="A292" s="639" t="s">
        <v>75</v>
      </c>
      <c r="B292" s="718">
        <v>118</v>
      </c>
      <c r="C292" s="719" t="s">
        <v>156</v>
      </c>
      <c r="D292" s="718">
        <f>VLOOKUP(B292,'2-Kosten per locatie'!$A$13:$C$88,3,FALSE)</f>
        <v>2</v>
      </c>
      <c r="E292" s="720" t="s">
        <v>505</v>
      </c>
      <c r="F292" s="639" t="s">
        <v>975</v>
      </c>
      <c r="G292" s="639" t="s">
        <v>1087</v>
      </c>
      <c r="H292" s="705">
        <v>2</v>
      </c>
      <c r="I292" s="721">
        <f>+(1.35+0.65)*12</f>
        <v>24</v>
      </c>
      <c r="J292" s="722" t="s">
        <v>968</v>
      </c>
      <c r="K292" s="722" t="s">
        <v>1030</v>
      </c>
      <c r="L292" s="723">
        <f t="shared" si="15"/>
        <v>0</v>
      </c>
      <c r="M292" s="723">
        <f t="shared" si="16"/>
        <v>0</v>
      </c>
      <c r="N292" s="723">
        <f t="shared" si="17"/>
        <v>0</v>
      </c>
    </row>
    <row r="293" spans="1:14">
      <c r="A293" s="639" t="s">
        <v>75</v>
      </c>
      <c r="B293" s="718">
        <v>118</v>
      </c>
      <c r="C293" s="719" t="s">
        <v>156</v>
      </c>
      <c r="D293" s="718">
        <f>VLOOKUP(B293,'2-Kosten per locatie'!$A$13:$C$88,3,FALSE)</f>
        <v>2</v>
      </c>
      <c r="E293" s="720" t="s">
        <v>505</v>
      </c>
      <c r="F293" s="639" t="s">
        <v>969</v>
      </c>
      <c r="G293" s="639" t="s">
        <v>1087</v>
      </c>
      <c r="H293" s="705">
        <v>2</v>
      </c>
      <c r="I293" s="721">
        <f>+(1.35+0.65)*12</f>
        <v>24</v>
      </c>
      <c r="J293" s="722" t="s">
        <v>968</v>
      </c>
      <c r="K293" s="722" t="s">
        <v>1030</v>
      </c>
      <c r="L293" s="723">
        <f t="shared" si="15"/>
        <v>0</v>
      </c>
      <c r="M293" s="723">
        <f t="shared" si="16"/>
        <v>0</v>
      </c>
      <c r="N293" s="723">
        <f t="shared" si="17"/>
        <v>0</v>
      </c>
    </row>
    <row r="294" spans="1:14">
      <c r="A294" s="639" t="s">
        <v>75</v>
      </c>
      <c r="B294" s="718">
        <v>118</v>
      </c>
      <c r="C294" s="719" t="s">
        <v>156</v>
      </c>
      <c r="D294" s="718">
        <f>VLOOKUP(B294,'2-Kosten per locatie'!$A$13:$C$88,3,FALSE)</f>
        <v>2</v>
      </c>
      <c r="E294" s="720" t="s">
        <v>505</v>
      </c>
      <c r="F294" s="639" t="s">
        <v>980</v>
      </c>
      <c r="G294" s="639" t="s">
        <v>1088</v>
      </c>
      <c r="H294" s="705">
        <v>2</v>
      </c>
      <c r="I294" s="721">
        <v>9.8000000000000007</v>
      </c>
      <c r="J294" s="722" t="s">
        <v>982</v>
      </c>
      <c r="K294" s="722"/>
      <c r="L294" s="723">
        <f t="shared" si="15"/>
        <v>0</v>
      </c>
      <c r="M294" s="723">
        <f t="shared" si="16"/>
        <v>0</v>
      </c>
      <c r="N294" s="723">
        <f t="shared" si="17"/>
        <v>0</v>
      </c>
    </row>
    <row r="295" spans="1:14">
      <c r="A295" s="639" t="s">
        <v>75</v>
      </c>
      <c r="B295" s="718">
        <v>118</v>
      </c>
      <c r="C295" s="719" t="s">
        <v>156</v>
      </c>
      <c r="D295" s="718">
        <f>VLOOKUP(B295,'2-Kosten per locatie'!$A$13:$C$88,3,FALSE)</f>
        <v>2</v>
      </c>
      <c r="E295" s="720" t="s">
        <v>505</v>
      </c>
      <c r="F295" s="639" t="s">
        <v>983</v>
      </c>
      <c r="G295" s="639" t="s">
        <v>1088</v>
      </c>
      <c r="H295" s="705">
        <v>2</v>
      </c>
      <c r="I295" s="721">
        <v>9.8000000000000007</v>
      </c>
      <c r="J295" s="722" t="s">
        <v>968</v>
      </c>
      <c r="K295" s="722"/>
      <c r="L295" s="723">
        <f t="shared" si="15"/>
        <v>0</v>
      </c>
      <c r="M295" s="723">
        <f t="shared" si="16"/>
        <v>0</v>
      </c>
      <c r="N295" s="723">
        <f t="shared" si="17"/>
        <v>0</v>
      </c>
    </row>
    <row r="296" spans="1:14">
      <c r="A296" s="639" t="s">
        <v>75</v>
      </c>
      <c r="B296" s="718">
        <v>118</v>
      </c>
      <c r="C296" s="719" t="s">
        <v>156</v>
      </c>
      <c r="D296" s="718">
        <f>VLOOKUP(B296,'2-Kosten per locatie'!$A$13:$C$88,3,FALSE)</f>
        <v>2</v>
      </c>
      <c r="E296" s="720" t="s">
        <v>505</v>
      </c>
      <c r="F296" s="639" t="s">
        <v>984</v>
      </c>
      <c r="G296" s="639" t="s">
        <v>985</v>
      </c>
      <c r="H296" s="705">
        <v>2</v>
      </c>
      <c r="I296" s="721">
        <v>1.92</v>
      </c>
      <c r="J296" s="722" t="s">
        <v>982</v>
      </c>
      <c r="K296" s="722"/>
      <c r="L296" s="723">
        <f t="shared" si="15"/>
        <v>0</v>
      </c>
      <c r="M296" s="723">
        <f t="shared" si="16"/>
        <v>0</v>
      </c>
      <c r="N296" s="723">
        <f t="shared" si="17"/>
        <v>0</v>
      </c>
    </row>
    <row r="297" spans="1:14">
      <c r="A297" s="639" t="s">
        <v>75</v>
      </c>
      <c r="B297" s="718">
        <v>118</v>
      </c>
      <c r="C297" s="719" t="s">
        <v>156</v>
      </c>
      <c r="D297" s="718">
        <f>VLOOKUP(B297,'2-Kosten per locatie'!$A$13:$C$88,3,FALSE)</f>
        <v>2</v>
      </c>
      <c r="E297" s="720" t="s">
        <v>505</v>
      </c>
      <c r="F297" s="639" t="s">
        <v>986</v>
      </c>
      <c r="G297" s="639" t="s">
        <v>985</v>
      </c>
      <c r="H297" s="705">
        <v>2</v>
      </c>
      <c r="I297" s="721">
        <v>1.92</v>
      </c>
      <c r="J297" s="722" t="s">
        <v>982</v>
      </c>
      <c r="K297" s="722"/>
      <c r="L297" s="723">
        <f t="shared" si="15"/>
        <v>0</v>
      </c>
      <c r="M297" s="723">
        <f t="shared" si="16"/>
        <v>0</v>
      </c>
      <c r="N297" s="723">
        <f t="shared" si="17"/>
        <v>0</v>
      </c>
    </row>
    <row r="298" spans="1:14">
      <c r="A298" s="639" t="s">
        <v>75</v>
      </c>
      <c r="B298" s="718">
        <v>118</v>
      </c>
      <c r="C298" s="719" t="s">
        <v>156</v>
      </c>
      <c r="D298" s="718">
        <f>VLOOKUP(B298,'2-Kosten per locatie'!$A$13:$C$88,3,FALSE)</f>
        <v>2</v>
      </c>
      <c r="E298" s="720" t="s">
        <v>598</v>
      </c>
      <c r="F298" s="639" t="s">
        <v>966</v>
      </c>
      <c r="G298" s="639" t="s">
        <v>1089</v>
      </c>
      <c r="H298" s="705">
        <v>12</v>
      </c>
      <c r="I298" s="721">
        <f>1.2*1*0.5*2</f>
        <v>1.2</v>
      </c>
      <c r="J298" s="722" t="s">
        <v>982</v>
      </c>
      <c r="K298" s="722"/>
      <c r="L298" s="723">
        <f t="shared" si="15"/>
        <v>0</v>
      </c>
      <c r="M298" s="723">
        <f t="shared" si="16"/>
        <v>0</v>
      </c>
      <c r="N298" s="723">
        <f t="shared" si="17"/>
        <v>0</v>
      </c>
    </row>
    <row r="299" spans="1:14">
      <c r="A299" s="639" t="s">
        <v>1090</v>
      </c>
      <c r="B299" s="718">
        <v>118</v>
      </c>
      <c r="C299" s="719" t="s">
        <v>156</v>
      </c>
      <c r="D299" s="718">
        <f>VLOOKUP(B299,'2-Kosten per locatie'!$A$13:$C$88,3,FALSE)</f>
        <v>2</v>
      </c>
      <c r="E299" s="725"/>
      <c r="F299" s="639" t="s">
        <v>966</v>
      </c>
      <c r="G299" s="639" t="s">
        <v>991</v>
      </c>
      <c r="H299" s="705">
        <v>26</v>
      </c>
      <c r="I299" s="721">
        <v>13.6</v>
      </c>
      <c r="J299" s="722" t="s">
        <v>982</v>
      </c>
      <c r="K299" s="722" t="s">
        <v>992</v>
      </c>
      <c r="L299" s="723">
        <f t="shared" si="15"/>
        <v>0</v>
      </c>
      <c r="M299" s="723">
        <f t="shared" si="16"/>
        <v>0</v>
      </c>
      <c r="N299" s="723">
        <f t="shared" si="17"/>
        <v>0</v>
      </c>
    </row>
    <row r="300" spans="1:14">
      <c r="A300" s="639" t="s">
        <v>76</v>
      </c>
      <c r="B300" s="718">
        <v>119</v>
      </c>
      <c r="C300" s="719" t="s">
        <v>156</v>
      </c>
      <c r="D300" s="718">
        <f>VLOOKUP(B300,'2-Kosten per locatie'!$A$13:$C$88,3,FALSE)</f>
        <v>2</v>
      </c>
      <c r="E300" s="720" t="s">
        <v>617</v>
      </c>
      <c r="F300" s="639" t="s">
        <v>969</v>
      </c>
      <c r="G300" s="639" t="s">
        <v>1091</v>
      </c>
      <c r="H300" s="705">
        <v>2</v>
      </c>
      <c r="I300" s="721">
        <f>+(5.3+5.3)*(3.5*24)</f>
        <v>890.4</v>
      </c>
      <c r="J300" s="722" t="s">
        <v>968</v>
      </c>
      <c r="K300" s="722"/>
      <c r="L300" s="723">
        <f t="shared" si="15"/>
        <v>0</v>
      </c>
      <c r="M300" s="723">
        <f t="shared" si="16"/>
        <v>0</v>
      </c>
      <c r="N300" s="723">
        <f t="shared" si="17"/>
        <v>0</v>
      </c>
    </row>
    <row r="301" spans="1:14">
      <c r="A301" s="639" t="s">
        <v>76</v>
      </c>
      <c r="B301" s="718">
        <v>119</v>
      </c>
      <c r="C301" s="719" t="s">
        <v>156</v>
      </c>
      <c r="D301" s="718">
        <f>VLOOKUP(B301,'2-Kosten per locatie'!$A$13:$C$88,3,FALSE)</f>
        <v>2</v>
      </c>
      <c r="E301" s="720" t="s">
        <v>617</v>
      </c>
      <c r="F301" s="639" t="s">
        <v>969</v>
      </c>
      <c r="G301" s="639" t="s">
        <v>1092</v>
      </c>
      <c r="H301" s="705">
        <v>2</v>
      </c>
      <c r="I301" s="721">
        <f>+(2.5+2.5)*(3.5*24)</f>
        <v>420</v>
      </c>
      <c r="J301" s="722" t="s">
        <v>968</v>
      </c>
      <c r="K301" s="722"/>
      <c r="L301" s="723">
        <f t="shared" si="15"/>
        <v>0</v>
      </c>
      <c r="M301" s="723">
        <f t="shared" si="16"/>
        <v>0</v>
      </c>
      <c r="N301" s="723">
        <f t="shared" si="17"/>
        <v>0</v>
      </c>
    </row>
    <row r="302" spans="1:14">
      <c r="A302" s="639" t="s">
        <v>76</v>
      </c>
      <c r="B302" s="718">
        <v>119</v>
      </c>
      <c r="C302" s="719" t="s">
        <v>156</v>
      </c>
      <c r="D302" s="718">
        <f>VLOOKUP(B302,'2-Kosten per locatie'!$A$13:$C$88,3,FALSE)</f>
        <v>2</v>
      </c>
      <c r="E302" s="720" t="s">
        <v>617</v>
      </c>
      <c r="F302" s="639" t="s">
        <v>975</v>
      </c>
      <c r="G302" s="639" t="s">
        <v>1091</v>
      </c>
      <c r="H302" s="705">
        <v>2</v>
      </c>
      <c r="I302" s="721">
        <f>+(2.5+5.3+5.3+2.5)*(3.5*24)</f>
        <v>1310.3999999999999</v>
      </c>
      <c r="J302" s="722" t="s">
        <v>982</v>
      </c>
      <c r="K302" s="722"/>
      <c r="L302" s="723">
        <f t="shared" si="15"/>
        <v>0</v>
      </c>
      <c r="M302" s="723">
        <f t="shared" si="16"/>
        <v>0</v>
      </c>
      <c r="N302" s="723">
        <f t="shared" si="17"/>
        <v>0</v>
      </c>
    </row>
    <row r="303" spans="1:14">
      <c r="A303" s="639" t="s">
        <v>76</v>
      </c>
      <c r="B303" s="718">
        <v>119</v>
      </c>
      <c r="C303" s="719" t="s">
        <v>156</v>
      </c>
      <c r="D303" s="718">
        <f>VLOOKUP(B303,'2-Kosten per locatie'!$A$13:$C$88,3,FALSE)</f>
        <v>2</v>
      </c>
      <c r="E303" s="720" t="s">
        <v>617</v>
      </c>
      <c r="F303" s="639" t="s">
        <v>966</v>
      </c>
      <c r="G303" s="639" t="s">
        <v>1093</v>
      </c>
      <c r="H303" s="705">
        <v>2</v>
      </c>
      <c r="I303" s="721">
        <f>2.6*3.5*24*2*2</f>
        <v>873.59999999999991</v>
      </c>
      <c r="J303" s="722" t="s">
        <v>968</v>
      </c>
      <c r="K303" s="722"/>
      <c r="L303" s="723">
        <f t="shared" si="15"/>
        <v>0</v>
      </c>
      <c r="M303" s="723">
        <f t="shared" si="16"/>
        <v>0</v>
      </c>
      <c r="N303" s="723">
        <f t="shared" si="17"/>
        <v>0</v>
      </c>
    </row>
    <row r="304" spans="1:14">
      <c r="A304" s="639" t="s">
        <v>76</v>
      </c>
      <c r="B304" s="718">
        <v>119</v>
      </c>
      <c r="C304" s="719" t="s">
        <v>156</v>
      </c>
      <c r="D304" s="718">
        <f>VLOOKUP(B304,'2-Kosten per locatie'!$A$13:$C$88,3,FALSE)</f>
        <v>2</v>
      </c>
      <c r="E304" s="720" t="s">
        <v>617</v>
      </c>
      <c r="F304" s="639" t="s">
        <v>966</v>
      </c>
      <c r="G304" s="639" t="s">
        <v>1094</v>
      </c>
      <c r="H304" s="705">
        <v>2</v>
      </c>
      <c r="I304" s="721">
        <f>2*10.6*1.3*2</f>
        <v>55.12</v>
      </c>
      <c r="J304" s="722" t="s">
        <v>968</v>
      </c>
      <c r="K304" s="722"/>
      <c r="L304" s="723">
        <f t="shared" si="15"/>
        <v>0</v>
      </c>
      <c r="M304" s="723">
        <f t="shared" si="16"/>
        <v>0</v>
      </c>
      <c r="N304" s="723">
        <f t="shared" si="17"/>
        <v>0</v>
      </c>
    </row>
    <row r="305" spans="1:14">
      <c r="A305" s="639" t="s">
        <v>76</v>
      </c>
      <c r="B305" s="718">
        <v>119</v>
      </c>
      <c r="C305" s="719" t="s">
        <v>156</v>
      </c>
      <c r="D305" s="718">
        <f>VLOOKUP(B305,'2-Kosten per locatie'!$A$13:$C$88,3,FALSE)</f>
        <v>2</v>
      </c>
      <c r="E305" s="720" t="s">
        <v>617</v>
      </c>
      <c r="F305" s="639" t="s">
        <v>966</v>
      </c>
      <c r="G305" s="639" t="s">
        <v>1095</v>
      </c>
      <c r="H305" s="705">
        <v>2</v>
      </c>
      <c r="I305" s="721">
        <f>2*5*0.8*2</f>
        <v>16</v>
      </c>
      <c r="J305" s="722" t="s">
        <v>968</v>
      </c>
      <c r="K305" s="722"/>
      <c r="L305" s="723">
        <f t="shared" si="15"/>
        <v>0</v>
      </c>
      <c r="M305" s="723">
        <f t="shared" si="16"/>
        <v>0</v>
      </c>
      <c r="N305" s="723">
        <f t="shared" si="17"/>
        <v>0</v>
      </c>
    </row>
    <row r="306" spans="1:14">
      <c r="A306" s="639" t="s">
        <v>76</v>
      </c>
      <c r="B306" s="718">
        <v>119</v>
      </c>
      <c r="C306" s="719" t="s">
        <v>156</v>
      </c>
      <c r="D306" s="718">
        <f>VLOOKUP(B306,'2-Kosten per locatie'!$A$13:$C$88,3,FALSE)</f>
        <v>2</v>
      </c>
      <c r="E306" s="720" t="s">
        <v>505</v>
      </c>
      <c r="F306" s="639" t="s">
        <v>977</v>
      </c>
      <c r="G306" s="639" t="s">
        <v>1096</v>
      </c>
      <c r="H306" s="705">
        <v>2</v>
      </c>
      <c r="I306" s="721">
        <f>13.75*8.7-2*2.7*2.3</f>
        <v>107.20499999999998</v>
      </c>
      <c r="J306" s="722" t="s">
        <v>982</v>
      </c>
      <c r="K306" s="722"/>
      <c r="L306" s="723">
        <f t="shared" si="15"/>
        <v>0</v>
      </c>
      <c r="M306" s="723">
        <f t="shared" si="16"/>
        <v>0</v>
      </c>
      <c r="N306" s="723">
        <f t="shared" si="17"/>
        <v>0</v>
      </c>
    </row>
    <row r="307" spans="1:14">
      <c r="A307" s="639" t="s">
        <v>76</v>
      </c>
      <c r="B307" s="718">
        <v>119</v>
      </c>
      <c r="C307" s="719" t="s">
        <v>156</v>
      </c>
      <c r="D307" s="718">
        <f>VLOOKUP(B307,'2-Kosten per locatie'!$A$13:$C$88,3,FALSE)</f>
        <v>2</v>
      </c>
      <c r="E307" s="720" t="s">
        <v>505</v>
      </c>
      <c r="F307" s="639" t="s">
        <v>971</v>
      </c>
      <c r="G307" s="639" t="s">
        <v>1096</v>
      </c>
      <c r="H307" s="705">
        <v>2</v>
      </c>
      <c r="I307" s="721">
        <f>13.75*8.7-2*2.7*2.3</f>
        <v>107.20499999999998</v>
      </c>
      <c r="J307" s="722" t="s">
        <v>982</v>
      </c>
      <c r="K307" s="722"/>
      <c r="L307" s="723">
        <f t="shared" si="15"/>
        <v>0</v>
      </c>
      <c r="M307" s="723">
        <f t="shared" si="16"/>
        <v>0</v>
      </c>
      <c r="N307" s="723">
        <f t="shared" si="17"/>
        <v>0</v>
      </c>
    </row>
    <row r="308" spans="1:14">
      <c r="A308" s="639" t="s">
        <v>76</v>
      </c>
      <c r="B308" s="718">
        <v>119</v>
      </c>
      <c r="C308" s="719" t="s">
        <v>156</v>
      </c>
      <c r="D308" s="718">
        <f>VLOOKUP(B308,'2-Kosten per locatie'!$A$13:$C$88,3,FALSE)</f>
        <v>2</v>
      </c>
      <c r="E308" s="720" t="s">
        <v>505</v>
      </c>
      <c r="F308" s="639" t="s">
        <v>977</v>
      </c>
      <c r="G308" s="639" t="s">
        <v>1097</v>
      </c>
      <c r="H308" s="705">
        <v>2</v>
      </c>
      <c r="I308" s="721">
        <f>+(6.6+7.8)*8.7*2+13*8.7+6*3.8*0.5*2+6*1+12*8.7+3.2*8.7</f>
        <v>524.69999999999993</v>
      </c>
      <c r="J308" s="722" t="s">
        <v>982</v>
      </c>
      <c r="K308" s="722"/>
      <c r="L308" s="723">
        <f t="shared" si="15"/>
        <v>0</v>
      </c>
      <c r="M308" s="723">
        <f t="shared" si="16"/>
        <v>0</v>
      </c>
      <c r="N308" s="723">
        <f t="shared" si="17"/>
        <v>0</v>
      </c>
    </row>
    <row r="309" spans="1:14">
      <c r="A309" s="639" t="s">
        <v>76</v>
      </c>
      <c r="B309" s="718">
        <v>119</v>
      </c>
      <c r="C309" s="719" t="s">
        <v>156</v>
      </c>
      <c r="D309" s="718">
        <f>VLOOKUP(B309,'2-Kosten per locatie'!$A$13:$C$88,3,FALSE)</f>
        <v>2</v>
      </c>
      <c r="E309" s="720" t="s">
        <v>505</v>
      </c>
      <c r="F309" s="639" t="s">
        <v>971</v>
      </c>
      <c r="G309" s="639" t="s">
        <v>1097</v>
      </c>
      <c r="H309" s="705">
        <v>2</v>
      </c>
      <c r="I309" s="721">
        <f>+(6.6+7.8)*8.7*2+6.5*8.7+25%*12*8.7+3.2*8.7</f>
        <v>361.04999999999995</v>
      </c>
      <c r="J309" s="722" t="s">
        <v>982</v>
      </c>
      <c r="K309" s="722"/>
      <c r="L309" s="723">
        <f t="shared" si="15"/>
        <v>0</v>
      </c>
      <c r="M309" s="723">
        <f t="shared" si="16"/>
        <v>0</v>
      </c>
      <c r="N309" s="723">
        <f t="shared" si="17"/>
        <v>0</v>
      </c>
    </row>
    <row r="310" spans="1:14">
      <c r="A310" s="639" t="s">
        <v>76</v>
      </c>
      <c r="B310" s="718">
        <v>119</v>
      </c>
      <c r="C310" s="719" t="s">
        <v>156</v>
      </c>
      <c r="D310" s="718">
        <f>VLOOKUP(B310,'2-Kosten per locatie'!$A$13:$C$88,3,FALSE)</f>
        <v>2</v>
      </c>
      <c r="E310" s="720" t="s">
        <v>505</v>
      </c>
      <c r="F310" s="639" t="s">
        <v>983</v>
      </c>
      <c r="G310" s="639" t="s">
        <v>1098</v>
      </c>
      <c r="H310" s="705">
        <v>2</v>
      </c>
      <c r="I310" s="721">
        <f>25%*12*8.7+1.85*4.75+6.5*3.8+17.5*2.5+17.5*2+1.3*2</f>
        <v>140.93749999999997</v>
      </c>
      <c r="J310" s="722" t="s">
        <v>968</v>
      </c>
      <c r="K310" s="722"/>
      <c r="L310" s="723">
        <f t="shared" si="15"/>
        <v>0</v>
      </c>
      <c r="M310" s="723">
        <f t="shared" si="16"/>
        <v>0</v>
      </c>
      <c r="N310" s="723">
        <f t="shared" si="17"/>
        <v>0</v>
      </c>
    </row>
    <row r="311" spans="1:14">
      <c r="A311" s="639" t="s">
        <v>76</v>
      </c>
      <c r="B311" s="718">
        <v>119</v>
      </c>
      <c r="C311" s="719" t="s">
        <v>156</v>
      </c>
      <c r="D311" s="718">
        <f>VLOOKUP(B311,'2-Kosten per locatie'!$A$13:$C$88,3,FALSE)</f>
        <v>2</v>
      </c>
      <c r="E311" s="720" t="s">
        <v>505</v>
      </c>
      <c r="F311" s="639" t="s">
        <v>980</v>
      </c>
      <c r="G311" s="639" t="s">
        <v>1098</v>
      </c>
      <c r="H311" s="705">
        <v>2</v>
      </c>
      <c r="I311" s="721">
        <f>25%*12*8.7+1.85*4.75+6.5*3.8+17.5*2.5+17.5*2+1.3*2</f>
        <v>140.93749999999997</v>
      </c>
      <c r="J311" s="722" t="s">
        <v>982</v>
      </c>
      <c r="K311" s="722"/>
      <c r="L311" s="723">
        <f t="shared" si="15"/>
        <v>0</v>
      </c>
      <c r="M311" s="723">
        <f t="shared" si="16"/>
        <v>0</v>
      </c>
      <c r="N311" s="723">
        <f t="shared" si="17"/>
        <v>0</v>
      </c>
    </row>
    <row r="312" spans="1:14">
      <c r="A312" s="639" t="s">
        <v>76</v>
      </c>
      <c r="B312" s="718">
        <v>119</v>
      </c>
      <c r="C312" s="719" t="s">
        <v>156</v>
      </c>
      <c r="D312" s="718">
        <f>VLOOKUP(B312,'2-Kosten per locatie'!$A$13:$C$88,3,FALSE)</f>
        <v>2</v>
      </c>
      <c r="E312" s="720" t="s">
        <v>505</v>
      </c>
      <c r="F312" s="639" t="s">
        <v>966</v>
      </c>
      <c r="G312" s="639" t="s">
        <v>1099</v>
      </c>
      <c r="H312" s="705">
        <v>2</v>
      </c>
      <c r="I312" s="721">
        <f>+(18*9*50%+10.5*10+1.8*9)+1.5*2.3+3.6*2.7+2.5*9*2</f>
        <v>260.37</v>
      </c>
      <c r="J312" s="722" t="s">
        <v>982</v>
      </c>
      <c r="K312" s="722"/>
      <c r="L312" s="723">
        <f t="shared" si="15"/>
        <v>0</v>
      </c>
      <c r="M312" s="723">
        <f t="shared" si="16"/>
        <v>0</v>
      </c>
      <c r="N312" s="723">
        <f t="shared" si="17"/>
        <v>0</v>
      </c>
    </row>
    <row r="313" spans="1:14">
      <c r="A313" s="639" t="s">
        <v>76</v>
      </c>
      <c r="B313" s="718">
        <v>119</v>
      </c>
      <c r="C313" s="719" t="s">
        <v>156</v>
      </c>
      <c r="D313" s="718">
        <f>VLOOKUP(B313,'2-Kosten per locatie'!$A$13:$C$88,3,FALSE)</f>
        <v>2</v>
      </c>
      <c r="E313" s="720" t="s">
        <v>617</v>
      </c>
      <c r="F313" s="639" t="s">
        <v>977</v>
      </c>
      <c r="G313" s="639" t="s">
        <v>1100</v>
      </c>
      <c r="H313" s="705">
        <v>2</v>
      </c>
      <c r="I313" s="721">
        <f>4.5*8.85*2</f>
        <v>79.649999999999991</v>
      </c>
      <c r="J313" s="722" t="s">
        <v>982</v>
      </c>
      <c r="K313" s="722"/>
      <c r="L313" s="723">
        <f t="shared" si="15"/>
        <v>0</v>
      </c>
      <c r="M313" s="723">
        <f t="shared" si="16"/>
        <v>0</v>
      </c>
      <c r="N313" s="723">
        <f t="shared" si="17"/>
        <v>0</v>
      </c>
    </row>
    <row r="314" spans="1:14">
      <c r="A314" s="639" t="s">
        <v>76</v>
      </c>
      <c r="B314" s="718">
        <v>119</v>
      </c>
      <c r="C314" s="719" t="s">
        <v>156</v>
      </c>
      <c r="D314" s="718">
        <f>VLOOKUP(B314,'2-Kosten per locatie'!$A$13:$C$88,3,FALSE)</f>
        <v>2</v>
      </c>
      <c r="E314" s="720" t="s">
        <v>617</v>
      </c>
      <c r="F314" s="639" t="s">
        <v>971</v>
      </c>
      <c r="G314" s="639" t="s">
        <v>1100</v>
      </c>
      <c r="H314" s="705">
        <v>2</v>
      </c>
      <c r="I314" s="721">
        <f>4.5*8.85*2</f>
        <v>79.649999999999991</v>
      </c>
      <c r="J314" s="722" t="s">
        <v>982</v>
      </c>
      <c r="K314" s="722"/>
      <c r="L314" s="723">
        <f t="shared" si="15"/>
        <v>0</v>
      </c>
      <c r="M314" s="723">
        <f t="shared" si="16"/>
        <v>0</v>
      </c>
      <c r="N314" s="723">
        <f t="shared" si="17"/>
        <v>0</v>
      </c>
    </row>
    <row r="315" spans="1:14">
      <c r="A315" s="639" t="s">
        <v>76</v>
      </c>
      <c r="B315" s="718">
        <v>119</v>
      </c>
      <c r="C315" s="719" t="s">
        <v>156</v>
      </c>
      <c r="D315" s="718">
        <f>VLOOKUP(B315,'2-Kosten per locatie'!$A$13:$C$88,3,FALSE)</f>
        <v>2</v>
      </c>
      <c r="E315" s="720" t="s">
        <v>617</v>
      </c>
      <c r="F315" s="639" t="s">
        <v>966</v>
      </c>
      <c r="G315" s="639" t="s">
        <v>1101</v>
      </c>
      <c r="H315" s="705">
        <v>2</v>
      </c>
      <c r="I315" s="721">
        <f>2*1.5*2.3*2</f>
        <v>13.799999999999999</v>
      </c>
      <c r="J315" s="722" t="s">
        <v>982</v>
      </c>
      <c r="K315" s="722"/>
      <c r="L315" s="723">
        <f t="shared" si="15"/>
        <v>0</v>
      </c>
      <c r="M315" s="723">
        <f t="shared" si="16"/>
        <v>0</v>
      </c>
      <c r="N315" s="723">
        <f t="shared" si="17"/>
        <v>0</v>
      </c>
    </row>
    <row r="316" spans="1:14">
      <c r="A316" s="639" t="s">
        <v>76</v>
      </c>
      <c r="B316" s="718">
        <v>119</v>
      </c>
      <c r="C316" s="719" t="s">
        <v>156</v>
      </c>
      <c r="D316" s="718">
        <f>VLOOKUP(B316,'2-Kosten per locatie'!$A$13:$C$88,3,FALSE)</f>
        <v>2</v>
      </c>
      <c r="E316" s="720" t="s">
        <v>617</v>
      </c>
      <c r="F316" s="639" t="s">
        <v>969</v>
      </c>
      <c r="G316" s="639" t="s">
        <v>1102</v>
      </c>
      <c r="H316" s="705">
        <v>2</v>
      </c>
      <c r="I316" s="721">
        <f>2*5*2</f>
        <v>20</v>
      </c>
      <c r="J316" s="722" t="s">
        <v>968</v>
      </c>
      <c r="K316" s="722"/>
      <c r="L316" s="723">
        <f t="shared" si="15"/>
        <v>0</v>
      </c>
      <c r="M316" s="723">
        <f t="shared" si="16"/>
        <v>0</v>
      </c>
      <c r="N316" s="723">
        <f t="shared" si="17"/>
        <v>0</v>
      </c>
    </row>
    <row r="317" spans="1:14">
      <c r="A317" s="639" t="s">
        <v>76</v>
      </c>
      <c r="B317" s="718">
        <v>119</v>
      </c>
      <c r="C317" s="719" t="s">
        <v>156</v>
      </c>
      <c r="D317" s="718">
        <f>VLOOKUP(B317,'2-Kosten per locatie'!$A$13:$C$88,3,FALSE)</f>
        <v>2</v>
      </c>
      <c r="E317" s="720" t="s">
        <v>617</v>
      </c>
      <c r="F317" s="639" t="s">
        <v>975</v>
      </c>
      <c r="G317" s="639" t="s">
        <v>1102</v>
      </c>
      <c r="H317" s="705">
        <v>2</v>
      </c>
      <c r="I317" s="721">
        <f>2*5*2</f>
        <v>20</v>
      </c>
      <c r="J317" s="722" t="s">
        <v>968</v>
      </c>
      <c r="K317" s="722"/>
      <c r="L317" s="723">
        <f t="shared" si="15"/>
        <v>0</v>
      </c>
      <c r="M317" s="723">
        <f t="shared" si="16"/>
        <v>0</v>
      </c>
      <c r="N317" s="723">
        <f t="shared" si="17"/>
        <v>0</v>
      </c>
    </row>
    <row r="318" spans="1:14">
      <c r="A318" s="639" t="s">
        <v>76</v>
      </c>
      <c r="B318" s="718">
        <v>119</v>
      </c>
      <c r="C318" s="719" t="s">
        <v>156</v>
      </c>
      <c r="D318" s="718">
        <f>VLOOKUP(B318,'2-Kosten per locatie'!$A$13:$C$88,3,FALSE)</f>
        <v>2</v>
      </c>
      <c r="E318" s="725"/>
      <c r="F318" s="639" t="s">
        <v>966</v>
      </c>
      <c r="G318" s="639" t="s">
        <v>991</v>
      </c>
      <c r="H318" s="705">
        <v>26</v>
      </c>
      <c r="I318" s="721">
        <v>18</v>
      </c>
      <c r="J318" s="722" t="s">
        <v>982</v>
      </c>
      <c r="K318" s="722" t="s">
        <v>992</v>
      </c>
      <c r="L318" s="723">
        <f t="shared" si="15"/>
        <v>0</v>
      </c>
      <c r="M318" s="723">
        <f t="shared" si="16"/>
        <v>0</v>
      </c>
      <c r="N318" s="723">
        <f t="shared" si="17"/>
        <v>0</v>
      </c>
    </row>
    <row r="319" spans="1:14">
      <c r="A319" s="639" t="s">
        <v>77</v>
      </c>
      <c r="B319" s="718">
        <v>120</v>
      </c>
      <c r="C319" s="719" t="s">
        <v>156</v>
      </c>
      <c r="D319" s="718">
        <f>VLOOKUP(B319,'2-Kosten per locatie'!$A$13:$C$88,3,FALSE)</f>
        <v>2</v>
      </c>
      <c r="E319" s="720" t="s">
        <v>1037</v>
      </c>
      <c r="F319" s="639" t="s">
        <v>983</v>
      </c>
      <c r="G319" s="639" t="s">
        <v>1103</v>
      </c>
      <c r="H319" s="705">
        <v>2</v>
      </c>
      <c r="I319" s="721">
        <f>+(2.4+3.5)*7.25*2</f>
        <v>85.550000000000011</v>
      </c>
      <c r="J319" s="722" t="s">
        <v>982</v>
      </c>
      <c r="K319" s="722"/>
      <c r="L319" s="723">
        <f t="shared" si="15"/>
        <v>0</v>
      </c>
      <c r="M319" s="723">
        <f t="shared" si="16"/>
        <v>0</v>
      </c>
      <c r="N319" s="723">
        <f t="shared" si="17"/>
        <v>0</v>
      </c>
    </row>
    <row r="320" spans="1:14">
      <c r="A320" s="639" t="s">
        <v>77</v>
      </c>
      <c r="B320" s="718">
        <v>120</v>
      </c>
      <c r="C320" s="719" t="s">
        <v>156</v>
      </c>
      <c r="D320" s="718">
        <f>VLOOKUP(B320,'2-Kosten per locatie'!$A$13:$C$88,3,FALSE)</f>
        <v>2</v>
      </c>
      <c r="E320" s="720" t="s">
        <v>1037</v>
      </c>
      <c r="F320" s="639" t="s">
        <v>980</v>
      </c>
      <c r="G320" s="639" t="s">
        <v>1103</v>
      </c>
      <c r="H320" s="705">
        <v>2</v>
      </c>
      <c r="I320" s="721">
        <f>+(2.4+3.5)*7.25*2</f>
        <v>85.550000000000011</v>
      </c>
      <c r="J320" s="722" t="s">
        <v>982</v>
      </c>
      <c r="K320" s="722"/>
      <c r="L320" s="723">
        <f t="shared" si="15"/>
        <v>0</v>
      </c>
      <c r="M320" s="723">
        <f t="shared" si="16"/>
        <v>0</v>
      </c>
      <c r="N320" s="723">
        <f t="shared" si="17"/>
        <v>0</v>
      </c>
    </row>
    <row r="321" spans="1:14">
      <c r="A321" s="639" t="s">
        <v>77</v>
      </c>
      <c r="B321" s="718">
        <v>120</v>
      </c>
      <c r="C321" s="719" t="s">
        <v>156</v>
      </c>
      <c r="D321" s="718">
        <f>VLOOKUP(B321,'2-Kosten per locatie'!$A$13:$C$88,3,FALSE)</f>
        <v>2</v>
      </c>
      <c r="E321" s="720" t="s">
        <v>1037</v>
      </c>
      <c r="F321" s="639" t="s">
        <v>983</v>
      </c>
      <c r="G321" s="639" t="s">
        <v>1104</v>
      </c>
      <c r="H321" s="705">
        <v>2</v>
      </c>
      <c r="I321" s="721">
        <f>+(2.4+3.5)*3.8*2</f>
        <v>44.84</v>
      </c>
      <c r="J321" s="722" t="s">
        <v>982</v>
      </c>
      <c r="K321" s="722"/>
      <c r="L321" s="723">
        <f t="shared" si="15"/>
        <v>0</v>
      </c>
      <c r="M321" s="723">
        <f t="shared" si="16"/>
        <v>0</v>
      </c>
      <c r="N321" s="723">
        <f t="shared" si="17"/>
        <v>0</v>
      </c>
    </row>
    <row r="322" spans="1:14">
      <c r="A322" s="639" t="s">
        <v>77</v>
      </c>
      <c r="B322" s="718">
        <v>120</v>
      </c>
      <c r="C322" s="719" t="s">
        <v>156</v>
      </c>
      <c r="D322" s="718">
        <f>VLOOKUP(B322,'2-Kosten per locatie'!$A$13:$C$88,3,FALSE)</f>
        <v>2</v>
      </c>
      <c r="E322" s="720" t="s">
        <v>1037</v>
      </c>
      <c r="F322" s="639" t="s">
        <v>980</v>
      </c>
      <c r="G322" s="639" t="s">
        <v>1104</v>
      </c>
      <c r="H322" s="705">
        <v>2</v>
      </c>
      <c r="I322" s="721">
        <f>+(2.4+3.5)*3.8*2</f>
        <v>44.84</v>
      </c>
      <c r="J322" s="722" t="s">
        <v>982</v>
      </c>
      <c r="K322" s="722"/>
      <c r="L322" s="723">
        <f t="shared" si="15"/>
        <v>0</v>
      </c>
      <c r="M322" s="723">
        <f t="shared" si="16"/>
        <v>0</v>
      </c>
      <c r="N322" s="723">
        <f t="shared" si="17"/>
        <v>0</v>
      </c>
    </row>
    <row r="323" spans="1:14">
      <c r="A323" s="639" t="s">
        <v>77</v>
      </c>
      <c r="B323" s="718">
        <v>120</v>
      </c>
      <c r="C323" s="719" t="s">
        <v>156</v>
      </c>
      <c r="D323" s="718">
        <f>VLOOKUP(B323,'2-Kosten per locatie'!$A$13:$C$88,3,FALSE)</f>
        <v>2</v>
      </c>
      <c r="E323" s="720" t="s">
        <v>1037</v>
      </c>
      <c r="F323" s="639" t="s">
        <v>984</v>
      </c>
      <c r="G323" s="639" t="s">
        <v>1041</v>
      </c>
      <c r="H323" s="705">
        <v>2</v>
      </c>
      <c r="I323" s="721">
        <f>+(1.8+3)*2*2.2</f>
        <v>21.12</v>
      </c>
      <c r="J323" s="722" t="s">
        <v>982</v>
      </c>
      <c r="K323" s="722"/>
      <c r="L323" s="723">
        <f t="shared" si="15"/>
        <v>0</v>
      </c>
      <c r="M323" s="723">
        <f t="shared" si="16"/>
        <v>0</v>
      </c>
      <c r="N323" s="723">
        <f t="shared" si="17"/>
        <v>0</v>
      </c>
    </row>
    <row r="324" spans="1:14">
      <c r="A324" s="639" t="s">
        <v>77</v>
      </c>
      <c r="B324" s="718">
        <v>120</v>
      </c>
      <c r="C324" s="719" t="s">
        <v>156</v>
      </c>
      <c r="D324" s="718">
        <f>VLOOKUP(B324,'2-Kosten per locatie'!$A$13:$C$88,3,FALSE)</f>
        <v>2</v>
      </c>
      <c r="E324" s="720" t="s">
        <v>1037</v>
      </c>
      <c r="F324" s="639" t="s">
        <v>986</v>
      </c>
      <c r="G324" s="639" t="s">
        <v>1041</v>
      </c>
      <c r="H324" s="705">
        <v>2</v>
      </c>
      <c r="I324" s="721">
        <f>+(1.8+3)*2*2.2</f>
        <v>21.12</v>
      </c>
      <c r="J324" s="722" t="s">
        <v>982</v>
      </c>
      <c r="K324" s="722"/>
      <c r="L324" s="723">
        <f t="shared" si="15"/>
        <v>0</v>
      </c>
      <c r="M324" s="723">
        <f t="shared" si="16"/>
        <v>0</v>
      </c>
      <c r="N324" s="723">
        <f t="shared" si="17"/>
        <v>0</v>
      </c>
    </row>
    <row r="325" spans="1:14">
      <c r="A325" s="639" t="s">
        <v>77</v>
      </c>
      <c r="B325" s="718">
        <v>120</v>
      </c>
      <c r="C325" s="719" t="s">
        <v>156</v>
      </c>
      <c r="D325" s="718">
        <f>VLOOKUP(B325,'2-Kosten per locatie'!$A$13:$C$88,3,FALSE)</f>
        <v>2</v>
      </c>
      <c r="E325" s="725"/>
      <c r="F325" s="639" t="s">
        <v>966</v>
      </c>
      <c r="G325" s="639" t="s">
        <v>991</v>
      </c>
      <c r="H325" s="705">
        <v>26</v>
      </c>
      <c r="I325" s="721">
        <v>8</v>
      </c>
      <c r="J325" s="722" t="s">
        <v>982</v>
      </c>
      <c r="K325" s="722" t="s">
        <v>992</v>
      </c>
      <c r="L325" s="723">
        <f t="shared" si="15"/>
        <v>0</v>
      </c>
      <c r="M325" s="723">
        <f t="shared" si="16"/>
        <v>0</v>
      </c>
      <c r="N325" s="723">
        <f t="shared" si="17"/>
        <v>0</v>
      </c>
    </row>
    <row r="326" spans="1:14">
      <c r="A326" s="639" t="s">
        <v>78</v>
      </c>
      <c r="B326" s="718">
        <v>121</v>
      </c>
      <c r="C326" s="719" t="s">
        <v>156</v>
      </c>
      <c r="D326" s="718">
        <f>VLOOKUP(B326,'2-Kosten per locatie'!$A$13:$C$88,3,FALSE)</f>
        <v>2</v>
      </c>
      <c r="E326" s="720" t="s">
        <v>598</v>
      </c>
      <c r="F326" s="639" t="s">
        <v>977</v>
      </c>
      <c r="G326" s="639" t="s">
        <v>1064</v>
      </c>
      <c r="H326" s="705">
        <v>2</v>
      </c>
      <c r="I326" s="721">
        <f>4*2.5+0.8*2.5</f>
        <v>12</v>
      </c>
      <c r="J326" s="722" t="s">
        <v>982</v>
      </c>
      <c r="K326" s="722"/>
      <c r="L326" s="723">
        <f t="shared" si="15"/>
        <v>0</v>
      </c>
      <c r="M326" s="723">
        <f t="shared" si="16"/>
        <v>0</v>
      </c>
      <c r="N326" s="723">
        <f t="shared" si="17"/>
        <v>0</v>
      </c>
    </row>
    <row r="327" spans="1:14">
      <c r="A327" s="639" t="s">
        <v>78</v>
      </c>
      <c r="B327" s="718">
        <v>121</v>
      </c>
      <c r="C327" s="719" t="s">
        <v>156</v>
      </c>
      <c r="D327" s="718">
        <f>VLOOKUP(B327,'2-Kosten per locatie'!$A$13:$C$88,3,FALSE)</f>
        <v>2</v>
      </c>
      <c r="E327" s="720" t="s">
        <v>598</v>
      </c>
      <c r="F327" s="639" t="s">
        <v>977</v>
      </c>
      <c r="G327" s="639" t="s">
        <v>1064</v>
      </c>
      <c r="H327" s="705">
        <v>2</v>
      </c>
      <c r="I327" s="721">
        <f>2.65*2.5</f>
        <v>6.625</v>
      </c>
      <c r="J327" s="722" t="s">
        <v>982</v>
      </c>
      <c r="K327" s="722"/>
      <c r="L327" s="723">
        <f t="shared" si="15"/>
        <v>0</v>
      </c>
      <c r="M327" s="723">
        <f t="shared" si="16"/>
        <v>0</v>
      </c>
      <c r="N327" s="723">
        <f t="shared" si="17"/>
        <v>0</v>
      </c>
    </row>
    <row r="328" spans="1:14">
      <c r="A328" s="639" t="s">
        <v>78</v>
      </c>
      <c r="B328" s="718">
        <v>121</v>
      </c>
      <c r="C328" s="719" t="s">
        <v>156</v>
      </c>
      <c r="D328" s="718">
        <f>VLOOKUP(B328,'2-Kosten per locatie'!$A$13:$C$88,3,FALSE)</f>
        <v>2</v>
      </c>
      <c r="E328" s="720" t="s">
        <v>598</v>
      </c>
      <c r="F328" s="639" t="s">
        <v>971</v>
      </c>
      <c r="G328" s="639" t="s">
        <v>1064</v>
      </c>
      <c r="H328" s="705">
        <v>2</v>
      </c>
      <c r="I328" s="721">
        <f>4*2.5+2.65*2.5+0.8*2.5</f>
        <v>18.625</v>
      </c>
      <c r="J328" s="722" t="s">
        <v>982</v>
      </c>
      <c r="K328" s="722"/>
      <c r="L328" s="723">
        <f t="shared" si="15"/>
        <v>0</v>
      </c>
      <c r="M328" s="723">
        <f t="shared" si="16"/>
        <v>0</v>
      </c>
      <c r="N328" s="723">
        <f t="shared" si="17"/>
        <v>0</v>
      </c>
    </row>
    <row r="329" spans="1:14">
      <c r="A329" s="639" t="s">
        <v>78</v>
      </c>
      <c r="B329" s="718">
        <v>121</v>
      </c>
      <c r="C329" s="719" t="s">
        <v>156</v>
      </c>
      <c r="D329" s="718">
        <f>VLOOKUP(B329,'2-Kosten per locatie'!$A$13:$C$88,3,FALSE)</f>
        <v>2</v>
      </c>
      <c r="E329" s="720" t="s">
        <v>598</v>
      </c>
      <c r="F329" s="639" t="s">
        <v>977</v>
      </c>
      <c r="G329" s="639" t="s">
        <v>1086</v>
      </c>
      <c r="H329" s="705">
        <v>2</v>
      </c>
      <c r="I329" s="721">
        <f>0.95*2.15*2</f>
        <v>4.085</v>
      </c>
      <c r="J329" s="722" t="s">
        <v>968</v>
      </c>
      <c r="K329" s="722"/>
      <c r="L329" s="723">
        <f t="shared" si="15"/>
        <v>0</v>
      </c>
      <c r="M329" s="723">
        <f t="shared" si="16"/>
        <v>0</v>
      </c>
      <c r="N329" s="723">
        <f t="shared" si="17"/>
        <v>0</v>
      </c>
    </row>
    <row r="330" spans="1:14">
      <c r="A330" s="639" t="s">
        <v>78</v>
      </c>
      <c r="B330" s="718">
        <v>121</v>
      </c>
      <c r="C330" s="719" t="s">
        <v>156</v>
      </c>
      <c r="D330" s="718">
        <f>VLOOKUP(B330,'2-Kosten per locatie'!$A$13:$C$88,3,FALSE)</f>
        <v>2</v>
      </c>
      <c r="E330" s="720" t="s">
        <v>598</v>
      </c>
      <c r="F330" s="639" t="s">
        <v>971</v>
      </c>
      <c r="G330" s="639" t="s">
        <v>1086</v>
      </c>
      <c r="H330" s="705">
        <v>2</v>
      </c>
      <c r="I330" s="721">
        <f>0.95*2.15*2</f>
        <v>4.085</v>
      </c>
      <c r="J330" s="722" t="s">
        <v>968</v>
      </c>
      <c r="K330" s="722"/>
      <c r="L330" s="723">
        <f t="shared" si="15"/>
        <v>0</v>
      </c>
      <c r="M330" s="723">
        <f t="shared" si="16"/>
        <v>0</v>
      </c>
      <c r="N330" s="723">
        <f t="shared" si="17"/>
        <v>0</v>
      </c>
    </row>
    <row r="331" spans="1:14">
      <c r="A331" s="639" t="s">
        <v>78</v>
      </c>
      <c r="B331" s="718">
        <v>121</v>
      </c>
      <c r="C331" s="719" t="s">
        <v>156</v>
      </c>
      <c r="D331" s="718">
        <f>VLOOKUP(B331,'2-Kosten per locatie'!$A$13:$C$88,3,FALSE)</f>
        <v>2</v>
      </c>
      <c r="E331" s="720" t="s">
        <v>505</v>
      </c>
      <c r="F331" s="639" t="s">
        <v>979</v>
      </c>
      <c r="G331" s="639" t="s">
        <v>1024</v>
      </c>
      <c r="H331" s="705">
        <v>2</v>
      </c>
      <c r="I331" s="721">
        <f>5.8*3.5</f>
        <v>20.3</v>
      </c>
      <c r="J331" s="722" t="s">
        <v>968</v>
      </c>
      <c r="K331" s="722" t="s">
        <v>1025</v>
      </c>
      <c r="L331" s="723">
        <f t="shared" si="15"/>
        <v>0</v>
      </c>
      <c r="M331" s="723">
        <f t="shared" si="16"/>
        <v>0</v>
      </c>
      <c r="N331" s="723">
        <f t="shared" si="17"/>
        <v>0</v>
      </c>
    </row>
    <row r="332" spans="1:14">
      <c r="A332" s="639" t="s">
        <v>78</v>
      </c>
      <c r="B332" s="718">
        <v>121</v>
      </c>
      <c r="C332" s="719" t="s">
        <v>156</v>
      </c>
      <c r="D332" s="718">
        <f>VLOOKUP(B332,'2-Kosten per locatie'!$A$13:$C$88,3,FALSE)</f>
        <v>2</v>
      </c>
      <c r="E332" s="720" t="s">
        <v>598</v>
      </c>
      <c r="F332" s="639" t="s">
        <v>979</v>
      </c>
      <c r="G332" s="639" t="s">
        <v>1026</v>
      </c>
      <c r="H332" s="705">
        <v>2</v>
      </c>
      <c r="I332" s="721">
        <f>6.5*2</f>
        <v>13</v>
      </c>
      <c r="J332" s="722" t="s">
        <v>968</v>
      </c>
      <c r="K332" s="722" t="s">
        <v>1025</v>
      </c>
      <c r="L332" s="723">
        <f t="shared" si="15"/>
        <v>0</v>
      </c>
      <c r="M332" s="723">
        <f t="shared" si="16"/>
        <v>0</v>
      </c>
      <c r="N332" s="723">
        <f t="shared" si="17"/>
        <v>0</v>
      </c>
    </row>
    <row r="333" spans="1:14">
      <c r="A333" s="639" t="s">
        <v>78</v>
      </c>
      <c r="B333" s="718">
        <v>121</v>
      </c>
      <c r="C333" s="719" t="s">
        <v>156</v>
      </c>
      <c r="D333" s="718">
        <f>VLOOKUP(B333,'2-Kosten per locatie'!$A$13:$C$88,3,FALSE)</f>
        <v>2</v>
      </c>
      <c r="E333" s="720" t="s">
        <v>505</v>
      </c>
      <c r="F333" s="639" t="s">
        <v>975</v>
      </c>
      <c r="G333" s="639" t="s">
        <v>1087</v>
      </c>
      <c r="H333" s="705">
        <v>2</v>
      </c>
      <c r="I333" s="721">
        <f>+(1.35+0.65)*12</f>
        <v>24</v>
      </c>
      <c r="J333" s="722" t="s">
        <v>968</v>
      </c>
      <c r="K333" s="722" t="s">
        <v>1030</v>
      </c>
      <c r="L333" s="723">
        <f t="shared" si="15"/>
        <v>0</v>
      </c>
      <c r="M333" s="723">
        <f t="shared" si="16"/>
        <v>0</v>
      </c>
      <c r="N333" s="723">
        <f t="shared" si="17"/>
        <v>0</v>
      </c>
    </row>
    <row r="334" spans="1:14">
      <c r="A334" s="639" t="s">
        <v>78</v>
      </c>
      <c r="B334" s="718">
        <v>121</v>
      </c>
      <c r="C334" s="719" t="s">
        <v>156</v>
      </c>
      <c r="D334" s="718">
        <f>VLOOKUP(B334,'2-Kosten per locatie'!$A$13:$C$88,3,FALSE)</f>
        <v>2</v>
      </c>
      <c r="E334" s="720" t="s">
        <v>505</v>
      </c>
      <c r="F334" s="639" t="s">
        <v>969</v>
      </c>
      <c r="G334" s="639" t="s">
        <v>1087</v>
      </c>
      <c r="H334" s="705">
        <v>2</v>
      </c>
      <c r="I334" s="721">
        <f>+(1.35+0.65)*12</f>
        <v>24</v>
      </c>
      <c r="J334" s="722" t="s">
        <v>968</v>
      </c>
      <c r="K334" s="722" t="s">
        <v>1030</v>
      </c>
      <c r="L334" s="723">
        <f t="shared" ref="L334:L397" si="18">IF(J334="ja",0,VLOOKUP(F334,Glassoort2,2,0))*I334</f>
        <v>0</v>
      </c>
      <c r="M334" s="723">
        <f t="shared" ref="M334:M397" si="19">IF(J334="ja",VLOOKUP(F334,Glassoort2,3,0))*I334</f>
        <v>0</v>
      </c>
      <c r="N334" s="723">
        <f t="shared" ref="N334:N397" si="20">(M334*H334)+(L334*H334)</f>
        <v>0</v>
      </c>
    </row>
    <row r="335" spans="1:14">
      <c r="A335" s="639" t="s">
        <v>78</v>
      </c>
      <c r="B335" s="718">
        <v>121</v>
      </c>
      <c r="C335" s="719" t="s">
        <v>156</v>
      </c>
      <c r="D335" s="718">
        <f>VLOOKUP(B335,'2-Kosten per locatie'!$A$13:$C$88,3,FALSE)</f>
        <v>2</v>
      </c>
      <c r="E335" s="720" t="s">
        <v>505</v>
      </c>
      <c r="F335" s="639" t="s">
        <v>977</v>
      </c>
      <c r="G335" s="639" t="s">
        <v>1085</v>
      </c>
      <c r="H335" s="705">
        <v>2</v>
      </c>
      <c r="I335" s="721">
        <f>6*2.6*2</f>
        <v>31.200000000000003</v>
      </c>
      <c r="J335" s="722" t="s">
        <v>968</v>
      </c>
      <c r="K335" s="722"/>
      <c r="L335" s="723">
        <f t="shared" si="18"/>
        <v>0</v>
      </c>
      <c r="M335" s="723">
        <f t="shared" si="19"/>
        <v>0</v>
      </c>
      <c r="N335" s="723">
        <f t="shared" si="20"/>
        <v>0</v>
      </c>
    </row>
    <row r="336" spans="1:14">
      <c r="A336" s="639" t="s">
        <v>78</v>
      </c>
      <c r="B336" s="718">
        <v>121</v>
      </c>
      <c r="C336" s="719" t="s">
        <v>156</v>
      </c>
      <c r="D336" s="718">
        <f>VLOOKUP(B336,'2-Kosten per locatie'!$A$13:$C$88,3,FALSE)</f>
        <v>2</v>
      </c>
      <c r="E336" s="720" t="s">
        <v>505</v>
      </c>
      <c r="F336" s="639" t="s">
        <v>971</v>
      </c>
      <c r="G336" s="639" t="s">
        <v>1085</v>
      </c>
      <c r="H336" s="705">
        <v>2</v>
      </c>
      <c r="I336" s="721">
        <f>6*2.6*2</f>
        <v>31.200000000000003</v>
      </c>
      <c r="J336" s="722" t="s">
        <v>968</v>
      </c>
      <c r="K336" s="722"/>
      <c r="L336" s="723">
        <f t="shared" si="18"/>
        <v>0</v>
      </c>
      <c r="M336" s="723">
        <f t="shared" si="19"/>
        <v>0</v>
      </c>
      <c r="N336" s="723">
        <f t="shared" si="20"/>
        <v>0</v>
      </c>
    </row>
    <row r="337" spans="1:14">
      <c r="A337" s="639" t="s">
        <v>78</v>
      </c>
      <c r="B337" s="718">
        <v>121</v>
      </c>
      <c r="C337" s="719" t="s">
        <v>156</v>
      </c>
      <c r="D337" s="718">
        <f>VLOOKUP(B337,'2-Kosten per locatie'!$A$13:$C$88,3,FALSE)</f>
        <v>2</v>
      </c>
      <c r="E337" s="720" t="s">
        <v>651</v>
      </c>
      <c r="F337" s="639" t="s">
        <v>977</v>
      </c>
      <c r="G337" s="639" t="s">
        <v>1105</v>
      </c>
      <c r="H337" s="705">
        <v>2</v>
      </c>
      <c r="I337" s="721">
        <f>1.3*1.3</f>
        <v>1.6900000000000002</v>
      </c>
      <c r="J337" s="722" t="s">
        <v>982</v>
      </c>
      <c r="K337" s="722"/>
      <c r="L337" s="723">
        <f t="shared" si="18"/>
        <v>0</v>
      </c>
      <c r="M337" s="723">
        <f t="shared" si="19"/>
        <v>0</v>
      </c>
      <c r="N337" s="723">
        <f t="shared" si="20"/>
        <v>0</v>
      </c>
    </row>
    <row r="338" spans="1:14">
      <c r="A338" s="639" t="s">
        <v>78</v>
      </c>
      <c r="B338" s="718">
        <v>121</v>
      </c>
      <c r="C338" s="719" t="s">
        <v>156</v>
      </c>
      <c r="D338" s="718">
        <f>VLOOKUP(B338,'2-Kosten per locatie'!$A$13:$C$88,3,FALSE)</f>
        <v>2</v>
      </c>
      <c r="E338" s="720" t="s">
        <v>651</v>
      </c>
      <c r="F338" s="639" t="s">
        <v>971</v>
      </c>
      <c r="G338" s="639" t="s">
        <v>1105</v>
      </c>
      <c r="H338" s="705">
        <v>2</v>
      </c>
      <c r="I338" s="721">
        <f>1.3*1.3</f>
        <v>1.6900000000000002</v>
      </c>
      <c r="J338" s="722" t="s">
        <v>982</v>
      </c>
      <c r="K338" s="722"/>
      <c r="L338" s="723">
        <f t="shared" si="18"/>
        <v>0</v>
      </c>
      <c r="M338" s="723">
        <f t="shared" si="19"/>
        <v>0</v>
      </c>
      <c r="N338" s="723">
        <f t="shared" si="20"/>
        <v>0</v>
      </c>
    </row>
    <row r="339" spans="1:14">
      <c r="A339" s="639" t="s">
        <v>78</v>
      </c>
      <c r="B339" s="718">
        <v>121</v>
      </c>
      <c r="C339" s="719" t="s">
        <v>156</v>
      </c>
      <c r="D339" s="718">
        <f>VLOOKUP(B339,'2-Kosten per locatie'!$A$13:$C$88,3,FALSE)</f>
        <v>2</v>
      </c>
      <c r="E339" s="720" t="s">
        <v>505</v>
      </c>
      <c r="F339" s="639" t="s">
        <v>977</v>
      </c>
      <c r="G339" s="639" t="s">
        <v>1066</v>
      </c>
      <c r="H339" s="705">
        <v>2</v>
      </c>
      <c r="I339" s="721">
        <f>+(3.2+4.8+0.5+1+3+9.2)*2.7-2</f>
        <v>56.59</v>
      </c>
      <c r="J339" s="722" t="s">
        <v>968</v>
      </c>
      <c r="K339" s="722"/>
      <c r="L339" s="723">
        <f t="shared" si="18"/>
        <v>0</v>
      </c>
      <c r="M339" s="723">
        <f t="shared" si="19"/>
        <v>0</v>
      </c>
      <c r="N339" s="723">
        <f t="shared" si="20"/>
        <v>0</v>
      </c>
    </row>
    <row r="340" spans="1:14">
      <c r="A340" s="639" t="s">
        <v>78</v>
      </c>
      <c r="B340" s="718">
        <v>121</v>
      </c>
      <c r="C340" s="719" t="s">
        <v>156</v>
      </c>
      <c r="D340" s="718">
        <f>VLOOKUP(B340,'2-Kosten per locatie'!$A$13:$C$88,3,FALSE)</f>
        <v>2</v>
      </c>
      <c r="E340" s="720" t="s">
        <v>505</v>
      </c>
      <c r="F340" s="639" t="s">
        <v>971</v>
      </c>
      <c r="G340" s="639" t="s">
        <v>1066</v>
      </c>
      <c r="H340" s="705">
        <v>2</v>
      </c>
      <c r="I340" s="721">
        <f>+(3.2+4.8+0.5+1+3+9.2)*2.7-2</f>
        <v>56.59</v>
      </c>
      <c r="J340" s="722" t="s">
        <v>968</v>
      </c>
      <c r="K340" s="722"/>
      <c r="L340" s="723">
        <f t="shared" si="18"/>
        <v>0</v>
      </c>
      <c r="M340" s="723">
        <f t="shared" si="19"/>
        <v>0</v>
      </c>
      <c r="N340" s="723">
        <f t="shared" si="20"/>
        <v>0</v>
      </c>
    </row>
    <row r="341" spans="1:14">
      <c r="A341" s="639" t="s">
        <v>78</v>
      </c>
      <c r="B341" s="718">
        <v>121</v>
      </c>
      <c r="C341" s="719" t="s">
        <v>156</v>
      </c>
      <c r="D341" s="718">
        <f>VLOOKUP(B341,'2-Kosten per locatie'!$A$13:$C$88,3,FALSE)</f>
        <v>2</v>
      </c>
      <c r="E341" s="720" t="s">
        <v>607</v>
      </c>
      <c r="F341" s="639" t="s">
        <v>980</v>
      </c>
      <c r="G341" s="639" t="s">
        <v>1088</v>
      </c>
      <c r="H341" s="705">
        <v>2</v>
      </c>
      <c r="I341" s="721">
        <v>14.55</v>
      </c>
      <c r="J341" s="722" t="s">
        <v>982</v>
      </c>
      <c r="K341" s="722"/>
      <c r="L341" s="723">
        <f t="shared" si="18"/>
        <v>0</v>
      </c>
      <c r="M341" s="723">
        <f t="shared" si="19"/>
        <v>0</v>
      </c>
      <c r="N341" s="723">
        <f t="shared" si="20"/>
        <v>0</v>
      </c>
    </row>
    <row r="342" spans="1:14">
      <c r="A342" s="639" t="s">
        <v>78</v>
      </c>
      <c r="B342" s="718">
        <v>121</v>
      </c>
      <c r="C342" s="719" t="s">
        <v>156</v>
      </c>
      <c r="D342" s="718">
        <f>VLOOKUP(B342,'2-Kosten per locatie'!$A$13:$C$88,3,FALSE)</f>
        <v>2</v>
      </c>
      <c r="E342" s="720" t="s">
        <v>607</v>
      </c>
      <c r="F342" s="639" t="s">
        <v>983</v>
      </c>
      <c r="G342" s="639" t="s">
        <v>1088</v>
      </c>
      <c r="H342" s="705">
        <v>2</v>
      </c>
      <c r="I342" s="721">
        <v>14.55</v>
      </c>
      <c r="J342" s="722" t="s">
        <v>968</v>
      </c>
      <c r="K342" s="722"/>
      <c r="L342" s="723">
        <f t="shared" si="18"/>
        <v>0</v>
      </c>
      <c r="M342" s="723">
        <f t="shared" si="19"/>
        <v>0</v>
      </c>
      <c r="N342" s="723">
        <f t="shared" si="20"/>
        <v>0</v>
      </c>
    </row>
    <row r="343" spans="1:14">
      <c r="A343" s="639" t="s">
        <v>78</v>
      </c>
      <c r="B343" s="718">
        <v>121</v>
      </c>
      <c r="C343" s="719" t="s">
        <v>156</v>
      </c>
      <c r="D343" s="718">
        <f>VLOOKUP(B343,'2-Kosten per locatie'!$A$13:$C$88,3,FALSE)</f>
        <v>2</v>
      </c>
      <c r="E343" s="720" t="s">
        <v>607</v>
      </c>
      <c r="F343" s="639" t="s">
        <v>984</v>
      </c>
      <c r="G343" s="639" t="s">
        <v>985</v>
      </c>
      <c r="H343" s="705">
        <v>2</v>
      </c>
      <c r="I343" s="721">
        <v>1.92</v>
      </c>
      <c r="J343" s="722" t="s">
        <v>982</v>
      </c>
      <c r="K343" s="722"/>
      <c r="L343" s="723">
        <f t="shared" si="18"/>
        <v>0</v>
      </c>
      <c r="M343" s="723">
        <f t="shared" si="19"/>
        <v>0</v>
      </c>
      <c r="N343" s="723">
        <f t="shared" si="20"/>
        <v>0</v>
      </c>
    </row>
    <row r="344" spans="1:14">
      <c r="A344" s="639" t="s">
        <v>78</v>
      </c>
      <c r="B344" s="718">
        <v>121</v>
      </c>
      <c r="C344" s="719" t="s">
        <v>156</v>
      </c>
      <c r="D344" s="718">
        <f>VLOOKUP(B344,'2-Kosten per locatie'!$A$13:$C$88,3,FALSE)</f>
        <v>2</v>
      </c>
      <c r="E344" s="720" t="s">
        <v>607</v>
      </c>
      <c r="F344" s="639" t="s">
        <v>986</v>
      </c>
      <c r="G344" s="639" t="s">
        <v>985</v>
      </c>
      <c r="H344" s="705">
        <v>2</v>
      </c>
      <c r="I344" s="721">
        <v>1.92</v>
      </c>
      <c r="J344" s="722" t="s">
        <v>982</v>
      </c>
      <c r="K344" s="722"/>
      <c r="L344" s="723">
        <f t="shared" si="18"/>
        <v>0</v>
      </c>
      <c r="M344" s="723">
        <f t="shared" si="19"/>
        <v>0</v>
      </c>
      <c r="N344" s="723">
        <f t="shared" si="20"/>
        <v>0</v>
      </c>
    </row>
    <row r="345" spans="1:14">
      <c r="A345" s="639" t="s">
        <v>78</v>
      </c>
      <c r="B345" s="718">
        <v>121</v>
      </c>
      <c r="C345" s="719" t="s">
        <v>156</v>
      </c>
      <c r="D345" s="718">
        <f>VLOOKUP(B345,'2-Kosten per locatie'!$A$13:$C$88,3,FALSE)</f>
        <v>2</v>
      </c>
      <c r="E345" s="725"/>
      <c r="F345" s="639" t="s">
        <v>966</v>
      </c>
      <c r="G345" s="639" t="s">
        <v>991</v>
      </c>
      <c r="H345" s="705">
        <v>26</v>
      </c>
      <c r="I345" s="721">
        <v>14</v>
      </c>
      <c r="J345" s="722" t="s">
        <v>982</v>
      </c>
      <c r="K345" s="722" t="s">
        <v>992</v>
      </c>
      <c r="L345" s="723">
        <f t="shared" si="18"/>
        <v>0</v>
      </c>
      <c r="M345" s="723">
        <f t="shared" si="19"/>
        <v>0</v>
      </c>
      <c r="N345" s="723">
        <f t="shared" si="20"/>
        <v>0</v>
      </c>
    </row>
    <row r="346" spans="1:14">
      <c r="A346" s="639" t="s">
        <v>79</v>
      </c>
      <c r="B346" s="718">
        <v>201</v>
      </c>
      <c r="C346" s="727" t="s">
        <v>1106</v>
      </c>
      <c r="D346" s="718">
        <f>VLOOKUP(B346,'2-Kosten per locatie'!$A$13:$C$88,3,FALSE)</f>
        <v>2</v>
      </c>
      <c r="E346" s="725"/>
      <c r="F346" s="639" t="s">
        <v>966</v>
      </c>
      <c r="G346" s="639" t="s">
        <v>1107</v>
      </c>
      <c r="H346" s="705">
        <v>12</v>
      </c>
      <c r="I346" s="721">
        <v>424.8</v>
      </c>
      <c r="J346" s="722" t="s">
        <v>982</v>
      </c>
      <c r="K346" s="722"/>
      <c r="L346" s="723">
        <f t="shared" si="18"/>
        <v>0</v>
      </c>
      <c r="M346" s="723">
        <f t="shared" si="19"/>
        <v>0</v>
      </c>
      <c r="N346" s="723">
        <f t="shared" si="20"/>
        <v>0</v>
      </c>
    </row>
    <row r="347" spans="1:14">
      <c r="A347" s="639" t="s">
        <v>80</v>
      </c>
      <c r="B347" s="718">
        <v>202</v>
      </c>
      <c r="C347" s="727" t="s">
        <v>1106</v>
      </c>
      <c r="D347" s="718">
        <f>VLOOKUP(B347,'2-Kosten per locatie'!$A$13:$C$88,3,FALSE)</f>
        <v>2</v>
      </c>
      <c r="E347" s="725"/>
      <c r="F347" s="639" t="s">
        <v>966</v>
      </c>
      <c r="G347" s="639" t="s">
        <v>1107</v>
      </c>
      <c r="H347" s="705">
        <v>12</v>
      </c>
      <c r="I347" s="721">
        <v>350.4</v>
      </c>
      <c r="J347" s="722" t="s">
        <v>982</v>
      </c>
      <c r="K347" s="722"/>
      <c r="L347" s="723">
        <f t="shared" si="18"/>
        <v>0</v>
      </c>
      <c r="M347" s="723">
        <f t="shared" si="19"/>
        <v>0</v>
      </c>
      <c r="N347" s="723">
        <f t="shared" si="20"/>
        <v>0</v>
      </c>
    </row>
    <row r="348" spans="1:14">
      <c r="A348" s="639" t="s">
        <v>81</v>
      </c>
      <c r="B348" s="718">
        <v>203</v>
      </c>
      <c r="C348" s="727" t="s">
        <v>1106</v>
      </c>
      <c r="D348" s="718">
        <f>VLOOKUP(B348,'2-Kosten per locatie'!$A$13:$C$88,3,FALSE)</f>
        <v>2</v>
      </c>
      <c r="E348" s="725"/>
      <c r="F348" s="639" t="s">
        <v>980</v>
      </c>
      <c r="G348" s="639" t="s">
        <v>1108</v>
      </c>
      <c r="H348" s="705">
        <v>2</v>
      </c>
      <c r="I348" s="721">
        <v>64</v>
      </c>
      <c r="J348" s="722" t="s">
        <v>982</v>
      </c>
      <c r="K348" s="722"/>
      <c r="L348" s="723">
        <f t="shared" si="18"/>
        <v>0</v>
      </c>
      <c r="M348" s="723">
        <f t="shared" si="19"/>
        <v>0</v>
      </c>
      <c r="N348" s="723">
        <f t="shared" si="20"/>
        <v>0</v>
      </c>
    </row>
    <row r="349" spans="1:14">
      <c r="A349" s="639" t="s">
        <v>81</v>
      </c>
      <c r="B349" s="718">
        <v>203</v>
      </c>
      <c r="C349" s="728" t="s">
        <v>1106</v>
      </c>
      <c r="D349" s="718">
        <f>VLOOKUP(B349,'2-Kosten per locatie'!$A$13:$C$88,3,FALSE)</f>
        <v>2</v>
      </c>
      <c r="E349" s="725"/>
      <c r="F349" s="639" t="s">
        <v>983</v>
      </c>
      <c r="G349" s="639" t="s">
        <v>1109</v>
      </c>
      <c r="H349" s="705">
        <v>2</v>
      </c>
      <c r="I349" s="721">
        <v>64</v>
      </c>
      <c r="J349" s="722" t="s">
        <v>968</v>
      </c>
      <c r="K349" s="722"/>
      <c r="L349" s="723">
        <f t="shared" si="18"/>
        <v>0</v>
      </c>
      <c r="M349" s="723">
        <f t="shared" si="19"/>
        <v>0</v>
      </c>
      <c r="N349" s="723">
        <f t="shared" si="20"/>
        <v>0</v>
      </c>
    </row>
    <row r="350" spans="1:14">
      <c r="A350" s="639" t="s">
        <v>82</v>
      </c>
      <c r="B350" s="718">
        <v>204</v>
      </c>
      <c r="C350" s="728" t="s">
        <v>1106</v>
      </c>
      <c r="D350" s="718">
        <f>VLOOKUP(B350,'2-Kosten per locatie'!$A$13:$C$88,3,FALSE)</f>
        <v>2</v>
      </c>
      <c r="E350" s="725"/>
      <c r="F350" s="639" t="s">
        <v>980</v>
      </c>
      <c r="G350" s="639" t="s">
        <v>1108</v>
      </c>
      <c r="H350" s="705">
        <v>2</v>
      </c>
      <c r="I350" s="721">
        <v>64</v>
      </c>
      <c r="J350" s="722" t="s">
        <v>982</v>
      </c>
      <c r="K350" s="722"/>
      <c r="L350" s="723">
        <f t="shared" si="18"/>
        <v>0</v>
      </c>
      <c r="M350" s="723">
        <f t="shared" si="19"/>
        <v>0</v>
      </c>
      <c r="N350" s="723">
        <f t="shared" si="20"/>
        <v>0</v>
      </c>
    </row>
    <row r="351" spans="1:14">
      <c r="A351" s="639" t="s">
        <v>82</v>
      </c>
      <c r="B351" s="718">
        <v>204</v>
      </c>
      <c r="C351" s="728" t="s">
        <v>1106</v>
      </c>
      <c r="D351" s="718">
        <f>VLOOKUP(B351,'2-Kosten per locatie'!$A$13:$C$88,3,FALSE)</f>
        <v>2</v>
      </c>
      <c r="E351" s="725"/>
      <c r="F351" s="639" t="s">
        <v>983</v>
      </c>
      <c r="G351" s="639" t="s">
        <v>1109</v>
      </c>
      <c r="H351" s="705">
        <v>2</v>
      </c>
      <c r="I351" s="721">
        <v>64</v>
      </c>
      <c r="J351" s="722" t="s">
        <v>968</v>
      </c>
      <c r="K351" s="722"/>
      <c r="L351" s="723">
        <f t="shared" si="18"/>
        <v>0</v>
      </c>
      <c r="M351" s="723">
        <f t="shared" si="19"/>
        <v>0</v>
      </c>
      <c r="N351" s="723">
        <f t="shared" si="20"/>
        <v>0</v>
      </c>
    </row>
    <row r="352" spans="1:14">
      <c r="A352" s="639" t="s">
        <v>82</v>
      </c>
      <c r="B352" s="718">
        <v>204</v>
      </c>
      <c r="C352" s="728" t="s">
        <v>1106</v>
      </c>
      <c r="D352" s="718">
        <f>VLOOKUP(B352,'2-Kosten per locatie'!$A$13:$C$88,3,FALSE)</f>
        <v>2</v>
      </c>
      <c r="E352" s="725"/>
      <c r="F352" s="639" t="s">
        <v>966</v>
      </c>
      <c r="G352" s="639" t="s">
        <v>1110</v>
      </c>
      <c r="H352" s="705">
        <v>12</v>
      </c>
      <c r="I352" s="721">
        <v>92</v>
      </c>
      <c r="J352" s="722" t="s">
        <v>982</v>
      </c>
      <c r="K352" s="722"/>
      <c r="L352" s="723">
        <f t="shared" si="18"/>
        <v>0</v>
      </c>
      <c r="M352" s="723">
        <f t="shared" si="19"/>
        <v>0</v>
      </c>
      <c r="N352" s="723">
        <f t="shared" si="20"/>
        <v>0</v>
      </c>
    </row>
    <row r="353" spans="1:14">
      <c r="A353" s="639" t="s">
        <v>83</v>
      </c>
      <c r="B353" s="718">
        <v>205</v>
      </c>
      <c r="C353" s="728" t="s">
        <v>1106</v>
      </c>
      <c r="D353" s="718">
        <f>VLOOKUP(B353,'2-Kosten per locatie'!$A$13:$C$88,3,FALSE)</f>
        <v>2</v>
      </c>
      <c r="E353" s="725"/>
      <c r="F353" s="639" t="s">
        <v>980</v>
      </c>
      <c r="G353" s="639" t="s">
        <v>1108</v>
      </c>
      <c r="H353" s="705">
        <v>2</v>
      </c>
      <c r="I353" s="721">
        <v>64</v>
      </c>
      <c r="J353" s="722" t="s">
        <v>982</v>
      </c>
      <c r="K353" s="722"/>
      <c r="L353" s="723">
        <f t="shared" si="18"/>
        <v>0</v>
      </c>
      <c r="M353" s="723">
        <f t="shared" si="19"/>
        <v>0</v>
      </c>
      <c r="N353" s="723">
        <f t="shared" si="20"/>
        <v>0</v>
      </c>
    </row>
    <row r="354" spans="1:14">
      <c r="A354" s="639" t="s">
        <v>83</v>
      </c>
      <c r="B354" s="718">
        <v>205</v>
      </c>
      <c r="C354" s="728" t="s">
        <v>1106</v>
      </c>
      <c r="D354" s="718">
        <f>VLOOKUP(B354,'2-Kosten per locatie'!$A$13:$C$88,3,FALSE)</f>
        <v>2</v>
      </c>
      <c r="E354" s="725"/>
      <c r="F354" s="639" t="s">
        <v>983</v>
      </c>
      <c r="G354" s="639" t="s">
        <v>1109</v>
      </c>
      <c r="H354" s="705">
        <v>2</v>
      </c>
      <c r="I354" s="721">
        <v>64</v>
      </c>
      <c r="J354" s="722" t="s">
        <v>968</v>
      </c>
      <c r="K354" s="722"/>
      <c r="L354" s="723">
        <f t="shared" si="18"/>
        <v>0</v>
      </c>
      <c r="M354" s="723">
        <f t="shared" si="19"/>
        <v>0</v>
      </c>
      <c r="N354" s="723">
        <f t="shared" si="20"/>
        <v>0</v>
      </c>
    </row>
    <row r="355" spans="1:14">
      <c r="A355" s="639" t="s">
        <v>83</v>
      </c>
      <c r="B355" s="718">
        <v>205</v>
      </c>
      <c r="C355" s="728" t="s">
        <v>1106</v>
      </c>
      <c r="D355" s="718">
        <f>VLOOKUP(B355,'2-Kosten per locatie'!$A$13:$C$88,3,FALSE)</f>
        <v>2</v>
      </c>
      <c r="E355" s="725"/>
      <c r="F355" s="639" t="s">
        <v>966</v>
      </c>
      <c r="G355" s="639" t="s">
        <v>1110</v>
      </c>
      <c r="H355" s="705">
        <v>12</v>
      </c>
      <c r="I355" s="721">
        <v>92</v>
      </c>
      <c r="J355" s="722" t="s">
        <v>982</v>
      </c>
      <c r="K355" s="722"/>
      <c r="L355" s="723">
        <f t="shared" si="18"/>
        <v>0</v>
      </c>
      <c r="M355" s="723">
        <f t="shared" si="19"/>
        <v>0</v>
      </c>
      <c r="N355" s="723">
        <f t="shared" si="20"/>
        <v>0</v>
      </c>
    </row>
    <row r="356" spans="1:14">
      <c r="A356" s="639" t="s">
        <v>84</v>
      </c>
      <c r="B356" s="718">
        <v>206</v>
      </c>
      <c r="C356" s="728" t="s">
        <v>1106</v>
      </c>
      <c r="D356" s="718">
        <f>VLOOKUP(B356,'2-Kosten per locatie'!$A$13:$C$88,3,FALSE)</f>
        <v>2</v>
      </c>
      <c r="E356" s="725"/>
      <c r="F356" s="639" t="s">
        <v>980</v>
      </c>
      <c r="G356" s="639" t="s">
        <v>1108</v>
      </c>
      <c r="H356" s="705">
        <v>2</v>
      </c>
      <c r="I356" s="721">
        <v>64</v>
      </c>
      <c r="J356" s="722" t="s">
        <v>982</v>
      </c>
      <c r="K356" s="722"/>
      <c r="L356" s="723">
        <f t="shared" si="18"/>
        <v>0</v>
      </c>
      <c r="M356" s="723">
        <f t="shared" si="19"/>
        <v>0</v>
      </c>
      <c r="N356" s="723">
        <f t="shared" si="20"/>
        <v>0</v>
      </c>
    </row>
    <row r="357" spans="1:14">
      <c r="A357" s="639" t="s">
        <v>84</v>
      </c>
      <c r="B357" s="718">
        <v>206</v>
      </c>
      <c r="C357" s="728" t="s">
        <v>1106</v>
      </c>
      <c r="D357" s="718">
        <f>VLOOKUP(B357,'2-Kosten per locatie'!$A$13:$C$88,3,FALSE)</f>
        <v>2</v>
      </c>
      <c r="E357" s="725"/>
      <c r="F357" s="639" t="s">
        <v>983</v>
      </c>
      <c r="G357" s="639" t="s">
        <v>1109</v>
      </c>
      <c r="H357" s="705">
        <v>2</v>
      </c>
      <c r="I357" s="721">
        <v>64</v>
      </c>
      <c r="J357" s="722" t="s">
        <v>968</v>
      </c>
      <c r="K357" s="722"/>
      <c r="L357" s="723">
        <f t="shared" si="18"/>
        <v>0</v>
      </c>
      <c r="M357" s="723">
        <f t="shared" si="19"/>
        <v>0</v>
      </c>
      <c r="N357" s="723">
        <f t="shared" si="20"/>
        <v>0</v>
      </c>
    </row>
    <row r="358" spans="1:14">
      <c r="A358" s="639" t="s">
        <v>85</v>
      </c>
      <c r="B358" s="718">
        <v>207</v>
      </c>
      <c r="C358" s="728" t="s">
        <v>1106</v>
      </c>
      <c r="D358" s="718">
        <f>VLOOKUP(B358,'2-Kosten per locatie'!$A$13:$C$88,3,FALSE)</f>
        <v>2</v>
      </c>
      <c r="E358" s="725"/>
      <c r="F358" s="639" t="s">
        <v>980</v>
      </c>
      <c r="G358" s="639" t="s">
        <v>1108</v>
      </c>
      <c r="H358" s="705">
        <v>2</v>
      </c>
      <c r="I358" s="721">
        <v>64</v>
      </c>
      <c r="J358" s="722" t="s">
        <v>982</v>
      </c>
      <c r="K358" s="722"/>
      <c r="L358" s="723">
        <f t="shared" si="18"/>
        <v>0</v>
      </c>
      <c r="M358" s="723">
        <f t="shared" si="19"/>
        <v>0</v>
      </c>
      <c r="N358" s="723">
        <f t="shared" si="20"/>
        <v>0</v>
      </c>
    </row>
    <row r="359" spans="1:14">
      <c r="A359" s="639" t="s">
        <v>85</v>
      </c>
      <c r="B359" s="718">
        <v>207</v>
      </c>
      <c r="C359" s="728" t="s">
        <v>1106</v>
      </c>
      <c r="D359" s="718">
        <f>VLOOKUP(B359,'2-Kosten per locatie'!$A$13:$C$88,3,FALSE)</f>
        <v>2</v>
      </c>
      <c r="E359" s="725"/>
      <c r="F359" s="639" t="s">
        <v>983</v>
      </c>
      <c r="G359" s="639" t="s">
        <v>1109</v>
      </c>
      <c r="H359" s="705">
        <v>2</v>
      </c>
      <c r="I359" s="721">
        <v>64</v>
      </c>
      <c r="J359" s="722" t="s">
        <v>968</v>
      </c>
      <c r="K359" s="722"/>
      <c r="L359" s="723">
        <f t="shared" si="18"/>
        <v>0</v>
      </c>
      <c r="M359" s="723">
        <f t="shared" si="19"/>
        <v>0</v>
      </c>
      <c r="N359" s="723">
        <f t="shared" si="20"/>
        <v>0</v>
      </c>
    </row>
    <row r="360" spans="1:14">
      <c r="A360" s="639" t="s">
        <v>87</v>
      </c>
      <c r="B360" s="718">
        <v>209</v>
      </c>
      <c r="C360" s="728" t="s">
        <v>1106</v>
      </c>
      <c r="D360" s="718">
        <f>VLOOKUP(B360,'2-Kosten per locatie'!$A$13:$C$88,3,FALSE)</f>
        <v>2</v>
      </c>
      <c r="E360" s="725"/>
      <c r="F360" s="639" t="s">
        <v>980</v>
      </c>
      <c r="G360" s="639" t="s">
        <v>1108</v>
      </c>
      <c r="H360" s="705">
        <v>2</v>
      </c>
      <c r="I360" s="721">
        <v>64</v>
      </c>
      <c r="J360" s="722" t="s">
        <v>982</v>
      </c>
      <c r="K360" s="722"/>
      <c r="L360" s="723">
        <f t="shared" si="18"/>
        <v>0</v>
      </c>
      <c r="M360" s="723">
        <f t="shared" si="19"/>
        <v>0</v>
      </c>
      <c r="N360" s="723">
        <f t="shared" si="20"/>
        <v>0</v>
      </c>
    </row>
    <row r="361" spans="1:14">
      <c r="A361" s="639" t="s">
        <v>87</v>
      </c>
      <c r="B361" s="718">
        <v>209</v>
      </c>
      <c r="C361" s="728" t="s">
        <v>1106</v>
      </c>
      <c r="D361" s="718">
        <f>VLOOKUP(B361,'2-Kosten per locatie'!$A$13:$C$88,3,FALSE)</f>
        <v>2</v>
      </c>
      <c r="E361" s="725"/>
      <c r="F361" s="639" t="s">
        <v>983</v>
      </c>
      <c r="G361" s="639" t="s">
        <v>1109</v>
      </c>
      <c r="H361" s="705">
        <v>2</v>
      </c>
      <c r="I361" s="721">
        <v>64</v>
      </c>
      <c r="J361" s="722" t="s">
        <v>968</v>
      </c>
      <c r="K361" s="722"/>
      <c r="L361" s="723">
        <f t="shared" si="18"/>
        <v>0</v>
      </c>
      <c r="M361" s="723">
        <f t="shared" si="19"/>
        <v>0</v>
      </c>
      <c r="N361" s="723">
        <f t="shared" si="20"/>
        <v>0</v>
      </c>
    </row>
    <row r="362" spans="1:14">
      <c r="A362" s="639" t="s">
        <v>87</v>
      </c>
      <c r="B362" s="718">
        <v>209</v>
      </c>
      <c r="C362" s="728" t="s">
        <v>1106</v>
      </c>
      <c r="D362" s="718">
        <f>VLOOKUP(B362,'2-Kosten per locatie'!$A$13:$C$88,3,FALSE)</f>
        <v>2</v>
      </c>
      <c r="E362" s="725"/>
      <c r="F362" s="639" t="s">
        <v>966</v>
      </c>
      <c r="G362" s="639" t="s">
        <v>1110</v>
      </c>
      <c r="H362" s="705">
        <v>12</v>
      </c>
      <c r="I362" s="721">
        <v>111</v>
      </c>
      <c r="J362" s="722" t="s">
        <v>982</v>
      </c>
      <c r="K362" s="722"/>
      <c r="L362" s="723">
        <f t="shared" si="18"/>
        <v>0</v>
      </c>
      <c r="M362" s="723">
        <f t="shared" si="19"/>
        <v>0</v>
      </c>
      <c r="N362" s="723">
        <f t="shared" si="20"/>
        <v>0</v>
      </c>
    </row>
    <row r="363" spans="1:14">
      <c r="A363" s="639" t="s">
        <v>88</v>
      </c>
      <c r="B363" s="718">
        <v>210</v>
      </c>
      <c r="C363" s="728" t="s">
        <v>1106</v>
      </c>
      <c r="D363" s="718">
        <f>VLOOKUP(B363,'2-Kosten per locatie'!$A$13:$C$88,3,FALSE)</f>
        <v>2</v>
      </c>
      <c r="E363" s="725"/>
      <c r="F363" s="639" t="s">
        <v>980</v>
      </c>
      <c r="G363" s="639" t="s">
        <v>1108</v>
      </c>
      <c r="H363" s="705">
        <v>2</v>
      </c>
      <c r="I363" s="721">
        <v>64</v>
      </c>
      <c r="J363" s="722" t="s">
        <v>982</v>
      </c>
      <c r="K363" s="722"/>
      <c r="L363" s="723">
        <f t="shared" si="18"/>
        <v>0</v>
      </c>
      <c r="M363" s="723">
        <f t="shared" si="19"/>
        <v>0</v>
      </c>
      <c r="N363" s="723">
        <f t="shared" si="20"/>
        <v>0</v>
      </c>
    </row>
    <row r="364" spans="1:14">
      <c r="A364" s="639" t="s">
        <v>88</v>
      </c>
      <c r="B364" s="718">
        <v>210</v>
      </c>
      <c r="C364" s="728" t="s">
        <v>1106</v>
      </c>
      <c r="D364" s="718">
        <f>VLOOKUP(B364,'2-Kosten per locatie'!$A$13:$C$88,3,FALSE)</f>
        <v>2</v>
      </c>
      <c r="E364" s="725"/>
      <c r="F364" s="639" t="s">
        <v>983</v>
      </c>
      <c r="G364" s="639" t="s">
        <v>1109</v>
      </c>
      <c r="H364" s="705">
        <v>2</v>
      </c>
      <c r="I364" s="721">
        <v>64</v>
      </c>
      <c r="J364" s="722" t="s">
        <v>968</v>
      </c>
      <c r="K364" s="722"/>
      <c r="L364" s="723">
        <f t="shared" si="18"/>
        <v>0</v>
      </c>
      <c r="M364" s="723">
        <f t="shared" si="19"/>
        <v>0</v>
      </c>
      <c r="N364" s="723">
        <f t="shared" si="20"/>
        <v>0</v>
      </c>
    </row>
    <row r="365" spans="1:14">
      <c r="A365" s="639" t="s">
        <v>88</v>
      </c>
      <c r="B365" s="718">
        <v>210</v>
      </c>
      <c r="C365" s="728" t="s">
        <v>1106</v>
      </c>
      <c r="D365" s="718">
        <f>VLOOKUP(B365,'2-Kosten per locatie'!$A$13:$C$88,3,FALSE)</f>
        <v>2</v>
      </c>
      <c r="E365" s="725"/>
      <c r="F365" s="639" t="s">
        <v>966</v>
      </c>
      <c r="G365" s="639" t="s">
        <v>1110</v>
      </c>
      <c r="H365" s="705">
        <v>12</v>
      </c>
      <c r="I365" s="721">
        <v>92</v>
      </c>
      <c r="J365" s="722" t="s">
        <v>982</v>
      </c>
      <c r="K365" s="722"/>
      <c r="L365" s="723">
        <f t="shared" si="18"/>
        <v>0</v>
      </c>
      <c r="M365" s="723">
        <f t="shared" si="19"/>
        <v>0</v>
      </c>
      <c r="N365" s="723">
        <f t="shared" si="20"/>
        <v>0</v>
      </c>
    </row>
    <row r="366" spans="1:14">
      <c r="A366" s="639" t="s">
        <v>89</v>
      </c>
      <c r="B366" s="718">
        <v>211</v>
      </c>
      <c r="C366" s="728" t="s">
        <v>1106</v>
      </c>
      <c r="D366" s="718">
        <f>VLOOKUP(B366,'2-Kosten per locatie'!$A$13:$C$88,3,FALSE)</f>
        <v>2</v>
      </c>
      <c r="E366" s="725"/>
      <c r="F366" s="639" t="s">
        <v>980</v>
      </c>
      <c r="G366" s="639" t="s">
        <v>1108</v>
      </c>
      <c r="H366" s="705">
        <v>2</v>
      </c>
      <c r="I366" s="721">
        <v>64</v>
      </c>
      <c r="J366" s="722" t="s">
        <v>982</v>
      </c>
      <c r="K366" s="722"/>
      <c r="L366" s="723">
        <f t="shared" si="18"/>
        <v>0</v>
      </c>
      <c r="M366" s="723">
        <f t="shared" si="19"/>
        <v>0</v>
      </c>
      <c r="N366" s="723">
        <f t="shared" si="20"/>
        <v>0</v>
      </c>
    </row>
    <row r="367" spans="1:14">
      <c r="A367" s="639" t="s">
        <v>89</v>
      </c>
      <c r="B367" s="718">
        <v>211</v>
      </c>
      <c r="C367" s="728" t="s">
        <v>1106</v>
      </c>
      <c r="D367" s="718">
        <f>VLOOKUP(B367,'2-Kosten per locatie'!$A$13:$C$88,3,FALSE)</f>
        <v>2</v>
      </c>
      <c r="E367" s="725"/>
      <c r="F367" s="639" t="s">
        <v>983</v>
      </c>
      <c r="G367" s="639" t="s">
        <v>1109</v>
      </c>
      <c r="H367" s="705">
        <v>2</v>
      </c>
      <c r="I367" s="721">
        <v>64</v>
      </c>
      <c r="J367" s="722" t="s">
        <v>968</v>
      </c>
      <c r="K367" s="722"/>
      <c r="L367" s="723">
        <f t="shared" si="18"/>
        <v>0</v>
      </c>
      <c r="M367" s="723">
        <f t="shared" si="19"/>
        <v>0</v>
      </c>
      <c r="N367" s="723">
        <f t="shared" si="20"/>
        <v>0</v>
      </c>
    </row>
    <row r="368" spans="1:14">
      <c r="A368" s="639" t="s">
        <v>90</v>
      </c>
      <c r="B368" s="718">
        <v>212</v>
      </c>
      <c r="C368" s="728" t="s">
        <v>1106</v>
      </c>
      <c r="D368" s="718">
        <f>VLOOKUP(B368,'2-Kosten per locatie'!$A$13:$C$88,3,FALSE)</f>
        <v>2</v>
      </c>
      <c r="E368" s="725"/>
      <c r="F368" s="639" t="s">
        <v>966</v>
      </c>
      <c r="G368" s="639" t="s">
        <v>1107</v>
      </c>
      <c r="H368" s="705">
        <v>12</v>
      </c>
      <c r="I368" s="721">
        <v>148</v>
      </c>
      <c r="J368" s="722" t="s">
        <v>982</v>
      </c>
      <c r="K368" s="722"/>
      <c r="L368" s="723">
        <f t="shared" si="18"/>
        <v>0</v>
      </c>
      <c r="M368" s="723">
        <f t="shared" si="19"/>
        <v>0</v>
      </c>
      <c r="N368" s="723">
        <f t="shared" si="20"/>
        <v>0</v>
      </c>
    </row>
    <row r="369" spans="1:14">
      <c r="A369" s="639" t="s">
        <v>100</v>
      </c>
      <c r="B369" s="718">
        <v>301</v>
      </c>
      <c r="C369" s="728" t="s">
        <v>667</v>
      </c>
      <c r="D369" s="718">
        <f>VLOOKUP(B369,'2-Kosten per locatie'!$A$13:$C$88,3,FALSE)</f>
        <v>2</v>
      </c>
      <c r="E369" s="720" t="s">
        <v>289</v>
      </c>
      <c r="F369" s="639" t="s">
        <v>980</v>
      </c>
      <c r="G369" s="639" t="s">
        <v>1111</v>
      </c>
      <c r="H369" s="705">
        <v>2</v>
      </c>
      <c r="I369" s="721">
        <f>((1.9*0.7)*2)*2</f>
        <v>5.3199999999999994</v>
      </c>
      <c r="J369" s="722" t="s">
        <v>982</v>
      </c>
      <c r="K369" s="722"/>
      <c r="L369" s="723">
        <f t="shared" si="18"/>
        <v>0</v>
      </c>
      <c r="M369" s="723">
        <f t="shared" si="19"/>
        <v>0</v>
      </c>
      <c r="N369" s="723">
        <f t="shared" si="20"/>
        <v>0</v>
      </c>
    </row>
    <row r="370" spans="1:14">
      <c r="A370" s="639" t="s">
        <v>100</v>
      </c>
      <c r="B370" s="718">
        <v>301</v>
      </c>
      <c r="C370" s="728" t="s">
        <v>667</v>
      </c>
      <c r="D370" s="718">
        <f>VLOOKUP(B370,'2-Kosten per locatie'!$A$13:$C$88,3,FALSE)</f>
        <v>2</v>
      </c>
      <c r="E370" s="720" t="s">
        <v>289</v>
      </c>
      <c r="F370" s="639" t="s">
        <v>983</v>
      </c>
      <c r="G370" s="639" t="s">
        <v>1111</v>
      </c>
      <c r="H370" s="705">
        <v>2</v>
      </c>
      <c r="I370" s="721">
        <f>((1.9*0.7)*2)*2</f>
        <v>5.3199999999999994</v>
      </c>
      <c r="J370" s="722" t="s">
        <v>968</v>
      </c>
      <c r="K370" s="722"/>
      <c r="L370" s="723">
        <f t="shared" si="18"/>
        <v>0</v>
      </c>
      <c r="M370" s="723">
        <f t="shared" si="19"/>
        <v>0</v>
      </c>
      <c r="N370" s="723">
        <f t="shared" si="20"/>
        <v>0</v>
      </c>
    </row>
    <row r="371" spans="1:14">
      <c r="A371" s="639" t="s">
        <v>100</v>
      </c>
      <c r="B371" s="718">
        <v>301</v>
      </c>
      <c r="C371" s="728" t="s">
        <v>667</v>
      </c>
      <c r="D371" s="718">
        <f>VLOOKUP(B371,'2-Kosten per locatie'!$A$13:$C$88,3,FALSE)</f>
        <v>2</v>
      </c>
      <c r="E371" s="720" t="s">
        <v>1112</v>
      </c>
      <c r="F371" s="639" t="s">
        <v>980</v>
      </c>
      <c r="G371" s="639" t="s">
        <v>1111</v>
      </c>
      <c r="H371" s="705">
        <v>2</v>
      </c>
      <c r="I371" s="721">
        <f>((4.3*0.7)*2)+((5.9*0.7)*2)</f>
        <v>14.28</v>
      </c>
      <c r="J371" s="722" t="s">
        <v>982</v>
      </c>
      <c r="K371" s="722"/>
      <c r="L371" s="723">
        <f t="shared" si="18"/>
        <v>0</v>
      </c>
      <c r="M371" s="723">
        <f t="shared" si="19"/>
        <v>0</v>
      </c>
      <c r="N371" s="723">
        <f t="shared" si="20"/>
        <v>0</v>
      </c>
    </row>
    <row r="372" spans="1:14">
      <c r="A372" s="639" t="s">
        <v>100</v>
      </c>
      <c r="B372" s="718">
        <v>301</v>
      </c>
      <c r="C372" s="728" t="s">
        <v>667</v>
      </c>
      <c r="D372" s="718">
        <f>VLOOKUP(B372,'2-Kosten per locatie'!$A$13:$C$88,3,FALSE)</f>
        <v>2</v>
      </c>
      <c r="E372" s="720" t="s">
        <v>1112</v>
      </c>
      <c r="F372" s="639" t="s">
        <v>983</v>
      </c>
      <c r="G372" s="639" t="s">
        <v>1111</v>
      </c>
      <c r="H372" s="705">
        <v>2</v>
      </c>
      <c r="I372" s="721">
        <f>((4.3*0.7)*2)+((5.9*0.7)*2)</f>
        <v>14.28</v>
      </c>
      <c r="J372" s="722" t="s">
        <v>968</v>
      </c>
      <c r="K372" s="722"/>
      <c r="L372" s="723">
        <f t="shared" si="18"/>
        <v>0</v>
      </c>
      <c r="M372" s="723">
        <f t="shared" si="19"/>
        <v>0</v>
      </c>
      <c r="N372" s="723">
        <f t="shared" si="20"/>
        <v>0</v>
      </c>
    </row>
    <row r="373" spans="1:14">
      <c r="A373" s="639" t="s">
        <v>100</v>
      </c>
      <c r="B373" s="718">
        <v>301</v>
      </c>
      <c r="C373" s="728" t="s">
        <v>667</v>
      </c>
      <c r="D373" s="718">
        <f>VLOOKUP(B373,'2-Kosten per locatie'!$A$13:$C$88,3,FALSE)</f>
        <v>2</v>
      </c>
      <c r="E373" s="725"/>
      <c r="F373" s="639" t="s">
        <v>966</v>
      </c>
      <c r="G373" s="639" t="s">
        <v>991</v>
      </c>
      <c r="H373" s="705">
        <v>26</v>
      </c>
      <c r="I373" s="721">
        <v>285</v>
      </c>
      <c r="J373" s="722" t="s">
        <v>982</v>
      </c>
      <c r="K373" s="722" t="s">
        <v>992</v>
      </c>
      <c r="L373" s="723">
        <f t="shared" si="18"/>
        <v>0</v>
      </c>
      <c r="M373" s="723">
        <f t="shared" si="19"/>
        <v>0</v>
      </c>
      <c r="N373" s="723">
        <f t="shared" si="20"/>
        <v>0</v>
      </c>
    </row>
    <row r="374" spans="1:14">
      <c r="A374" s="639" t="s">
        <v>1113</v>
      </c>
      <c r="B374" s="718">
        <v>302</v>
      </c>
      <c r="C374" s="728" t="s">
        <v>667</v>
      </c>
      <c r="D374" s="718">
        <f>VLOOKUP(B374,'2-Kosten per locatie'!$A$13:$C$88,3,FALSE)</f>
        <v>2</v>
      </c>
      <c r="E374" s="720" t="s">
        <v>1114</v>
      </c>
      <c r="F374" s="639" t="s">
        <v>971</v>
      </c>
      <c r="G374" s="639" t="s">
        <v>1115</v>
      </c>
      <c r="H374" s="705">
        <v>2</v>
      </c>
      <c r="I374" s="721">
        <f>(7*1.8)+(12*1.8)+(8.6*8)-(2*(2*4.6))+(7*8.6)+(8*8.6)+(5*4.6)+(7.5*3.4)+(5.5*1.8)</f>
        <v>271.99999999999994</v>
      </c>
      <c r="J374" s="722" t="s">
        <v>968</v>
      </c>
      <c r="K374" s="722"/>
      <c r="L374" s="723">
        <f t="shared" si="18"/>
        <v>0</v>
      </c>
      <c r="M374" s="723">
        <f t="shared" si="19"/>
        <v>0</v>
      </c>
      <c r="N374" s="723">
        <f t="shared" si="20"/>
        <v>0</v>
      </c>
    </row>
    <row r="375" spans="1:14">
      <c r="A375" s="639" t="s">
        <v>1113</v>
      </c>
      <c r="B375" s="718">
        <v>302</v>
      </c>
      <c r="C375" s="728" t="s">
        <v>667</v>
      </c>
      <c r="D375" s="718">
        <f>VLOOKUP(B375,'2-Kosten per locatie'!$A$13:$C$88,3,FALSE)</f>
        <v>2</v>
      </c>
      <c r="E375" s="720" t="s">
        <v>1114</v>
      </c>
      <c r="F375" s="639" t="s">
        <v>977</v>
      </c>
      <c r="G375" s="639" t="s">
        <v>1116</v>
      </c>
      <c r="H375" s="705">
        <v>2</v>
      </c>
      <c r="I375" s="721">
        <f>(12*1.8)+(8.6*8)-(2*(2*4.6))+(7*8.6)+(8*8.6)+(5*4.6)+(7.5*3.4)+(5.5*1.8)</f>
        <v>259.39999999999998</v>
      </c>
      <c r="J375" s="722" t="s">
        <v>968</v>
      </c>
      <c r="K375" s="722"/>
      <c r="L375" s="723">
        <f t="shared" si="18"/>
        <v>0</v>
      </c>
      <c r="M375" s="723">
        <f t="shared" si="19"/>
        <v>0</v>
      </c>
      <c r="N375" s="723">
        <f t="shared" si="20"/>
        <v>0</v>
      </c>
    </row>
    <row r="376" spans="1:14">
      <c r="A376" s="639" t="s">
        <v>1113</v>
      </c>
      <c r="B376" s="718">
        <v>302</v>
      </c>
      <c r="C376" s="728" t="s">
        <v>667</v>
      </c>
      <c r="D376" s="718">
        <f>VLOOKUP(B376,'2-Kosten per locatie'!$A$13:$C$88,3,FALSE)</f>
        <v>2</v>
      </c>
      <c r="E376" s="720" t="s">
        <v>1114</v>
      </c>
      <c r="F376" s="639" t="s">
        <v>977</v>
      </c>
      <c r="G376" s="639" t="s">
        <v>1117</v>
      </c>
      <c r="H376" s="705">
        <v>2</v>
      </c>
      <c r="I376" s="721">
        <f>(7*1.8)</f>
        <v>12.6</v>
      </c>
      <c r="J376" s="722" t="s">
        <v>968</v>
      </c>
      <c r="K376" s="722"/>
      <c r="L376" s="723">
        <f t="shared" si="18"/>
        <v>0</v>
      </c>
      <c r="M376" s="723">
        <f t="shared" si="19"/>
        <v>0</v>
      </c>
      <c r="N376" s="723">
        <f t="shared" si="20"/>
        <v>0</v>
      </c>
    </row>
    <row r="377" spans="1:14">
      <c r="A377" s="639" t="s">
        <v>1113</v>
      </c>
      <c r="B377" s="718">
        <v>302</v>
      </c>
      <c r="C377" s="728" t="s">
        <v>667</v>
      </c>
      <c r="D377" s="718">
        <f>VLOOKUP(B377,'2-Kosten per locatie'!$A$13:$C$88,3,FALSE)</f>
        <v>2</v>
      </c>
      <c r="E377" s="720" t="s">
        <v>1118</v>
      </c>
      <c r="F377" s="639" t="s">
        <v>980</v>
      </c>
      <c r="G377" s="639" t="s">
        <v>203</v>
      </c>
      <c r="H377" s="705">
        <v>2</v>
      </c>
      <c r="I377" s="721">
        <f>(6*0.8)+(7.5*0.45)</f>
        <v>8.1750000000000007</v>
      </c>
      <c r="J377" s="722" t="s">
        <v>982</v>
      </c>
      <c r="K377" s="722"/>
      <c r="L377" s="723">
        <f t="shared" si="18"/>
        <v>0</v>
      </c>
      <c r="M377" s="723">
        <f t="shared" si="19"/>
        <v>0</v>
      </c>
      <c r="N377" s="723">
        <f t="shared" si="20"/>
        <v>0</v>
      </c>
    </row>
    <row r="378" spans="1:14">
      <c r="A378" s="639" t="s">
        <v>1113</v>
      </c>
      <c r="B378" s="718">
        <v>302</v>
      </c>
      <c r="C378" s="728" t="s">
        <v>667</v>
      </c>
      <c r="D378" s="718">
        <f>VLOOKUP(B378,'2-Kosten per locatie'!$A$13:$C$88,3,FALSE)</f>
        <v>2</v>
      </c>
      <c r="E378" s="720" t="s">
        <v>1118</v>
      </c>
      <c r="F378" s="639" t="s">
        <v>983</v>
      </c>
      <c r="G378" s="639" t="s">
        <v>203</v>
      </c>
      <c r="H378" s="705">
        <v>2</v>
      </c>
      <c r="I378" s="721">
        <f>(6*0.8)+(7.5*0.45)</f>
        <v>8.1750000000000007</v>
      </c>
      <c r="J378" s="722" t="s">
        <v>968</v>
      </c>
      <c r="K378" s="722"/>
      <c r="L378" s="723">
        <f t="shared" si="18"/>
        <v>0</v>
      </c>
      <c r="M378" s="723">
        <f t="shared" si="19"/>
        <v>0</v>
      </c>
      <c r="N378" s="723">
        <f t="shared" si="20"/>
        <v>0</v>
      </c>
    </row>
    <row r="379" spans="1:14">
      <c r="A379" s="639" t="s">
        <v>1113</v>
      </c>
      <c r="B379" s="718">
        <v>302</v>
      </c>
      <c r="C379" s="728" t="s">
        <v>667</v>
      </c>
      <c r="D379" s="718">
        <f>VLOOKUP(B379,'2-Kosten per locatie'!$A$13:$C$88,3,FALSE)</f>
        <v>2</v>
      </c>
      <c r="E379" s="720" t="s">
        <v>187</v>
      </c>
      <c r="F379" s="639" t="s">
        <v>971</v>
      </c>
      <c r="G379" s="639" t="s">
        <v>1115</v>
      </c>
      <c r="H379" s="705">
        <v>2</v>
      </c>
      <c r="I379" s="721">
        <v>126.71</v>
      </c>
      <c r="J379" s="722" t="s">
        <v>968</v>
      </c>
      <c r="K379" s="722"/>
      <c r="L379" s="723">
        <f t="shared" si="18"/>
        <v>0</v>
      </c>
      <c r="M379" s="723">
        <f t="shared" si="19"/>
        <v>0</v>
      </c>
      <c r="N379" s="723">
        <f t="shared" si="20"/>
        <v>0</v>
      </c>
    </row>
    <row r="380" spans="1:14">
      <c r="A380" s="639" t="s">
        <v>1113</v>
      </c>
      <c r="B380" s="718">
        <v>302</v>
      </c>
      <c r="C380" s="728" t="s">
        <v>667</v>
      </c>
      <c r="D380" s="718">
        <f>VLOOKUP(B380,'2-Kosten per locatie'!$A$13:$C$88,3,FALSE)</f>
        <v>2</v>
      </c>
      <c r="E380" s="720" t="s">
        <v>187</v>
      </c>
      <c r="F380" s="639" t="s">
        <v>977</v>
      </c>
      <c r="G380" s="639" t="s">
        <v>1119</v>
      </c>
      <c r="H380" s="705">
        <v>2</v>
      </c>
      <c r="I380" s="721">
        <v>126.71</v>
      </c>
      <c r="J380" s="722" t="s">
        <v>982</v>
      </c>
      <c r="K380" s="722"/>
      <c r="L380" s="723">
        <f t="shared" si="18"/>
        <v>0</v>
      </c>
      <c r="M380" s="723">
        <f t="shared" si="19"/>
        <v>0</v>
      </c>
      <c r="N380" s="723">
        <f t="shared" si="20"/>
        <v>0</v>
      </c>
    </row>
    <row r="381" spans="1:14">
      <c r="A381" s="639" t="s">
        <v>1113</v>
      </c>
      <c r="B381" s="718">
        <v>302</v>
      </c>
      <c r="C381" s="728" t="s">
        <v>667</v>
      </c>
      <c r="D381" s="718">
        <f>VLOOKUP(B381,'2-Kosten per locatie'!$A$13:$C$88,3,FALSE)</f>
        <v>2</v>
      </c>
      <c r="E381" s="720" t="s">
        <v>187</v>
      </c>
      <c r="F381" s="639" t="s">
        <v>977</v>
      </c>
      <c r="G381" s="639" t="s">
        <v>1120</v>
      </c>
      <c r="H381" s="705">
        <v>2</v>
      </c>
      <c r="I381" s="721">
        <v>44.9</v>
      </c>
      <c r="J381" s="722" t="s">
        <v>982</v>
      </c>
      <c r="K381" s="722"/>
      <c r="L381" s="723">
        <f t="shared" si="18"/>
        <v>0</v>
      </c>
      <c r="M381" s="723">
        <f t="shared" si="19"/>
        <v>0</v>
      </c>
      <c r="N381" s="723">
        <f t="shared" si="20"/>
        <v>0</v>
      </c>
    </row>
    <row r="382" spans="1:14">
      <c r="A382" s="639" t="s">
        <v>101</v>
      </c>
      <c r="B382" s="718">
        <v>302</v>
      </c>
      <c r="C382" s="728" t="s">
        <v>667</v>
      </c>
      <c r="D382" s="718">
        <f>VLOOKUP(B382,'2-Kosten per locatie'!$A$13:$C$88,3,FALSE)</f>
        <v>2</v>
      </c>
      <c r="E382" s="725"/>
      <c r="F382" s="639" t="s">
        <v>966</v>
      </c>
      <c r="G382" s="639" t="s">
        <v>991</v>
      </c>
      <c r="H382" s="705">
        <v>26</v>
      </c>
      <c r="I382" s="721">
        <f>2*40</f>
        <v>80</v>
      </c>
      <c r="J382" s="722" t="s">
        <v>982</v>
      </c>
      <c r="K382" s="722" t="s">
        <v>992</v>
      </c>
      <c r="L382" s="723">
        <f t="shared" si="18"/>
        <v>0</v>
      </c>
      <c r="M382" s="723">
        <f t="shared" si="19"/>
        <v>0</v>
      </c>
      <c r="N382" s="723">
        <f t="shared" si="20"/>
        <v>0</v>
      </c>
    </row>
    <row r="383" spans="1:14">
      <c r="A383" s="639" t="s">
        <v>102</v>
      </c>
      <c r="B383" s="718">
        <v>303</v>
      </c>
      <c r="C383" s="728" t="s">
        <v>667</v>
      </c>
      <c r="D383" s="718">
        <f>VLOOKUP(B383,'2-Kosten per locatie'!$A$13:$C$88,3,FALSE)</f>
        <v>2</v>
      </c>
      <c r="E383" s="720" t="s">
        <v>289</v>
      </c>
      <c r="F383" s="639" t="s">
        <v>971</v>
      </c>
      <c r="G383" s="639" t="s">
        <v>1121</v>
      </c>
      <c r="H383" s="705">
        <v>4</v>
      </c>
      <c r="I383" s="721">
        <f>((1.3*6.5+5*4.5)+(1.4*7.25+5.5*3.2+5.8*5.5+1*16)+(6.5*1+6.5*5.5+5*4.5)+(1.4*7.25+7.3*5+16*1))</f>
        <v>234.00000000000003</v>
      </c>
      <c r="J383" s="722" t="s">
        <v>968</v>
      </c>
      <c r="K383" s="722"/>
      <c r="L383" s="723">
        <f t="shared" si="18"/>
        <v>0</v>
      </c>
      <c r="M383" s="723">
        <f t="shared" si="19"/>
        <v>0</v>
      </c>
      <c r="N383" s="723">
        <f t="shared" si="20"/>
        <v>0</v>
      </c>
    </row>
    <row r="384" spans="1:14">
      <c r="A384" s="639" t="s">
        <v>102</v>
      </c>
      <c r="B384" s="718">
        <v>303</v>
      </c>
      <c r="C384" s="728" t="s">
        <v>667</v>
      </c>
      <c r="D384" s="718">
        <f>VLOOKUP(B384,'2-Kosten per locatie'!$A$13:$C$88,3,FALSE)</f>
        <v>2</v>
      </c>
      <c r="E384" s="720" t="s">
        <v>289</v>
      </c>
      <c r="F384" s="639" t="s">
        <v>977</v>
      </c>
      <c r="G384" s="639" t="s">
        <v>1122</v>
      </c>
      <c r="H384" s="705">
        <v>4</v>
      </c>
      <c r="I384" s="721">
        <f>(1.4*7.25+5.5*3.2+5.8*5.5+1*16)+(6.5*1+6.5*5.5+5*4.5)+(1.4*7.25+7.3*5+16*1)</f>
        <v>203.05</v>
      </c>
      <c r="J384" s="722" t="s">
        <v>968</v>
      </c>
      <c r="K384" s="722"/>
      <c r="L384" s="723">
        <f t="shared" si="18"/>
        <v>0</v>
      </c>
      <c r="M384" s="723">
        <f t="shared" si="19"/>
        <v>0</v>
      </c>
      <c r="N384" s="723">
        <f t="shared" si="20"/>
        <v>0</v>
      </c>
    </row>
    <row r="385" spans="1:14">
      <c r="A385" s="639" t="s">
        <v>102</v>
      </c>
      <c r="B385" s="718">
        <v>303</v>
      </c>
      <c r="C385" s="728" t="s">
        <v>667</v>
      </c>
      <c r="D385" s="718">
        <f>VLOOKUP(B385,'2-Kosten per locatie'!$A$13:$C$88,3,FALSE)</f>
        <v>2</v>
      </c>
      <c r="E385" s="720" t="s">
        <v>289</v>
      </c>
      <c r="F385" s="639" t="s">
        <v>971</v>
      </c>
      <c r="G385" s="639" t="s">
        <v>1123</v>
      </c>
      <c r="H385" s="705">
        <v>4</v>
      </c>
      <c r="I385" s="721">
        <f>1.3*6.5+5*4.5</f>
        <v>30.950000000000003</v>
      </c>
      <c r="J385" s="722" t="s">
        <v>968</v>
      </c>
      <c r="K385" s="722"/>
      <c r="L385" s="723">
        <f t="shared" si="18"/>
        <v>0</v>
      </c>
      <c r="M385" s="723">
        <f t="shared" si="19"/>
        <v>0</v>
      </c>
      <c r="N385" s="723">
        <f t="shared" si="20"/>
        <v>0</v>
      </c>
    </row>
    <row r="386" spans="1:14">
      <c r="A386" s="639" t="s">
        <v>102</v>
      </c>
      <c r="B386" s="718">
        <v>303</v>
      </c>
      <c r="C386" s="728" t="s">
        <v>667</v>
      </c>
      <c r="D386" s="718">
        <f>VLOOKUP(B386,'2-Kosten per locatie'!$A$13:$C$88,3,FALSE)</f>
        <v>2</v>
      </c>
      <c r="E386" s="720" t="s">
        <v>289</v>
      </c>
      <c r="F386" s="639" t="s">
        <v>969</v>
      </c>
      <c r="G386" s="639" t="s">
        <v>1124</v>
      </c>
      <c r="H386" s="705">
        <v>4</v>
      </c>
      <c r="I386" s="721">
        <f>6.5*16</f>
        <v>104</v>
      </c>
      <c r="J386" s="722" t="s">
        <v>968</v>
      </c>
      <c r="K386" s="722"/>
      <c r="L386" s="723">
        <f t="shared" si="18"/>
        <v>0</v>
      </c>
      <c r="M386" s="723">
        <f t="shared" si="19"/>
        <v>0</v>
      </c>
      <c r="N386" s="723">
        <f t="shared" si="20"/>
        <v>0</v>
      </c>
    </row>
    <row r="387" spans="1:14">
      <c r="A387" s="639" t="s">
        <v>102</v>
      </c>
      <c r="B387" s="718">
        <v>303</v>
      </c>
      <c r="C387" s="728" t="s">
        <v>667</v>
      </c>
      <c r="D387" s="718">
        <f>VLOOKUP(B387,'2-Kosten per locatie'!$A$13:$C$88,3,FALSE)</f>
        <v>2</v>
      </c>
      <c r="E387" s="720" t="s">
        <v>289</v>
      </c>
      <c r="F387" s="639" t="s">
        <v>975</v>
      </c>
      <c r="G387" s="639" t="s">
        <v>1124</v>
      </c>
      <c r="H387" s="705">
        <v>4</v>
      </c>
      <c r="I387" s="721">
        <f>6.5*16</f>
        <v>104</v>
      </c>
      <c r="J387" s="722" t="s">
        <v>968</v>
      </c>
      <c r="K387" s="722"/>
      <c r="L387" s="723">
        <f t="shared" si="18"/>
        <v>0</v>
      </c>
      <c r="M387" s="723">
        <f t="shared" si="19"/>
        <v>0</v>
      </c>
      <c r="N387" s="723">
        <f t="shared" si="20"/>
        <v>0</v>
      </c>
    </row>
    <row r="388" spans="1:14">
      <c r="A388" s="639" t="s">
        <v>102</v>
      </c>
      <c r="B388" s="718">
        <v>303</v>
      </c>
      <c r="C388" s="728" t="s">
        <v>667</v>
      </c>
      <c r="D388" s="718">
        <f>VLOOKUP(B388,'2-Kosten per locatie'!$A$13:$C$88,3,FALSE)</f>
        <v>2</v>
      </c>
      <c r="E388" s="720" t="s">
        <v>289</v>
      </c>
      <c r="F388" s="639" t="s">
        <v>969</v>
      </c>
      <c r="G388" s="639" t="s">
        <v>1125</v>
      </c>
      <c r="H388" s="705">
        <v>4</v>
      </c>
      <c r="I388" s="721">
        <f>8.9*18.5</f>
        <v>164.65</v>
      </c>
      <c r="J388" s="722" t="s">
        <v>968</v>
      </c>
      <c r="K388" s="722"/>
      <c r="L388" s="723">
        <f t="shared" si="18"/>
        <v>0</v>
      </c>
      <c r="M388" s="723">
        <f t="shared" si="19"/>
        <v>0</v>
      </c>
      <c r="N388" s="723">
        <f t="shared" si="20"/>
        <v>0</v>
      </c>
    </row>
    <row r="389" spans="1:14">
      <c r="A389" s="639" t="s">
        <v>102</v>
      </c>
      <c r="B389" s="718">
        <v>303</v>
      </c>
      <c r="C389" s="728" t="s">
        <v>667</v>
      </c>
      <c r="D389" s="718">
        <f>VLOOKUP(B389,'2-Kosten per locatie'!$A$13:$C$88,3,FALSE)</f>
        <v>2</v>
      </c>
      <c r="E389" s="720" t="s">
        <v>289</v>
      </c>
      <c r="F389" s="639" t="s">
        <v>975</v>
      </c>
      <c r="G389" s="639" t="s">
        <v>1125</v>
      </c>
      <c r="H389" s="705">
        <v>4</v>
      </c>
      <c r="I389" s="721">
        <f>8.9*18.5</f>
        <v>164.65</v>
      </c>
      <c r="J389" s="722" t="s">
        <v>982</v>
      </c>
      <c r="K389" s="722"/>
      <c r="L389" s="723">
        <f t="shared" si="18"/>
        <v>0</v>
      </c>
      <c r="M389" s="723">
        <f t="shared" si="19"/>
        <v>0</v>
      </c>
      <c r="N389" s="723">
        <f t="shared" si="20"/>
        <v>0</v>
      </c>
    </row>
    <row r="390" spans="1:14">
      <c r="A390" s="639" t="s">
        <v>102</v>
      </c>
      <c r="B390" s="718">
        <v>303</v>
      </c>
      <c r="C390" s="728" t="s">
        <v>667</v>
      </c>
      <c r="D390" s="718">
        <f>VLOOKUP(B390,'2-Kosten per locatie'!$A$13:$C$88,3,FALSE)</f>
        <v>2</v>
      </c>
      <c r="E390" s="720" t="s">
        <v>289</v>
      </c>
      <c r="F390" s="639" t="s">
        <v>980</v>
      </c>
      <c r="G390" s="639" t="s">
        <v>1126</v>
      </c>
      <c r="H390" s="705">
        <v>4</v>
      </c>
      <c r="I390" s="721">
        <f>0.9*3+0.6*6.1</f>
        <v>6.3599999999999994</v>
      </c>
      <c r="J390" s="722" t="s">
        <v>982</v>
      </c>
      <c r="K390" s="722"/>
      <c r="L390" s="723">
        <f t="shared" si="18"/>
        <v>0</v>
      </c>
      <c r="M390" s="723">
        <f t="shared" si="19"/>
        <v>0</v>
      </c>
      <c r="N390" s="723">
        <f t="shared" si="20"/>
        <v>0</v>
      </c>
    </row>
    <row r="391" spans="1:14">
      <c r="A391" s="639" t="s">
        <v>102</v>
      </c>
      <c r="B391" s="718">
        <v>303</v>
      </c>
      <c r="C391" s="728" t="s">
        <v>667</v>
      </c>
      <c r="D391" s="718">
        <f>VLOOKUP(B391,'2-Kosten per locatie'!$A$13:$C$88,3,FALSE)</f>
        <v>2</v>
      </c>
      <c r="E391" s="720" t="s">
        <v>289</v>
      </c>
      <c r="F391" s="639" t="s">
        <v>983</v>
      </c>
      <c r="G391" s="639" t="s">
        <v>1126</v>
      </c>
      <c r="H391" s="705">
        <v>4</v>
      </c>
      <c r="I391" s="721">
        <f>0.9*3+0.6*6.1</f>
        <v>6.3599999999999994</v>
      </c>
      <c r="J391" s="722" t="s">
        <v>968</v>
      </c>
      <c r="K391" s="722"/>
      <c r="L391" s="723">
        <f t="shared" si="18"/>
        <v>0</v>
      </c>
      <c r="M391" s="723">
        <f t="shared" si="19"/>
        <v>0</v>
      </c>
      <c r="N391" s="723">
        <f t="shared" si="20"/>
        <v>0</v>
      </c>
    </row>
    <row r="392" spans="1:14">
      <c r="A392" s="639" t="s">
        <v>102</v>
      </c>
      <c r="B392" s="718">
        <v>303</v>
      </c>
      <c r="C392" s="728" t="s">
        <v>667</v>
      </c>
      <c r="D392" s="718">
        <f>VLOOKUP(B392,'2-Kosten per locatie'!$A$13:$C$88,3,FALSE)</f>
        <v>2</v>
      </c>
      <c r="E392" s="720" t="s">
        <v>289</v>
      </c>
      <c r="F392" s="639" t="s">
        <v>980</v>
      </c>
      <c r="G392" s="639" t="s">
        <v>203</v>
      </c>
      <c r="H392" s="729">
        <v>4</v>
      </c>
      <c r="I392" s="730">
        <f>0.9*3+0.6*6.1</f>
        <v>6.3599999999999994</v>
      </c>
      <c r="J392" s="722" t="s">
        <v>982</v>
      </c>
      <c r="K392" s="722"/>
      <c r="L392" s="723">
        <f t="shared" si="18"/>
        <v>0</v>
      </c>
      <c r="M392" s="723">
        <f t="shared" si="19"/>
        <v>0</v>
      </c>
      <c r="N392" s="723">
        <f t="shared" si="20"/>
        <v>0</v>
      </c>
    </row>
    <row r="393" spans="1:14">
      <c r="A393" s="639" t="s">
        <v>102</v>
      </c>
      <c r="B393" s="718">
        <v>303</v>
      </c>
      <c r="C393" s="728" t="s">
        <v>667</v>
      </c>
      <c r="D393" s="718">
        <f>VLOOKUP(B393,'2-Kosten per locatie'!$A$13:$C$88,3,FALSE)</f>
        <v>2</v>
      </c>
      <c r="E393" s="720" t="s">
        <v>289</v>
      </c>
      <c r="F393" s="639" t="s">
        <v>983</v>
      </c>
      <c r="G393" s="639" t="s">
        <v>203</v>
      </c>
      <c r="H393" s="729">
        <v>4</v>
      </c>
      <c r="I393" s="730">
        <f>0.9*3+0.6*6.1</f>
        <v>6.3599999999999994</v>
      </c>
      <c r="J393" s="722" t="s">
        <v>968</v>
      </c>
      <c r="K393" s="722"/>
      <c r="L393" s="723">
        <f t="shared" si="18"/>
        <v>0</v>
      </c>
      <c r="M393" s="723">
        <f t="shared" si="19"/>
        <v>0</v>
      </c>
      <c r="N393" s="723">
        <f t="shared" si="20"/>
        <v>0</v>
      </c>
    </row>
    <row r="394" spans="1:14">
      <c r="A394" s="545" t="s">
        <v>104</v>
      </c>
      <c r="B394" s="718" t="s">
        <v>103</v>
      </c>
      <c r="C394" s="728" t="s">
        <v>667</v>
      </c>
      <c r="D394" s="718">
        <f>VLOOKUP(B394,'2-Kosten per locatie'!$A$13:$C$88,3,FALSE)</f>
        <v>2</v>
      </c>
      <c r="E394" s="720" t="s">
        <v>289</v>
      </c>
      <c r="F394" s="639" t="s">
        <v>980</v>
      </c>
      <c r="G394" s="639" t="s">
        <v>203</v>
      </c>
      <c r="H394" s="705">
        <v>2</v>
      </c>
      <c r="I394" s="721">
        <v>60</v>
      </c>
      <c r="J394" s="722" t="s">
        <v>982</v>
      </c>
      <c r="K394" s="722"/>
      <c r="L394" s="723">
        <f t="shared" si="18"/>
        <v>0</v>
      </c>
      <c r="M394" s="723">
        <f t="shared" si="19"/>
        <v>0</v>
      </c>
      <c r="N394" s="723">
        <f t="shared" si="20"/>
        <v>0</v>
      </c>
    </row>
    <row r="395" spans="1:14">
      <c r="A395" s="545" t="s">
        <v>104</v>
      </c>
      <c r="B395" s="718" t="s">
        <v>103</v>
      </c>
      <c r="C395" s="728" t="s">
        <v>667</v>
      </c>
      <c r="D395" s="718">
        <f>VLOOKUP(B395,'2-Kosten per locatie'!$A$13:$C$88,3,FALSE)</f>
        <v>2</v>
      </c>
      <c r="E395" s="720" t="s">
        <v>289</v>
      </c>
      <c r="F395" s="639" t="s">
        <v>983</v>
      </c>
      <c r="G395" s="639" t="s">
        <v>203</v>
      </c>
      <c r="H395" s="705">
        <v>2</v>
      </c>
      <c r="I395" s="721">
        <v>60</v>
      </c>
      <c r="J395" s="722" t="s">
        <v>982</v>
      </c>
      <c r="K395" s="722"/>
      <c r="L395" s="723">
        <f t="shared" si="18"/>
        <v>0</v>
      </c>
      <c r="M395" s="723">
        <f t="shared" si="19"/>
        <v>0</v>
      </c>
      <c r="N395" s="723">
        <f t="shared" si="20"/>
        <v>0</v>
      </c>
    </row>
    <row r="396" spans="1:14">
      <c r="A396" s="639" t="s">
        <v>102</v>
      </c>
      <c r="B396" s="718">
        <v>303</v>
      </c>
      <c r="C396" s="728" t="s">
        <v>667</v>
      </c>
      <c r="D396" s="718">
        <f>VLOOKUP(B396,'2-Kosten per locatie'!$A$13:$C$88,3,FALSE)</f>
        <v>2</v>
      </c>
      <c r="E396" s="720" t="s">
        <v>289</v>
      </c>
      <c r="F396" s="639" t="s">
        <v>971</v>
      </c>
      <c r="G396" s="639" t="s">
        <v>1127</v>
      </c>
      <c r="H396" s="705">
        <v>4</v>
      </c>
      <c r="I396" s="721">
        <f>((1.3*6.5+5*4.5)+(1.4*6+7.25*5.45+17*1.8)+(6.5*1+6.5*5.5+5*4.5)+(1.4*7.6+5.5*3.2+5.5*4.5))</f>
        <v>227.20250000000001</v>
      </c>
      <c r="J396" s="722" t="s">
        <v>968</v>
      </c>
      <c r="K396" s="722"/>
      <c r="L396" s="723">
        <f t="shared" si="18"/>
        <v>0</v>
      </c>
      <c r="M396" s="723">
        <f t="shared" si="19"/>
        <v>0</v>
      </c>
      <c r="N396" s="723">
        <f t="shared" si="20"/>
        <v>0</v>
      </c>
    </row>
    <row r="397" spans="1:14">
      <c r="A397" s="639" t="s">
        <v>102</v>
      </c>
      <c r="B397" s="718">
        <v>303</v>
      </c>
      <c r="C397" s="728" t="s">
        <v>667</v>
      </c>
      <c r="D397" s="718">
        <f>VLOOKUP(B397,'2-Kosten per locatie'!$A$13:$C$88,3,FALSE)</f>
        <v>2</v>
      </c>
      <c r="E397" s="720" t="s">
        <v>289</v>
      </c>
      <c r="F397" s="639" t="s">
        <v>977</v>
      </c>
      <c r="G397" s="639" t="s">
        <v>1128</v>
      </c>
      <c r="H397" s="705">
        <v>4</v>
      </c>
      <c r="I397" s="721">
        <f>(1.4*6+7.25*5.45+17*1.8)+(6.5*1+6.5*5.5+5*4.5)+(1.4*7.6+5.5*3.2+5.5*4.5)</f>
        <v>196.2525</v>
      </c>
      <c r="J397" s="722" t="s">
        <v>968</v>
      </c>
      <c r="K397" s="722"/>
      <c r="L397" s="723">
        <f t="shared" si="18"/>
        <v>0</v>
      </c>
      <c r="M397" s="723">
        <f t="shared" si="19"/>
        <v>0</v>
      </c>
      <c r="N397" s="723">
        <f t="shared" si="20"/>
        <v>0</v>
      </c>
    </row>
    <row r="398" spans="1:14">
      <c r="A398" s="639" t="s">
        <v>102</v>
      </c>
      <c r="B398" s="718">
        <v>303</v>
      </c>
      <c r="C398" s="728" t="s">
        <v>667</v>
      </c>
      <c r="D398" s="718">
        <f>VLOOKUP(B398,'2-Kosten per locatie'!$A$13:$C$88,3,FALSE)</f>
        <v>2</v>
      </c>
      <c r="E398" s="720" t="s">
        <v>289</v>
      </c>
      <c r="F398" s="639" t="s">
        <v>971</v>
      </c>
      <c r="G398" s="639" t="s">
        <v>1129</v>
      </c>
      <c r="H398" s="705">
        <v>4</v>
      </c>
      <c r="I398" s="721">
        <f>1.3*6.5+5*4.5</f>
        <v>30.950000000000003</v>
      </c>
      <c r="J398" s="722" t="s">
        <v>968</v>
      </c>
      <c r="K398" s="722"/>
      <c r="L398" s="723">
        <f t="shared" ref="L398:L462" si="21">IF(J398="ja",0,VLOOKUP(F398,Glassoort2,2,0))*I398</f>
        <v>0</v>
      </c>
      <c r="M398" s="723">
        <f t="shared" ref="M398:M462" si="22">IF(J398="ja",VLOOKUP(F398,Glassoort2,3,0))*I398</f>
        <v>0</v>
      </c>
      <c r="N398" s="723">
        <f t="shared" ref="N398:N462" si="23">(M398*H398)+(L398*H398)</f>
        <v>0</v>
      </c>
    </row>
    <row r="399" spans="1:14">
      <c r="A399" s="639" t="s">
        <v>102</v>
      </c>
      <c r="B399" s="718">
        <v>303</v>
      </c>
      <c r="C399" s="728" t="s">
        <v>667</v>
      </c>
      <c r="D399" s="718">
        <f>VLOOKUP(B399,'2-Kosten per locatie'!$A$13:$C$88,3,FALSE)</f>
        <v>2</v>
      </c>
      <c r="E399" s="720" t="s">
        <v>289</v>
      </c>
      <c r="F399" s="639" t="s">
        <v>969</v>
      </c>
      <c r="G399" s="639" t="s">
        <v>1130</v>
      </c>
      <c r="H399" s="705">
        <v>4</v>
      </c>
      <c r="I399" s="721">
        <f>3.1*4+3*(13*0.6)*2</f>
        <v>59.199999999999996</v>
      </c>
      <c r="J399" s="722" t="s">
        <v>968</v>
      </c>
      <c r="K399" s="722"/>
      <c r="L399" s="723">
        <f t="shared" si="21"/>
        <v>0</v>
      </c>
      <c r="M399" s="723">
        <f t="shared" si="22"/>
        <v>0</v>
      </c>
      <c r="N399" s="723">
        <f t="shared" si="23"/>
        <v>0</v>
      </c>
    </row>
    <row r="400" spans="1:14">
      <c r="A400" s="639" t="s">
        <v>102</v>
      </c>
      <c r="B400" s="718">
        <v>303</v>
      </c>
      <c r="C400" s="728" t="s">
        <v>667</v>
      </c>
      <c r="D400" s="718">
        <f>VLOOKUP(B400,'2-Kosten per locatie'!$A$13:$C$88,3,FALSE)</f>
        <v>2</v>
      </c>
      <c r="E400" s="720" t="s">
        <v>289</v>
      </c>
      <c r="F400" s="639" t="s">
        <v>975</v>
      </c>
      <c r="G400" s="639" t="s">
        <v>1130</v>
      </c>
      <c r="H400" s="705">
        <v>4</v>
      </c>
      <c r="I400" s="721">
        <f>3.1*4+3*(13*0.6)*2</f>
        <v>59.199999999999996</v>
      </c>
      <c r="J400" s="722" t="s">
        <v>968</v>
      </c>
      <c r="K400" s="722"/>
      <c r="L400" s="723">
        <f t="shared" si="21"/>
        <v>0</v>
      </c>
      <c r="M400" s="723">
        <f t="shared" si="22"/>
        <v>0</v>
      </c>
      <c r="N400" s="723">
        <f t="shared" si="23"/>
        <v>0</v>
      </c>
    </row>
    <row r="401" spans="1:14">
      <c r="A401" s="639" t="s">
        <v>102</v>
      </c>
      <c r="B401" s="718">
        <v>303</v>
      </c>
      <c r="C401" s="728" t="s">
        <v>667</v>
      </c>
      <c r="D401" s="718">
        <f>VLOOKUP(B401,'2-Kosten per locatie'!$A$13:$C$88,3,FALSE)</f>
        <v>2</v>
      </c>
      <c r="E401" s="720" t="s">
        <v>289</v>
      </c>
      <c r="F401" s="639" t="s">
        <v>969</v>
      </c>
      <c r="G401" s="639" t="s">
        <v>1131</v>
      </c>
      <c r="H401" s="705">
        <v>4</v>
      </c>
      <c r="I401" s="721">
        <f>8.9*18.6</f>
        <v>165.54000000000002</v>
      </c>
      <c r="J401" s="722" t="s">
        <v>968</v>
      </c>
      <c r="K401" s="722"/>
      <c r="L401" s="723">
        <f t="shared" si="21"/>
        <v>0</v>
      </c>
      <c r="M401" s="723">
        <f t="shared" si="22"/>
        <v>0</v>
      </c>
      <c r="N401" s="723">
        <f t="shared" si="23"/>
        <v>0</v>
      </c>
    </row>
    <row r="402" spans="1:14">
      <c r="A402" s="639" t="s">
        <v>102</v>
      </c>
      <c r="B402" s="718">
        <v>303</v>
      </c>
      <c r="C402" s="728" t="s">
        <v>667</v>
      </c>
      <c r="D402" s="718">
        <f>VLOOKUP(B402,'2-Kosten per locatie'!$A$13:$C$88,3,FALSE)</f>
        <v>2</v>
      </c>
      <c r="E402" s="720" t="s">
        <v>289</v>
      </c>
      <c r="F402" s="639" t="s">
        <v>975</v>
      </c>
      <c r="G402" s="639" t="s">
        <v>1131</v>
      </c>
      <c r="H402" s="705">
        <v>4</v>
      </c>
      <c r="I402" s="721">
        <f>8.9*18.6</f>
        <v>165.54000000000002</v>
      </c>
      <c r="J402" s="722" t="s">
        <v>982</v>
      </c>
      <c r="K402" s="722"/>
      <c r="L402" s="723">
        <f t="shared" si="21"/>
        <v>0</v>
      </c>
      <c r="M402" s="723">
        <f t="shared" si="22"/>
        <v>0</v>
      </c>
      <c r="N402" s="723">
        <f t="shared" si="23"/>
        <v>0</v>
      </c>
    </row>
    <row r="403" spans="1:14">
      <c r="A403" s="639" t="s">
        <v>102</v>
      </c>
      <c r="B403" s="718">
        <v>303</v>
      </c>
      <c r="C403" s="728" t="s">
        <v>667</v>
      </c>
      <c r="D403" s="718">
        <f>VLOOKUP(B403,'2-Kosten per locatie'!$A$13:$C$88,3,FALSE)</f>
        <v>2</v>
      </c>
      <c r="E403" s="720" t="s">
        <v>289</v>
      </c>
      <c r="F403" s="639" t="s">
        <v>971</v>
      </c>
      <c r="G403" s="639" t="s">
        <v>1132</v>
      </c>
      <c r="H403" s="705">
        <v>4</v>
      </c>
      <c r="I403" s="721">
        <f>1.8*(18.5+3)</f>
        <v>38.700000000000003</v>
      </c>
      <c r="J403" s="722" t="s">
        <v>968</v>
      </c>
      <c r="K403" s="722"/>
      <c r="L403" s="723">
        <f t="shared" si="21"/>
        <v>0</v>
      </c>
      <c r="M403" s="723">
        <f t="shared" si="22"/>
        <v>0</v>
      </c>
      <c r="N403" s="723">
        <f t="shared" si="23"/>
        <v>0</v>
      </c>
    </row>
    <row r="404" spans="1:14">
      <c r="A404" s="639" t="s">
        <v>102</v>
      </c>
      <c r="B404" s="718">
        <v>303</v>
      </c>
      <c r="C404" s="728" t="s">
        <v>667</v>
      </c>
      <c r="D404" s="718">
        <f>VLOOKUP(B404,'2-Kosten per locatie'!$A$13:$C$88,3,FALSE)</f>
        <v>2</v>
      </c>
      <c r="E404" s="720" t="s">
        <v>289</v>
      </c>
      <c r="F404" s="639" t="s">
        <v>977</v>
      </c>
      <c r="G404" s="639" t="s">
        <v>1132</v>
      </c>
      <c r="H404" s="705">
        <v>4</v>
      </c>
      <c r="I404" s="721">
        <f>1.8*(18.5+3)</f>
        <v>38.700000000000003</v>
      </c>
      <c r="J404" s="722" t="s">
        <v>968</v>
      </c>
      <c r="K404" s="722"/>
      <c r="L404" s="723">
        <f t="shared" si="21"/>
        <v>0</v>
      </c>
      <c r="M404" s="723">
        <f t="shared" si="22"/>
        <v>0</v>
      </c>
      <c r="N404" s="723">
        <f t="shared" si="23"/>
        <v>0</v>
      </c>
    </row>
    <row r="405" spans="1:14">
      <c r="A405" s="639" t="s">
        <v>102</v>
      </c>
      <c r="B405" s="718">
        <v>303</v>
      </c>
      <c r="C405" s="728" t="s">
        <v>667</v>
      </c>
      <c r="D405" s="718">
        <f>VLOOKUP(B405,'2-Kosten per locatie'!$A$13:$C$88,3,FALSE)</f>
        <v>2</v>
      </c>
      <c r="E405" s="720" t="s">
        <v>289</v>
      </c>
      <c r="F405" s="639" t="s">
        <v>969</v>
      </c>
      <c r="G405" s="639" t="s">
        <v>1132</v>
      </c>
      <c r="H405" s="705">
        <v>4</v>
      </c>
      <c r="I405" s="721">
        <f>18.5*3</f>
        <v>55.5</v>
      </c>
      <c r="J405" s="722" t="s">
        <v>968</v>
      </c>
      <c r="K405" s="722"/>
      <c r="L405" s="723">
        <f t="shared" si="21"/>
        <v>0</v>
      </c>
      <c r="M405" s="723">
        <f t="shared" si="22"/>
        <v>0</v>
      </c>
      <c r="N405" s="723">
        <f t="shared" si="23"/>
        <v>0</v>
      </c>
    </row>
    <row r="406" spans="1:14">
      <c r="A406" s="639" t="s">
        <v>102</v>
      </c>
      <c r="B406" s="718">
        <v>303</v>
      </c>
      <c r="C406" s="728" t="s">
        <v>667</v>
      </c>
      <c r="D406" s="718">
        <f>VLOOKUP(B406,'2-Kosten per locatie'!$A$13:$C$88,3,FALSE)</f>
        <v>2</v>
      </c>
      <c r="E406" s="720" t="s">
        <v>289</v>
      </c>
      <c r="F406" s="639" t="s">
        <v>975</v>
      </c>
      <c r="G406" s="639" t="s">
        <v>1132</v>
      </c>
      <c r="H406" s="705">
        <v>4</v>
      </c>
      <c r="I406" s="721">
        <f>18.5*3</f>
        <v>55.5</v>
      </c>
      <c r="J406" s="722" t="s">
        <v>968</v>
      </c>
      <c r="K406" s="722"/>
      <c r="L406" s="723">
        <f t="shared" si="21"/>
        <v>0</v>
      </c>
      <c r="M406" s="723">
        <f t="shared" si="22"/>
        <v>0</v>
      </c>
      <c r="N406" s="723">
        <f t="shared" si="23"/>
        <v>0</v>
      </c>
    </row>
    <row r="407" spans="1:14">
      <c r="A407" s="639" t="s">
        <v>102</v>
      </c>
      <c r="B407" s="718">
        <v>303</v>
      </c>
      <c r="C407" s="728" t="s">
        <v>667</v>
      </c>
      <c r="D407" s="718">
        <f>VLOOKUP(B407,'2-Kosten per locatie'!$A$13:$C$88,3,FALSE)</f>
        <v>2</v>
      </c>
      <c r="E407" s="725"/>
      <c r="F407" s="639" t="s">
        <v>966</v>
      </c>
      <c r="G407" s="639" t="s">
        <v>991</v>
      </c>
      <c r="H407" s="705">
        <v>26</v>
      </c>
      <c r="I407" s="721">
        <v>49</v>
      </c>
      <c r="J407" s="722" t="s">
        <v>982</v>
      </c>
      <c r="K407" s="722" t="s">
        <v>992</v>
      </c>
      <c r="L407" s="723">
        <f t="shared" si="21"/>
        <v>0</v>
      </c>
      <c r="M407" s="723">
        <f t="shared" si="22"/>
        <v>0</v>
      </c>
      <c r="N407" s="723">
        <f t="shared" si="23"/>
        <v>0</v>
      </c>
    </row>
    <row r="408" spans="1:14">
      <c r="A408" s="639" t="s">
        <v>105</v>
      </c>
      <c r="B408" s="718">
        <v>304</v>
      </c>
      <c r="C408" s="728" t="s">
        <v>667</v>
      </c>
      <c r="D408" s="718">
        <f>VLOOKUP(B408,'2-Kosten per locatie'!$A$13:$C$88,3,FALSE)</f>
        <v>2</v>
      </c>
      <c r="E408" s="720" t="s">
        <v>289</v>
      </c>
      <c r="F408" s="639" t="s">
        <v>977</v>
      </c>
      <c r="G408" s="639" t="s">
        <v>1133</v>
      </c>
      <c r="H408" s="705">
        <v>2</v>
      </c>
      <c r="I408" s="721">
        <f>2*(18.2*3)</f>
        <v>109.19999999999999</v>
      </c>
      <c r="J408" s="722" t="s">
        <v>968</v>
      </c>
      <c r="K408" s="722"/>
      <c r="L408" s="723">
        <f t="shared" si="21"/>
        <v>0</v>
      </c>
      <c r="M408" s="723">
        <f t="shared" si="22"/>
        <v>0</v>
      </c>
      <c r="N408" s="723">
        <f t="shared" si="23"/>
        <v>0</v>
      </c>
    </row>
    <row r="409" spans="1:14">
      <c r="A409" s="639" t="s">
        <v>105</v>
      </c>
      <c r="B409" s="718">
        <v>304</v>
      </c>
      <c r="C409" s="728" t="s">
        <v>667</v>
      </c>
      <c r="D409" s="718">
        <f>VLOOKUP(B409,'2-Kosten per locatie'!$A$13:$C$88,3,FALSE)</f>
        <v>2</v>
      </c>
      <c r="E409" s="720" t="s">
        <v>289</v>
      </c>
      <c r="F409" s="639" t="s">
        <v>977</v>
      </c>
      <c r="G409" s="639" t="s">
        <v>1134</v>
      </c>
      <c r="H409" s="705">
        <v>2</v>
      </c>
      <c r="I409" s="721">
        <f>2*((13+2.25)*3+7.2*3)</f>
        <v>134.69999999999999</v>
      </c>
      <c r="J409" s="722" t="s">
        <v>968</v>
      </c>
      <c r="K409" s="722"/>
      <c r="L409" s="723">
        <f t="shared" si="21"/>
        <v>0</v>
      </c>
      <c r="M409" s="723">
        <f t="shared" si="22"/>
        <v>0</v>
      </c>
      <c r="N409" s="723">
        <f t="shared" si="23"/>
        <v>0</v>
      </c>
    </row>
    <row r="410" spans="1:14">
      <c r="A410" s="639" t="s">
        <v>105</v>
      </c>
      <c r="B410" s="718">
        <v>304</v>
      </c>
      <c r="C410" s="728" t="s">
        <v>667</v>
      </c>
      <c r="D410" s="718">
        <f>VLOOKUP(B410,'2-Kosten per locatie'!$A$13:$C$88,3,FALSE)</f>
        <v>2</v>
      </c>
      <c r="E410" s="720" t="s">
        <v>289</v>
      </c>
      <c r="F410" s="639" t="s">
        <v>977</v>
      </c>
      <c r="G410" s="639" t="s">
        <v>1135</v>
      </c>
      <c r="H410" s="705">
        <v>2</v>
      </c>
      <c r="I410" s="721">
        <f>2*(13*3+2.25*3+7.2*3+18.2*3)</f>
        <v>243.89999999999998</v>
      </c>
      <c r="J410" s="722" t="s">
        <v>968</v>
      </c>
      <c r="K410" s="722"/>
      <c r="L410" s="723">
        <f t="shared" si="21"/>
        <v>0</v>
      </c>
      <c r="M410" s="723">
        <f t="shared" si="22"/>
        <v>0</v>
      </c>
      <c r="N410" s="723">
        <f t="shared" si="23"/>
        <v>0</v>
      </c>
    </row>
    <row r="411" spans="1:14">
      <c r="A411" s="639" t="s">
        <v>105</v>
      </c>
      <c r="B411" s="718">
        <v>304</v>
      </c>
      <c r="C411" s="728" t="s">
        <v>667</v>
      </c>
      <c r="D411" s="718">
        <f>VLOOKUP(B411,'2-Kosten per locatie'!$A$13:$C$88,3,FALSE)</f>
        <v>2</v>
      </c>
      <c r="E411" s="720" t="s">
        <v>289</v>
      </c>
      <c r="F411" s="639" t="s">
        <v>977</v>
      </c>
      <c r="G411" s="639" t="s">
        <v>1136</v>
      </c>
      <c r="H411" s="705">
        <v>2</v>
      </c>
      <c r="I411" s="721">
        <f>2*(6.6*1+18.2*1.75+4.5*1)</f>
        <v>85.899999999999991</v>
      </c>
      <c r="J411" s="722" t="s">
        <v>968</v>
      </c>
      <c r="K411" s="722"/>
      <c r="L411" s="723">
        <f t="shared" si="21"/>
        <v>0</v>
      </c>
      <c r="M411" s="723">
        <f t="shared" si="22"/>
        <v>0</v>
      </c>
      <c r="N411" s="723">
        <f t="shared" si="23"/>
        <v>0</v>
      </c>
    </row>
    <row r="412" spans="1:14">
      <c r="A412" s="639" t="s">
        <v>105</v>
      </c>
      <c r="B412" s="718">
        <v>304</v>
      </c>
      <c r="C412" s="728" t="s">
        <v>667</v>
      </c>
      <c r="D412" s="718">
        <f>VLOOKUP(B412,'2-Kosten per locatie'!$A$13:$C$88,3,FALSE)</f>
        <v>2</v>
      </c>
      <c r="E412" s="720" t="s">
        <v>289</v>
      </c>
      <c r="F412" s="639" t="s">
        <v>977</v>
      </c>
      <c r="G412" s="639" t="s">
        <v>1137</v>
      </c>
      <c r="H412" s="705">
        <v>2</v>
      </c>
      <c r="I412" s="721">
        <f>2*(6.6*1+18.2*1.75+4.5*1)</f>
        <v>85.899999999999991</v>
      </c>
      <c r="J412" s="722" t="s">
        <v>968</v>
      </c>
      <c r="K412" s="722"/>
      <c r="L412" s="723">
        <f t="shared" si="21"/>
        <v>0</v>
      </c>
      <c r="M412" s="723">
        <f t="shared" si="22"/>
        <v>0</v>
      </c>
      <c r="N412" s="723">
        <f t="shared" si="23"/>
        <v>0</v>
      </c>
    </row>
    <row r="413" spans="1:14">
      <c r="A413" s="639" t="s">
        <v>105</v>
      </c>
      <c r="B413" s="718">
        <v>304</v>
      </c>
      <c r="C413" s="728" t="s">
        <v>667</v>
      </c>
      <c r="D413" s="718">
        <f>VLOOKUP(B413,'2-Kosten per locatie'!$A$13:$C$88,3,FALSE)</f>
        <v>2</v>
      </c>
      <c r="E413" s="720" t="s">
        <v>289</v>
      </c>
      <c r="F413" s="639" t="s">
        <v>977</v>
      </c>
      <c r="G413" s="639" t="s">
        <v>1138</v>
      </c>
      <c r="H413" s="705">
        <v>2</v>
      </c>
      <c r="I413" s="721">
        <f>2*(2*(6.6*1+18.2*1.75+4.5*1))</f>
        <v>171.79999999999998</v>
      </c>
      <c r="J413" s="722" t="s">
        <v>968</v>
      </c>
      <c r="K413" s="722"/>
      <c r="L413" s="723">
        <f t="shared" si="21"/>
        <v>0</v>
      </c>
      <c r="M413" s="723">
        <f t="shared" si="22"/>
        <v>0</v>
      </c>
      <c r="N413" s="723">
        <f t="shared" si="23"/>
        <v>0</v>
      </c>
    </row>
    <row r="414" spans="1:14">
      <c r="A414" s="639" t="s">
        <v>105</v>
      </c>
      <c r="B414" s="718">
        <v>304</v>
      </c>
      <c r="C414" s="728" t="s">
        <v>667</v>
      </c>
      <c r="D414" s="718">
        <f>VLOOKUP(B414,'2-Kosten per locatie'!$A$13:$C$88,3,FALSE)</f>
        <v>2</v>
      </c>
      <c r="E414" s="720" t="s">
        <v>289</v>
      </c>
      <c r="F414" s="639" t="s">
        <v>977</v>
      </c>
      <c r="G414" s="639" t="s">
        <v>1139</v>
      </c>
      <c r="H414" s="705">
        <v>2</v>
      </c>
      <c r="I414" s="721">
        <f>2*(1.6*3)</f>
        <v>9.6000000000000014</v>
      </c>
      <c r="J414" s="722" t="s">
        <v>968</v>
      </c>
      <c r="K414" s="722" t="s">
        <v>1025</v>
      </c>
      <c r="L414" s="723">
        <f t="shared" ref="L414" si="24">IF(J414="ja",0,VLOOKUP(F414,Glassoort2,2,0))*I414</f>
        <v>0</v>
      </c>
      <c r="M414" s="723">
        <f t="shared" ref="M414" si="25">IF(J414="ja",VLOOKUP(F414,Glassoort2,3,0))*I414</f>
        <v>0</v>
      </c>
      <c r="N414" s="723">
        <f t="shared" ref="N414" si="26">(M414*H414)+(L414*H414)</f>
        <v>0</v>
      </c>
    </row>
    <row r="415" spans="1:14">
      <c r="A415" s="639" t="s">
        <v>105</v>
      </c>
      <c r="B415" s="718">
        <v>304</v>
      </c>
      <c r="C415" s="728" t="s">
        <v>667</v>
      </c>
      <c r="D415" s="718">
        <f>VLOOKUP(B415,'2-Kosten per locatie'!$A$13:$C$88,3,FALSE)</f>
        <v>2</v>
      </c>
      <c r="E415" s="720" t="s">
        <v>289</v>
      </c>
      <c r="F415" s="639" t="s">
        <v>977</v>
      </c>
      <c r="G415" s="731" t="s">
        <v>1140</v>
      </c>
      <c r="H415" s="705">
        <v>2</v>
      </c>
      <c r="I415" s="721">
        <v>35</v>
      </c>
      <c r="J415" s="722" t="s">
        <v>968</v>
      </c>
      <c r="K415" s="722" t="s">
        <v>1025</v>
      </c>
      <c r="L415" s="723">
        <f t="shared" si="21"/>
        <v>0</v>
      </c>
      <c r="M415" s="723">
        <f t="shared" si="22"/>
        <v>0</v>
      </c>
      <c r="N415" s="723">
        <f t="shared" si="23"/>
        <v>0</v>
      </c>
    </row>
    <row r="416" spans="1:14">
      <c r="A416" s="639" t="s">
        <v>105</v>
      </c>
      <c r="B416" s="718">
        <v>304</v>
      </c>
      <c r="C416" s="728" t="s">
        <v>667</v>
      </c>
      <c r="D416" s="718">
        <f>VLOOKUP(B416,'2-Kosten per locatie'!$A$13:$C$88,3,FALSE)</f>
        <v>2</v>
      </c>
      <c r="E416" s="720" t="s">
        <v>1141</v>
      </c>
      <c r="F416" s="639" t="s">
        <v>980</v>
      </c>
      <c r="G416" s="639" t="s">
        <v>1142</v>
      </c>
      <c r="H416" s="705">
        <v>2</v>
      </c>
      <c r="I416" s="721">
        <f>2*(1.9*4)</f>
        <v>15.2</v>
      </c>
      <c r="J416" s="722" t="s">
        <v>982</v>
      </c>
      <c r="K416" s="722"/>
      <c r="L416" s="723">
        <f t="shared" si="21"/>
        <v>0</v>
      </c>
      <c r="M416" s="723">
        <f t="shared" si="22"/>
        <v>0</v>
      </c>
      <c r="N416" s="723">
        <f t="shared" si="23"/>
        <v>0</v>
      </c>
    </row>
    <row r="417" spans="1:14">
      <c r="A417" s="639" t="s">
        <v>105</v>
      </c>
      <c r="B417" s="718">
        <v>304</v>
      </c>
      <c r="C417" s="728" t="s">
        <v>667</v>
      </c>
      <c r="D417" s="718">
        <f>VLOOKUP(B417,'2-Kosten per locatie'!$A$13:$C$88,3,FALSE)</f>
        <v>2</v>
      </c>
      <c r="E417" s="720" t="s">
        <v>1141</v>
      </c>
      <c r="F417" s="639" t="s">
        <v>983</v>
      </c>
      <c r="G417" s="639" t="s">
        <v>1142</v>
      </c>
      <c r="H417" s="705">
        <v>2</v>
      </c>
      <c r="I417" s="721">
        <f>2*(1.9*4)</f>
        <v>15.2</v>
      </c>
      <c r="J417" s="722" t="s">
        <v>968</v>
      </c>
      <c r="K417" s="722"/>
      <c r="L417" s="723">
        <f t="shared" si="21"/>
        <v>0</v>
      </c>
      <c r="M417" s="723">
        <f t="shared" si="22"/>
        <v>0</v>
      </c>
      <c r="N417" s="723">
        <f t="shared" si="23"/>
        <v>0</v>
      </c>
    </row>
    <row r="418" spans="1:14">
      <c r="A418" s="639" t="s">
        <v>105</v>
      </c>
      <c r="B418" s="718">
        <v>304</v>
      </c>
      <c r="C418" s="728" t="s">
        <v>667</v>
      </c>
      <c r="D418" s="718">
        <f>VLOOKUP(B418,'2-Kosten per locatie'!$A$13:$C$88,3,FALSE)</f>
        <v>2</v>
      </c>
      <c r="E418" s="720" t="s">
        <v>1141</v>
      </c>
      <c r="F418" s="639" t="s">
        <v>980</v>
      </c>
      <c r="G418" s="639" t="s">
        <v>1143</v>
      </c>
      <c r="H418" s="705">
        <v>2</v>
      </c>
      <c r="I418" s="721">
        <f>2*(3*3)</f>
        <v>18</v>
      </c>
      <c r="J418" s="722" t="s">
        <v>982</v>
      </c>
      <c r="K418" s="722"/>
      <c r="L418" s="723">
        <f t="shared" si="21"/>
        <v>0</v>
      </c>
      <c r="M418" s="723">
        <f t="shared" si="22"/>
        <v>0</v>
      </c>
      <c r="N418" s="723">
        <f t="shared" si="23"/>
        <v>0</v>
      </c>
    </row>
    <row r="419" spans="1:14">
      <c r="A419" s="639" t="s">
        <v>105</v>
      </c>
      <c r="B419" s="718">
        <v>304</v>
      </c>
      <c r="C419" s="728" t="s">
        <v>667</v>
      </c>
      <c r="D419" s="718">
        <f>VLOOKUP(B419,'2-Kosten per locatie'!$A$13:$C$88,3,FALSE)</f>
        <v>2</v>
      </c>
      <c r="E419" s="720" t="s">
        <v>1141</v>
      </c>
      <c r="F419" s="639" t="s">
        <v>983</v>
      </c>
      <c r="G419" s="639" t="s">
        <v>1143</v>
      </c>
      <c r="H419" s="705">
        <v>2</v>
      </c>
      <c r="I419" s="721">
        <f>2*(3*3)</f>
        <v>18</v>
      </c>
      <c r="J419" s="722" t="s">
        <v>968</v>
      </c>
      <c r="K419" s="722"/>
      <c r="L419" s="723">
        <f t="shared" si="21"/>
        <v>0</v>
      </c>
      <c r="M419" s="723">
        <f t="shared" si="22"/>
        <v>0</v>
      </c>
      <c r="N419" s="723">
        <f t="shared" si="23"/>
        <v>0</v>
      </c>
    </row>
    <row r="420" spans="1:14">
      <c r="A420" s="639" t="s">
        <v>105</v>
      </c>
      <c r="B420" s="718">
        <v>304</v>
      </c>
      <c r="C420" s="728" t="s">
        <v>667</v>
      </c>
      <c r="D420" s="718">
        <f>VLOOKUP(B420,'2-Kosten per locatie'!$A$13:$C$88,3,FALSE)</f>
        <v>2</v>
      </c>
      <c r="E420" s="720" t="s">
        <v>1141</v>
      </c>
      <c r="F420" s="639" t="s">
        <v>980</v>
      </c>
      <c r="G420" s="639" t="s">
        <v>1144</v>
      </c>
      <c r="H420" s="705">
        <v>2</v>
      </c>
      <c r="I420" s="721">
        <f>2*(2*9.75)</f>
        <v>39</v>
      </c>
      <c r="J420" s="722" t="s">
        <v>982</v>
      </c>
      <c r="K420" s="722"/>
      <c r="L420" s="723">
        <f t="shared" si="21"/>
        <v>0</v>
      </c>
      <c r="M420" s="723">
        <f t="shared" si="22"/>
        <v>0</v>
      </c>
      <c r="N420" s="723">
        <f t="shared" si="23"/>
        <v>0</v>
      </c>
    </row>
    <row r="421" spans="1:14">
      <c r="A421" s="639" t="s">
        <v>105</v>
      </c>
      <c r="B421" s="718">
        <v>304</v>
      </c>
      <c r="C421" s="728" t="s">
        <v>667</v>
      </c>
      <c r="D421" s="718">
        <f>VLOOKUP(B421,'2-Kosten per locatie'!$A$13:$C$88,3,FALSE)</f>
        <v>2</v>
      </c>
      <c r="E421" s="720" t="s">
        <v>1141</v>
      </c>
      <c r="F421" s="639" t="s">
        <v>983</v>
      </c>
      <c r="G421" s="639" t="s">
        <v>1144</v>
      </c>
      <c r="H421" s="705">
        <v>2</v>
      </c>
      <c r="I421" s="721">
        <f>2*(2*9.75)</f>
        <v>39</v>
      </c>
      <c r="J421" s="722" t="s">
        <v>968</v>
      </c>
      <c r="K421" s="722"/>
      <c r="L421" s="723">
        <f t="shared" si="21"/>
        <v>0</v>
      </c>
      <c r="M421" s="723">
        <f t="shared" si="22"/>
        <v>0</v>
      </c>
      <c r="N421" s="723">
        <f t="shared" si="23"/>
        <v>0</v>
      </c>
    </row>
    <row r="422" spans="1:14">
      <c r="A422" s="639" t="s">
        <v>105</v>
      </c>
      <c r="B422" s="718">
        <v>304</v>
      </c>
      <c r="C422" s="728" t="s">
        <v>667</v>
      </c>
      <c r="D422" s="718">
        <f>VLOOKUP(B422,'2-Kosten per locatie'!$A$13:$C$88,3,FALSE)</f>
        <v>2</v>
      </c>
      <c r="E422" s="720" t="s">
        <v>1141</v>
      </c>
      <c r="F422" s="639" t="s">
        <v>980</v>
      </c>
      <c r="G422" s="639" t="s">
        <v>1145</v>
      </c>
      <c r="H422" s="705">
        <v>2</v>
      </c>
      <c r="I422" s="721">
        <f>2*(3*9.75)</f>
        <v>58.5</v>
      </c>
      <c r="J422" s="722" t="s">
        <v>982</v>
      </c>
      <c r="K422" s="722"/>
      <c r="L422" s="723">
        <f t="shared" si="21"/>
        <v>0</v>
      </c>
      <c r="M422" s="723">
        <f t="shared" si="22"/>
        <v>0</v>
      </c>
      <c r="N422" s="723">
        <f t="shared" si="23"/>
        <v>0</v>
      </c>
    </row>
    <row r="423" spans="1:14">
      <c r="A423" s="639" t="s">
        <v>105</v>
      </c>
      <c r="B423" s="718">
        <v>304</v>
      </c>
      <c r="C423" s="728" t="s">
        <v>667</v>
      </c>
      <c r="D423" s="718">
        <f>VLOOKUP(B423,'2-Kosten per locatie'!$A$13:$C$88,3,FALSE)</f>
        <v>2</v>
      </c>
      <c r="E423" s="720" t="s">
        <v>1141</v>
      </c>
      <c r="F423" s="639" t="s">
        <v>983</v>
      </c>
      <c r="G423" s="639" t="s">
        <v>1145</v>
      </c>
      <c r="H423" s="705">
        <v>2</v>
      </c>
      <c r="I423" s="721">
        <f>2*(3*9.75)</f>
        <v>58.5</v>
      </c>
      <c r="J423" s="722" t="s">
        <v>968</v>
      </c>
      <c r="K423" s="722"/>
      <c r="L423" s="723">
        <f t="shared" si="21"/>
        <v>0</v>
      </c>
      <c r="M423" s="723">
        <f t="shared" si="22"/>
        <v>0</v>
      </c>
      <c r="N423" s="723">
        <f t="shared" si="23"/>
        <v>0</v>
      </c>
    </row>
    <row r="424" spans="1:14">
      <c r="A424" s="639" t="s">
        <v>105</v>
      </c>
      <c r="B424" s="718">
        <v>304</v>
      </c>
      <c r="C424" s="728" t="s">
        <v>667</v>
      </c>
      <c r="D424" s="718">
        <f>VLOOKUP(B424,'2-Kosten per locatie'!$A$13:$C$88,3,FALSE)</f>
        <v>2</v>
      </c>
      <c r="E424" s="725"/>
      <c r="F424" s="639" t="s">
        <v>966</v>
      </c>
      <c r="G424" s="639" t="s">
        <v>991</v>
      </c>
      <c r="H424" s="705">
        <v>26</v>
      </c>
      <c r="I424" s="721">
        <v>164</v>
      </c>
      <c r="J424" s="722" t="s">
        <v>982</v>
      </c>
      <c r="K424" s="722" t="s">
        <v>992</v>
      </c>
      <c r="L424" s="723">
        <f t="shared" si="21"/>
        <v>0</v>
      </c>
      <c r="M424" s="723">
        <f t="shared" si="22"/>
        <v>0</v>
      </c>
      <c r="N424" s="723">
        <f t="shared" si="23"/>
        <v>0</v>
      </c>
    </row>
    <row r="425" spans="1:14">
      <c r="A425" s="639" t="s">
        <v>106</v>
      </c>
      <c r="B425" s="718">
        <v>305</v>
      </c>
      <c r="C425" s="728" t="s">
        <v>667</v>
      </c>
      <c r="D425" s="718">
        <f>VLOOKUP(B425,'2-Kosten per locatie'!$A$13:$C$88,3,FALSE)</f>
        <v>2</v>
      </c>
      <c r="E425" s="720" t="s">
        <v>289</v>
      </c>
      <c r="F425" s="639" t="s">
        <v>977</v>
      </c>
      <c r="G425" s="639" t="s">
        <v>1133</v>
      </c>
      <c r="H425" s="705">
        <v>2</v>
      </c>
      <c r="I425" s="721">
        <f>17*3+14*3+3.5*1</f>
        <v>96.5</v>
      </c>
      <c r="J425" s="722" t="s">
        <v>968</v>
      </c>
      <c r="K425" s="722"/>
      <c r="L425" s="723">
        <f t="shared" si="21"/>
        <v>0</v>
      </c>
      <c r="M425" s="723">
        <f t="shared" si="22"/>
        <v>0</v>
      </c>
      <c r="N425" s="723">
        <f t="shared" si="23"/>
        <v>0</v>
      </c>
    </row>
    <row r="426" spans="1:14">
      <c r="A426" s="639" t="s">
        <v>106</v>
      </c>
      <c r="B426" s="718">
        <v>305</v>
      </c>
      <c r="C426" s="728" t="s">
        <v>667</v>
      </c>
      <c r="D426" s="718">
        <f>VLOOKUP(B426,'2-Kosten per locatie'!$A$13:$C$88,3,FALSE)</f>
        <v>2</v>
      </c>
      <c r="E426" s="720" t="s">
        <v>289</v>
      </c>
      <c r="F426" s="639" t="s">
        <v>977</v>
      </c>
      <c r="G426" s="639" t="s">
        <v>1135</v>
      </c>
      <c r="H426" s="705">
        <v>2</v>
      </c>
      <c r="I426" s="721">
        <f>17*3+14*3+3.5*1</f>
        <v>96.5</v>
      </c>
      <c r="J426" s="722" t="s">
        <v>968</v>
      </c>
      <c r="K426" s="722"/>
      <c r="L426" s="723">
        <f t="shared" si="21"/>
        <v>0</v>
      </c>
      <c r="M426" s="723">
        <f t="shared" si="22"/>
        <v>0</v>
      </c>
      <c r="N426" s="723">
        <f t="shared" si="23"/>
        <v>0</v>
      </c>
    </row>
    <row r="427" spans="1:14">
      <c r="A427" s="639" t="s">
        <v>106</v>
      </c>
      <c r="B427" s="718">
        <v>305</v>
      </c>
      <c r="C427" s="728" t="s">
        <v>667</v>
      </c>
      <c r="D427" s="718">
        <f>VLOOKUP(B427,'2-Kosten per locatie'!$A$13:$C$88,3,FALSE)</f>
        <v>2</v>
      </c>
      <c r="E427" s="720" t="s">
        <v>289</v>
      </c>
      <c r="F427" s="639" t="s">
        <v>977</v>
      </c>
      <c r="G427" s="639" t="s">
        <v>1136</v>
      </c>
      <c r="H427" s="705">
        <v>2</v>
      </c>
      <c r="I427" s="721">
        <f>2*(6.2*1*2+17*1.75)</f>
        <v>84.3</v>
      </c>
      <c r="J427" s="722" t="s">
        <v>968</v>
      </c>
      <c r="K427" s="722"/>
      <c r="L427" s="723">
        <f t="shared" si="21"/>
        <v>0</v>
      </c>
      <c r="M427" s="723">
        <f t="shared" si="22"/>
        <v>0</v>
      </c>
      <c r="N427" s="723">
        <f t="shared" si="23"/>
        <v>0</v>
      </c>
    </row>
    <row r="428" spans="1:14">
      <c r="A428" s="639" t="s">
        <v>106</v>
      </c>
      <c r="B428" s="718">
        <v>305</v>
      </c>
      <c r="C428" s="728" t="s">
        <v>667</v>
      </c>
      <c r="D428" s="718">
        <f>VLOOKUP(B428,'2-Kosten per locatie'!$A$13:$C$88,3,FALSE)</f>
        <v>2</v>
      </c>
      <c r="E428" s="720" t="s">
        <v>289</v>
      </c>
      <c r="F428" s="639" t="s">
        <v>977</v>
      </c>
      <c r="G428" s="639" t="s">
        <v>1138</v>
      </c>
      <c r="H428" s="705">
        <v>2</v>
      </c>
      <c r="I428" s="721">
        <f>2*(6.2*1*2+17*1.75)</f>
        <v>84.3</v>
      </c>
      <c r="J428" s="722" t="s">
        <v>968</v>
      </c>
      <c r="K428" s="722"/>
      <c r="L428" s="723">
        <f t="shared" si="21"/>
        <v>0</v>
      </c>
      <c r="M428" s="723">
        <f t="shared" si="22"/>
        <v>0</v>
      </c>
      <c r="N428" s="723">
        <f t="shared" si="23"/>
        <v>0</v>
      </c>
    </row>
    <row r="429" spans="1:14">
      <c r="A429" s="639" t="s">
        <v>106</v>
      </c>
      <c r="B429" s="718">
        <v>305</v>
      </c>
      <c r="C429" s="728" t="s">
        <v>667</v>
      </c>
      <c r="D429" s="718">
        <f>VLOOKUP(B429,'2-Kosten per locatie'!$A$13:$C$88,3,FALSE)</f>
        <v>2</v>
      </c>
      <c r="E429" s="720" t="s">
        <v>178</v>
      </c>
      <c r="F429" s="639" t="s">
        <v>977</v>
      </c>
      <c r="G429" s="639" t="s">
        <v>1146</v>
      </c>
      <c r="H429" s="705">
        <v>2</v>
      </c>
      <c r="I429" s="721">
        <f>4*4.8</f>
        <v>19.2</v>
      </c>
      <c r="J429" s="722" t="s">
        <v>968</v>
      </c>
      <c r="K429" s="722"/>
      <c r="L429" s="723">
        <f t="shared" si="21"/>
        <v>0</v>
      </c>
      <c r="M429" s="723">
        <f t="shared" si="22"/>
        <v>0</v>
      </c>
      <c r="N429" s="723">
        <f t="shared" si="23"/>
        <v>0</v>
      </c>
    </row>
    <row r="430" spans="1:14">
      <c r="A430" s="639" t="s">
        <v>106</v>
      </c>
      <c r="B430" s="718">
        <v>305</v>
      </c>
      <c r="C430" s="728" t="s">
        <v>667</v>
      </c>
      <c r="D430" s="718">
        <f>VLOOKUP(B430,'2-Kosten per locatie'!$A$13:$C$88,3,FALSE)</f>
        <v>2</v>
      </c>
      <c r="E430" s="720" t="s">
        <v>178</v>
      </c>
      <c r="F430" s="639" t="s">
        <v>977</v>
      </c>
      <c r="G430" s="639" t="s">
        <v>1147</v>
      </c>
      <c r="H430" s="705">
        <v>2</v>
      </c>
      <c r="I430" s="721">
        <f>4*4.8</f>
        <v>19.2</v>
      </c>
      <c r="J430" s="722" t="s">
        <v>968</v>
      </c>
      <c r="K430" s="722"/>
      <c r="L430" s="723">
        <f t="shared" si="21"/>
        <v>0</v>
      </c>
      <c r="M430" s="723">
        <f t="shared" si="22"/>
        <v>0</v>
      </c>
      <c r="N430" s="723">
        <f t="shared" si="23"/>
        <v>0</v>
      </c>
    </row>
    <row r="431" spans="1:14">
      <c r="A431" s="639" t="s">
        <v>106</v>
      </c>
      <c r="B431" s="718">
        <v>305</v>
      </c>
      <c r="C431" s="728" t="s">
        <v>667</v>
      </c>
      <c r="D431" s="718">
        <f>VLOOKUP(B431,'2-Kosten per locatie'!$A$13:$C$88,3,FALSE)</f>
        <v>2</v>
      </c>
      <c r="E431" s="720" t="s">
        <v>289</v>
      </c>
      <c r="F431" s="639" t="s">
        <v>966</v>
      </c>
      <c r="G431" s="639" t="s">
        <v>1148</v>
      </c>
      <c r="H431" s="705">
        <v>12</v>
      </c>
      <c r="I431" s="721">
        <f>0.7*13.2*2</f>
        <v>18.479999999999997</v>
      </c>
      <c r="J431" s="722" t="s">
        <v>982</v>
      </c>
      <c r="K431" s="722"/>
      <c r="L431" s="723">
        <f t="shared" si="21"/>
        <v>0</v>
      </c>
      <c r="M431" s="723">
        <f t="shared" si="22"/>
        <v>0</v>
      </c>
      <c r="N431" s="723">
        <f t="shared" si="23"/>
        <v>0</v>
      </c>
    </row>
    <row r="432" spans="1:14">
      <c r="A432" s="639" t="s">
        <v>106</v>
      </c>
      <c r="B432" s="718">
        <v>305</v>
      </c>
      <c r="C432" s="728" t="s">
        <v>667</v>
      </c>
      <c r="D432" s="718">
        <f>VLOOKUP(B432,'2-Kosten per locatie'!$A$13:$C$88,3,FALSE)</f>
        <v>2</v>
      </c>
      <c r="E432" s="720" t="s">
        <v>1141</v>
      </c>
      <c r="F432" s="639" t="s">
        <v>980</v>
      </c>
      <c r="G432" s="639" t="s">
        <v>1142</v>
      </c>
      <c r="H432" s="705">
        <v>2</v>
      </c>
      <c r="I432" s="721">
        <f>1.9*4</f>
        <v>7.6</v>
      </c>
      <c r="J432" s="722" t="s">
        <v>982</v>
      </c>
      <c r="K432" s="722"/>
      <c r="L432" s="723">
        <f t="shared" si="21"/>
        <v>0</v>
      </c>
      <c r="M432" s="723">
        <f t="shared" si="22"/>
        <v>0</v>
      </c>
      <c r="N432" s="723">
        <f t="shared" si="23"/>
        <v>0</v>
      </c>
    </row>
    <row r="433" spans="1:14">
      <c r="A433" s="639" t="s">
        <v>106</v>
      </c>
      <c r="B433" s="718">
        <v>305</v>
      </c>
      <c r="C433" s="728" t="s">
        <v>667</v>
      </c>
      <c r="D433" s="718">
        <f>VLOOKUP(B433,'2-Kosten per locatie'!$A$13:$C$88,3,FALSE)</f>
        <v>2</v>
      </c>
      <c r="E433" s="720" t="s">
        <v>1141</v>
      </c>
      <c r="F433" s="639" t="s">
        <v>983</v>
      </c>
      <c r="G433" s="639" t="s">
        <v>1142</v>
      </c>
      <c r="H433" s="705">
        <v>2</v>
      </c>
      <c r="I433" s="721">
        <f>1.9*4</f>
        <v>7.6</v>
      </c>
      <c r="J433" s="722" t="s">
        <v>968</v>
      </c>
      <c r="K433" s="722"/>
      <c r="L433" s="723">
        <f t="shared" si="21"/>
        <v>0</v>
      </c>
      <c r="M433" s="723">
        <f t="shared" si="22"/>
        <v>0</v>
      </c>
      <c r="N433" s="723">
        <f t="shared" si="23"/>
        <v>0</v>
      </c>
    </row>
    <row r="434" spans="1:14">
      <c r="A434" s="639" t="s">
        <v>106</v>
      </c>
      <c r="B434" s="718">
        <v>305</v>
      </c>
      <c r="C434" s="728" t="s">
        <v>667</v>
      </c>
      <c r="D434" s="718">
        <f>VLOOKUP(B434,'2-Kosten per locatie'!$A$13:$C$88,3,FALSE)</f>
        <v>2</v>
      </c>
      <c r="E434" s="720" t="s">
        <v>1141</v>
      </c>
      <c r="F434" s="639" t="s">
        <v>980</v>
      </c>
      <c r="G434" s="639" t="s">
        <v>1149</v>
      </c>
      <c r="H434" s="705">
        <v>2</v>
      </c>
      <c r="I434" s="721">
        <f>3*3</f>
        <v>9</v>
      </c>
      <c r="J434" s="722" t="s">
        <v>982</v>
      </c>
      <c r="K434" s="722"/>
      <c r="L434" s="723">
        <f t="shared" si="21"/>
        <v>0</v>
      </c>
      <c r="M434" s="723">
        <f t="shared" si="22"/>
        <v>0</v>
      </c>
      <c r="N434" s="723">
        <f t="shared" si="23"/>
        <v>0</v>
      </c>
    </row>
    <row r="435" spans="1:14">
      <c r="A435" s="639" t="s">
        <v>106</v>
      </c>
      <c r="B435" s="718">
        <v>305</v>
      </c>
      <c r="C435" s="728" t="s">
        <v>667</v>
      </c>
      <c r="D435" s="718">
        <f>VLOOKUP(B435,'2-Kosten per locatie'!$A$13:$C$88,3,FALSE)</f>
        <v>2</v>
      </c>
      <c r="E435" s="720" t="s">
        <v>1141</v>
      </c>
      <c r="F435" s="639" t="s">
        <v>983</v>
      </c>
      <c r="G435" s="639" t="s">
        <v>1149</v>
      </c>
      <c r="H435" s="705">
        <v>2</v>
      </c>
      <c r="I435" s="721">
        <f>3*3</f>
        <v>9</v>
      </c>
      <c r="J435" s="722" t="s">
        <v>968</v>
      </c>
      <c r="K435" s="722"/>
      <c r="L435" s="723">
        <f t="shared" si="21"/>
        <v>0</v>
      </c>
      <c r="M435" s="723">
        <f t="shared" si="22"/>
        <v>0</v>
      </c>
      <c r="N435" s="723">
        <f t="shared" si="23"/>
        <v>0</v>
      </c>
    </row>
    <row r="436" spans="1:14">
      <c r="A436" s="639" t="s">
        <v>106</v>
      </c>
      <c r="B436" s="718">
        <v>305</v>
      </c>
      <c r="C436" s="728" t="s">
        <v>667</v>
      </c>
      <c r="D436" s="718">
        <f>VLOOKUP(B436,'2-Kosten per locatie'!$A$13:$C$88,3,FALSE)</f>
        <v>2</v>
      </c>
      <c r="E436" s="720" t="s">
        <v>1141</v>
      </c>
      <c r="F436" s="639" t="s">
        <v>980</v>
      </c>
      <c r="G436" s="639" t="s">
        <v>1144</v>
      </c>
      <c r="H436" s="705">
        <v>2</v>
      </c>
      <c r="I436" s="721">
        <f>2*9.75</f>
        <v>19.5</v>
      </c>
      <c r="J436" s="722" t="s">
        <v>982</v>
      </c>
      <c r="K436" s="722"/>
      <c r="L436" s="723">
        <f t="shared" si="21"/>
        <v>0</v>
      </c>
      <c r="M436" s="723">
        <f t="shared" si="22"/>
        <v>0</v>
      </c>
      <c r="N436" s="723">
        <f t="shared" si="23"/>
        <v>0</v>
      </c>
    </row>
    <row r="437" spans="1:14">
      <c r="A437" s="639" t="s">
        <v>106</v>
      </c>
      <c r="B437" s="718">
        <v>305</v>
      </c>
      <c r="C437" s="728" t="s">
        <v>667</v>
      </c>
      <c r="D437" s="718">
        <f>VLOOKUP(B437,'2-Kosten per locatie'!$A$13:$C$88,3,FALSE)</f>
        <v>2</v>
      </c>
      <c r="E437" s="720" t="s">
        <v>1141</v>
      </c>
      <c r="F437" s="639" t="s">
        <v>983</v>
      </c>
      <c r="G437" s="639" t="s">
        <v>1144</v>
      </c>
      <c r="H437" s="705">
        <v>2</v>
      </c>
      <c r="I437" s="721">
        <f>2*9.75</f>
        <v>19.5</v>
      </c>
      <c r="J437" s="722" t="s">
        <v>968</v>
      </c>
      <c r="K437" s="722"/>
      <c r="L437" s="723">
        <f t="shared" si="21"/>
        <v>0</v>
      </c>
      <c r="M437" s="723">
        <f t="shared" si="22"/>
        <v>0</v>
      </c>
      <c r="N437" s="723">
        <f t="shared" si="23"/>
        <v>0</v>
      </c>
    </row>
    <row r="438" spans="1:14">
      <c r="A438" s="639" t="s">
        <v>106</v>
      </c>
      <c r="B438" s="718">
        <v>305</v>
      </c>
      <c r="C438" s="728" t="s">
        <v>667</v>
      </c>
      <c r="D438" s="718">
        <f>VLOOKUP(B438,'2-Kosten per locatie'!$A$13:$C$88,3,FALSE)</f>
        <v>2</v>
      </c>
      <c r="E438" s="720" t="s">
        <v>1141</v>
      </c>
      <c r="F438" s="639" t="s">
        <v>980</v>
      </c>
      <c r="G438" s="639" t="s">
        <v>1145</v>
      </c>
      <c r="H438" s="705">
        <v>2</v>
      </c>
      <c r="I438" s="721">
        <f>3*9.75</f>
        <v>29.25</v>
      </c>
      <c r="J438" s="722" t="s">
        <v>982</v>
      </c>
      <c r="K438" s="722"/>
      <c r="L438" s="723">
        <f t="shared" si="21"/>
        <v>0</v>
      </c>
      <c r="M438" s="723">
        <f t="shared" si="22"/>
        <v>0</v>
      </c>
      <c r="N438" s="723">
        <f t="shared" si="23"/>
        <v>0</v>
      </c>
    </row>
    <row r="439" spans="1:14">
      <c r="A439" s="639" t="s">
        <v>106</v>
      </c>
      <c r="B439" s="718">
        <v>305</v>
      </c>
      <c r="C439" s="728" t="s">
        <v>667</v>
      </c>
      <c r="D439" s="718">
        <f>VLOOKUP(B439,'2-Kosten per locatie'!$A$13:$C$88,3,FALSE)</f>
        <v>2</v>
      </c>
      <c r="E439" s="720" t="s">
        <v>1141</v>
      </c>
      <c r="F439" s="639" t="s">
        <v>983</v>
      </c>
      <c r="G439" s="639" t="s">
        <v>1145</v>
      </c>
      <c r="H439" s="705">
        <v>2</v>
      </c>
      <c r="I439" s="721">
        <f>3*9.75</f>
        <v>29.25</v>
      </c>
      <c r="J439" s="722" t="s">
        <v>968</v>
      </c>
      <c r="K439" s="722"/>
      <c r="L439" s="723">
        <f t="shared" si="21"/>
        <v>0</v>
      </c>
      <c r="M439" s="723">
        <f t="shared" si="22"/>
        <v>0</v>
      </c>
      <c r="N439" s="723">
        <f t="shared" si="23"/>
        <v>0</v>
      </c>
    </row>
    <row r="440" spans="1:14">
      <c r="A440" s="639" t="s">
        <v>106</v>
      </c>
      <c r="B440" s="718">
        <v>305</v>
      </c>
      <c r="C440" s="728" t="s">
        <v>667</v>
      </c>
      <c r="D440" s="718">
        <f>VLOOKUP(B440,'2-Kosten per locatie'!$A$13:$C$88,3,FALSE)</f>
        <v>2</v>
      </c>
      <c r="E440" s="720" t="s">
        <v>567</v>
      </c>
      <c r="F440" s="639" t="s">
        <v>971</v>
      </c>
      <c r="G440" s="639" t="s">
        <v>1115</v>
      </c>
      <c r="H440" s="705">
        <v>2</v>
      </c>
      <c r="I440" s="721">
        <f>((1*1)*3)+(0.9*1)</f>
        <v>3.9</v>
      </c>
      <c r="J440" s="722" t="s">
        <v>968</v>
      </c>
      <c r="K440" s="722"/>
      <c r="L440" s="723">
        <f t="shared" si="21"/>
        <v>0</v>
      </c>
      <c r="M440" s="723">
        <f t="shared" si="22"/>
        <v>0</v>
      </c>
      <c r="N440" s="723">
        <f t="shared" si="23"/>
        <v>0</v>
      </c>
    </row>
    <row r="441" spans="1:14">
      <c r="A441" s="639" t="s">
        <v>106</v>
      </c>
      <c r="B441" s="718">
        <v>305</v>
      </c>
      <c r="C441" s="728" t="s">
        <v>667</v>
      </c>
      <c r="D441" s="718">
        <f>VLOOKUP(B441,'2-Kosten per locatie'!$A$13:$C$88,3,FALSE)</f>
        <v>2</v>
      </c>
      <c r="E441" s="720" t="s">
        <v>567</v>
      </c>
      <c r="F441" s="639" t="s">
        <v>977</v>
      </c>
      <c r="G441" s="639" t="s">
        <v>1119</v>
      </c>
      <c r="H441" s="705">
        <v>2</v>
      </c>
      <c r="I441" s="721">
        <f>((1*1)*3)+(0.9*1)</f>
        <v>3.9</v>
      </c>
      <c r="J441" s="722" t="s">
        <v>968</v>
      </c>
      <c r="K441" s="722"/>
      <c r="L441" s="723">
        <f t="shared" si="21"/>
        <v>0</v>
      </c>
      <c r="M441" s="723">
        <f t="shared" si="22"/>
        <v>0</v>
      </c>
      <c r="N441" s="723">
        <f t="shared" si="23"/>
        <v>0</v>
      </c>
    </row>
    <row r="442" spans="1:14">
      <c r="A442" s="639" t="s">
        <v>106</v>
      </c>
      <c r="B442" s="718">
        <v>305</v>
      </c>
      <c r="C442" s="728" t="s">
        <v>667</v>
      </c>
      <c r="D442" s="718">
        <f>VLOOKUP(B442,'2-Kosten per locatie'!$A$13:$C$88,3,FALSE)</f>
        <v>2</v>
      </c>
      <c r="E442" s="720" t="s">
        <v>289</v>
      </c>
      <c r="F442" s="639" t="s">
        <v>966</v>
      </c>
      <c r="G442" s="639" t="s">
        <v>1150</v>
      </c>
      <c r="H442" s="705">
        <v>12</v>
      </c>
      <c r="I442" s="721">
        <f>0.7*(13.4*2+3.1)*2</f>
        <v>41.86</v>
      </c>
      <c r="J442" s="722" t="s">
        <v>982</v>
      </c>
      <c r="K442" s="722"/>
      <c r="L442" s="723">
        <f t="shared" si="21"/>
        <v>0</v>
      </c>
      <c r="M442" s="723">
        <f t="shared" si="22"/>
        <v>0</v>
      </c>
      <c r="N442" s="723">
        <f t="shared" si="23"/>
        <v>0</v>
      </c>
    </row>
    <row r="443" spans="1:14">
      <c r="A443" s="639" t="s">
        <v>1151</v>
      </c>
      <c r="B443" s="718">
        <v>305</v>
      </c>
      <c r="C443" s="728" t="s">
        <v>667</v>
      </c>
      <c r="D443" s="718">
        <f>VLOOKUP(B443,'2-Kosten per locatie'!$A$13:$C$88,3,FALSE)</f>
        <v>2</v>
      </c>
      <c r="E443" s="725"/>
      <c r="F443" s="639" t="s">
        <v>966</v>
      </c>
      <c r="G443" s="639" t="s">
        <v>991</v>
      </c>
      <c r="H443" s="705">
        <v>26</v>
      </c>
      <c r="I443" s="721">
        <v>164</v>
      </c>
      <c r="J443" s="722" t="s">
        <v>982</v>
      </c>
      <c r="K443" s="722" t="s">
        <v>992</v>
      </c>
      <c r="L443" s="723">
        <f t="shared" si="21"/>
        <v>0</v>
      </c>
      <c r="M443" s="723">
        <f t="shared" si="22"/>
        <v>0</v>
      </c>
      <c r="N443" s="723">
        <f t="shared" si="23"/>
        <v>0</v>
      </c>
    </row>
    <row r="444" spans="1:14">
      <c r="A444" s="639" t="s">
        <v>107</v>
      </c>
      <c r="B444" s="718">
        <v>306</v>
      </c>
      <c r="C444" s="728" t="s">
        <v>667</v>
      </c>
      <c r="D444" s="718">
        <f>VLOOKUP(B444,'2-Kosten per locatie'!$A$13:$C$88,3,FALSE)</f>
        <v>2</v>
      </c>
      <c r="E444" s="720" t="s">
        <v>289</v>
      </c>
      <c r="F444" s="639" t="s">
        <v>977</v>
      </c>
      <c r="G444" s="639" t="s">
        <v>1133</v>
      </c>
      <c r="H444" s="705">
        <v>2</v>
      </c>
      <c r="I444" s="721">
        <f>15.5*3+12.5*3+3.5*1</f>
        <v>87.5</v>
      </c>
      <c r="J444" s="722" t="s">
        <v>968</v>
      </c>
      <c r="K444" s="722"/>
      <c r="L444" s="723">
        <f t="shared" si="21"/>
        <v>0</v>
      </c>
      <c r="M444" s="723">
        <f t="shared" si="22"/>
        <v>0</v>
      </c>
      <c r="N444" s="723">
        <f t="shared" si="23"/>
        <v>0</v>
      </c>
    </row>
    <row r="445" spans="1:14">
      <c r="A445" s="639" t="s">
        <v>107</v>
      </c>
      <c r="B445" s="718">
        <v>306</v>
      </c>
      <c r="C445" s="728" t="s">
        <v>667</v>
      </c>
      <c r="D445" s="718">
        <f>VLOOKUP(B445,'2-Kosten per locatie'!$A$13:$C$88,3,FALSE)</f>
        <v>2</v>
      </c>
      <c r="E445" s="720" t="s">
        <v>289</v>
      </c>
      <c r="F445" s="639" t="s">
        <v>977</v>
      </c>
      <c r="G445" s="639" t="s">
        <v>1135</v>
      </c>
      <c r="H445" s="705">
        <v>2</v>
      </c>
      <c r="I445" s="721">
        <f>15.5*3+12.5*3+3.5*1</f>
        <v>87.5</v>
      </c>
      <c r="J445" s="722" t="s">
        <v>968</v>
      </c>
      <c r="K445" s="722"/>
      <c r="L445" s="723">
        <f t="shared" si="21"/>
        <v>0</v>
      </c>
      <c r="M445" s="723">
        <f t="shared" si="22"/>
        <v>0</v>
      </c>
      <c r="N445" s="723">
        <f t="shared" si="23"/>
        <v>0</v>
      </c>
    </row>
    <row r="446" spans="1:14">
      <c r="A446" s="639" t="s">
        <v>107</v>
      </c>
      <c r="B446" s="718">
        <v>306</v>
      </c>
      <c r="C446" s="728" t="s">
        <v>667</v>
      </c>
      <c r="D446" s="718">
        <f>VLOOKUP(B446,'2-Kosten per locatie'!$A$13:$C$88,3,FALSE)</f>
        <v>2</v>
      </c>
      <c r="E446" s="720" t="s">
        <v>289</v>
      </c>
      <c r="F446" s="639" t="s">
        <v>977</v>
      </c>
      <c r="G446" s="639" t="s">
        <v>1136</v>
      </c>
      <c r="H446" s="705">
        <v>2</v>
      </c>
      <c r="I446" s="721">
        <f>2*(6.2*1*2+15.5*1.75)</f>
        <v>79.05</v>
      </c>
      <c r="J446" s="722" t="s">
        <v>968</v>
      </c>
      <c r="K446" s="722"/>
      <c r="L446" s="723">
        <f t="shared" si="21"/>
        <v>0</v>
      </c>
      <c r="M446" s="723">
        <f t="shared" si="22"/>
        <v>0</v>
      </c>
      <c r="N446" s="723">
        <f t="shared" si="23"/>
        <v>0</v>
      </c>
    </row>
    <row r="447" spans="1:14">
      <c r="A447" s="639" t="s">
        <v>107</v>
      </c>
      <c r="B447" s="718">
        <v>306</v>
      </c>
      <c r="C447" s="728" t="s">
        <v>667</v>
      </c>
      <c r="D447" s="718">
        <f>VLOOKUP(B447,'2-Kosten per locatie'!$A$13:$C$88,3,FALSE)</f>
        <v>2</v>
      </c>
      <c r="E447" s="720" t="s">
        <v>289</v>
      </c>
      <c r="F447" s="639" t="s">
        <v>977</v>
      </c>
      <c r="G447" s="639" t="s">
        <v>1138</v>
      </c>
      <c r="H447" s="705">
        <v>2</v>
      </c>
      <c r="I447" s="721">
        <f>2*(6.2*1*2+15.5*1.75)</f>
        <v>79.05</v>
      </c>
      <c r="J447" s="722" t="s">
        <v>968</v>
      </c>
      <c r="K447" s="722"/>
      <c r="L447" s="723">
        <f t="shared" si="21"/>
        <v>0</v>
      </c>
      <c r="M447" s="723">
        <f t="shared" si="22"/>
        <v>0</v>
      </c>
      <c r="N447" s="723">
        <f t="shared" si="23"/>
        <v>0</v>
      </c>
    </row>
    <row r="448" spans="1:14">
      <c r="A448" s="639" t="s">
        <v>107</v>
      </c>
      <c r="B448" s="718">
        <v>306</v>
      </c>
      <c r="C448" s="728" t="s">
        <v>667</v>
      </c>
      <c r="D448" s="718">
        <f>VLOOKUP(B448,'2-Kosten per locatie'!$A$13:$C$88,3,FALSE)</f>
        <v>2</v>
      </c>
      <c r="E448" s="720" t="s">
        <v>178</v>
      </c>
      <c r="F448" s="639" t="s">
        <v>977</v>
      </c>
      <c r="G448" s="639" t="s">
        <v>1146</v>
      </c>
      <c r="H448" s="705">
        <v>2</v>
      </c>
      <c r="I448" s="721">
        <f>4*4.8</f>
        <v>19.2</v>
      </c>
      <c r="J448" s="722" t="s">
        <v>968</v>
      </c>
      <c r="K448" s="722"/>
      <c r="L448" s="723">
        <f t="shared" si="21"/>
        <v>0</v>
      </c>
      <c r="M448" s="723">
        <f t="shared" si="22"/>
        <v>0</v>
      </c>
      <c r="N448" s="723">
        <f t="shared" si="23"/>
        <v>0</v>
      </c>
    </row>
    <row r="449" spans="1:14">
      <c r="A449" s="639" t="s">
        <v>107</v>
      </c>
      <c r="B449" s="718">
        <v>306</v>
      </c>
      <c r="C449" s="728" t="s">
        <v>667</v>
      </c>
      <c r="D449" s="718">
        <f>VLOOKUP(B449,'2-Kosten per locatie'!$A$13:$C$88,3,FALSE)</f>
        <v>2</v>
      </c>
      <c r="E449" s="720" t="s">
        <v>178</v>
      </c>
      <c r="F449" s="639" t="s">
        <v>977</v>
      </c>
      <c r="G449" s="639" t="s">
        <v>1147</v>
      </c>
      <c r="H449" s="705">
        <v>2</v>
      </c>
      <c r="I449" s="721">
        <f>4*4.8</f>
        <v>19.2</v>
      </c>
      <c r="J449" s="722" t="s">
        <v>968</v>
      </c>
      <c r="K449" s="722"/>
      <c r="L449" s="723">
        <f t="shared" si="21"/>
        <v>0</v>
      </c>
      <c r="M449" s="723">
        <f t="shared" si="22"/>
        <v>0</v>
      </c>
      <c r="N449" s="723">
        <f t="shared" si="23"/>
        <v>0</v>
      </c>
    </row>
    <row r="450" spans="1:14">
      <c r="A450" s="639" t="s">
        <v>107</v>
      </c>
      <c r="B450" s="718">
        <v>306</v>
      </c>
      <c r="C450" s="728" t="s">
        <v>667</v>
      </c>
      <c r="D450" s="718">
        <f>VLOOKUP(B450,'2-Kosten per locatie'!$A$13:$C$88,3,FALSE)</f>
        <v>2</v>
      </c>
      <c r="E450" s="720" t="s">
        <v>289</v>
      </c>
      <c r="F450" s="639" t="s">
        <v>966</v>
      </c>
      <c r="G450" s="639" t="s">
        <v>1148</v>
      </c>
      <c r="H450" s="705">
        <v>12</v>
      </c>
      <c r="I450" s="721">
        <f>0.7*12*2</f>
        <v>16.799999999999997</v>
      </c>
      <c r="J450" s="722" t="s">
        <v>982</v>
      </c>
      <c r="K450" s="722"/>
      <c r="L450" s="723">
        <f t="shared" si="21"/>
        <v>0</v>
      </c>
      <c r="M450" s="723">
        <f t="shared" si="22"/>
        <v>0</v>
      </c>
      <c r="N450" s="723">
        <f t="shared" si="23"/>
        <v>0</v>
      </c>
    </row>
    <row r="451" spans="1:14">
      <c r="A451" s="639" t="s">
        <v>107</v>
      </c>
      <c r="B451" s="718">
        <v>306</v>
      </c>
      <c r="C451" s="728" t="s">
        <v>667</v>
      </c>
      <c r="D451" s="718">
        <f>VLOOKUP(B451,'2-Kosten per locatie'!$A$13:$C$88,3,FALSE)</f>
        <v>2</v>
      </c>
      <c r="E451" s="720" t="s">
        <v>1141</v>
      </c>
      <c r="F451" s="639" t="s">
        <v>980</v>
      </c>
      <c r="G451" s="639" t="s">
        <v>1142</v>
      </c>
      <c r="H451" s="705">
        <v>2</v>
      </c>
      <c r="I451" s="721">
        <f>1.9*4</f>
        <v>7.6</v>
      </c>
      <c r="J451" s="722" t="s">
        <v>982</v>
      </c>
      <c r="K451" s="722"/>
      <c r="L451" s="723">
        <f t="shared" si="21"/>
        <v>0</v>
      </c>
      <c r="M451" s="723">
        <f t="shared" si="22"/>
        <v>0</v>
      </c>
      <c r="N451" s="723">
        <f t="shared" si="23"/>
        <v>0</v>
      </c>
    </row>
    <row r="452" spans="1:14">
      <c r="A452" s="639" t="s">
        <v>107</v>
      </c>
      <c r="B452" s="718">
        <v>306</v>
      </c>
      <c r="C452" s="728" t="s">
        <v>667</v>
      </c>
      <c r="D452" s="718">
        <f>VLOOKUP(B452,'2-Kosten per locatie'!$A$13:$C$88,3,FALSE)</f>
        <v>2</v>
      </c>
      <c r="E452" s="720" t="s">
        <v>1141</v>
      </c>
      <c r="F452" s="639" t="s">
        <v>983</v>
      </c>
      <c r="G452" s="639" t="s">
        <v>1142</v>
      </c>
      <c r="H452" s="705">
        <v>2</v>
      </c>
      <c r="I452" s="721">
        <f>1.9*4</f>
        <v>7.6</v>
      </c>
      <c r="J452" s="722" t="s">
        <v>968</v>
      </c>
      <c r="K452" s="722"/>
      <c r="L452" s="723">
        <f t="shared" si="21"/>
        <v>0</v>
      </c>
      <c r="M452" s="723">
        <f t="shared" si="22"/>
        <v>0</v>
      </c>
      <c r="N452" s="723">
        <f t="shared" si="23"/>
        <v>0</v>
      </c>
    </row>
    <row r="453" spans="1:14">
      <c r="A453" s="639" t="s">
        <v>107</v>
      </c>
      <c r="B453" s="718">
        <v>306</v>
      </c>
      <c r="C453" s="728" t="s">
        <v>667</v>
      </c>
      <c r="D453" s="718">
        <f>VLOOKUP(B453,'2-Kosten per locatie'!$A$13:$C$88,3,FALSE)</f>
        <v>2</v>
      </c>
      <c r="E453" s="720" t="s">
        <v>1141</v>
      </c>
      <c r="F453" s="639" t="s">
        <v>980</v>
      </c>
      <c r="G453" s="639" t="s">
        <v>1149</v>
      </c>
      <c r="H453" s="705">
        <v>2</v>
      </c>
      <c r="I453" s="721">
        <f>3*3</f>
        <v>9</v>
      </c>
      <c r="J453" s="722" t="s">
        <v>982</v>
      </c>
      <c r="K453" s="722"/>
      <c r="L453" s="723">
        <f t="shared" si="21"/>
        <v>0</v>
      </c>
      <c r="M453" s="723">
        <f t="shared" si="22"/>
        <v>0</v>
      </c>
      <c r="N453" s="723">
        <f t="shared" si="23"/>
        <v>0</v>
      </c>
    </row>
    <row r="454" spans="1:14">
      <c r="A454" s="639" t="s">
        <v>107</v>
      </c>
      <c r="B454" s="718">
        <v>306</v>
      </c>
      <c r="C454" s="728" t="s">
        <v>667</v>
      </c>
      <c r="D454" s="718">
        <f>VLOOKUP(B454,'2-Kosten per locatie'!$A$13:$C$88,3,FALSE)</f>
        <v>2</v>
      </c>
      <c r="E454" s="720" t="s">
        <v>1141</v>
      </c>
      <c r="F454" s="639" t="s">
        <v>983</v>
      </c>
      <c r="G454" s="639" t="s">
        <v>1149</v>
      </c>
      <c r="H454" s="705">
        <v>2</v>
      </c>
      <c r="I454" s="721">
        <f>3*3</f>
        <v>9</v>
      </c>
      <c r="J454" s="722" t="s">
        <v>968</v>
      </c>
      <c r="K454" s="722"/>
      <c r="L454" s="723">
        <f t="shared" si="21"/>
        <v>0</v>
      </c>
      <c r="M454" s="723">
        <f t="shared" si="22"/>
        <v>0</v>
      </c>
      <c r="N454" s="723">
        <f t="shared" si="23"/>
        <v>0</v>
      </c>
    </row>
    <row r="455" spans="1:14">
      <c r="A455" s="639" t="s">
        <v>107</v>
      </c>
      <c r="B455" s="718">
        <v>306</v>
      </c>
      <c r="C455" s="728" t="s">
        <v>667</v>
      </c>
      <c r="D455" s="718">
        <f>VLOOKUP(B455,'2-Kosten per locatie'!$A$13:$C$88,3,FALSE)</f>
        <v>2</v>
      </c>
      <c r="E455" s="720" t="s">
        <v>1141</v>
      </c>
      <c r="F455" s="639" t="s">
        <v>980</v>
      </c>
      <c r="G455" s="639" t="s">
        <v>1144</v>
      </c>
      <c r="H455" s="705">
        <v>2</v>
      </c>
      <c r="I455" s="721">
        <f>2*9.75</f>
        <v>19.5</v>
      </c>
      <c r="J455" s="722" t="s">
        <v>982</v>
      </c>
      <c r="K455" s="722"/>
      <c r="L455" s="723">
        <f t="shared" si="21"/>
        <v>0</v>
      </c>
      <c r="M455" s="723">
        <f t="shared" si="22"/>
        <v>0</v>
      </c>
      <c r="N455" s="723">
        <f t="shared" si="23"/>
        <v>0</v>
      </c>
    </row>
    <row r="456" spans="1:14">
      <c r="A456" s="639" t="s">
        <v>107</v>
      </c>
      <c r="B456" s="718">
        <v>306</v>
      </c>
      <c r="C456" s="728" t="s">
        <v>667</v>
      </c>
      <c r="D456" s="718">
        <f>VLOOKUP(B456,'2-Kosten per locatie'!$A$13:$C$88,3,FALSE)</f>
        <v>2</v>
      </c>
      <c r="E456" s="720" t="s">
        <v>1141</v>
      </c>
      <c r="F456" s="639" t="s">
        <v>983</v>
      </c>
      <c r="G456" s="639" t="s">
        <v>1144</v>
      </c>
      <c r="H456" s="705">
        <v>2</v>
      </c>
      <c r="I456" s="721">
        <f>2*9.75</f>
        <v>19.5</v>
      </c>
      <c r="J456" s="722" t="s">
        <v>968</v>
      </c>
      <c r="K456" s="722"/>
      <c r="L456" s="723">
        <f t="shared" si="21"/>
        <v>0</v>
      </c>
      <c r="M456" s="723">
        <f t="shared" si="22"/>
        <v>0</v>
      </c>
      <c r="N456" s="723">
        <f t="shared" si="23"/>
        <v>0</v>
      </c>
    </row>
    <row r="457" spans="1:14">
      <c r="A457" s="639" t="s">
        <v>107</v>
      </c>
      <c r="B457" s="718">
        <v>306</v>
      </c>
      <c r="C457" s="728" t="s">
        <v>667</v>
      </c>
      <c r="D457" s="718">
        <f>VLOOKUP(B457,'2-Kosten per locatie'!$A$13:$C$88,3,FALSE)</f>
        <v>2</v>
      </c>
      <c r="E457" s="720" t="s">
        <v>1141</v>
      </c>
      <c r="F457" s="639" t="s">
        <v>980</v>
      </c>
      <c r="G457" s="639" t="s">
        <v>1145</v>
      </c>
      <c r="H457" s="705">
        <v>2</v>
      </c>
      <c r="I457" s="721">
        <f>3*9.75</f>
        <v>29.25</v>
      </c>
      <c r="J457" s="722" t="s">
        <v>982</v>
      </c>
      <c r="K457" s="722"/>
      <c r="L457" s="723">
        <f t="shared" si="21"/>
        <v>0</v>
      </c>
      <c r="M457" s="723">
        <f t="shared" si="22"/>
        <v>0</v>
      </c>
      <c r="N457" s="723">
        <f t="shared" si="23"/>
        <v>0</v>
      </c>
    </row>
    <row r="458" spans="1:14">
      <c r="A458" s="639" t="s">
        <v>107</v>
      </c>
      <c r="B458" s="718">
        <v>306</v>
      </c>
      <c r="C458" s="728" t="s">
        <v>667</v>
      </c>
      <c r="D458" s="718">
        <f>VLOOKUP(B458,'2-Kosten per locatie'!$A$13:$C$88,3,FALSE)</f>
        <v>2</v>
      </c>
      <c r="E458" s="720" t="s">
        <v>1141</v>
      </c>
      <c r="F458" s="639" t="s">
        <v>983</v>
      </c>
      <c r="G458" s="639" t="s">
        <v>1145</v>
      </c>
      <c r="H458" s="705">
        <v>2</v>
      </c>
      <c r="I458" s="721">
        <f>3*9.75</f>
        <v>29.25</v>
      </c>
      <c r="J458" s="722" t="s">
        <v>968</v>
      </c>
      <c r="K458" s="722"/>
      <c r="L458" s="723">
        <f t="shared" si="21"/>
        <v>0</v>
      </c>
      <c r="M458" s="723">
        <f t="shared" si="22"/>
        <v>0</v>
      </c>
      <c r="N458" s="723">
        <f t="shared" si="23"/>
        <v>0</v>
      </c>
    </row>
    <row r="459" spans="1:14">
      <c r="A459" s="639" t="s">
        <v>107</v>
      </c>
      <c r="B459" s="718">
        <v>306</v>
      </c>
      <c r="C459" s="728" t="s">
        <v>667</v>
      </c>
      <c r="D459" s="718">
        <f>VLOOKUP(B459,'2-Kosten per locatie'!$A$13:$C$88,3,FALSE)</f>
        <v>2</v>
      </c>
      <c r="E459" s="720" t="s">
        <v>567</v>
      </c>
      <c r="F459" s="639" t="s">
        <v>971</v>
      </c>
      <c r="G459" s="639" t="s">
        <v>1115</v>
      </c>
      <c r="H459" s="705">
        <v>2</v>
      </c>
      <c r="I459" s="721">
        <f>((1*1)*3)+(0.9*1)</f>
        <v>3.9</v>
      </c>
      <c r="J459" s="722" t="s">
        <v>968</v>
      </c>
      <c r="K459" s="722"/>
      <c r="L459" s="723">
        <f t="shared" si="21"/>
        <v>0</v>
      </c>
      <c r="M459" s="723">
        <f t="shared" si="22"/>
        <v>0</v>
      </c>
      <c r="N459" s="723">
        <f t="shared" si="23"/>
        <v>0</v>
      </c>
    </row>
    <row r="460" spans="1:14">
      <c r="A460" s="639" t="s">
        <v>107</v>
      </c>
      <c r="B460" s="718">
        <v>306</v>
      </c>
      <c r="C460" s="728" t="s">
        <v>667</v>
      </c>
      <c r="D460" s="718">
        <f>VLOOKUP(B460,'2-Kosten per locatie'!$A$13:$C$88,3,FALSE)</f>
        <v>2</v>
      </c>
      <c r="E460" s="720" t="s">
        <v>567</v>
      </c>
      <c r="F460" s="639" t="s">
        <v>977</v>
      </c>
      <c r="G460" s="639" t="s">
        <v>1119</v>
      </c>
      <c r="H460" s="705">
        <v>2</v>
      </c>
      <c r="I460" s="721">
        <f>((1*1)*3)+(0.9*1)</f>
        <v>3.9</v>
      </c>
      <c r="J460" s="722" t="s">
        <v>968</v>
      </c>
      <c r="K460" s="722"/>
      <c r="L460" s="723">
        <f t="shared" si="21"/>
        <v>0</v>
      </c>
      <c r="M460" s="723">
        <f t="shared" si="22"/>
        <v>0</v>
      </c>
      <c r="N460" s="723">
        <f t="shared" si="23"/>
        <v>0</v>
      </c>
    </row>
    <row r="461" spans="1:14">
      <c r="A461" s="639" t="s">
        <v>107</v>
      </c>
      <c r="B461" s="718">
        <v>306</v>
      </c>
      <c r="C461" s="728" t="s">
        <v>667</v>
      </c>
      <c r="D461" s="718">
        <f>VLOOKUP(B461,'2-Kosten per locatie'!$A$13:$C$88,3,FALSE)</f>
        <v>2</v>
      </c>
      <c r="E461" s="725"/>
      <c r="F461" s="639" t="s">
        <v>966</v>
      </c>
      <c r="G461" s="639" t="s">
        <v>991</v>
      </c>
      <c r="H461" s="705">
        <v>26</v>
      </c>
      <c r="I461" s="721">
        <v>70</v>
      </c>
      <c r="J461" s="722" t="s">
        <v>982</v>
      </c>
      <c r="K461" s="722" t="s">
        <v>992</v>
      </c>
      <c r="L461" s="723">
        <f t="shared" si="21"/>
        <v>0</v>
      </c>
      <c r="M461" s="723">
        <f t="shared" si="22"/>
        <v>0</v>
      </c>
      <c r="N461" s="723">
        <f t="shared" si="23"/>
        <v>0</v>
      </c>
    </row>
    <row r="462" spans="1:14">
      <c r="A462" s="639" t="s">
        <v>108</v>
      </c>
      <c r="B462" s="718">
        <v>307</v>
      </c>
      <c r="C462" s="728" t="s">
        <v>667</v>
      </c>
      <c r="D462" s="718">
        <f>VLOOKUP(B462,'2-Kosten per locatie'!$A$13:$C$88,3,FALSE)</f>
        <v>2</v>
      </c>
      <c r="E462" s="720" t="s">
        <v>289</v>
      </c>
      <c r="F462" s="639" t="s">
        <v>966</v>
      </c>
      <c r="G462" s="639" t="s">
        <v>1152</v>
      </c>
      <c r="H462" s="705">
        <v>12</v>
      </c>
      <c r="I462" s="721">
        <f>0.75*((2.2+7.4*2)+(4.3+13*2)+(4.3+15*2)+(13.75+15.5+4.3))*2</f>
        <v>172.72499999999999</v>
      </c>
      <c r="J462" s="722" t="s">
        <v>982</v>
      </c>
      <c r="K462" s="722"/>
      <c r="L462" s="723">
        <f t="shared" si="21"/>
        <v>0</v>
      </c>
      <c r="M462" s="723">
        <f t="shared" si="22"/>
        <v>0</v>
      </c>
      <c r="N462" s="723">
        <f t="shared" si="23"/>
        <v>0</v>
      </c>
    </row>
    <row r="463" spans="1:14">
      <c r="A463" s="639" t="s">
        <v>108</v>
      </c>
      <c r="B463" s="718">
        <v>307</v>
      </c>
      <c r="C463" s="728" t="s">
        <v>667</v>
      </c>
      <c r="D463" s="718">
        <f>VLOOKUP(B463,'2-Kosten per locatie'!$A$13:$C$88,3,FALSE)</f>
        <v>2</v>
      </c>
      <c r="E463" s="720" t="s">
        <v>289</v>
      </c>
      <c r="F463" s="639" t="s">
        <v>966</v>
      </c>
      <c r="G463" s="639" t="s">
        <v>1153</v>
      </c>
      <c r="H463" s="705">
        <v>12</v>
      </c>
      <c r="I463" s="721">
        <f>0.75*(2.25+4.15+4.4+1.4)*2</f>
        <v>18.3</v>
      </c>
      <c r="J463" s="722" t="s">
        <v>968</v>
      </c>
      <c r="K463" s="722"/>
      <c r="L463" s="723">
        <f t="shared" ref="L463:L526" si="27">IF(J463="ja",0,VLOOKUP(F463,Glassoort2,2,0))*I463</f>
        <v>0</v>
      </c>
      <c r="M463" s="723">
        <f t="shared" ref="M463:M526" si="28">IF(J463="ja",VLOOKUP(F463,Glassoort2,3,0))*I463</f>
        <v>0</v>
      </c>
      <c r="N463" s="723">
        <f t="shared" ref="N463:N526" si="29">(M463*H463)+(L463*H463)</f>
        <v>0</v>
      </c>
    </row>
    <row r="464" spans="1:14">
      <c r="A464" s="639" t="s">
        <v>108</v>
      </c>
      <c r="B464" s="718">
        <v>307</v>
      </c>
      <c r="C464" s="728" t="s">
        <v>667</v>
      </c>
      <c r="D464" s="718">
        <f>VLOOKUP(B464,'2-Kosten per locatie'!$A$13:$C$88,3,FALSE)</f>
        <v>2</v>
      </c>
      <c r="E464" s="720" t="s">
        <v>289</v>
      </c>
      <c r="F464" s="639" t="s">
        <v>966</v>
      </c>
      <c r="G464" s="639" t="s">
        <v>1154</v>
      </c>
      <c r="H464" s="705">
        <v>12</v>
      </c>
      <c r="I464" s="721">
        <f>0.75*(2.25+4.15+4.4+1.4)*2</f>
        <v>18.3</v>
      </c>
      <c r="J464" s="722" t="s">
        <v>982</v>
      </c>
      <c r="K464" s="722"/>
      <c r="L464" s="723">
        <f t="shared" si="27"/>
        <v>0</v>
      </c>
      <c r="M464" s="723">
        <f t="shared" si="28"/>
        <v>0</v>
      </c>
      <c r="N464" s="723">
        <f t="shared" si="29"/>
        <v>0</v>
      </c>
    </row>
    <row r="465" spans="1:14">
      <c r="A465" s="639" t="s">
        <v>108</v>
      </c>
      <c r="B465" s="718">
        <v>307</v>
      </c>
      <c r="C465" s="728" t="s">
        <v>667</v>
      </c>
      <c r="D465" s="718">
        <f>VLOOKUP(B465,'2-Kosten per locatie'!$A$13:$C$88,3,FALSE)</f>
        <v>2</v>
      </c>
      <c r="E465" s="720" t="s">
        <v>289</v>
      </c>
      <c r="F465" s="639" t="s">
        <v>980</v>
      </c>
      <c r="G465" s="639" t="s">
        <v>1155</v>
      </c>
      <c r="H465" s="705">
        <v>2</v>
      </c>
      <c r="I465" s="721">
        <f>(11+11)*(1.6*3.14)</f>
        <v>110.52800000000002</v>
      </c>
      <c r="J465" s="722" t="s">
        <v>982</v>
      </c>
      <c r="K465" s="722"/>
      <c r="L465" s="723">
        <f t="shared" si="27"/>
        <v>0</v>
      </c>
      <c r="M465" s="723">
        <f t="shared" si="28"/>
        <v>0</v>
      </c>
      <c r="N465" s="723">
        <f t="shared" si="29"/>
        <v>0</v>
      </c>
    </row>
    <row r="466" spans="1:14">
      <c r="A466" s="639" t="s">
        <v>108</v>
      </c>
      <c r="B466" s="718">
        <v>307</v>
      </c>
      <c r="C466" s="728" t="s">
        <v>667</v>
      </c>
      <c r="D466" s="718">
        <f>VLOOKUP(B466,'2-Kosten per locatie'!$A$13:$C$88,3,FALSE)</f>
        <v>2</v>
      </c>
      <c r="E466" s="720" t="s">
        <v>289</v>
      </c>
      <c r="F466" s="639" t="s">
        <v>983</v>
      </c>
      <c r="G466" s="639" t="s">
        <v>1155</v>
      </c>
      <c r="H466" s="705">
        <v>2</v>
      </c>
      <c r="I466" s="721">
        <f>(11+11)*(1.6*3.14)</f>
        <v>110.52800000000002</v>
      </c>
      <c r="J466" s="722" t="s">
        <v>982</v>
      </c>
      <c r="K466" s="722"/>
      <c r="L466" s="723">
        <f t="shared" si="27"/>
        <v>0</v>
      </c>
      <c r="M466" s="723">
        <f t="shared" si="28"/>
        <v>0</v>
      </c>
      <c r="N466" s="723">
        <f t="shared" si="29"/>
        <v>0</v>
      </c>
    </row>
    <row r="467" spans="1:14">
      <c r="A467" s="639" t="s">
        <v>108</v>
      </c>
      <c r="B467" s="718">
        <v>307</v>
      </c>
      <c r="C467" s="728" t="s">
        <v>667</v>
      </c>
      <c r="D467" s="718">
        <f>VLOOKUP(B467,'2-Kosten per locatie'!$A$13:$C$88,3,FALSE)</f>
        <v>2</v>
      </c>
      <c r="E467" s="720" t="s">
        <v>289</v>
      </c>
      <c r="F467" s="639" t="s">
        <v>980</v>
      </c>
      <c r="G467" s="639" t="s">
        <v>1156</v>
      </c>
      <c r="H467" s="705">
        <v>2</v>
      </c>
      <c r="I467" s="721">
        <f>(1*(2.2*1.1))+(4*(0.8*1.8))*2</f>
        <v>13.940000000000001</v>
      </c>
      <c r="J467" s="722" t="s">
        <v>982</v>
      </c>
      <c r="K467" s="722"/>
      <c r="L467" s="723">
        <f t="shared" si="27"/>
        <v>0</v>
      </c>
      <c r="M467" s="723">
        <f t="shared" si="28"/>
        <v>0</v>
      </c>
      <c r="N467" s="723">
        <f t="shared" si="29"/>
        <v>0</v>
      </c>
    </row>
    <row r="468" spans="1:14">
      <c r="A468" s="639" t="s">
        <v>108</v>
      </c>
      <c r="B468" s="718">
        <v>307</v>
      </c>
      <c r="C468" s="728" t="s">
        <v>667</v>
      </c>
      <c r="D468" s="718">
        <f>VLOOKUP(B468,'2-Kosten per locatie'!$A$13:$C$88,3,FALSE)</f>
        <v>2</v>
      </c>
      <c r="E468" s="720" t="s">
        <v>289</v>
      </c>
      <c r="F468" s="639" t="s">
        <v>983</v>
      </c>
      <c r="G468" s="639" t="s">
        <v>1156</v>
      </c>
      <c r="H468" s="705">
        <v>2</v>
      </c>
      <c r="I468" s="721">
        <f>(1*(2.2*1.1))+(4*(0.8*1.8))*2</f>
        <v>13.940000000000001</v>
      </c>
      <c r="J468" s="722" t="s">
        <v>982</v>
      </c>
      <c r="K468" s="722"/>
      <c r="L468" s="723">
        <f t="shared" si="27"/>
        <v>0</v>
      </c>
      <c r="M468" s="723">
        <f t="shared" si="28"/>
        <v>0</v>
      </c>
      <c r="N468" s="723">
        <f t="shared" si="29"/>
        <v>0</v>
      </c>
    </row>
    <row r="469" spans="1:14">
      <c r="A469" s="639" t="s">
        <v>108</v>
      </c>
      <c r="B469" s="718">
        <v>307</v>
      </c>
      <c r="C469" s="728" t="s">
        <v>667</v>
      </c>
      <c r="D469" s="718">
        <f>VLOOKUP(B469,'2-Kosten per locatie'!$A$13:$C$88,3,FALSE)</f>
        <v>2</v>
      </c>
      <c r="E469" s="720" t="s">
        <v>289</v>
      </c>
      <c r="F469" s="639" t="s">
        <v>969</v>
      </c>
      <c r="G469" s="639" t="s">
        <v>1157</v>
      </c>
      <c r="H469" s="705">
        <v>2</v>
      </c>
      <c r="I469" s="721">
        <f>4.5*(5.5*24)</f>
        <v>594</v>
      </c>
      <c r="J469" s="722" t="s">
        <v>968</v>
      </c>
      <c r="K469" s="722"/>
      <c r="L469" s="723">
        <f t="shared" si="27"/>
        <v>0</v>
      </c>
      <c r="M469" s="723">
        <f t="shared" si="28"/>
        <v>0</v>
      </c>
      <c r="N469" s="723">
        <f t="shared" si="29"/>
        <v>0</v>
      </c>
    </row>
    <row r="470" spans="1:14">
      <c r="A470" s="639" t="s">
        <v>108</v>
      </c>
      <c r="B470" s="718">
        <v>307</v>
      </c>
      <c r="C470" s="728" t="s">
        <v>667</v>
      </c>
      <c r="D470" s="718">
        <f>VLOOKUP(B470,'2-Kosten per locatie'!$A$13:$C$88,3,FALSE)</f>
        <v>2</v>
      </c>
      <c r="E470" s="720" t="s">
        <v>289</v>
      </c>
      <c r="F470" s="639" t="s">
        <v>975</v>
      </c>
      <c r="G470" s="639" t="s">
        <v>1157</v>
      </c>
      <c r="H470" s="705">
        <v>2</v>
      </c>
      <c r="I470" s="721">
        <f>4.5*(5.5*24)</f>
        <v>594</v>
      </c>
      <c r="J470" s="722" t="s">
        <v>982</v>
      </c>
      <c r="K470" s="722"/>
      <c r="L470" s="723">
        <f t="shared" si="27"/>
        <v>0</v>
      </c>
      <c r="M470" s="723">
        <f t="shared" si="28"/>
        <v>0</v>
      </c>
      <c r="N470" s="723">
        <f t="shared" si="29"/>
        <v>0</v>
      </c>
    </row>
    <row r="471" spans="1:14">
      <c r="A471" s="639" t="s">
        <v>108</v>
      </c>
      <c r="B471" s="718">
        <v>307</v>
      </c>
      <c r="C471" s="728" t="s">
        <v>667</v>
      </c>
      <c r="D471" s="718">
        <f>VLOOKUP(B471,'2-Kosten per locatie'!$A$13:$C$88,3,FALSE)</f>
        <v>2</v>
      </c>
      <c r="E471" s="720" t="s">
        <v>187</v>
      </c>
      <c r="F471" s="639" t="s">
        <v>971</v>
      </c>
      <c r="G471" s="639" t="s">
        <v>1115</v>
      </c>
      <c r="H471" s="705">
        <v>2</v>
      </c>
      <c r="I471" s="721">
        <f>4.4*(3.8+15.7+0.85+4+13+4)</f>
        <v>181.94000000000003</v>
      </c>
      <c r="J471" s="722" t="s">
        <v>982</v>
      </c>
      <c r="K471" s="722"/>
      <c r="L471" s="723">
        <f t="shared" si="27"/>
        <v>0</v>
      </c>
      <c r="M471" s="723">
        <f t="shared" si="28"/>
        <v>0</v>
      </c>
      <c r="N471" s="723">
        <f t="shared" si="29"/>
        <v>0</v>
      </c>
    </row>
    <row r="472" spans="1:14">
      <c r="A472" s="639" t="s">
        <v>108</v>
      </c>
      <c r="B472" s="718">
        <v>307</v>
      </c>
      <c r="C472" s="728" t="s">
        <v>667</v>
      </c>
      <c r="D472" s="718">
        <f>VLOOKUP(B472,'2-Kosten per locatie'!$A$13:$C$88,3,FALSE)</f>
        <v>2</v>
      </c>
      <c r="E472" s="720" t="s">
        <v>187</v>
      </c>
      <c r="F472" s="639" t="s">
        <v>977</v>
      </c>
      <c r="G472" s="639" t="s">
        <v>1119</v>
      </c>
      <c r="H472" s="705">
        <v>2</v>
      </c>
      <c r="I472" s="721">
        <f>4.4*(3.8+15.7+0.85+4+13+4)</f>
        <v>181.94000000000003</v>
      </c>
      <c r="J472" s="722" t="s">
        <v>982</v>
      </c>
      <c r="K472" s="722"/>
      <c r="L472" s="723">
        <f t="shared" si="27"/>
        <v>0</v>
      </c>
      <c r="M472" s="723">
        <f t="shared" si="28"/>
        <v>0</v>
      </c>
      <c r="N472" s="723">
        <f t="shared" si="29"/>
        <v>0</v>
      </c>
    </row>
    <row r="473" spans="1:14">
      <c r="A473" s="639" t="s">
        <v>108</v>
      </c>
      <c r="B473" s="718">
        <v>307</v>
      </c>
      <c r="C473" s="728" t="s">
        <v>667</v>
      </c>
      <c r="D473" s="718">
        <f>VLOOKUP(B473,'2-Kosten per locatie'!$A$13:$C$88,3,FALSE)</f>
        <v>2</v>
      </c>
      <c r="E473" s="720" t="s">
        <v>744</v>
      </c>
      <c r="F473" s="639" t="s">
        <v>971</v>
      </c>
      <c r="G473" s="639" t="s">
        <v>1115</v>
      </c>
      <c r="H473" s="705">
        <v>2</v>
      </c>
      <c r="I473" s="721">
        <f>12*(0.95*2.35)</f>
        <v>26.79</v>
      </c>
      <c r="J473" s="722" t="s">
        <v>982</v>
      </c>
      <c r="K473" s="722"/>
      <c r="L473" s="723">
        <f t="shared" si="27"/>
        <v>0</v>
      </c>
      <c r="M473" s="723">
        <f t="shared" si="28"/>
        <v>0</v>
      </c>
      <c r="N473" s="723">
        <f t="shared" si="29"/>
        <v>0</v>
      </c>
    </row>
    <row r="474" spans="1:14">
      <c r="A474" s="639" t="s">
        <v>108</v>
      </c>
      <c r="B474" s="718">
        <v>307</v>
      </c>
      <c r="C474" s="728" t="s">
        <v>667</v>
      </c>
      <c r="D474" s="718">
        <f>VLOOKUP(B474,'2-Kosten per locatie'!$A$13:$C$88,3,FALSE)</f>
        <v>2</v>
      </c>
      <c r="E474" s="720" t="s">
        <v>744</v>
      </c>
      <c r="F474" s="639" t="s">
        <v>977</v>
      </c>
      <c r="G474" s="639" t="s">
        <v>1119</v>
      </c>
      <c r="H474" s="705">
        <v>2</v>
      </c>
      <c r="I474" s="721">
        <f>12*(0.95*2.35)</f>
        <v>26.79</v>
      </c>
      <c r="J474" s="722" t="s">
        <v>982</v>
      </c>
      <c r="K474" s="722"/>
      <c r="L474" s="723">
        <f t="shared" si="27"/>
        <v>0</v>
      </c>
      <c r="M474" s="723">
        <f t="shared" si="28"/>
        <v>0</v>
      </c>
      <c r="N474" s="723">
        <f t="shared" si="29"/>
        <v>0</v>
      </c>
    </row>
    <row r="475" spans="1:14">
      <c r="A475" s="639" t="s">
        <v>108</v>
      </c>
      <c r="B475" s="718">
        <v>307</v>
      </c>
      <c r="C475" s="728" t="s">
        <v>667</v>
      </c>
      <c r="D475" s="718">
        <f>VLOOKUP(B475,'2-Kosten per locatie'!$A$13:$C$88,3,FALSE)</f>
        <v>2</v>
      </c>
      <c r="E475" s="720" t="s">
        <v>1158</v>
      </c>
      <c r="F475" s="639" t="s">
        <v>971</v>
      </c>
      <c r="G475" s="639" t="s">
        <v>1115</v>
      </c>
      <c r="H475" s="705">
        <v>2</v>
      </c>
      <c r="I475" s="721">
        <f>(0.7*1.4)*2</f>
        <v>1.9599999999999997</v>
      </c>
      <c r="J475" s="722" t="s">
        <v>982</v>
      </c>
      <c r="K475" s="722"/>
      <c r="L475" s="723">
        <f t="shared" si="27"/>
        <v>0</v>
      </c>
      <c r="M475" s="723">
        <f t="shared" si="28"/>
        <v>0</v>
      </c>
      <c r="N475" s="723">
        <f t="shared" si="29"/>
        <v>0</v>
      </c>
    </row>
    <row r="476" spans="1:14">
      <c r="A476" s="639" t="s">
        <v>108</v>
      </c>
      <c r="B476" s="718">
        <v>307</v>
      </c>
      <c r="C476" s="728" t="s">
        <v>667</v>
      </c>
      <c r="D476" s="718">
        <f>VLOOKUP(B476,'2-Kosten per locatie'!$A$13:$C$88,3,FALSE)</f>
        <v>2</v>
      </c>
      <c r="E476" s="720" t="s">
        <v>1158</v>
      </c>
      <c r="F476" s="639" t="s">
        <v>977</v>
      </c>
      <c r="G476" s="639" t="s">
        <v>1119</v>
      </c>
      <c r="H476" s="705">
        <v>2</v>
      </c>
      <c r="I476" s="721">
        <f>(0.7*1.4)*2</f>
        <v>1.9599999999999997</v>
      </c>
      <c r="J476" s="722" t="s">
        <v>982</v>
      </c>
      <c r="K476" s="722"/>
      <c r="L476" s="723">
        <f t="shared" si="27"/>
        <v>0</v>
      </c>
      <c r="M476" s="723">
        <f t="shared" si="28"/>
        <v>0</v>
      </c>
      <c r="N476" s="723">
        <f t="shared" si="29"/>
        <v>0</v>
      </c>
    </row>
    <row r="477" spans="1:14">
      <c r="A477" s="639" t="s">
        <v>108</v>
      </c>
      <c r="B477" s="718">
        <v>307</v>
      </c>
      <c r="C477" s="728" t="s">
        <v>667</v>
      </c>
      <c r="D477" s="718">
        <f>VLOOKUP(B477,'2-Kosten per locatie'!$A$13:$C$88,3,FALSE)</f>
        <v>2</v>
      </c>
      <c r="E477" s="720" t="s">
        <v>1159</v>
      </c>
      <c r="F477" s="639" t="s">
        <v>971</v>
      </c>
      <c r="G477" s="639" t="s">
        <v>1115</v>
      </c>
      <c r="H477" s="705">
        <v>2</v>
      </c>
      <c r="I477" s="721">
        <f>(1.2*4.4)</f>
        <v>5.28</v>
      </c>
      <c r="J477" s="722" t="s">
        <v>982</v>
      </c>
      <c r="K477" s="722"/>
      <c r="L477" s="723">
        <f t="shared" si="27"/>
        <v>0</v>
      </c>
      <c r="M477" s="723">
        <f t="shared" si="28"/>
        <v>0</v>
      </c>
      <c r="N477" s="723">
        <f t="shared" si="29"/>
        <v>0</v>
      </c>
    </row>
    <row r="478" spans="1:14">
      <c r="A478" s="639" t="s">
        <v>108</v>
      </c>
      <c r="B478" s="718">
        <v>307</v>
      </c>
      <c r="C478" s="728" t="s">
        <v>667</v>
      </c>
      <c r="D478" s="718">
        <f>VLOOKUP(B478,'2-Kosten per locatie'!$A$13:$C$88,3,FALSE)</f>
        <v>2</v>
      </c>
      <c r="E478" s="720" t="s">
        <v>1159</v>
      </c>
      <c r="F478" s="639" t="s">
        <v>977</v>
      </c>
      <c r="G478" s="639" t="s">
        <v>1119</v>
      </c>
      <c r="H478" s="705">
        <v>2</v>
      </c>
      <c r="I478" s="721">
        <f>(1.2*4.4)*0.5</f>
        <v>2.64</v>
      </c>
      <c r="J478" s="722" t="s">
        <v>982</v>
      </c>
      <c r="K478" s="722"/>
      <c r="L478" s="723">
        <f t="shared" si="27"/>
        <v>0</v>
      </c>
      <c r="M478" s="723">
        <f t="shared" si="28"/>
        <v>0</v>
      </c>
      <c r="N478" s="723">
        <f t="shared" si="29"/>
        <v>0</v>
      </c>
    </row>
    <row r="479" spans="1:14">
      <c r="A479" s="639" t="s">
        <v>108</v>
      </c>
      <c r="B479" s="718">
        <v>307</v>
      </c>
      <c r="C479" s="728" t="s">
        <v>667</v>
      </c>
      <c r="D479" s="718">
        <f>VLOOKUP(B479,'2-Kosten per locatie'!$A$13:$C$88,3,FALSE)</f>
        <v>2</v>
      </c>
      <c r="E479" s="720" t="s">
        <v>1160</v>
      </c>
      <c r="F479" s="639" t="s">
        <v>971</v>
      </c>
      <c r="G479" s="639" t="s">
        <v>1115</v>
      </c>
      <c r="H479" s="705">
        <v>2</v>
      </c>
      <c r="I479" s="721">
        <f>(0.85*0.8)+(0.7*0.8)</f>
        <v>1.24</v>
      </c>
      <c r="J479" s="722" t="s">
        <v>982</v>
      </c>
      <c r="K479" s="722"/>
      <c r="L479" s="723">
        <f t="shared" si="27"/>
        <v>0</v>
      </c>
      <c r="M479" s="723">
        <f t="shared" si="28"/>
        <v>0</v>
      </c>
      <c r="N479" s="723">
        <f t="shared" si="29"/>
        <v>0</v>
      </c>
    </row>
    <row r="480" spans="1:14">
      <c r="A480" s="639" t="s">
        <v>108</v>
      </c>
      <c r="B480" s="718">
        <v>307</v>
      </c>
      <c r="C480" s="728" t="s">
        <v>667</v>
      </c>
      <c r="D480" s="718">
        <f>VLOOKUP(B480,'2-Kosten per locatie'!$A$13:$C$88,3,FALSE)</f>
        <v>2</v>
      </c>
      <c r="E480" s="720" t="s">
        <v>1160</v>
      </c>
      <c r="F480" s="639" t="s">
        <v>977</v>
      </c>
      <c r="G480" s="639" t="s">
        <v>1119</v>
      </c>
      <c r="H480" s="705">
        <v>2</v>
      </c>
      <c r="I480" s="721">
        <f>(0.85*0.8)+(0.7*0.8)</f>
        <v>1.24</v>
      </c>
      <c r="J480" s="722" t="s">
        <v>982</v>
      </c>
      <c r="K480" s="722"/>
      <c r="L480" s="723">
        <f t="shared" si="27"/>
        <v>0</v>
      </c>
      <c r="M480" s="723">
        <f t="shared" si="28"/>
        <v>0</v>
      </c>
      <c r="N480" s="723">
        <f t="shared" si="29"/>
        <v>0</v>
      </c>
    </row>
    <row r="481" spans="1:14">
      <c r="A481" s="639" t="s">
        <v>108</v>
      </c>
      <c r="B481" s="718">
        <v>307</v>
      </c>
      <c r="C481" s="728" t="s">
        <v>667</v>
      </c>
      <c r="D481" s="718">
        <f>VLOOKUP(B481,'2-Kosten per locatie'!$A$13:$C$88,3,FALSE)</f>
        <v>2</v>
      </c>
      <c r="E481" s="725"/>
      <c r="F481" s="639" t="s">
        <v>966</v>
      </c>
      <c r="G481" s="639" t="s">
        <v>991</v>
      </c>
      <c r="H481" s="705">
        <v>26</v>
      </c>
      <c r="I481" s="721">
        <v>231</v>
      </c>
      <c r="J481" s="722" t="s">
        <v>982</v>
      </c>
      <c r="K481" s="722" t="s">
        <v>992</v>
      </c>
      <c r="L481" s="723">
        <f t="shared" si="27"/>
        <v>0</v>
      </c>
      <c r="M481" s="723">
        <f t="shared" si="28"/>
        <v>0</v>
      </c>
      <c r="N481" s="723">
        <f t="shared" si="29"/>
        <v>0</v>
      </c>
    </row>
    <row r="482" spans="1:14">
      <c r="A482" s="639" t="s">
        <v>109</v>
      </c>
      <c r="B482" s="718">
        <v>308</v>
      </c>
      <c r="C482" s="728" t="s">
        <v>667</v>
      </c>
      <c r="D482" s="718">
        <f>VLOOKUP(B482,'2-Kosten per locatie'!$A$13:$C$88,3,FALSE)</f>
        <v>2</v>
      </c>
      <c r="E482" s="720" t="s">
        <v>289</v>
      </c>
      <c r="F482" s="639" t="s">
        <v>977</v>
      </c>
      <c r="G482" s="639" t="s">
        <v>1133</v>
      </c>
      <c r="H482" s="705">
        <v>2</v>
      </c>
      <c r="I482" s="721">
        <f>15.5*3+12.5*3+3.5*1</f>
        <v>87.5</v>
      </c>
      <c r="J482" s="722" t="s">
        <v>968</v>
      </c>
      <c r="K482" s="722"/>
      <c r="L482" s="723">
        <f t="shared" si="27"/>
        <v>0</v>
      </c>
      <c r="M482" s="723">
        <f t="shared" si="28"/>
        <v>0</v>
      </c>
      <c r="N482" s="723">
        <f t="shared" si="29"/>
        <v>0</v>
      </c>
    </row>
    <row r="483" spans="1:14">
      <c r="A483" s="639" t="s">
        <v>109</v>
      </c>
      <c r="B483" s="718">
        <v>308</v>
      </c>
      <c r="C483" s="728" t="s">
        <v>667</v>
      </c>
      <c r="D483" s="718">
        <f>VLOOKUP(B483,'2-Kosten per locatie'!$A$13:$C$88,3,FALSE)</f>
        <v>2</v>
      </c>
      <c r="E483" s="720" t="s">
        <v>289</v>
      </c>
      <c r="F483" s="639" t="s">
        <v>977</v>
      </c>
      <c r="G483" s="639" t="s">
        <v>1135</v>
      </c>
      <c r="H483" s="705">
        <v>2</v>
      </c>
      <c r="I483" s="721">
        <f>15.5*3+12.5*3+3.5*1</f>
        <v>87.5</v>
      </c>
      <c r="J483" s="722" t="s">
        <v>968</v>
      </c>
      <c r="K483" s="722"/>
      <c r="L483" s="723">
        <f t="shared" si="27"/>
        <v>0</v>
      </c>
      <c r="M483" s="723">
        <f t="shared" si="28"/>
        <v>0</v>
      </c>
      <c r="N483" s="723">
        <f t="shared" si="29"/>
        <v>0</v>
      </c>
    </row>
    <row r="484" spans="1:14">
      <c r="A484" s="639" t="s">
        <v>109</v>
      </c>
      <c r="B484" s="718">
        <v>308</v>
      </c>
      <c r="C484" s="728" t="s">
        <v>667</v>
      </c>
      <c r="D484" s="718">
        <f>VLOOKUP(B484,'2-Kosten per locatie'!$A$13:$C$88,3,FALSE)</f>
        <v>2</v>
      </c>
      <c r="E484" s="720" t="s">
        <v>289</v>
      </c>
      <c r="F484" s="639" t="s">
        <v>977</v>
      </c>
      <c r="G484" s="639" t="s">
        <v>1136</v>
      </c>
      <c r="H484" s="705">
        <v>2</v>
      </c>
      <c r="I484" s="721">
        <f>2*(6.2*1*2+15.5*1.75)</f>
        <v>79.05</v>
      </c>
      <c r="J484" s="722" t="s">
        <v>968</v>
      </c>
      <c r="K484" s="722"/>
      <c r="L484" s="723">
        <f t="shared" si="27"/>
        <v>0</v>
      </c>
      <c r="M484" s="723">
        <f t="shared" si="28"/>
        <v>0</v>
      </c>
      <c r="N484" s="723">
        <f t="shared" si="29"/>
        <v>0</v>
      </c>
    </row>
    <row r="485" spans="1:14">
      <c r="A485" s="639" t="s">
        <v>109</v>
      </c>
      <c r="B485" s="718">
        <v>308</v>
      </c>
      <c r="C485" s="728" t="s">
        <v>667</v>
      </c>
      <c r="D485" s="718">
        <f>VLOOKUP(B485,'2-Kosten per locatie'!$A$13:$C$88,3,FALSE)</f>
        <v>2</v>
      </c>
      <c r="E485" s="720" t="s">
        <v>289</v>
      </c>
      <c r="F485" s="639" t="s">
        <v>977</v>
      </c>
      <c r="G485" s="639" t="s">
        <v>1138</v>
      </c>
      <c r="H485" s="705">
        <v>2</v>
      </c>
      <c r="I485" s="721">
        <f>2*(6.2*1*2+15.5*1.75)</f>
        <v>79.05</v>
      </c>
      <c r="J485" s="722" t="s">
        <v>968</v>
      </c>
      <c r="K485" s="722"/>
      <c r="L485" s="723">
        <f t="shared" si="27"/>
        <v>0</v>
      </c>
      <c r="M485" s="723">
        <f t="shared" si="28"/>
        <v>0</v>
      </c>
      <c r="N485" s="723">
        <f t="shared" si="29"/>
        <v>0</v>
      </c>
    </row>
    <row r="486" spans="1:14">
      <c r="A486" s="639" t="s">
        <v>109</v>
      </c>
      <c r="B486" s="718">
        <v>308</v>
      </c>
      <c r="C486" s="728" t="s">
        <v>667</v>
      </c>
      <c r="D486" s="718">
        <f>VLOOKUP(B486,'2-Kosten per locatie'!$A$13:$C$88,3,FALSE)</f>
        <v>2</v>
      </c>
      <c r="E486" s="720" t="s">
        <v>178</v>
      </c>
      <c r="F486" s="639" t="s">
        <v>977</v>
      </c>
      <c r="G486" s="639" t="s">
        <v>1146</v>
      </c>
      <c r="H486" s="705">
        <v>2</v>
      </c>
      <c r="I486" s="721">
        <f>4*4.3</f>
        <v>17.2</v>
      </c>
      <c r="J486" s="722" t="s">
        <v>968</v>
      </c>
      <c r="K486" s="722"/>
      <c r="L486" s="723">
        <f t="shared" si="27"/>
        <v>0</v>
      </c>
      <c r="M486" s="723">
        <f t="shared" si="28"/>
        <v>0</v>
      </c>
      <c r="N486" s="723">
        <f t="shared" si="29"/>
        <v>0</v>
      </c>
    </row>
    <row r="487" spans="1:14">
      <c r="A487" s="639" t="s">
        <v>109</v>
      </c>
      <c r="B487" s="718">
        <v>308</v>
      </c>
      <c r="C487" s="728" t="s">
        <v>667</v>
      </c>
      <c r="D487" s="718">
        <f>VLOOKUP(B487,'2-Kosten per locatie'!$A$13:$C$88,3,FALSE)</f>
        <v>2</v>
      </c>
      <c r="E487" s="720" t="s">
        <v>178</v>
      </c>
      <c r="F487" s="639" t="s">
        <v>977</v>
      </c>
      <c r="G487" s="639" t="s">
        <v>1147</v>
      </c>
      <c r="H487" s="705">
        <v>2</v>
      </c>
      <c r="I487" s="721">
        <f>4*4.3</f>
        <v>17.2</v>
      </c>
      <c r="J487" s="722" t="s">
        <v>968</v>
      </c>
      <c r="K487" s="722"/>
      <c r="L487" s="723">
        <f t="shared" si="27"/>
        <v>0</v>
      </c>
      <c r="M487" s="723">
        <f t="shared" si="28"/>
        <v>0</v>
      </c>
      <c r="N487" s="723">
        <f t="shared" si="29"/>
        <v>0</v>
      </c>
    </row>
    <row r="488" spans="1:14">
      <c r="A488" s="639" t="s">
        <v>109</v>
      </c>
      <c r="B488" s="718">
        <v>308</v>
      </c>
      <c r="C488" s="728" t="s">
        <v>667</v>
      </c>
      <c r="D488" s="718">
        <f>VLOOKUP(B488,'2-Kosten per locatie'!$A$13:$C$88,3,FALSE)</f>
        <v>2</v>
      </c>
      <c r="E488" s="720" t="s">
        <v>289</v>
      </c>
      <c r="F488" s="639" t="s">
        <v>966</v>
      </c>
      <c r="G488" s="639" t="s">
        <v>1148</v>
      </c>
      <c r="H488" s="705">
        <v>12</v>
      </c>
      <c r="I488" s="721">
        <f>0.7*12*2</f>
        <v>16.799999999999997</v>
      </c>
      <c r="J488" s="722" t="s">
        <v>982</v>
      </c>
      <c r="K488" s="722"/>
      <c r="L488" s="723">
        <f t="shared" si="27"/>
        <v>0</v>
      </c>
      <c r="M488" s="723">
        <f t="shared" si="28"/>
        <v>0</v>
      </c>
      <c r="N488" s="723">
        <f t="shared" si="29"/>
        <v>0</v>
      </c>
    </row>
    <row r="489" spans="1:14">
      <c r="A489" s="639" t="s">
        <v>109</v>
      </c>
      <c r="B489" s="718">
        <v>308</v>
      </c>
      <c r="C489" s="728" t="s">
        <v>667</v>
      </c>
      <c r="D489" s="718">
        <f>VLOOKUP(B489,'2-Kosten per locatie'!$A$13:$C$88,3,FALSE)</f>
        <v>2</v>
      </c>
      <c r="E489" s="720" t="s">
        <v>1141</v>
      </c>
      <c r="F489" s="639" t="s">
        <v>980</v>
      </c>
      <c r="G489" s="639" t="s">
        <v>1142</v>
      </c>
      <c r="H489" s="705">
        <v>2</v>
      </c>
      <c r="I489" s="721">
        <f>1.9*4</f>
        <v>7.6</v>
      </c>
      <c r="J489" s="722" t="s">
        <v>982</v>
      </c>
      <c r="K489" s="722"/>
      <c r="L489" s="723">
        <f t="shared" si="27"/>
        <v>0</v>
      </c>
      <c r="M489" s="723">
        <f t="shared" si="28"/>
        <v>0</v>
      </c>
      <c r="N489" s="723">
        <f t="shared" si="29"/>
        <v>0</v>
      </c>
    </row>
    <row r="490" spans="1:14">
      <c r="A490" s="639" t="s">
        <v>109</v>
      </c>
      <c r="B490" s="718">
        <v>308</v>
      </c>
      <c r="C490" s="728" t="s">
        <v>667</v>
      </c>
      <c r="D490" s="718">
        <f>VLOOKUP(B490,'2-Kosten per locatie'!$A$13:$C$88,3,FALSE)</f>
        <v>2</v>
      </c>
      <c r="E490" s="720" t="s">
        <v>1141</v>
      </c>
      <c r="F490" s="639" t="s">
        <v>983</v>
      </c>
      <c r="G490" s="639" t="s">
        <v>1142</v>
      </c>
      <c r="H490" s="705">
        <v>2</v>
      </c>
      <c r="I490" s="721">
        <f>1.9*4</f>
        <v>7.6</v>
      </c>
      <c r="J490" s="722" t="s">
        <v>968</v>
      </c>
      <c r="K490" s="722"/>
      <c r="L490" s="723">
        <f t="shared" si="27"/>
        <v>0</v>
      </c>
      <c r="M490" s="723">
        <f t="shared" si="28"/>
        <v>0</v>
      </c>
      <c r="N490" s="723">
        <f t="shared" si="29"/>
        <v>0</v>
      </c>
    </row>
    <row r="491" spans="1:14">
      <c r="A491" s="639" t="s">
        <v>109</v>
      </c>
      <c r="B491" s="718">
        <v>308</v>
      </c>
      <c r="C491" s="728" t="s">
        <v>667</v>
      </c>
      <c r="D491" s="718">
        <f>VLOOKUP(B491,'2-Kosten per locatie'!$A$13:$C$88,3,FALSE)</f>
        <v>2</v>
      </c>
      <c r="E491" s="720" t="s">
        <v>1141</v>
      </c>
      <c r="F491" s="639" t="s">
        <v>980</v>
      </c>
      <c r="G491" s="639" t="s">
        <v>1149</v>
      </c>
      <c r="H491" s="705">
        <v>2</v>
      </c>
      <c r="I491" s="721">
        <f>3*3</f>
        <v>9</v>
      </c>
      <c r="J491" s="722" t="s">
        <v>982</v>
      </c>
      <c r="K491" s="722"/>
      <c r="L491" s="723">
        <f t="shared" si="27"/>
        <v>0</v>
      </c>
      <c r="M491" s="723">
        <f t="shared" si="28"/>
        <v>0</v>
      </c>
      <c r="N491" s="723">
        <f t="shared" si="29"/>
        <v>0</v>
      </c>
    </row>
    <row r="492" spans="1:14">
      <c r="A492" s="639" t="s">
        <v>109</v>
      </c>
      <c r="B492" s="718">
        <v>308</v>
      </c>
      <c r="C492" s="728" t="s">
        <v>667</v>
      </c>
      <c r="D492" s="718">
        <f>VLOOKUP(B492,'2-Kosten per locatie'!$A$13:$C$88,3,FALSE)</f>
        <v>2</v>
      </c>
      <c r="E492" s="720" t="s">
        <v>1141</v>
      </c>
      <c r="F492" s="639" t="s">
        <v>983</v>
      </c>
      <c r="G492" s="639" t="s">
        <v>1149</v>
      </c>
      <c r="H492" s="705">
        <v>2</v>
      </c>
      <c r="I492" s="721">
        <f>3*3</f>
        <v>9</v>
      </c>
      <c r="J492" s="722" t="s">
        <v>968</v>
      </c>
      <c r="K492" s="722"/>
      <c r="L492" s="723">
        <f t="shared" si="27"/>
        <v>0</v>
      </c>
      <c r="M492" s="723">
        <f t="shared" si="28"/>
        <v>0</v>
      </c>
      <c r="N492" s="723">
        <f t="shared" si="29"/>
        <v>0</v>
      </c>
    </row>
    <row r="493" spans="1:14">
      <c r="A493" s="639" t="s">
        <v>109</v>
      </c>
      <c r="B493" s="718">
        <v>308</v>
      </c>
      <c r="C493" s="728" t="s">
        <v>667</v>
      </c>
      <c r="D493" s="718">
        <f>VLOOKUP(B493,'2-Kosten per locatie'!$A$13:$C$88,3,FALSE)</f>
        <v>2</v>
      </c>
      <c r="E493" s="720" t="s">
        <v>1141</v>
      </c>
      <c r="F493" s="639" t="s">
        <v>980</v>
      </c>
      <c r="G493" s="639" t="s">
        <v>1144</v>
      </c>
      <c r="H493" s="705">
        <v>2</v>
      </c>
      <c r="I493" s="721">
        <f>2*9.75</f>
        <v>19.5</v>
      </c>
      <c r="J493" s="722" t="s">
        <v>982</v>
      </c>
      <c r="K493" s="722"/>
      <c r="L493" s="723">
        <f t="shared" si="27"/>
        <v>0</v>
      </c>
      <c r="M493" s="723">
        <f t="shared" si="28"/>
        <v>0</v>
      </c>
      <c r="N493" s="723">
        <f t="shared" si="29"/>
        <v>0</v>
      </c>
    </row>
    <row r="494" spans="1:14">
      <c r="A494" s="639" t="s">
        <v>109</v>
      </c>
      <c r="B494" s="718">
        <v>308</v>
      </c>
      <c r="C494" s="728" t="s">
        <v>667</v>
      </c>
      <c r="D494" s="718">
        <f>VLOOKUP(B494,'2-Kosten per locatie'!$A$13:$C$88,3,FALSE)</f>
        <v>2</v>
      </c>
      <c r="E494" s="720" t="s">
        <v>1141</v>
      </c>
      <c r="F494" s="639" t="s">
        <v>983</v>
      </c>
      <c r="G494" s="639" t="s">
        <v>1144</v>
      </c>
      <c r="H494" s="705">
        <v>2</v>
      </c>
      <c r="I494" s="721">
        <f>2*9.75</f>
        <v>19.5</v>
      </c>
      <c r="J494" s="722" t="s">
        <v>968</v>
      </c>
      <c r="K494" s="722"/>
      <c r="L494" s="723">
        <f t="shared" si="27"/>
        <v>0</v>
      </c>
      <c r="M494" s="723">
        <f t="shared" si="28"/>
        <v>0</v>
      </c>
      <c r="N494" s="723">
        <f t="shared" si="29"/>
        <v>0</v>
      </c>
    </row>
    <row r="495" spans="1:14">
      <c r="A495" s="639" t="s">
        <v>109</v>
      </c>
      <c r="B495" s="718">
        <v>308</v>
      </c>
      <c r="C495" s="728" t="s">
        <v>667</v>
      </c>
      <c r="D495" s="718">
        <f>VLOOKUP(B495,'2-Kosten per locatie'!$A$13:$C$88,3,FALSE)</f>
        <v>2</v>
      </c>
      <c r="E495" s="720" t="s">
        <v>1141</v>
      </c>
      <c r="F495" s="639" t="s">
        <v>980</v>
      </c>
      <c r="G495" s="639" t="s">
        <v>1145</v>
      </c>
      <c r="H495" s="705">
        <v>2</v>
      </c>
      <c r="I495" s="721">
        <f>3*9.75</f>
        <v>29.25</v>
      </c>
      <c r="J495" s="722" t="s">
        <v>982</v>
      </c>
      <c r="K495" s="722"/>
      <c r="L495" s="723">
        <f t="shared" si="27"/>
        <v>0</v>
      </c>
      <c r="M495" s="723">
        <f t="shared" si="28"/>
        <v>0</v>
      </c>
      <c r="N495" s="723">
        <f t="shared" si="29"/>
        <v>0</v>
      </c>
    </row>
    <row r="496" spans="1:14">
      <c r="A496" s="639" t="s">
        <v>109</v>
      </c>
      <c r="B496" s="718">
        <v>308</v>
      </c>
      <c r="C496" s="728" t="s">
        <v>667</v>
      </c>
      <c r="D496" s="718">
        <f>VLOOKUP(B496,'2-Kosten per locatie'!$A$13:$C$88,3,FALSE)</f>
        <v>2</v>
      </c>
      <c r="E496" s="720" t="s">
        <v>1141</v>
      </c>
      <c r="F496" s="639" t="s">
        <v>983</v>
      </c>
      <c r="G496" s="639" t="s">
        <v>1145</v>
      </c>
      <c r="H496" s="705">
        <v>2</v>
      </c>
      <c r="I496" s="721">
        <f>3*9.75</f>
        <v>29.25</v>
      </c>
      <c r="J496" s="722" t="s">
        <v>968</v>
      </c>
      <c r="K496" s="722"/>
      <c r="L496" s="723">
        <f t="shared" si="27"/>
        <v>0</v>
      </c>
      <c r="M496" s="723">
        <f t="shared" si="28"/>
        <v>0</v>
      </c>
      <c r="N496" s="723">
        <f t="shared" si="29"/>
        <v>0</v>
      </c>
    </row>
    <row r="497" spans="1:14">
      <c r="A497" s="639" t="s">
        <v>109</v>
      </c>
      <c r="B497" s="718">
        <v>308</v>
      </c>
      <c r="C497" s="728" t="s">
        <v>667</v>
      </c>
      <c r="D497" s="718">
        <f>VLOOKUP(B497,'2-Kosten per locatie'!$A$13:$C$88,3,FALSE)</f>
        <v>2</v>
      </c>
      <c r="E497" s="720" t="s">
        <v>567</v>
      </c>
      <c r="F497" s="639" t="s">
        <v>971</v>
      </c>
      <c r="G497" s="639" t="s">
        <v>1115</v>
      </c>
      <c r="H497" s="705">
        <v>2</v>
      </c>
      <c r="I497" s="721">
        <f>((1*1)*3)+(0.9*1)</f>
        <v>3.9</v>
      </c>
      <c r="J497" s="722" t="s">
        <v>968</v>
      </c>
      <c r="K497" s="722"/>
      <c r="L497" s="723">
        <f t="shared" si="27"/>
        <v>0</v>
      </c>
      <c r="M497" s="723">
        <f t="shared" si="28"/>
        <v>0</v>
      </c>
      <c r="N497" s="723">
        <f t="shared" si="29"/>
        <v>0</v>
      </c>
    </row>
    <row r="498" spans="1:14">
      <c r="A498" s="639" t="s">
        <v>109</v>
      </c>
      <c r="B498" s="718">
        <v>308</v>
      </c>
      <c r="C498" s="728" t="s">
        <v>667</v>
      </c>
      <c r="D498" s="718">
        <f>VLOOKUP(B498,'2-Kosten per locatie'!$A$13:$C$88,3,FALSE)</f>
        <v>2</v>
      </c>
      <c r="E498" s="720" t="s">
        <v>567</v>
      </c>
      <c r="F498" s="639" t="s">
        <v>977</v>
      </c>
      <c r="G498" s="639" t="s">
        <v>1119</v>
      </c>
      <c r="H498" s="705">
        <v>2</v>
      </c>
      <c r="I498" s="721">
        <f>((1*1)*3)+(0.9*1)</f>
        <v>3.9</v>
      </c>
      <c r="J498" s="722" t="s">
        <v>968</v>
      </c>
      <c r="K498" s="722"/>
      <c r="L498" s="723">
        <f t="shared" si="27"/>
        <v>0</v>
      </c>
      <c r="M498" s="723">
        <f t="shared" si="28"/>
        <v>0</v>
      </c>
      <c r="N498" s="723">
        <f t="shared" si="29"/>
        <v>0</v>
      </c>
    </row>
    <row r="499" spans="1:14">
      <c r="A499" s="639" t="s">
        <v>109</v>
      </c>
      <c r="B499" s="718">
        <v>308</v>
      </c>
      <c r="C499" s="728" t="s">
        <v>667</v>
      </c>
      <c r="D499" s="718">
        <f>VLOOKUP(B499,'2-Kosten per locatie'!$A$13:$C$88,3,FALSE)</f>
        <v>2</v>
      </c>
      <c r="E499" s="725"/>
      <c r="F499" s="639" t="s">
        <v>966</v>
      </c>
      <c r="G499" s="639" t="s">
        <v>991</v>
      </c>
      <c r="H499" s="705">
        <v>26</v>
      </c>
      <c r="I499" s="721">
        <v>86</v>
      </c>
      <c r="J499" s="722" t="s">
        <v>982</v>
      </c>
      <c r="K499" s="722" t="s">
        <v>992</v>
      </c>
      <c r="L499" s="723">
        <f t="shared" si="27"/>
        <v>0</v>
      </c>
      <c r="M499" s="723">
        <f t="shared" si="28"/>
        <v>0</v>
      </c>
      <c r="N499" s="723">
        <f t="shared" si="29"/>
        <v>0</v>
      </c>
    </row>
    <row r="500" spans="1:14">
      <c r="A500" s="639" t="s">
        <v>1161</v>
      </c>
      <c r="B500" s="718">
        <v>309</v>
      </c>
      <c r="C500" s="728" t="s">
        <v>667</v>
      </c>
      <c r="D500" s="718">
        <f>VLOOKUP(B500,'2-Kosten per locatie'!$A$13:$C$88,3,FALSE)</f>
        <v>2</v>
      </c>
      <c r="E500" s="720" t="s">
        <v>289</v>
      </c>
      <c r="F500" s="639" t="s">
        <v>977</v>
      </c>
      <c r="G500" s="639" t="s">
        <v>1133</v>
      </c>
      <c r="H500" s="705">
        <v>2</v>
      </c>
      <c r="I500" s="721">
        <f>15.5*3+12.5*3+3.5*1</f>
        <v>87.5</v>
      </c>
      <c r="J500" s="722" t="s">
        <v>968</v>
      </c>
      <c r="K500" s="722"/>
      <c r="L500" s="723">
        <f t="shared" si="27"/>
        <v>0</v>
      </c>
      <c r="M500" s="723">
        <f t="shared" si="28"/>
        <v>0</v>
      </c>
      <c r="N500" s="723">
        <f t="shared" si="29"/>
        <v>0</v>
      </c>
    </row>
    <row r="501" spans="1:14">
      <c r="A501" s="639" t="s">
        <v>1161</v>
      </c>
      <c r="B501" s="718">
        <v>309</v>
      </c>
      <c r="C501" s="728" t="s">
        <v>667</v>
      </c>
      <c r="D501" s="718">
        <f>VLOOKUP(B501,'2-Kosten per locatie'!$A$13:$C$88,3,FALSE)</f>
        <v>2</v>
      </c>
      <c r="E501" s="720" t="s">
        <v>289</v>
      </c>
      <c r="F501" s="639" t="s">
        <v>977</v>
      </c>
      <c r="G501" s="639" t="s">
        <v>1135</v>
      </c>
      <c r="H501" s="705">
        <v>2</v>
      </c>
      <c r="I501" s="721">
        <f>15.5*3+12.5*3+3.5*1</f>
        <v>87.5</v>
      </c>
      <c r="J501" s="722" t="s">
        <v>968</v>
      </c>
      <c r="K501" s="722"/>
      <c r="L501" s="723">
        <f t="shared" si="27"/>
        <v>0</v>
      </c>
      <c r="M501" s="723">
        <f t="shared" si="28"/>
        <v>0</v>
      </c>
      <c r="N501" s="723">
        <f t="shared" si="29"/>
        <v>0</v>
      </c>
    </row>
    <row r="502" spans="1:14">
      <c r="A502" s="639" t="s">
        <v>1161</v>
      </c>
      <c r="B502" s="718">
        <v>309</v>
      </c>
      <c r="C502" s="728" t="s">
        <v>667</v>
      </c>
      <c r="D502" s="718">
        <f>VLOOKUP(B502,'2-Kosten per locatie'!$A$13:$C$88,3,FALSE)</f>
        <v>2</v>
      </c>
      <c r="E502" s="720" t="s">
        <v>289</v>
      </c>
      <c r="F502" s="639" t="s">
        <v>977</v>
      </c>
      <c r="G502" s="639" t="s">
        <v>1136</v>
      </c>
      <c r="H502" s="705">
        <v>2</v>
      </c>
      <c r="I502" s="721">
        <f>2*(6.2*1*2+15.5*1.75)</f>
        <v>79.05</v>
      </c>
      <c r="J502" s="722" t="s">
        <v>968</v>
      </c>
      <c r="K502" s="722"/>
      <c r="L502" s="723">
        <f t="shared" si="27"/>
        <v>0</v>
      </c>
      <c r="M502" s="723">
        <f t="shared" si="28"/>
        <v>0</v>
      </c>
      <c r="N502" s="723">
        <f t="shared" si="29"/>
        <v>0</v>
      </c>
    </row>
    <row r="503" spans="1:14">
      <c r="A503" s="639" t="s">
        <v>1161</v>
      </c>
      <c r="B503" s="718">
        <v>309</v>
      </c>
      <c r="C503" s="728" t="s">
        <v>667</v>
      </c>
      <c r="D503" s="718">
        <f>VLOOKUP(B503,'2-Kosten per locatie'!$A$13:$C$88,3,FALSE)</f>
        <v>2</v>
      </c>
      <c r="E503" s="720" t="s">
        <v>289</v>
      </c>
      <c r="F503" s="639" t="s">
        <v>977</v>
      </c>
      <c r="G503" s="639" t="s">
        <v>1138</v>
      </c>
      <c r="H503" s="705">
        <v>2</v>
      </c>
      <c r="I503" s="721">
        <f>2*(6.2*1*2+15.5*1.75)</f>
        <v>79.05</v>
      </c>
      <c r="J503" s="722" t="s">
        <v>968</v>
      </c>
      <c r="K503" s="722"/>
      <c r="L503" s="723">
        <f t="shared" si="27"/>
        <v>0</v>
      </c>
      <c r="M503" s="723">
        <f t="shared" si="28"/>
        <v>0</v>
      </c>
      <c r="N503" s="723">
        <f t="shared" si="29"/>
        <v>0</v>
      </c>
    </row>
    <row r="504" spans="1:14">
      <c r="A504" s="639" t="s">
        <v>1161</v>
      </c>
      <c r="B504" s="718">
        <v>309</v>
      </c>
      <c r="C504" s="728" t="s">
        <v>667</v>
      </c>
      <c r="D504" s="718">
        <f>VLOOKUP(B504,'2-Kosten per locatie'!$A$13:$C$88,3,FALSE)</f>
        <v>2</v>
      </c>
      <c r="E504" s="720" t="s">
        <v>178</v>
      </c>
      <c r="F504" s="639" t="s">
        <v>977</v>
      </c>
      <c r="G504" s="639" t="s">
        <v>1146</v>
      </c>
      <c r="H504" s="705">
        <v>2</v>
      </c>
      <c r="I504" s="721">
        <f>4*4.3</f>
        <v>17.2</v>
      </c>
      <c r="J504" s="722" t="s">
        <v>968</v>
      </c>
      <c r="K504" s="722"/>
      <c r="L504" s="723">
        <f t="shared" si="27"/>
        <v>0</v>
      </c>
      <c r="M504" s="723">
        <f t="shared" si="28"/>
        <v>0</v>
      </c>
      <c r="N504" s="723">
        <f t="shared" si="29"/>
        <v>0</v>
      </c>
    </row>
    <row r="505" spans="1:14">
      <c r="A505" s="639" t="s">
        <v>1161</v>
      </c>
      <c r="B505" s="718">
        <v>309</v>
      </c>
      <c r="C505" s="728" t="s">
        <v>667</v>
      </c>
      <c r="D505" s="718">
        <f>VLOOKUP(B505,'2-Kosten per locatie'!$A$13:$C$88,3,FALSE)</f>
        <v>2</v>
      </c>
      <c r="E505" s="720" t="s">
        <v>178</v>
      </c>
      <c r="F505" s="639" t="s">
        <v>977</v>
      </c>
      <c r="G505" s="639" t="s">
        <v>1147</v>
      </c>
      <c r="H505" s="705">
        <v>2</v>
      </c>
      <c r="I505" s="721">
        <f>4*4.3</f>
        <v>17.2</v>
      </c>
      <c r="J505" s="722" t="s">
        <v>968</v>
      </c>
      <c r="K505" s="722"/>
      <c r="L505" s="723">
        <f t="shared" si="27"/>
        <v>0</v>
      </c>
      <c r="M505" s="723">
        <f t="shared" si="28"/>
        <v>0</v>
      </c>
      <c r="N505" s="723">
        <f t="shared" si="29"/>
        <v>0</v>
      </c>
    </row>
    <row r="506" spans="1:14">
      <c r="A506" s="639" t="s">
        <v>1161</v>
      </c>
      <c r="B506" s="718">
        <v>309</v>
      </c>
      <c r="C506" s="728" t="s">
        <v>667</v>
      </c>
      <c r="D506" s="718">
        <f>VLOOKUP(B506,'2-Kosten per locatie'!$A$13:$C$88,3,FALSE)</f>
        <v>2</v>
      </c>
      <c r="E506" s="720" t="s">
        <v>289</v>
      </c>
      <c r="F506" s="639" t="s">
        <v>966</v>
      </c>
      <c r="G506" s="639" t="s">
        <v>1148</v>
      </c>
      <c r="H506" s="705">
        <v>12</v>
      </c>
      <c r="I506" s="721">
        <f>0.7*12*2</f>
        <v>16.799999999999997</v>
      </c>
      <c r="J506" s="722" t="s">
        <v>982</v>
      </c>
      <c r="K506" s="722"/>
      <c r="L506" s="723">
        <f t="shared" si="27"/>
        <v>0</v>
      </c>
      <c r="M506" s="723">
        <f t="shared" si="28"/>
        <v>0</v>
      </c>
      <c r="N506" s="723">
        <f t="shared" si="29"/>
        <v>0</v>
      </c>
    </row>
    <row r="507" spans="1:14">
      <c r="A507" s="639" t="s">
        <v>1161</v>
      </c>
      <c r="B507" s="718">
        <v>309</v>
      </c>
      <c r="C507" s="728" t="s">
        <v>667</v>
      </c>
      <c r="D507" s="718">
        <f>VLOOKUP(B507,'2-Kosten per locatie'!$A$13:$C$88,3,FALSE)</f>
        <v>2</v>
      </c>
      <c r="E507" s="720" t="s">
        <v>1141</v>
      </c>
      <c r="F507" s="639" t="s">
        <v>980</v>
      </c>
      <c r="G507" s="639" t="s">
        <v>1142</v>
      </c>
      <c r="H507" s="705">
        <v>2</v>
      </c>
      <c r="I507" s="721">
        <f>1.9*4</f>
        <v>7.6</v>
      </c>
      <c r="J507" s="722" t="s">
        <v>982</v>
      </c>
      <c r="K507" s="722"/>
      <c r="L507" s="723">
        <f t="shared" si="27"/>
        <v>0</v>
      </c>
      <c r="M507" s="723">
        <f t="shared" si="28"/>
        <v>0</v>
      </c>
      <c r="N507" s="723">
        <f t="shared" si="29"/>
        <v>0</v>
      </c>
    </row>
    <row r="508" spans="1:14">
      <c r="A508" s="639" t="s">
        <v>1161</v>
      </c>
      <c r="B508" s="718">
        <v>309</v>
      </c>
      <c r="C508" s="728" t="s">
        <v>667</v>
      </c>
      <c r="D508" s="718">
        <f>VLOOKUP(B508,'2-Kosten per locatie'!$A$13:$C$88,3,FALSE)</f>
        <v>2</v>
      </c>
      <c r="E508" s="720" t="s">
        <v>1141</v>
      </c>
      <c r="F508" s="639" t="s">
        <v>983</v>
      </c>
      <c r="G508" s="639" t="s">
        <v>1142</v>
      </c>
      <c r="H508" s="705">
        <v>2</v>
      </c>
      <c r="I508" s="721">
        <f>1.9*4</f>
        <v>7.6</v>
      </c>
      <c r="J508" s="722" t="s">
        <v>968</v>
      </c>
      <c r="K508" s="722"/>
      <c r="L508" s="723">
        <f t="shared" si="27"/>
        <v>0</v>
      </c>
      <c r="M508" s="723">
        <f t="shared" si="28"/>
        <v>0</v>
      </c>
      <c r="N508" s="723">
        <f t="shared" si="29"/>
        <v>0</v>
      </c>
    </row>
    <row r="509" spans="1:14">
      <c r="A509" s="639" t="s">
        <v>1161</v>
      </c>
      <c r="B509" s="718">
        <v>309</v>
      </c>
      <c r="C509" s="728" t="s">
        <v>667</v>
      </c>
      <c r="D509" s="718">
        <f>VLOOKUP(B509,'2-Kosten per locatie'!$A$13:$C$88,3,FALSE)</f>
        <v>2</v>
      </c>
      <c r="E509" s="720" t="s">
        <v>1141</v>
      </c>
      <c r="F509" s="639" t="s">
        <v>980</v>
      </c>
      <c r="G509" s="639" t="s">
        <v>1149</v>
      </c>
      <c r="H509" s="705">
        <v>2</v>
      </c>
      <c r="I509" s="721">
        <f>3*3</f>
        <v>9</v>
      </c>
      <c r="J509" s="722" t="s">
        <v>982</v>
      </c>
      <c r="K509" s="722"/>
      <c r="L509" s="723">
        <f t="shared" si="27"/>
        <v>0</v>
      </c>
      <c r="M509" s="723">
        <f t="shared" si="28"/>
        <v>0</v>
      </c>
      <c r="N509" s="723">
        <f t="shared" si="29"/>
        <v>0</v>
      </c>
    </row>
    <row r="510" spans="1:14">
      <c r="A510" s="639" t="s">
        <v>1161</v>
      </c>
      <c r="B510" s="718">
        <v>309</v>
      </c>
      <c r="C510" s="728" t="s">
        <v>667</v>
      </c>
      <c r="D510" s="718">
        <f>VLOOKUP(B510,'2-Kosten per locatie'!$A$13:$C$88,3,FALSE)</f>
        <v>2</v>
      </c>
      <c r="E510" s="720" t="s">
        <v>1141</v>
      </c>
      <c r="F510" s="639" t="s">
        <v>983</v>
      </c>
      <c r="G510" s="639" t="s">
        <v>1149</v>
      </c>
      <c r="H510" s="705">
        <v>2</v>
      </c>
      <c r="I510" s="721">
        <f>3*3</f>
        <v>9</v>
      </c>
      <c r="J510" s="722" t="s">
        <v>968</v>
      </c>
      <c r="K510" s="722"/>
      <c r="L510" s="723">
        <f t="shared" si="27"/>
        <v>0</v>
      </c>
      <c r="M510" s="723">
        <f t="shared" si="28"/>
        <v>0</v>
      </c>
      <c r="N510" s="723">
        <f t="shared" si="29"/>
        <v>0</v>
      </c>
    </row>
    <row r="511" spans="1:14">
      <c r="A511" s="639" t="s">
        <v>1161</v>
      </c>
      <c r="B511" s="718">
        <v>309</v>
      </c>
      <c r="C511" s="728" t="s">
        <v>667</v>
      </c>
      <c r="D511" s="718">
        <f>VLOOKUP(B511,'2-Kosten per locatie'!$A$13:$C$88,3,FALSE)</f>
        <v>2</v>
      </c>
      <c r="E511" s="720" t="s">
        <v>1141</v>
      </c>
      <c r="F511" s="639" t="s">
        <v>980</v>
      </c>
      <c r="G511" s="639" t="s">
        <v>1144</v>
      </c>
      <c r="H511" s="705">
        <v>2</v>
      </c>
      <c r="I511" s="721">
        <f>2*9.75</f>
        <v>19.5</v>
      </c>
      <c r="J511" s="722" t="s">
        <v>982</v>
      </c>
      <c r="K511" s="722"/>
      <c r="L511" s="723">
        <f t="shared" si="27"/>
        <v>0</v>
      </c>
      <c r="M511" s="723">
        <f t="shared" si="28"/>
        <v>0</v>
      </c>
      <c r="N511" s="723">
        <f t="shared" si="29"/>
        <v>0</v>
      </c>
    </row>
    <row r="512" spans="1:14">
      <c r="A512" s="639" t="s">
        <v>1161</v>
      </c>
      <c r="B512" s="718">
        <v>309</v>
      </c>
      <c r="C512" s="728" t="s">
        <v>667</v>
      </c>
      <c r="D512" s="718">
        <f>VLOOKUP(B512,'2-Kosten per locatie'!$A$13:$C$88,3,FALSE)</f>
        <v>2</v>
      </c>
      <c r="E512" s="720" t="s">
        <v>1141</v>
      </c>
      <c r="F512" s="639" t="s">
        <v>983</v>
      </c>
      <c r="G512" s="639" t="s">
        <v>1144</v>
      </c>
      <c r="H512" s="705">
        <v>2</v>
      </c>
      <c r="I512" s="721">
        <f>2*9.75</f>
        <v>19.5</v>
      </c>
      <c r="J512" s="722" t="s">
        <v>968</v>
      </c>
      <c r="K512" s="722"/>
      <c r="L512" s="723">
        <f t="shared" si="27"/>
        <v>0</v>
      </c>
      <c r="M512" s="723">
        <f t="shared" si="28"/>
        <v>0</v>
      </c>
      <c r="N512" s="723">
        <f t="shared" si="29"/>
        <v>0</v>
      </c>
    </row>
    <row r="513" spans="1:14">
      <c r="A513" s="639" t="s">
        <v>1161</v>
      </c>
      <c r="B513" s="718">
        <v>309</v>
      </c>
      <c r="C513" s="728" t="s">
        <v>667</v>
      </c>
      <c r="D513" s="718">
        <f>VLOOKUP(B513,'2-Kosten per locatie'!$A$13:$C$88,3,FALSE)</f>
        <v>2</v>
      </c>
      <c r="E513" s="720" t="s">
        <v>1141</v>
      </c>
      <c r="F513" s="639" t="s">
        <v>980</v>
      </c>
      <c r="G513" s="639" t="s">
        <v>1145</v>
      </c>
      <c r="H513" s="705">
        <v>2</v>
      </c>
      <c r="I513" s="721">
        <f>3*9.75</f>
        <v>29.25</v>
      </c>
      <c r="J513" s="722" t="s">
        <v>982</v>
      </c>
      <c r="K513" s="722"/>
      <c r="L513" s="723">
        <f t="shared" si="27"/>
        <v>0</v>
      </c>
      <c r="M513" s="723">
        <f t="shared" si="28"/>
        <v>0</v>
      </c>
      <c r="N513" s="723">
        <f t="shared" si="29"/>
        <v>0</v>
      </c>
    </row>
    <row r="514" spans="1:14">
      <c r="A514" s="639" t="s">
        <v>1161</v>
      </c>
      <c r="B514" s="718">
        <v>309</v>
      </c>
      <c r="C514" s="728" t="s">
        <v>667</v>
      </c>
      <c r="D514" s="718">
        <f>VLOOKUP(B514,'2-Kosten per locatie'!$A$13:$C$88,3,FALSE)</f>
        <v>2</v>
      </c>
      <c r="E514" s="720" t="s">
        <v>1141</v>
      </c>
      <c r="F514" s="639" t="s">
        <v>983</v>
      </c>
      <c r="G514" s="639" t="s">
        <v>1145</v>
      </c>
      <c r="H514" s="705">
        <v>2</v>
      </c>
      <c r="I514" s="721">
        <f>3*9.75</f>
        <v>29.25</v>
      </c>
      <c r="J514" s="722" t="s">
        <v>968</v>
      </c>
      <c r="K514" s="722"/>
      <c r="L514" s="723">
        <f t="shared" si="27"/>
        <v>0</v>
      </c>
      <c r="M514" s="723">
        <f t="shared" si="28"/>
        <v>0</v>
      </c>
      <c r="N514" s="723">
        <f t="shared" si="29"/>
        <v>0</v>
      </c>
    </row>
    <row r="515" spans="1:14">
      <c r="A515" s="639" t="s">
        <v>1161</v>
      </c>
      <c r="B515" s="718">
        <v>309</v>
      </c>
      <c r="C515" s="728" t="s">
        <v>667</v>
      </c>
      <c r="D515" s="718">
        <f>VLOOKUP(B515,'2-Kosten per locatie'!$A$13:$C$88,3,FALSE)</f>
        <v>2</v>
      </c>
      <c r="E515" s="720" t="s">
        <v>567</v>
      </c>
      <c r="F515" s="639" t="s">
        <v>971</v>
      </c>
      <c r="G515" s="639" t="s">
        <v>1115</v>
      </c>
      <c r="H515" s="705">
        <v>2</v>
      </c>
      <c r="I515" s="721">
        <f>((1*1)*3)+(0.9*1)</f>
        <v>3.9</v>
      </c>
      <c r="J515" s="722" t="s">
        <v>982</v>
      </c>
      <c r="K515" s="722"/>
      <c r="L515" s="723">
        <f t="shared" si="27"/>
        <v>0</v>
      </c>
      <c r="M515" s="723">
        <f t="shared" si="28"/>
        <v>0</v>
      </c>
      <c r="N515" s="723">
        <f t="shared" si="29"/>
        <v>0</v>
      </c>
    </row>
    <row r="516" spans="1:14">
      <c r="A516" s="639" t="s">
        <v>1161</v>
      </c>
      <c r="B516" s="718">
        <v>309</v>
      </c>
      <c r="C516" s="728" t="s">
        <v>667</v>
      </c>
      <c r="D516" s="718">
        <f>VLOOKUP(B516,'2-Kosten per locatie'!$A$13:$C$88,3,FALSE)</f>
        <v>2</v>
      </c>
      <c r="E516" s="720" t="s">
        <v>567</v>
      </c>
      <c r="F516" s="639" t="s">
        <v>977</v>
      </c>
      <c r="G516" s="639" t="s">
        <v>1119</v>
      </c>
      <c r="H516" s="705">
        <v>2</v>
      </c>
      <c r="I516" s="721">
        <f>((1*1)*3)+(0.9*1)</f>
        <v>3.9</v>
      </c>
      <c r="J516" s="722" t="s">
        <v>968</v>
      </c>
      <c r="K516" s="722"/>
      <c r="L516" s="723">
        <f t="shared" si="27"/>
        <v>0</v>
      </c>
      <c r="M516" s="723">
        <f t="shared" si="28"/>
        <v>0</v>
      </c>
      <c r="N516" s="723">
        <f t="shared" si="29"/>
        <v>0</v>
      </c>
    </row>
    <row r="517" spans="1:14">
      <c r="A517" s="639" t="s">
        <v>1161</v>
      </c>
      <c r="B517" s="718">
        <v>309</v>
      </c>
      <c r="C517" s="728" t="s">
        <v>667</v>
      </c>
      <c r="D517" s="718">
        <f>VLOOKUP(B517,'2-Kosten per locatie'!$A$13:$C$88,3,FALSE)</f>
        <v>2</v>
      </c>
      <c r="E517" s="725"/>
      <c r="F517" s="639" t="s">
        <v>966</v>
      </c>
      <c r="G517" s="639" t="s">
        <v>991</v>
      </c>
      <c r="H517" s="705">
        <v>26</v>
      </c>
      <c r="I517" s="721">
        <v>97</v>
      </c>
      <c r="J517" s="722" t="s">
        <v>982</v>
      </c>
      <c r="K517" s="722" t="s">
        <v>992</v>
      </c>
      <c r="L517" s="723">
        <f t="shared" si="27"/>
        <v>0</v>
      </c>
      <c r="M517" s="723">
        <f t="shared" si="28"/>
        <v>0</v>
      </c>
      <c r="N517" s="723">
        <f t="shared" si="29"/>
        <v>0</v>
      </c>
    </row>
    <row r="518" spans="1:14">
      <c r="A518" s="639" t="s">
        <v>111</v>
      </c>
      <c r="B518" s="718">
        <v>310</v>
      </c>
      <c r="C518" s="728" t="s">
        <v>667</v>
      </c>
      <c r="D518" s="718">
        <f>VLOOKUP(B518,'2-Kosten per locatie'!$A$13:$C$88,3,FALSE)</f>
        <v>2</v>
      </c>
      <c r="E518" s="720" t="s">
        <v>289</v>
      </c>
      <c r="F518" s="639" t="s">
        <v>977</v>
      </c>
      <c r="G518" s="639" t="s">
        <v>1133</v>
      </c>
      <c r="H518" s="705">
        <v>2</v>
      </c>
      <c r="I518" s="721">
        <f>15.5*3+12.5*3+3.5*1</f>
        <v>87.5</v>
      </c>
      <c r="J518" s="722" t="s">
        <v>968</v>
      </c>
      <c r="K518" s="722"/>
      <c r="L518" s="723">
        <f t="shared" si="27"/>
        <v>0</v>
      </c>
      <c r="M518" s="723">
        <f t="shared" si="28"/>
        <v>0</v>
      </c>
      <c r="N518" s="723">
        <f t="shared" si="29"/>
        <v>0</v>
      </c>
    </row>
    <row r="519" spans="1:14">
      <c r="A519" s="639" t="s">
        <v>111</v>
      </c>
      <c r="B519" s="718">
        <v>310</v>
      </c>
      <c r="C519" s="728" t="s">
        <v>667</v>
      </c>
      <c r="D519" s="718">
        <f>VLOOKUP(B519,'2-Kosten per locatie'!$A$13:$C$88,3,FALSE)</f>
        <v>2</v>
      </c>
      <c r="E519" s="720" t="s">
        <v>289</v>
      </c>
      <c r="F519" s="639" t="s">
        <v>977</v>
      </c>
      <c r="G519" s="639" t="s">
        <v>1135</v>
      </c>
      <c r="H519" s="705">
        <v>2</v>
      </c>
      <c r="I519" s="721">
        <f>15.5*3+12.5*3+3.5*1</f>
        <v>87.5</v>
      </c>
      <c r="J519" s="722" t="s">
        <v>968</v>
      </c>
      <c r="K519" s="722"/>
      <c r="L519" s="723">
        <f t="shared" si="27"/>
        <v>0</v>
      </c>
      <c r="M519" s="723">
        <f t="shared" si="28"/>
        <v>0</v>
      </c>
      <c r="N519" s="723">
        <f t="shared" si="29"/>
        <v>0</v>
      </c>
    </row>
    <row r="520" spans="1:14">
      <c r="A520" s="639" t="s">
        <v>111</v>
      </c>
      <c r="B520" s="718">
        <v>310</v>
      </c>
      <c r="C520" s="728" t="s">
        <v>667</v>
      </c>
      <c r="D520" s="718">
        <f>VLOOKUP(B520,'2-Kosten per locatie'!$A$13:$C$88,3,FALSE)</f>
        <v>2</v>
      </c>
      <c r="E520" s="720" t="s">
        <v>289</v>
      </c>
      <c r="F520" s="639" t="s">
        <v>977</v>
      </c>
      <c r="G520" s="639" t="s">
        <v>1136</v>
      </c>
      <c r="H520" s="705">
        <v>2</v>
      </c>
      <c r="I520" s="721">
        <f>2*(6.2*1*2+15.5*1.75)</f>
        <v>79.05</v>
      </c>
      <c r="J520" s="722" t="s">
        <v>968</v>
      </c>
      <c r="K520" s="722"/>
      <c r="L520" s="723">
        <f t="shared" si="27"/>
        <v>0</v>
      </c>
      <c r="M520" s="723">
        <f t="shared" si="28"/>
        <v>0</v>
      </c>
      <c r="N520" s="723">
        <f t="shared" si="29"/>
        <v>0</v>
      </c>
    </row>
    <row r="521" spans="1:14">
      <c r="A521" s="639" t="s">
        <v>111</v>
      </c>
      <c r="B521" s="718">
        <v>310</v>
      </c>
      <c r="C521" s="728" t="s">
        <v>667</v>
      </c>
      <c r="D521" s="718">
        <f>VLOOKUP(B521,'2-Kosten per locatie'!$A$13:$C$88,3,FALSE)</f>
        <v>2</v>
      </c>
      <c r="E521" s="720" t="s">
        <v>289</v>
      </c>
      <c r="F521" s="639" t="s">
        <v>977</v>
      </c>
      <c r="G521" s="639" t="s">
        <v>1138</v>
      </c>
      <c r="H521" s="705">
        <v>2</v>
      </c>
      <c r="I521" s="721">
        <f>2*(6.2*1*2+15.5*1.75)</f>
        <v>79.05</v>
      </c>
      <c r="J521" s="722" t="s">
        <v>968</v>
      </c>
      <c r="K521" s="722"/>
      <c r="L521" s="723">
        <f t="shared" si="27"/>
        <v>0</v>
      </c>
      <c r="M521" s="723">
        <f t="shared" si="28"/>
        <v>0</v>
      </c>
      <c r="N521" s="723">
        <f t="shared" si="29"/>
        <v>0</v>
      </c>
    </row>
    <row r="522" spans="1:14">
      <c r="A522" s="639" t="s">
        <v>111</v>
      </c>
      <c r="B522" s="718">
        <v>310</v>
      </c>
      <c r="C522" s="728" t="s">
        <v>667</v>
      </c>
      <c r="D522" s="718">
        <f>VLOOKUP(B522,'2-Kosten per locatie'!$A$13:$C$88,3,FALSE)</f>
        <v>2</v>
      </c>
      <c r="E522" s="720" t="s">
        <v>178</v>
      </c>
      <c r="F522" s="639" t="s">
        <v>977</v>
      </c>
      <c r="G522" s="639" t="s">
        <v>1146</v>
      </c>
      <c r="H522" s="705">
        <v>2</v>
      </c>
      <c r="I522" s="721">
        <f>4*4.3</f>
        <v>17.2</v>
      </c>
      <c r="J522" s="722" t="s">
        <v>968</v>
      </c>
      <c r="K522" s="722"/>
      <c r="L522" s="723">
        <f t="shared" si="27"/>
        <v>0</v>
      </c>
      <c r="M522" s="723">
        <f t="shared" si="28"/>
        <v>0</v>
      </c>
      <c r="N522" s="723">
        <f t="shared" si="29"/>
        <v>0</v>
      </c>
    </row>
    <row r="523" spans="1:14">
      <c r="A523" s="639" t="s">
        <v>111</v>
      </c>
      <c r="B523" s="718">
        <v>310</v>
      </c>
      <c r="C523" s="728" t="s">
        <v>667</v>
      </c>
      <c r="D523" s="718">
        <f>VLOOKUP(B523,'2-Kosten per locatie'!$A$13:$C$88,3,FALSE)</f>
        <v>2</v>
      </c>
      <c r="E523" s="720" t="s">
        <v>178</v>
      </c>
      <c r="F523" s="639" t="s">
        <v>977</v>
      </c>
      <c r="G523" s="639" t="s">
        <v>1147</v>
      </c>
      <c r="H523" s="705">
        <v>2</v>
      </c>
      <c r="I523" s="721">
        <f>4*4.3</f>
        <v>17.2</v>
      </c>
      <c r="J523" s="722" t="s">
        <v>968</v>
      </c>
      <c r="K523" s="722"/>
      <c r="L523" s="723">
        <f t="shared" si="27"/>
        <v>0</v>
      </c>
      <c r="M523" s="723">
        <f t="shared" si="28"/>
        <v>0</v>
      </c>
      <c r="N523" s="723">
        <f t="shared" si="29"/>
        <v>0</v>
      </c>
    </row>
    <row r="524" spans="1:14">
      <c r="A524" s="639" t="s">
        <v>111</v>
      </c>
      <c r="B524" s="718">
        <v>310</v>
      </c>
      <c r="C524" s="728" t="s">
        <v>667</v>
      </c>
      <c r="D524" s="718">
        <f>VLOOKUP(B524,'2-Kosten per locatie'!$A$13:$C$88,3,FALSE)</f>
        <v>2</v>
      </c>
      <c r="E524" s="720" t="s">
        <v>289</v>
      </c>
      <c r="F524" s="639" t="s">
        <v>966</v>
      </c>
      <c r="G524" s="639" t="s">
        <v>1148</v>
      </c>
      <c r="H524" s="705">
        <v>12</v>
      </c>
      <c r="I524" s="721">
        <f>0.7*12*2</f>
        <v>16.799999999999997</v>
      </c>
      <c r="J524" s="722" t="s">
        <v>982</v>
      </c>
      <c r="K524" s="722"/>
      <c r="L524" s="723">
        <f t="shared" si="27"/>
        <v>0</v>
      </c>
      <c r="M524" s="723">
        <f t="shared" si="28"/>
        <v>0</v>
      </c>
      <c r="N524" s="723">
        <f t="shared" si="29"/>
        <v>0</v>
      </c>
    </row>
    <row r="525" spans="1:14">
      <c r="A525" s="639" t="s">
        <v>111</v>
      </c>
      <c r="B525" s="718">
        <v>310</v>
      </c>
      <c r="C525" s="728" t="s">
        <v>667</v>
      </c>
      <c r="D525" s="718">
        <f>VLOOKUP(B525,'2-Kosten per locatie'!$A$13:$C$88,3,FALSE)</f>
        <v>2</v>
      </c>
      <c r="E525" s="720" t="s">
        <v>1141</v>
      </c>
      <c r="F525" s="639" t="s">
        <v>980</v>
      </c>
      <c r="G525" s="639" t="s">
        <v>1142</v>
      </c>
      <c r="H525" s="705">
        <v>2</v>
      </c>
      <c r="I525" s="721">
        <f>1.9*4</f>
        <v>7.6</v>
      </c>
      <c r="J525" s="722" t="s">
        <v>982</v>
      </c>
      <c r="K525" s="722"/>
      <c r="L525" s="723">
        <f t="shared" si="27"/>
        <v>0</v>
      </c>
      <c r="M525" s="723">
        <f t="shared" si="28"/>
        <v>0</v>
      </c>
      <c r="N525" s="723">
        <f t="shared" si="29"/>
        <v>0</v>
      </c>
    </row>
    <row r="526" spans="1:14">
      <c r="A526" s="639" t="s">
        <v>111</v>
      </c>
      <c r="B526" s="718">
        <v>310</v>
      </c>
      <c r="C526" s="728" t="s">
        <v>667</v>
      </c>
      <c r="D526" s="718">
        <f>VLOOKUP(B526,'2-Kosten per locatie'!$A$13:$C$88,3,FALSE)</f>
        <v>2</v>
      </c>
      <c r="E526" s="720" t="s">
        <v>1141</v>
      </c>
      <c r="F526" s="639" t="s">
        <v>983</v>
      </c>
      <c r="G526" s="639" t="s">
        <v>1142</v>
      </c>
      <c r="H526" s="705">
        <v>2</v>
      </c>
      <c r="I526" s="721">
        <f>1.9*4</f>
        <v>7.6</v>
      </c>
      <c r="J526" s="722" t="s">
        <v>968</v>
      </c>
      <c r="K526" s="722"/>
      <c r="L526" s="723">
        <f t="shared" si="27"/>
        <v>0</v>
      </c>
      <c r="M526" s="723">
        <f t="shared" si="28"/>
        <v>0</v>
      </c>
      <c r="N526" s="723">
        <f t="shared" si="29"/>
        <v>0</v>
      </c>
    </row>
    <row r="527" spans="1:14">
      <c r="A527" s="639" t="s">
        <v>111</v>
      </c>
      <c r="B527" s="718">
        <v>310</v>
      </c>
      <c r="C527" s="728" t="s">
        <v>667</v>
      </c>
      <c r="D527" s="718">
        <f>VLOOKUP(B527,'2-Kosten per locatie'!$A$13:$C$88,3,FALSE)</f>
        <v>2</v>
      </c>
      <c r="E527" s="720" t="s">
        <v>1141</v>
      </c>
      <c r="F527" s="639" t="s">
        <v>980</v>
      </c>
      <c r="G527" s="639" t="s">
        <v>1149</v>
      </c>
      <c r="H527" s="705">
        <v>2</v>
      </c>
      <c r="I527" s="721">
        <f>3*3</f>
        <v>9</v>
      </c>
      <c r="J527" s="722" t="s">
        <v>982</v>
      </c>
      <c r="K527" s="722"/>
      <c r="L527" s="723">
        <f t="shared" ref="L527:L590" si="30">IF(J527="ja",0,VLOOKUP(F527,Glassoort2,2,0))*I527</f>
        <v>0</v>
      </c>
      <c r="M527" s="723">
        <f t="shared" ref="M527:M590" si="31">IF(J527="ja",VLOOKUP(F527,Glassoort2,3,0))*I527</f>
        <v>0</v>
      </c>
      <c r="N527" s="723">
        <f t="shared" ref="N527:N590" si="32">(M527*H527)+(L527*H527)</f>
        <v>0</v>
      </c>
    </row>
    <row r="528" spans="1:14">
      <c r="A528" s="639" t="s">
        <v>111</v>
      </c>
      <c r="B528" s="718">
        <v>310</v>
      </c>
      <c r="C528" s="728" t="s">
        <v>667</v>
      </c>
      <c r="D528" s="718">
        <f>VLOOKUP(B528,'2-Kosten per locatie'!$A$13:$C$88,3,FALSE)</f>
        <v>2</v>
      </c>
      <c r="E528" s="720" t="s">
        <v>1141</v>
      </c>
      <c r="F528" s="639" t="s">
        <v>983</v>
      </c>
      <c r="G528" s="639" t="s">
        <v>1149</v>
      </c>
      <c r="H528" s="705">
        <v>2</v>
      </c>
      <c r="I528" s="721">
        <f>3*3</f>
        <v>9</v>
      </c>
      <c r="J528" s="722" t="s">
        <v>968</v>
      </c>
      <c r="K528" s="722"/>
      <c r="L528" s="723">
        <f t="shared" si="30"/>
        <v>0</v>
      </c>
      <c r="M528" s="723">
        <f t="shared" si="31"/>
        <v>0</v>
      </c>
      <c r="N528" s="723">
        <f t="shared" si="32"/>
        <v>0</v>
      </c>
    </row>
    <row r="529" spans="1:14">
      <c r="A529" s="639" t="s">
        <v>111</v>
      </c>
      <c r="B529" s="718">
        <v>310</v>
      </c>
      <c r="C529" s="728" t="s">
        <v>667</v>
      </c>
      <c r="D529" s="718">
        <f>VLOOKUP(B529,'2-Kosten per locatie'!$A$13:$C$88,3,FALSE)</f>
        <v>2</v>
      </c>
      <c r="E529" s="720" t="s">
        <v>1141</v>
      </c>
      <c r="F529" s="639" t="s">
        <v>980</v>
      </c>
      <c r="G529" s="639" t="s">
        <v>1144</v>
      </c>
      <c r="H529" s="705">
        <v>2</v>
      </c>
      <c r="I529" s="721">
        <f>2*9.75</f>
        <v>19.5</v>
      </c>
      <c r="J529" s="722" t="s">
        <v>982</v>
      </c>
      <c r="K529" s="722"/>
      <c r="L529" s="723">
        <f t="shared" si="30"/>
        <v>0</v>
      </c>
      <c r="M529" s="723">
        <f t="shared" si="31"/>
        <v>0</v>
      </c>
      <c r="N529" s="723">
        <f t="shared" si="32"/>
        <v>0</v>
      </c>
    </row>
    <row r="530" spans="1:14">
      <c r="A530" s="639" t="s">
        <v>111</v>
      </c>
      <c r="B530" s="718">
        <v>310</v>
      </c>
      <c r="C530" s="728" t="s">
        <v>667</v>
      </c>
      <c r="D530" s="718">
        <f>VLOOKUP(B530,'2-Kosten per locatie'!$A$13:$C$88,3,FALSE)</f>
        <v>2</v>
      </c>
      <c r="E530" s="720" t="s">
        <v>1141</v>
      </c>
      <c r="F530" s="639" t="s">
        <v>983</v>
      </c>
      <c r="G530" s="639" t="s">
        <v>1144</v>
      </c>
      <c r="H530" s="705">
        <v>2</v>
      </c>
      <c r="I530" s="721">
        <f>2*9.75</f>
        <v>19.5</v>
      </c>
      <c r="J530" s="722" t="s">
        <v>968</v>
      </c>
      <c r="K530" s="722"/>
      <c r="L530" s="723">
        <f t="shared" si="30"/>
        <v>0</v>
      </c>
      <c r="M530" s="723">
        <f t="shared" si="31"/>
        <v>0</v>
      </c>
      <c r="N530" s="723">
        <f t="shared" si="32"/>
        <v>0</v>
      </c>
    </row>
    <row r="531" spans="1:14">
      <c r="A531" s="639" t="s">
        <v>111</v>
      </c>
      <c r="B531" s="718">
        <v>310</v>
      </c>
      <c r="C531" s="728" t="s">
        <v>667</v>
      </c>
      <c r="D531" s="718">
        <f>VLOOKUP(B531,'2-Kosten per locatie'!$A$13:$C$88,3,FALSE)</f>
        <v>2</v>
      </c>
      <c r="E531" s="720" t="s">
        <v>1141</v>
      </c>
      <c r="F531" s="639" t="s">
        <v>980</v>
      </c>
      <c r="G531" s="639" t="s">
        <v>1145</v>
      </c>
      <c r="H531" s="705">
        <v>2</v>
      </c>
      <c r="I531" s="721">
        <f>3*9.75</f>
        <v>29.25</v>
      </c>
      <c r="J531" s="722" t="s">
        <v>982</v>
      </c>
      <c r="K531" s="722"/>
      <c r="L531" s="723">
        <f t="shared" si="30"/>
        <v>0</v>
      </c>
      <c r="M531" s="723">
        <f t="shared" si="31"/>
        <v>0</v>
      </c>
      <c r="N531" s="723">
        <f t="shared" si="32"/>
        <v>0</v>
      </c>
    </row>
    <row r="532" spans="1:14">
      <c r="A532" s="639" t="s">
        <v>111</v>
      </c>
      <c r="B532" s="718">
        <v>310</v>
      </c>
      <c r="C532" s="728" t="s">
        <v>667</v>
      </c>
      <c r="D532" s="718">
        <f>VLOOKUP(B532,'2-Kosten per locatie'!$A$13:$C$88,3,FALSE)</f>
        <v>2</v>
      </c>
      <c r="E532" s="720" t="s">
        <v>1141</v>
      </c>
      <c r="F532" s="639" t="s">
        <v>983</v>
      </c>
      <c r="G532" s="639" t="s">
        <v>1145</v>
      </c>
      <c r="H532" s="705">
        <v>2</v>
      </c>
      <c r="I532" s="721">
        <f>3*9.75</f>
        <v>29.25</v>
      </c>
      <c r="J532" s="722" t="s">
        <v>968</v>
      </c>
      <c r="K532" s="722"/>
      <c r="L532" s="723">
        <f t="shared" si="30"/>
        <v>0</v>
      </c>
      <c r="M532" s="723">
        <f t="shared" si="31"/>
        <v>0</v>
      </c>
      <c r="N532" s="723">
        <f t="shared" si="32"/>
        <v>0</v>
      </c>
    </row>
    <row r="533" spans="1:14">
      <c r="A533" s="639" t="s">
        <v>111</v>
      </c>
      <c r="B533" s="718">
        <v>310</v>
      </c>
      <c r="C533" s="728" t="s">
        <v>667</v>
      </c>
      <c r="D533" s="718">
        <f>VLOOKUP(B533,'2-Kosten per locatie'!$A$13:$C$88,3,FALSE)</f>
        <v>2</v>
      </c>
      <c r="E533" s="725"/>
      <c r="F533" s="639" t="s">
        <v>966</v>
      </c>
      <c r="G533" s="639" t="s">
        <v>991</v>
      </c>
      <c r="H533" s="705">
        <v>26</v>
      </c>
      <c r="I533" s="721">
        <v>84</v>
      </c>
      <c r="J533" s="722" t="s">
        <v>982</v>
      </c>
      <c r="K533" s="722" t="s">
        <v>992</v>
      </c>
      <c r="L533" s="723">
        <f t="shared" si="30"/>
        <v>0</v>
      </c>
      <c r="M533" s="723">
        <f t="shared" si="31"/>
        <v>0</v>
      </c>
      <c r="N533" s="723">
        <f t="shared" si="32"/>
        <v>0</v>
      </c>
    </row>
    <row r="534" spans="1:14">
      <c r="A534" s="639" t="s">
        <v>112</v>
      </c>
      <c r="B534" s="718">
        <v>311</v>
      </c>
      <c r="C534" s="728" t="s">
        <v>667</v>
      </c>
      <c r="D534" s="718">
        <f>VLOOKUP(B534,'2-Kosten per locatie'!$A$13:$C$88,3,FALSE)</f>
        <v>2</v>
      </c>
      <c r="E534" s="720" t="s">
        <v>289</v>
      </c>
      <c r="F534" s="639" t="s">
        <v>969</v>
      </c>
      <c r="G534" s="639" t="s">
        <v>1162</v>
      </c>
      <c r="H534" s="705">
        <v>2</v>
      </c>
      <c r="I534" s="721">
        <f>9.1*42*2</f>
        <v>764.4</v>
      </c>
      <c r="J534" s="722" t="s">
        <v>968</v>
      </c>
      <c r="K534" s="722"/>
      <c r="L534" s="723">
        <f t="shared" si="30"/>
        <v>0</v>
      </c>
      <c r="M534" s="723">
        <f t="shared" si="31"/>
        <v>0</v>
      </c>
      <c r="N534" s="723">
        <f t="shared" si="32"/>
        <v>0</v>
      </c>
    </row>
    <row r="535" spans="1:14">
      <c r="A535" s="639" t="s">
        <v>112</v>
      </c>
      <c r="B535" s="718">
        <v>311</v>
      </c>
      <c r="C535" s="728" t="s">
        <v>667</v>
      </c>
      <c r="D535" s="718">
        <f>VLOOKUP(B535,'2-Kosten per locatie'!$A$13:$C$88,3,FALSE)</f>
        <v>2</v>
      </c>
      <c r="E535" s="720" t="s">
        <v>289</v>
      </c>
      <c r="F535" s="639" t="s">
        <v>975</v>
      </c>
      <c r="G535" s="639" t="s">
        <v>1162</v>
      </c>
      <c r="H535" s="705">
        <v>2</v>
      </c>
      <c r="I535" s="721">
        <f>9.1*42*2</f>
        <v>764.4</v>
      </c>
      <c r="J535" s="722" t="s">
        <v>982</v>
      </c>
      <c r="K535" s="722"/>
      <c r="L535" s="723">
        <f t="shared" si="30"/>
        <v>0</v>
      </c>
      <c r="M535" s="723">
        <f t="shared" si="31"/>
        <v>0</v>
      </c>
      <c r="N535" s="723">
        <f t="shared" si="32"/>
        <v>0</v>
      </c>
    </row>
    <row r="536" spans="1:14">
      <c r="A536" s="639" t="s">
        <v>112</v>
      </c>
      <c r="B536" s="718">
        <v>311</v>
      </c>
      <c r="C536" s="728" t="s">
        <v>667</v>
      </c>
      <c r="D536" s="718">
        <f>VLOOKUP(B536,'2-Kosten per locatie'!$A$13:$C$88,3,FALSE)</f>
        <v>2</v>
      </c>
      <c r="E536" s="720" t="s">
        <v>289</v>
      </c>
      <c r="F536" s="639" t="s">
        <v>969</v>
      </c>
      <c r="G536" s="639" t="s">
        <v>1163</v>
      </c>
      <c r="H536" s="705">
        <v>2</v>
      </c>
      <c r="I536" s="721">
        <f>5*42*2</f>
        <v>420</v>
      </c>
      <c r="J536" s="722" t="s">
        <v>968</v>
      </c>
      <c r="K536" s="722"/>
      <c r="L536" s="723">
        <f t="shared" si="30"/>
        <v>0</v>
      </c>
      <c r="M536" s="723">
        <f t="shared" si="31"/>
        <v>0</v>
      </c>
      <c r="N536" s="723">
        <f t="shared" si="32"/>
        <v>0</v>
      </c>
    </row>
    <row r="537" spans="1:14">
      <c r="A537" s="639" t="s">
        <v>112</v>
      </c>
      <c r="B537" s="718">
        <v>311</v>
      </c>
      <c r="C537" s="728" t="s">
        <v>667</v>
      </c>
      <c r="D537" s="718">
        <f>VLOOKUP(B537,'2-Kosten per locatie'!$A$13:$C$88,3,FALSE)</f>
        <v>2</v>
      </c>
      <c r="E537" s="720" t="s">
        <v>289</v>
      </c>
      <c r="F537" s="639" t="s">
        <v>975</v>
      </c>
      <c r="G537" s="639" t="s">
        <v>1163</v>
      </c>
      <c r="H537" s="705">
        <v>2</v>
      </c>
      <c r="I537" s="721">
        <f>5*42*2</f>
        <v>420</v>
      </c>
      <c r="J537" s="722" t="s">
        <v>982</v>
      </c>
      <c r="K537" s="722"/>
      <c r="L537" s="723">
        <f t="shared" si="30"/>
        <v>0</v>
      </c>
      <c r="M537" s="723">
        <f t="shared" si="31"/>
        <v>0</v>
      </c>
      <c r="N537" s="723">
        <f t="shared" si="32"/>
        <v>0</v>
      </c>
    </row>
    <row r="538" spans="1:14">
      <c r="A538" s="639" t="s">
        <v>112</v>
      </c>
      <c r="B538" s="718">
        <v>311</v>
      </c>
      <c r="C538" s="728" t="s">
        <v>667</v>
      </c>
      <c r="D538" s="718">
        <f>VLOOKUP(B538,'2-Kosten per locatie'!$A$13:$C$88,3,FALSE)</f>
        <v>2</v>
      </c>
      <c r="E538" s="720" t="s">
        <v>289</v>
      </c>
      <c r="F538" s="639" t="s">
        <v>966</v>
      </c>
      <c r="G538" s="639" t="s">
        <v>1164</v>
      </c>
      <c r="H538" s="705">
        <v>12</v>
      </c>
      <c r="I538" s="721">
        <f>0.6*(14+14+12.5+12.5+4.45+4.45+5.5+5.5+19.2+19.2)*2</f>
        <v>133.56</v>
      </c>
      <c r="J538" s="722" t="s">
        <v>982</v>
      </c>
      <c r="K538" s="722"/>
      <c r="L538" s="723">
        <f t="shared" si="30"/>
        <v>0</v>
      </c>
      <c r="M538" s="723">
        <f t="shared" si="31"/>
        <v>0</v>
      </c>
      <c r="N538" s="723">
        <f t="shared" si="32"/>
        <v>0</v>
      </c>
    </row>
    <row r="539" spans="1:14">
      <c r="A539" s="639" t="s">
        <v>112</v>
      </c>
      <c r="B539" s="718">
        <v>311</v>
      </c>
      <c r="C539" s="728" t="s">
        <v>667</v>
      </c>
      <c r="D539" s="718">
        <f>VLOOKUP(B539,'2-Kosten per locatie'!$A$13:$C$88,3,FALSE)</f>
        <v>2</v>
      </c>
      <c r="E539" s="720" t="s">
        <v>289</v>
      </c>
      <c r="F539" s="639" t="s">
        <v>966</v>
      </c>
      <c r="G539" s="639" t="s">
        <v>1165</v>
      </c>
      <c r="H539" s="705">
        <v>12</v>
      </c>
      <c r="I539" s="721">
        <f>2.15*(4.25+4.25+4.25+4.25)*2</f>
        <v>73.099999999999994</v>
      </c>
      <c r="J539" s="722" t="s">
        <v>982</v>
      </c>
      <c r="K539" s="722"/>
      <c r="L539" s="723">
        <f t="shared" si="30"/>
        <v>0</v>
      </c>
      <c r="M539" s="723">
        <f t="shared" si="31"/>
        <v>0</v>
      </c>
      <c r="N539" s="723">
        <f t="shared" si="32"/>
        <v>0</v>
      </c>
    </row>
    <row r="540" spans="1:14">
      <c r="A540" s="545" t="s">
        <v>114</v>
      </c>
      <c r="B540" s="718" t="s">
        <v>113</v>
      </c>
      <c r="C540" s="728" t="s">
        <v>667</v>
      </c>
      <c r="D540" s="718">
        <f>VLOOKUP(B540,'2-Kosten per locatie'!$A$13:$C$88,3,FALSE)</f>
        <v>2</v>
      </c>
      <c r="E540" s="720" t="s">
        <v>289</v>
      </c>
      <c r="F540" s="639" t="s">
        <v>980</v>
      </c>
      <c r="G540" s="639" t="s">
        <v>203</v>
      </c>
      <c r="H540" s="705">
        <v>2</v>
      </c>
      <c r="I540" s="721">
        <v>60</v>
      </c>
      <c r="J540" s="722" t="s">
        <v>982</v>
      </c>
      <c r="K540" s="722"/>
      <c r="L540" s="723">
        <f t="shared" si="30"/>
        <v>0</v>
      </c>
      <c r="M540" s="723">
        <f t="shared" si="31"/>
        <v>0</v>
      </c>
      <c r="N540" s="723">
        <f t="shared" si="32"/>
        <v>0</v>
      </c>
    </row>
    <row r="541" spans="1:14">
      <c r="A541" s="545" t="s">
        <v>114</v>
      </c>
      <c r="B541" s="718" t="s">
        <v>113</v>
      </c>
      <c r="C541" s="728" t="s">
        <v>667</v>
      </c>
      <c r="D541" s="718">
        <f>VLOOKUP(B541,'2-Kosten per locatie'!$A$13:$C$88,3,FALSE)</f>
        <v>2</v>
      </c>
      <c r="E541" s="720" t="s">
        <v>289</v>
      </c>
      <c r="F541" s="639" t="s">
        <v>983</v>
      </c>
      <c r="G541" s="639" t="s">
        <v>203</v>
      </c>
      <c r="H541" s="705">
        <v>2</v>
      </c>
      <c r="I541" s="721">
        <v>60</v>
      </c>
      <c r="J541" s="722" t="s">
        <v>982</v>
      </c>
      <c r="K541" s="722"/>
      <c r="L541" s="723">
        <f t="shared" si="30"/>
        <v>0</v>
      </c>
      <c r="M541" s="723">
        <f t="shared" si="31"/>
        <v>0</v>
      </c>
      <c r="N541" s="723">
        <f t="shared" si="32"/>
        <v>0</v>
      </c>
    </row>
    <row r="542" spans="1:14">
      <c r="A542" s="639" t="s">
        <v>112</v>
      </c>
      <c r="B542" s="718">
        <v>311</v>
      </c>
      <c r="C542" s="728" t="s">
        <v>667</v>
      </c>
      <c r="D542" s="718">
        <f>VLOOKUP(B542,'2-Kosten per locatie'!$A$13:$C$88,3,FALSE)</f>
        <v>2</v>
      </c>
      <c r="E542" s="720" t="s">
        <v>1166</v>
      </c>
      <c r="F542" s="639" t="s">
        <v>966</v>
      </c>
      <c r="G542" s="639" t="s">
        <v>1167</v>
      </c>
      <c r="H542" s="705">
        <v>12</v>
      </c>
      <c r="I542" s="721">
        <f>2*((0.4*(4.8+5))+(0.5*0.9)+(0.7*4.8))*2</f>
        <v>30.92</v>
      </c>
      <c r="J542" s="722" t="s">
        <v>982</v>
      </c>
      <c r="K542" s="722"/>
      <c r="L542" s="723">
        <f t="shared" si="30"/>
        <v>0</v>
      </c>
      <c r="M542" s="723">
        <f t="shared" si="31"/>
        <v>0</v>
      </c>
      <c r="N542" s="723">
        <f t="shared" si="32"/>
        <v>0</v>
      </c>
    </row>
    <row r="543" spans="1:14">
      <c r="A543" s="639" t="s">
        <v>112</v>
      </c>
      <c r="B543" s="718">
        <v>311</v>
      </c>
      <c r="C543" s="728" t="s">
        <v>667</v>
      </c>
      <c r="D543" s="718">
        <f>VLOOKUP(B543,'2-Kosten per locatie'!$A$13:$C$88,3,FALSE)</f>
        <v>2</v>
      </c>
      <c r="E543" s="720" t="s">
        <v>187</v>
      </c>
      <c r="F543" s="639" t="s">
        <v>971</v>
      </c>
      <c r="G543" s="639" t="s">
        <v>1168</v>
      </c>
      <c r="H543" s="705">
        <v>2</v>
      </c>
      <c r="I543" s="721">
        <f>2.25*(8+15.5+11.5+8+4.5+4.5)</f>
        <v>117</v>
      </c>
      <c r="J543" s="722" t="s">
        <v>982</v>
      </c>
      <c r="K543" s="722"/>
      <c r="L543" s="723">
        <f t="shared" si="30"/>
        <v>0</v>
      </c>
      <c r="M543" s="723">
        <f t="shared" si="31"/>
        <v>0</v>
      </c>
      <c r="N543" s="723">
        <f t="shared" si="32"/>
        <v>0</v>
      </c>
    </row>
    <row r="544" spans="1:14">
      <c r="A544" s="639" t="s">
        <v>112</v>
      </c>
      <c r="B544" s="718">
        <v>311</v>
      </c>
      <c r="C544" s="728" t="s">
        <v>667</v>
      </c>
      <c r="D544" s="718">
        <f>VLOOKUP(B544,'2-Kosten per locatie'!$A$13:$C$88,3,FALSE)</f>
        <v>2</v>
      </c>
      <c r="E544" s="720" t="s">
        <v>187</v>
      </c>
      <c r="F544" s="639" t="s">
        <v>966</v>
      </c>
      <c r="G544" s="639" t="s">
        <v>203</v>
      </c>
      <c r="H544" s="705">
        <v>2</v>
      </c>
      <c r="I544" s="721">
        <f>0.6*((2*1.1)+(2*0.15)+(4.4+3.8))*2</f>
        <v>12.839999999999998</v>
      </c>
      <c r="J544" s="722" t="s">
        <v>982</v>
      </c>
      <c r="K544" s="722"/>
      <c r="L544" s="723">
        <f t="shared" si="30"/>
        <v>0</v>
      </c>
      <c r="M544" s="723">
        <f t="shared" si="31"/>
        <v>0</v>
      </c>
      <c r="N544" s="723">
        <f t="shared" si="32"/>
        <v>0</v>
      </c>
    </row>
    <row r="545" spans="1:14">
      <c r="A545" s="639" t="s">
        <v>112</v>
      </c>
      <c r="B545" s="718">
        <v>311</v>
      </c>
      <c r="C545" s="728" t="s">
        <v>667</v>
      </c>
      <c r="D545" s="718">
        <f>VLOOKUP(B545,'2-Kosten per locatie'!$A$13:$C$88,3,FALSE)</f>
        <v>2</v>
      </c>
      <c r="E545" s="725"/>
      <c r="F545" s="639" t="s">
        <v>966</v>
      </c>
      <c r="G545" s="639" t="s">
        <v>991</v>
      </c>
      <c r="H545" s="705">
        <v>26</v>
      </c>
      <c r="I545" s="721">
        <v>61.2</v>
      </c>
      <c r="J545" s="722" t="s">
        <v>982</v>
      </c>
      <c r="K545" s="722" t="s">
        <v>992</v>
      </c>
      <c r="L545" s="723">
        <f t="shared" si="30"/>
        <v>0</v>
      </c>
      <c r="M545" s="723">
        <f t="shared" si="31"/>
        <v>0</v>
      </c>
      <c r="N545" s="723">
        <f t="shared" si="32"/>
        <v>0</v>
      </c>
    </row>
    <row r="546" spans="1:14">
      <c r="A546" s="639" t="s">
        <v>115</v>
      </c>
      <c r="B546" s="718">
        <v>312</v>
      </c>
      <c r="C546" s="728" t="s">
        <v>667</v>
      </c>
      <c r="D546" s="718">
        <f>VLOOKUP(B546,'2-Kosten per locatie'!$A$13:$C$88,3,FALSE)</f>
        <v>2</v>
      </c>
      <c r="E546" s="720" t="s">
        <v>1169</v>
      </c>
      <c r="F546" s="639" t="s">
        <v>971</v>
      </c>
      <c r="G546" s="639" t="s">
        <v>1115</v>
      </c>
      <c r="H546" s="705">
        <v>2</v>
      </c>
      <c r="I546" s="721">
        <f>((2.85*2.5)*2)+((2.65*2.5)*7)+((2.7*2.5)*1)</f>
        <v>67.375</v>
      </c>
      <c r="J546" s="722" t="s">
        <v>982</v>
      </c>
      <c r="K546" s="722"/>
      <c r="L546" s="723">
        <f t="shared" si="30"/>
        <v>0</v>
      </c>
      <c r="M546" s="723">
        <f t="shared" si="31"/>
        <v>0</v>
      </c>
      <c r="N546" s="723">
        <f t="shared" si="32"/>
        <v>0</v>
      </c>
    </row>
    <row r="547" spans="1:14">
      <c r="A547" s="639" t="s">
        <v>115</v>
      </c>
      <c r="B547" s="718">
        <v>312</v>
      </c>
      <c r="C547" s="728" t="s">
        <v>667</v>
      </c>
      <c r="D547" s="718">
        <f>VLOOKUP(B547,'2-Kosten per locatie'!$A$13:$C$88,3,FALSE)</f>
        <v>2</v>
      </c>
      <c r="E547" s="720" t="s">
        <v>1169</v>
      </c>
      <c r="F547" s="639" t="s">
        <v>977</v>
      </c>
      <c r="G547" s="639" t="s">
        <v>1119</v>
      </c>
      <c r="H547" s="705">
        <v>2</v>
      </c>
      <c r="I547" s="721">
        <f>((2.85*2.5)*2)+((2.65*2.5)*7)+((2.7*2.5)*1)</f>
        <v>67.375</v>
      </c>
      <c r="J547" s="722" t="s">
        <v>968</v>
      </c>
      <c r="K547" s="722"/>
      <c r="L547" s="723">
        <f t="shared" si="30"/>
        <v>0</v>
      </c>
      <c r="M547" s="723">
        <f t="shared" si="31"/>
        <v>0</v>
      </c>
      <c r="N547" s="723">
        <f t="shared" si="32"/>
        <v>0</v>
      </c>
    </row>
    <row r="548" spans="1:14">
      <c r="A548" s="639" t="s">
        <v>115</v>
      </c>
      <c r="B548" s="718">
        <v>312</v>
      </c>
      <c r="C548" s="728" t="s">
        <v>667</v>
      </c>
      <c r="D548" s="718">
        <f>VLOOKUP(B548,'2-Kosten per locatie'!$A$13:$C$88,3,FALSE)</f>
        <v>2</v>
      </c>
      <c r="E548" s="720" t="s">
        <v>289</v>
      </c>
      <c r="F548" s="639" t="s">
        <v>966</v>
      </c>
      <c r="G548" s="639" t="s">
        <v>1170</v>
      </c>
      <c r="H548" s="705">
        <v>12</v>
      </c>
      <c r="I548" s="721">
        <f>0.7*(14.3+14.3+6.3)*2</f>
        <v>48.859999999999992</v>
      </c>
      <c r="J548" s="722" t="s">
        <v>968</v>
      </c>
      <c r="K548" s="722"/>
      <c r="L548" s="723">
        <f t="shared" si="30"/>
        <v>0</v>
      </c>
      <c r="M548" s="723">
        <f t="shared" si="31"/>
        <v>0</v>
      </c>
      <c r="N548" s="723">
        <f t="shared" si="32"/>
        <v>0</v>
      </c>
    </row>
    <row r="549" spans="1:14">
      <c r="A549" s="639" t="s">
        <v>115</v>
      </c>
      <c r="B549" s="718">
        <v>312</v>
      </c>
      <c r="C549" s="728" t="s">
        <v>667</v>
      </c>
      <c r="D549" s="718">
        <f>VLOOKUP(B549,'2-Kosten per locatie'!$A$13:$C$88,3,FALSE)</f>
        <v>2</v>
      </c>
      <c r="E549" s="720" t="s">
        <v>289</v>
      </c>
      <c r="F549" s="639" t="s">
        <v>966</v>
      </c>
      <c r="G549" s="639" t="s">
        <v>1139</v>
      </c>
      <c r="H549" s="705">
        <v>2</v>
      </c>
      <c r="I549" s="721">
        <f>1.65*3*2</f>
        <v>9.8999999999999986</v>
      </c>
      <c r="J549" s="722" t="s">
        <v>968</v>
      </c>
      <c r="K549" s="722"/>
      <c r="L549" s="723">
        <f t="shared" si="30"/>
        <v>0</v>
      </c>
      <c r="M549" s="723">
        <f t="shared" si="31"/>
        <v>0</v>
      </c>
      <c r="N549" s="723">
        <f t="shared" si="32"/>
        <v>0</v>
      </c>
    </row>
    <row r="550" spans="1:14">
      <c r="A550" s="639" t="s">
        <v>115</v>
      </c>
      <c r="B550" s="718">
        <v>312</v>
      </c>
      <c r="C550" s="728" t="s">
        <v>667</v>
      </c>
      <c r="D550" s="718">
        <f>VLOOKUP(B550,'2-Kosten per locatie'!$A$13:$C$88,3,FALSE)</f>
        <v>2</v>
      </c>
      <c r="E550" s="720" t="s">
        <v>289</v>
      </c>
      <c r="F550" s="639" t="s">
        <v>977</v>
      </c>
      <c r="G550" s="639" t="s">
        <v>1134</v>
      </c>
      <c r="H550" s="705">
        <v>2</v>
      </c>
      <c r="I550" s="721">
        <f>13.25*3+17*3</f>
        <v>90.75</v>
      </c>
      <c r="J550" s="722" t="s">
        <v>968</v>
      </c>
      <c r="K550" s="722"/>
      <c r="L550" s="723">
        <f t="shared" si="30"/>
        <v>0</v>
      </c>
      <c r="M550" s="723">
        <f t="shared" si="31"/>
        <v>0</v>
      </c>
      <c r="N550" s="723">
        <f t="shared" si="32"/>
        <v>0</v>
      </c>
    </row>
    <row r="551" spans="1:14">
      <c r="A551" s="639" t="s">
        <v>115</v>
      </c>
      <c r="B551" s="718">
        <v>312</v>
      </c>
      <c r="C551" s="728" t="s">
        <v>667</v>
      </c>
      <c r="D551" s="718">
        <f>VLOOKUP(B551,'2-Kosten per locatie'!$A$13:$C$88,3,FALSE)</f>
        <v>2</v>
      </c>
      <c r="E551" s="720" t="s">
        <v>289</v>
      </c>
      <c r="F551" s="639" t="s">
        <v>977</v>
      </c>
      <c r="G551" s="639" t="s">
        <v>1135</v>
      </c>
      <c r="H551" s="705">
        <v>2</v>
      </c>
      <c r="I551" s="721">
        <f>13.25*3+17*3</f>
        <v>90.75</v>
      </c>
      <c r="J551" s="722" t="s">
        <v>968</v>
      </c>
      <c r="K551" s="722"/>
      <c r="L551" s="723">
        <f t="shared" si="30"/>
        <v>0</v>
      </c>
      <c r="M551" s="723">
        <f t="shared" si="31"/>
        <v>0</v>
      </c>
      <c r="N551" s="723">
        <f t="shared" si="32"/>
        <v>0</v>
      </c>
    </row>
    <row r="552" spans="1:14">
      <c r="A552" s="639" t="s">
        <v>115</v>
      </c>
      <c r="B552" s="718">
        <v>312</v>
      </c>
      <c r="C552" s="728" t="s">
        <v>667</v>
      </c>
      <c r="D552" s="718">
        <f>VLOOKUP(B552,'2-Kosten per locatie'!$A$13:$C$88,3,FALSE)</f>
        <v>2</v>
      </c>
      <c r="E552" s="720" t="s">
        <v>289</v>
      </c>
      <c r="F552" s="639" t="s">
        <v>977</v>
      </c>
      <c r="G552" s="639" t="s">
        <v>1137</v>
      </c>
      <c r="H552" s="705">
        <v>2</v>
      </c>
      <c r="I552" s="721">
        <f>2*(6.2*1*2+17*1.75)</f>
        <v>84.3</v>
      </c>
      <c r="J552" s="722" t="s">
        <v>968</v>
      </c>
      <c r="K552" s="722"/>
      <c r="L552" s="723">
        <f t="shared" si="30"/>
        <v>0</v>
      </c>
      <c r="M552" s="723">
        <f t="shared" si="31"/>
        <v>0</v>
      </c>
      <c r="N552" s="723">
        <f t="shared" si="32"/>
        <v>0</v>
      </c>
    </row>
    <row r="553" spans="1:14">
      <c r="A553" s="639" t="s">
        <v>115</v>
      </c>
      <c r="B553" s="718">
        <v>312</v>
      </c>
      <c r="C553" s="728" t="s">
        <v>667</v>
      </c>
      <c r="D553" s="718">
        <f>VLOOKUP(B553,'2-Kosten per locatie'!$A$13:$C$88,3,FALSE)</f>
        <v>2</v>
      </c>
      <c r="E553" s="720" t="s">
        <v>289</v>
      </c>
      <c r="F553" s="639" t="s">
        <v>977</v>
      </c>
      <c r="G553" s="639" t="s">
        <v>1138</v>
      </c>
      <c r="H553" s="705">
        <v>2</v>
      </c>
      <c r="I553" s="721">
        <f>2*(6.2*1*2+17*1.75)</f>
        <v>84.3</v>
      </c>
      <c r="J553" s="722" t="s">
        <v>968</v>
      </c>
      <c r="K553" s="722"/>
      <c r="L553" s="723">
        <f t="shared" si="30"/>
        <v>0</v>
      </c>
      <c r="M553" s="723">
        <f t="shared" si="31"/>
        <v>0</v>
      </c>
      <c r="N553" s="723">
        <f t="shared" si="32"/>
        <v>0</v>
      </c>
    </row>
    <row r="554" spans="1:14">
      <c r="A554" s="639" t="s">
        <v>115</v>
      </c>
      <c r="B554" s="718">
        <v>312</v>
      </c>
      <c r="C554" s="728" t="s">
        <v>667</v>
      </c>
      <c r="D554" s="718">
        <f>VLOOKUP(B554,'2-Kosten per locatie'!$A$13:$C$88,3,FALSE)</f>
        <v>2</v>
      </c>
      <c r="E554" s="720" t="s">
        <v>178</v>
      </c>
      <c r="F554" s="639" t="s">
        <v>977</v>
      </c>
      <c r="G554" s="639" t="s">
        <v>1146</v>
      </c>
      <c r="H554" s="705">
        <v>2</v>
      </c>
      <c r="I554" s="721">
        <f>4*4.3</f>
        <v>17.2</v>
      </c>
      <c r="J554" s="722" t="s">
        <v>968</v>
      </c>
      <c r="K554" s="722"/>
      <c r="L554" s="723">
        <f t="shared" si="30"/>
        <v>0</v>
      </c>
      <c r="M554" s="723">
        <f t="shared" si="31"/>
        <v>0</v>
      </c>
      <c r="N554" s="723">
        <f t="shared" si="32"/>
        <v>0</v>
      </c>
    </row>
    <row r="555" spans="1:14">
      <c r="A555" s="639" t="s">
        <v>115</v>
      </c>
      <c r="B555" s="718">
        <v>312</v>
      </c>
      <c r="C555" s="728" t="s">
        <v>667</v>
      </c>
      <c r="D555" s="718">
        <f>VLOOKUP(B555,'2-Kosten per locatie'!$A$13:$C$88,3,FALSE)</f>
        <v>2</v>
      </c>
      <c r="E555" s="720" t="s">
        <v>178</v>
      </c>
      <c r="F555" s="639" t="s">
        <v>977</v>
      </c>
      <c r="G555" s="639" t="s">
        <v>1147</v>
      </c>
      <c r="H555" s="705">
        <v>2</v>
      </c>
      <c r="I555" s="721">
        <f>4*4.3</f>
        <v>17.2</v>
      </c>
      <c r="J555" s="722" t="s">
        <v>968</v>
      </c>
      <c r="K555" s="722"/>
      <c r="L555" s="723">
        <f t="shared" si="30"/>
        <v>0</v>
      </c>
      <c r="M555" s="723">
        <f t="shared" si="31"/>
        <v>0</v>
      </c>
      <c r="N555" s="723">
        <f t="shared" si="32"/>
        <v>0</v>
      </c>
    </row>
    <row r="556" spans="1:14">
      <c r="A556" s="639" t="s">
        <v>115</v>
      </c>
      <c r="B556" s="718">
        <v>312</v>
      </c>
      <c r="C556" s="728" t="s">
        <v>667</v>
      </c>
      <c r="D556" s="718">
        <f>VLOOKUP(B556,'2-Kosten per locatie'!$A$13:$C$88,3,FALSE)</f>
        <v>2</v>
      </c>
      <c r="E556" s="720" t="s">
        <v>1141</v>
      </c>
      <c r="F556" s="639" t="s">
        <v>980</v>
      </c>
      <c r="G556" s="639" t="s">
        <v>1142</v>
      </c>
      <c r="H556" s="705">
        <v>2</v>
      </c>
      <c r="I556" s="721">
        <f>1.8*4</f>
        <v>7.2</v>
      </c>
      <c r="J556" s="722" t="s">
        <v>982</v>
      </c>
      <c r="K556" s="722"/>
      <c r="L556" s="723">
        <f t="shared" si="30"/>
        <v>0</v>
      </c>
      <c r="M556" s="723">
        <f t="shared" si="31"/>
        <v>0</v>
      </c>
      <c r="N556" s="723">
        <f t="shared" si="32"/>
        <v>0</v>
      </c>
    </row>
    <row r="557" spans="1:14">
      <c r="A557" s="639" t="s">
        <v>115</v>
      </c>
      <c r="B557" s="718">
        <v>312</v>
      </c>
      <c r="C557" s="728" t="s">
        <v>667</v>
      </c>
      <c r="D557" s="718">
        <f>VLOOKUP(B557,'2-Kosten per locatie'!$A$13:$C$88,3,FALSE)</f>
        <v>2</v>
      </c>
      <c r="E557" s="720" t="s">
        <v>1141</v>
      </c>
      <c r="F557" s="639" t="s">
        <v>983</v>
      </c>
      <c r="G557" s="639" t="s">
        <v>1142</v>
      </c>
      <c r="H557" s="705">
        <v>2</v>
      </c>
      <c r="I557" s="721">
        <f>1.8*4</f>
        <v>7.2</v>
      </c>
      <c r="J557" s="722" t="s">
        <v>968</v>
      </c>
      <c r="K557" s="722"/>
      <c r="L557" s="723">
        <f t="shared" si="30"/>
        <v>0</v>
      </c>
      <c r="M557" s="723">
        <f t="shared" si="31"/>
        <v>0</v>
      </c>
      <c r="N557" s="723">
        <f t="shared" si="32"/>
        <v>0</v>
      </c>
    </row>
    <row r="558" spans="1:14">
      <c r="A558" s="639" t="s">
        <v>115</v>
      </c>
      <c r="B558" s="718">
        <v>312</v>
      </c>
      <c r="C558" s="728" t="s">
        <v>667</v>
      </c>
      <c r="D558" s="718">
        <f>VLOOKUP(B558,'2-Kosten per locatie'!$A$13:$C$88,3,FALSE)</f>
        <v>2</v>
      </c>
      <c r="E558" s="720" t="s">
        <v>1141</v>
      </c>
      <c r="F558" s="639" t="s">
        <v>980</v>
      </c>
      <c r="G558" s="639" t="s">
        <v>1143</v>
      </c>
      <c r="H558" s="705">
        <v>2</v>
      </c>
      <c r="I558" s="721">
        <f>3.45*3</f>
        <v>10.350000000000001</v>
      </c>
      <c r="J558" s="722" t="s">
        <v>982</v>
      </c>
      <c r="K558" s="722"/>
      <c r="L558" s="723">
        <f t="shared" si="30"/>
        <v>0</v>
      </c>
      <c r="M558" s="723">
        <f t="shared" si="31"/>
        <v>0</v>
      </c>
      <c r="N558" s="723">
        <f t="shared" si="32"/>
        <v>0</v>
      </c>
    </row>
    <row r="559" spans="1:14">
      <c r="A559" s="639" t="s">
        <v>115</v>
      </c>
      <c r="B559" s="718">
        <v>312</v>
      </c>
      <c r="C559" s="728" t="s">
        <v>667</v>
      </c>
      <c r="D559" s="718">
        <f>VLOOKUP(B559,'2-Kosten per locatie'!$A$13:$C$88,3,FALSE)</f>
        <v>2</v>
      </c>
      <c r="E559" s="720" t="s">
        <v>1141</v>
      </c>
      <c r="F559" s="639" t="s">
        <v>983</v>
      </c>
      <c r="G559" s="639" t="s">
        <v>1143</v>
      </c>
      <c r="H559" s="705">
        <v>2</v>
      </c>
      <c r="I559" s="721">
        <f>3.45*3</f>
        <v>10.350000000000001</v>
      </c>
      <c r="J559" s="722" t="s">
        <v>968</v>
      </c>
      <c r="K559" s="722"/>
      <c r="L559" s="723">
        <f t="shared" si="30"/>
        <v>0</v>
      </c>
      <c r="M559" s="723">
        <f t="shared" si="31"/>
        <v>0</v>
      </c>
      <c r="N559" s="723">
        <f t="shared" si="32"/>
        <v>0</v>
      </c>
    </row>
    <row r="560" spans="1:14">
      <c r="A560" s="639" t="s">
        <v>115</v>
      </c>
      <c r="B560" s="718">
        <v>312</v>
      </c>
      <c r="C560" s="728" t="s">
        <v>667</v>
      </c>
      <c r="D560" s="718">
        <f>VLOOKUP(B560,'2-Kosten per locatie'!$A$13:$C$88,3,FALSE)</f>
        <v>2</v>
      </c>
      <c r="E560" s="720" t="s">
        <v>1141</v>
      </c>
      <c r="F560" s="639" t="s">
        <v>980</v>
      </c>
      <c r="G560" s="639" t="s">
        <v>1144</v>
      </c>
      <c r="H560" s="705">
        <v>2</v>
      </c>
      <c r="I560" s="721">
        <f>2*9.75</f>
        <v>19.5</v>
      </c>
      <c r="J560" s="722" t="s">
        <v>982</v>
      </c>
      <c r="K560" s="722"/>
      <c r="L560" s="723">
        <f t="shared" si="30"/>
        <v>0</v>
      </c>
      <c r="M560" s="723">
        <f t="shared" si="31"/>
        <v>0</v>
      </c>
      <c r="N560" s="723">
        <f t="shared" si="32"/>
        <v>0</v>
      </c>
    </row>
    <row r="561" spans="1:14">
      <c r="A561" s="639" t="s">
        <v>115</v>
      </c>
      <c r="B561" s="718">
        <v>312</v>
      </c>
      <c r="C561" s="728" t="s">
        <v>667</v>
      </c>
      <c r="D561" s="718">
        <f>VLOOKUP(B561,'2-Kosten per locatie'!$A$13:$C$88,3,FALSE)</f>
        <v>2</v>
      </c>
      <c r="E561" s="720" t="s">
        <v>1141</v>
      </c>
      <c r="F561" s="639" t="s">
        <v>983</v>
      </c>
      <c r="G561" s="639" t="s">
        <v>1144</v>
      </c>
      <c r="H561" s="705">
        <v>2</v>
      </c>
      <c r="I561" s="721">
        <f>2*9.75</f>
        <v>19.5</v>
      </c>
      <c r="J561" s="722" t="s">
        <v>968</v>
      </c>
      <c r="K561" s="722"/>
      <c r="L561" s="723">
        <f t="shared" si="30"/>
        <v>0</v>
      </c>
      <c r="M561" s="723">
        <f t="shared" si="31"/>
        <v>0</v>
      </c>
      <c r="N561" s="723">
        <f t="shared" si="32"/>
        <v>0</v>
      </c>
    </row>
    <row r="562" spans="1:14">
      <c r="A562" s="639" t="s">
        <v>115</v>
      </c>
      <c r="B562" s="718">
        <v>312</v>
      </c>
      <c r="C562" s="728" t="s">
        <v>667</v>
      </c>
      <c r="D562" s="718">
        <f>VLOOKUP(B562,'2-Kosten per locatie'!$A$13:$C$88,3,FALSE)</f>
        <v>2</v>
      </c>
      <c r="E562" s="720" t="s">
        <v>1141</v>
      </c>
      <c r="F562" s="639" t="s">
        <v>980</v>
      </c>
      <c r="G562" s="639" t="s">
        <v>1145</v>
      </c>
      <c r="H562" s="705">
        <v>2</v>
      </c>
      <c r="I562" s="721">
        <f>3.45*9.75</f>
        <v>33.637500000000003</v>
      </c>
      <c r="J562" s="722" t="s">
        <v>982</v>
      </c>
      <c r="K562" s="722"/>
      <c r="L562" s="723">
        <f t="shared" si="30"/>
        <v>0</v>
      </c>
      <c r="M562" s="723">
        <f t="shared" si="31"/>
        <v>0</v>
      </c>
      <c r="N562" s="723">
        <f t="shared" si="32"/>
        <v>0</v>
      </c>
    </row>
    <row r="563" spans="1:14">
      <c r="A563" s="639" t="s">
        <v>115</v>
      </c>
      <c r="B563" s="718">
        <v>312</v>
      </c>
      <c r="C563" s="728" t="s">
        <v>667</v>
      </c>
      <c r="D563" s="718">
        <f>VLOOKUP(B563,'2-Kosten per locatie'!$A$13:$C$88,3,FALSE)</f>
        <v>2</v>
      </c>
      <c r="E563" s="720" t="s">
        <v>1141</v>
      </c>
      <c r="F563" s="639" t="s">
        <v>983</v>
      </c>
      <c r="G563" s="639" t="s">
        <v>1145</v>
      </c>
      <c r="H563" s="705">
        <v>2</v>
      </c>
      <c r="I563" s="721">
        <f>3.45*9.75</f>
        <v>33.637500000000003</v>
      </c>
      <c r="J563" s="722" t="s">
        <v>968</v>
      </c>
      <c r="K563" s="722"/>
      <c r="L563" s="723">
        <f t="shared" si="30"/>
        <v>0</v>
      </c>
      <c r="M563" s="723">
        <f t="shared" si="31"/>
        <v>0</v>
      </c>
      <c r="N563" s="723">
        <f t="shared" si="32"/>
        <v>0</v>
      </c>
    </row>
    <row r="564" spans="1:14">
      <c r="A564" s="639" t="s">
        <v>115</v>
      </c>
      <c r="B564" s="718">
        <v>312</v>
      </c>
      <c r="C564" s="728" t="s">
        <v>667</v>
      </c>
      <c r="D564" s="718">
        <f>VLOOKUP(B564,'2-Kosten per locatie'!$A$13:$C$88,3,FALSE)</f>
        <v>2</v>
      </c>
      <c r="E564" s="720" t="s">
        <v>289</v>
      </c>
      <c r="F564" s="639" t="s">
        <v>966</v>
      </c>
      <c r="G564" s="639" t="s">
        <v>991</v>
      </c>
      <c r="H564" s="705">
        <v>26</v>
      </c>
      <c r="I564" s="721">
        <v>54</v>
      </c>
      <c r="J564" s="722" t="s">
        <v>982</v>
      </c>
      <c r="K564" s="722" t="s">
        <v>992</v>
      </c>
      <c r="L564" s="723">
        <f t="shared" si="30"/>
        <v>0</v>
      </c>
      <c r="M564" s="723">
        <f t="shared" si="31"/>
        <v>0</v>
      </c>
      <c r="N564" s="723">
        <f t="shared" si="32"/>
        <v>0</v>
      </c>
    </row>
    <row r="565" spans="1:14">
      <c r="A565" s="639" t="s">
        <v>118</v>
      </c>
      <c r="B565" s="718">
        <v>401</v>
      </c>
      <c r="C565" s="727" t="s">
        <v>1171</v>
      </c>
      <c r="D565" s="718">
        <f>VLOOKUP(B565,'2-Kosten per locatie'!$A$13:$C$88,3,FALSE)</f>
        <v>2</v>
      </c>
      <c r="E565" s="720" t="s">
        <v>1172</v>
      </c>
      <c r="F565" s="639" t="s">
        <v>971</v>
      </c>
      <c r="G565" s="639" t="s">
        <v>1173</v>
      </c>
      <c r="H565" s="705">
        <v>2</v>
      </c>
      <c r="I565" s="721">
        <f>1.8*0.8+0.85*2.1</f>
        <v>3.2250000000000001</v>
      </c>
      <c r="J565" s="722" t="s">
        <v>982</v>
      </c>
      <c r="K565" s="722" t="s">
        <v>1174</v>
      </c>
      <c r="L565" s="723">
        <f t="shared" si="30"/>
        <v>0</v>
      </c>
      <c r="M565" s="723">
        <f t="shared" si="31"/>
        <v>0</v>
      </c>
      <c r="N565" s="723">
        <f t="shared" si="32"/>
        <v>0</v>
      </c>
    </row>
    <row r="566" spans="1:14">
      <c r="A566" s="639" t="s">
        <v>118</v>
      </c>
      <c r="B566" s="718">
        <v>401</v>
      </c>
      <c r="C566" s="727" t="s">
        <v>1171</v>
      </c>
      <c r="D566" s="718">
        <f>VLOOKUP(B566,'2-Kosten per locatie'!$A$13:$C$88,3,FALSE)</f>
        <v>2</v>
      </c>
      <c r="E566" s="720" t="s">
        <v>1172</v>
      </c>
      <c r="F566" s="639" t="s">
        <v>977</v>
      </c>
      <c r="G566" s="639" t="s">
        <v>1173</v>
      </c>
      <c r="H566" s="705">
        <v>2</v>
      </c>
      <c r="I566" s="721">
        <f>1.8*0.8+0.85*2.1</f>
        <v>3.2250000000000001</v>
      </c>
      <c r="J566" s="722" t="s">
        <v>982</v>
      </c>
      <c r="K566" s="722" t="s">
        <v>1175</v>
      </c>
      <c r="L566" s="723">
        <f t="shared" si="30"/>
        <v>0</v>
      </c>
      <c r="M566" s="723">
        <f t="shared" si="31"/>
        <v>0</v>
      </c>
      <c r="N566" s="723">
        <f t="shared" si="32"/>
        <v>0</v>
      </c>
    </row>
    <row r="567" spans="1:14">
      <c r="A567" s="639" t="s">
        <v>118</v>
      </c>
      <c r="B567" s="718">
        <v>401</v>
      </c>
      <c r="C567" s="727" t="s">
        <v>1171</v>
      </c>
      <c r="D567" s="718">
        <f>VLOOKUP(B567,'2-Kosten per locatie'!$A$13:$C$88,3,FALSE)</f>
        <v>2</v>
      </c>
      <c r="E567" s="720" t="s">
        <v>1176</v>
      </c>
      <c r="F567" s="639" t="s">
        <v>971</v>
      </c>
      <c r="G567" s="639" t="s">
        <v>1177</v>
      </c>
      <c r="H567" s="705">
        <v>2</v>
      </c>
      <c r="I567" s="721">
        <f>2*0.9*3</f>
        <v>5.4</v>
      </c>
      <c r="J567" s="722" t="s">
        <v>982</v>
      </c>
      <c r="K567" s="722" t="s">
        <v>1175</v>
      </c>
      <c r="L567" s="723">
        <f t="shared" si="30"/>
        <v>0</v>
      </c>
      <c r="M567" s="723">
        <f t="shared" si="31"/>
        <v>0</v>
      </c>
      <c r="N567" s="723">
        <f t="shared" si="32"/>
        <v>0</v>
      </c>
    </row>
    <row r="568" spans="1:14">
      <c r="A568" s="639" t="s">
        <v>118</v>
      </c>
      <c r="B568" s="718">
        <v>401</v>
      </c>
      <c r="C568" s="727" t="s">
        <v>1171</v>
      </c>
      <c r="D568" s="718">
        <f>VLOOKUP(B568,'2-Kosten per locatie'!$A$13:$C$88,3,FALSE)</f>
        <v>2</v>
      </c>
      <c r="E568" s="720" t="s">
        <v>1176</v>
      </c>
      <c r="F568" s="639" t="s">
        <v>977</v>
      </c>
      <c r="G568" s="639" t="s">
        <v>1177</v>
      </c>
      <c r="H568" s="705">
        <v>2</v>
      </c>
      <c r="I568" s="721">
        <f>2*0.9*3</f>
        <v>5.4</v>
      </c>
      <c r="J568" s="722" t="s">
        <v>982</v>
      </c>
      <c r="K568" s="722" t="s">
        <v>1175</v>
      </c>
      <c r="L568" s="723">
        <f t="shared" si="30"/>
        <v>0</v>
      </c>
      <c r="M568" s="723">
        <f t="shared" si="31"/>
        <v>0</v>
      </c>
      <c r="N568" s="723">
        <f t="shared" si="32"/>
        <v>0</v>
      </c>
    </row>
    <row r="569" spans="1:14">
      <c r="A569" s="639" t="s">
        <v>118</v>
      </c>
      <c r="B569" s="718">
        <v>401</v>
      </c>
      <c r="C569" s="727" t="s">
        <v>1171</v>
      </c>
      <c r="D569" s="718">
        <f>VLOOKUP(B569,'2-Kosten per locatie'!$A$13:$C$88,3,FALSE)</f>
        <v>2</v>
      </c>
      <c r="E569" s="720" t="s">
        <v>1178</v>
      </c>
      <c r="F569" s="639" t="s">
        <v>971</v>
      </c>
      <c r="G569" s="639" t="s">
        <v>1179</v>
      </c>
      <c r="H569" s="705">
        <v>2</v>
      </c>
      <c r="I569" s="721">
        <f>2*0.9*3</f>
        <v>5.4</v>
      </c>
      <c r="J569" s="722" t="s">
        <v>982</v>
      </c>
      <c r="K569" s="722" t="s">
        <v>1175</v>
      </c>
      <c r="L569" s="723">
        <f t="shared" si="30"/>
        <v>0</v>
      </c>
      <c r="M569" s="723">
        <f t="shared" si="31"/>
        <v>0</v>
      </c>
      <c r="N569" s="723">
        <f t="shared" si="32"/>
        <v>0</v>
      </c>
    </row>
    <row r="570" spans="1:14">
      <c r="A570" s="639" t="s">
        <v>118</v>
      </c>
      <c r="B570" s="718">
        <v>401</v>
      </c>
      <c r="C570" s="727" t="s">
        <v>1171</v>
      </c>
      <c r="D570" s="718">
        <f>VLOOKUP(B570,'2-Kosten per locatie'!$A$13:$C$88,3,FALSE)</f>
        <v>2</v>
      </c>
      <c r="E570" s="720" t="s">
        <v>1178</v>
      </c>
      <c r="F570" s="639" t="s">
        <v>977</v>
      </c>
      <c r="G570" s="639" t="s">
        <v>1179</v>
      </c>
      <c r="H570" s="705">
        <v>2</v>
      </c>
      <c r="I570" s="721">
        <f>2*0.9*3</f>
        <v>5.4</v>
      </c>
      <c r="J570" s="722" t="s">
        <v>982</v>
      </c>
      <c r="K570" s="722" t="s">
        <v>1175</v>
      </c>
      <c r="L570" s="723">
        <f t="shared" si="30"/>
        <v>0</v>
      </c>
      <c r="M570" s="723">
        <f t="shared" si="31"/>
        <v>0</v>
      </c>
      <c r="N570" s="723">
        <f t="shared" si="32"/>
        <v>0</v>
      </c>
    </row>
    <row r="571" spans="1:14">
      <c r="A571" s="639" t="s">
        <v>119</v>
      </c>
      <c r="B571" s="718">
        <v>402</v>
      </c>
      <c r="C571" s="727" t="s">
        <v>1171</v>
      </c>
      <c r="D571" s="718">
        <f>VLOOKUP(B571,'2-Kosten per locatie'!$A$13:$C$88,3,FALSE)</f>
        <v>2</v>
      </c>
      <c r="E571" s="720" t="s">
        <v>792</v>
      </c>
      <c r="F571" s="639" t="s">
        <v>971</v>
      </c>
      <c r="G571" s="639" t="s">
        <v>1173</v>
      </c>
      <c r="H571" s="705">
        <v>2</v>
      </c>
      <c r="I571" s="721">
        <f>1.8*0.8+0.85*2.1</f>
        <v>3.2250000000000001</v>
      </c>
      <c r="J571" s="722" t="s">
        <v>982</v>
      </c>
      <c r="K571" s="722" t="s">
        <v>1180</v>
      </c>
      <c r="L571" s="723">
        <f t="shared" si="30"/>
        <v>0</v>
      </c>
      <c r="M571" s="723">
        <f t="shared" si="31"/>
        <v>0</v>
      </c>
      <c r="N571" s="723">
        <f t="shared" si="32"/>
        <v>0</v>
      </c>
    </row>
    <row r="572" spans="1:14">
      <c r="A572" s="639" t="s">
        <v>119</v>
      </c>
      <c r="B572" s="718">
        <v>402</v>
      </c>
      <c r="C572" s="727" t="s">
        <v>1171</v>
      </c>
      <c r="D572" s="718">
        <f>VLOOKUP(B572,'2-Kosten per locatie'!$A$13:$C$88,3,FALSE)</f>
        <v>2</v>
      </c>
      <c r="E572" s="720" t="s">
        <v>792</v>
      </c>
      <c r="F572" s="639" t="s">
        <v>977</v>
      </c>
      <c r="G572" s="639" t="s">
        <v>1173</v>
      </c>
      <c r="H572" s="705">
        <v>2</v>
      </c>
      <c r="I572" s="721">
        <f>1.8*0.8+0.85*2.1</f>
        <v>3.2250000000000001</v>
      </c>
      <c r="J572" s="722" t="s">
        <v>982</v>
      </c>
      <c r="K572" s="722"/>
      <c r="L572" s="723">
        <f t="shared" si="30"/>
        <v>0</v>
      </c>
      <c r="M572" s="723">
        <f t="shared" si="31"/>
        <v>0</v>
      </c>
      <c r="N572" s="723">
        <f t="shared" si="32"/>
        <v>0</v>
      </c>
    </row>
    <row r="573" spans="1:14">
      <c r="A573" s="639" t="s">
        <v>119</v>
      </c>
      <c r="B573" s="718">
        <v>402</v>
      </c>
      <c r="C573" s="727" t="s">
        <v>1171</v>
      </c>
      <c r="D573" s="718">
        <f>VLOOKUP(B573,'2-Kosten per locatie'!$A$13:$C$88,3,FALSE)</f>
        <v>2</v>
      </c>
      <c r="E573" s="720" t="s">
        <v>798</v>
      </c>
      <c r="F573" s="639" t="s">
        <v>971</v>
      </c>
      <c r="G573" s="639" t="s">
        <v>1177</v>
      </c>
      <c r="H573" s="705">
        <v>2</v>
      </c>
      <c r="I573" s="721">
        <f>2*0.9*3</f>
        <v>5.4</v>
      </c>
      <c r="J573" s="722" t="s">
        <v>982</v>
      </c>
      <c r="K573" s="722"/>
      <c r="L573" s="723">
        <f t="shared" si="30"/>
        <v>0</v>
      </c>
      <c r="M573" s="723">
        <f t="shared" si="31"/>
        <v>0</v>
      </c>
      <c r="N573" s="723">
        <f t="shared" si="32"/>
        <v>0</v>
      </c>
    </row>
    <row r="574" spans="1:14">
      <c r="A574" s="639" t="s">
        <v>119</v>
      </c>
      <c r="B574" s="718">
        <v>402</v>
      </c>
      <c r="C574" s="727" t="s">
        <v>1171</v>
      </c>
      <c r="D574" s="718">
        <f>VLOOKUP(B574,'2-Kosten per locatie'!$A$13:$C$88,3,FALSE)</f>
        <v>2</v>
      </c>
      <c r="E574" s="720" t="s">
        <v>798</v>
      </c>
      <c r="F574" s="639" t="s">
        <v>977</v>
      </c>
      <c r="G574" s="639" t="s">
        <v>1177</v>
      </c>
      <c r="H574" s="705">
        <v>2</v>
      </c>
      <c r="I574" s="721">
        <f>2*0.9*3</f>
        <v>5.4</v>
      </c>
      <c r="J574" s="722" t="s">
        <v>982</v>
      </c>
      <c r="K574" s="722" t="s">
        <v>1181</v>
      </c>
      <c r="L574" s="723">
        <f t="shared" si="30"/>
        <v>0</v>
      </c>
      <c r="M574" s="723">
        <f t="shared" si="31"/>
        <v>0</v>
      </c>
      <c r="N574" s="723">
        <f t="shared" si="32"/>
        <v>0</v>
      </c>
    </row>
    <row r="575" spans="1:14">
      <c r="A575" s="639" t="s">
        <v>119</v>
      </c>
      <c r="B575" s="718">
        <v>402</v>
      </c>
      <c r="C575" s="727" t="s">
        <v>1171</v>
      </c>
      <c r="D575" s="718">
        <f>VLOOKUP(B575,'2-Kosten per locatie'!$A$13:$C$88,3,FALSE)</f>
        <v>2</v>
      </c>
      <c r="E575" s="720" t="s">
        <v>794</v>
      </c>
      <c r="F575" s="639" t="s">
        <v>971</v>
      </c>
      <c r="G575" s="639" t="s">
        <v>1179</v>
      </c>
      <c r="H575" s="705">
        <v>2</v>
      </c>
      <c r="I575" s="721">
        <f>2*0.9*3</f>
        <v>5.4</v>
      </c>
      <c r="J575" s="722" t="s">
        <v>982</v>
      </c>
      <c r="K575" s="722"/>
      <c r="L575" s="723">
        <f t="shared" si="30"/>
        <v>0</v>
      </c>
      <c r="M575" s="723">
        <f t="shared" si="31"/>
        <v>0</v>
      </c>
      <c r="N575" s="723">
        <f t="shared" si="32"/>
        <v>0</v>
      </c>
    </row>
    <row r="576" spans="1:14">
      <c r="A576" s="639" t="s">
        <v>119</v>
      </c>
      <c r="B576" s="718">
        <v>402</v>
      </c>
      <c r="C576" s="727" t="s">
        <v>1171</v>
      </c>
      <c r="D576" s="718">
        <f>VLOOKUP(B576,'2-Kosten per locatie'!$A$13:$C$88,3,FALSE)</f>
        <v>2</v>
      </c>
      <c r="E576" s="720" t="s">
        <v>794</v>
      </c>
      <c r="F576" s="639" t="s">
        <v>977</v>
      </c>
      <c r="G576" s="639" t="s">
        <v>1179</v>
      </c>
      <c r="H576" s="705">
        <v>2</v>
      </c>
      <c r="I576" s="721">
        <f>2*0.9*3</f>
        <v>5.4</v>
      </c>
      <c r="J576" s="722" t="s">
        <v>982</v>
      </c>
      <c r="K576" s="722" t="s">
        <v>1181</v>
      </c>
      <c r="L576" s="723">
        <f t="shared" si="30"/>
        <v>0</v>
      </c>
      <c r="M576" s="723">
        <f t="shared" si="31"/>
        <v>0</v>
      </c>
      <c r="N576" s="723">
        <f t="shared" si="32"/>
        <v>0</v>
      </c>
    </row>
    <row r="577" spans="1:14">
      <c r="A577" s="639" t="s">
        <v>1182</v>
      </c>
      <c r="B577" s="718">
        <v>405</v>
      </c>
      <c r="C577" s="727" t="s">
        <v>1171</v>
      </c>
      <c r="D577" s="718">
        <f>VLOOKUP(B577,'2-Kosten per locatie'!$A$13:$C$88,3,FALSE)</f>
        <v>2</v>
      </c>
      <c r="E577" s="720" t="s">
        <v>792</v>
      </c>
      <c r="F577" s="639" t="s">
        <v>971</v>
      </c>
      <c r="G577" s="639" t="s">
        <v>1173</v>
      </c>
      <c r="H577" s="705">
        <v>2</v>
      </c>
      <c r="I577" s="721">
        <f>1.8*0.8+0.85*2.1</f>
        <v>3.2250000000000001</v>
      </c>
      <c r="J577" s="722" t="s">
        <v>982</v>
      </c>
      <c r="K577" s="722" t="s">
        <v>1183</v>
      </c>
      <c r="L577" s="723">
        <f t="shared" si="30"/>
        <v>0</v>
      </c>
      <c r="M577" s="723">
        <f t="shared" si="31"/>
        <v>0</v>
      </c>
      <c r="N577" s="723">
        <f t="shared" si="32"/>
        <v>0</v>
      </c>
    </row>
    <row r="578" spans="1:14">
      <c r="A578" s="639" t="s">
        <v>1182</v>
      </c>
      <c r="B578" s="718">
        <v>405</v>
      </c>
      <c r="C578" s="727" t="s">
        <v>1171</v>
      </c>
      <c r="D578" s="718">
        <f>VLOOKUP(B578,'2-Kosten per locatie'!$A$13:$C$88,3,FALSE)</f>
        <v>2</v>
      </c>
      <c r="E578" s="720" t="s">
        <v>792</v>
      </c>
      <c r="F578" s="639" t="s">
        <v>977</v>
      </c>
      <c r="G578" s="639" t="s">
        <v>1173</v>
      </c>
      <c r="H578" s="705">
        <v>2</v>
      </c>
      <c r="I578" s="721">
        <f>1.8*0.8+0.85*2.1</f>
        <v>3.2250000000000001</v>
      </c>
      <c r="J578" s="722" t="s">
        <v>982</v>
      </c>
      <c r="K578" s="722"/>
      <c r="L578" s="723">
        <f t="shared" si="30"/>
        <v>0</v>
      </c>
      <c r="M578" s="723">
        <f t="shared" si="31"/>
        <v>0</v>
      </c>
      <c r="N578" s="723">
        <f t="shared" si="32"/>
        <v>0</v>
      </c>
    </row>
    <row r="579" spans="1:14">
      <c r="A579" s="639" t="s">
        <v>1182</v>
      </c>
      <c r="B579" s="718">
        <v>405</v>
      </c>
      <c r="C579" s="727" t="s">
        <v>1171</v>
      </c>
      <c r="D579" s="718">
        <f>VLOOKUP(B579,'2-Kosten per locatie'!$A$13:$C$88,3,FALSE)</f>
        <v>2</v>
      </c>
      <c r="E579" s="720" t="s">
        <v>798</v>
      </c>
      <c r="F579" s="639" t="s">
        <v>971</v>
      </c>
      <c r="G579" s="639" t="s">
        <v>1177</v>
      </c>
      <c r="H579" s="705">
        <v>2</v>
      </c>
      <c r="I579" s="721">
        <f>2*0.9*3</f>
        <v>5.4</v>
      </c>
      <c r="J579" s="722" t="s">
        <v>982</v>
      </c>
      <c r="K579" s="722"/>
      <c r="L579" s="723">
        <f t="shared" si="30"/>
        <v>0</v>
      </c>
      <c r="M579" s="723">
        <f t="shared" si="31"/>
        <v>0</v>
      </c>
      <c r="N579" s="723">
        <f t="shared" si="32"/>
        <v>0</v>
      </c>
    </row>
    <row r="580" spans="1:14">
      <c r="A580" s="639" t="s">
        <v>1182</v>
      </c>
      <c r="B580" s="718">
        <v>405</v>
      </c>
      <c r="C580" s="727" t="s">
        <v>1171</v>
      </c>
      <c r="D580" s="718">
        <f>VLOOKUP(B580,'2-Kosten per locatie'!$A$13:$C$88,3,FALSE)</f>
        <v>2</v>
      </c>
      <c r="E580" s="720" t="s">
        <v>798</v>
      </c>
      <c r="F580" s="639" t="s">
        <v>977</v>
      </c>
      <c r="G580" s="639" t="s">
        <v>1177</v>
      </c>
      <c r="H580" s="705">
        <v>2</v>
      </c>
      <c r="I580" s="721">
        <f>2*0.9*3</f>
        <v>5.4</v>
      </c>
      <c r="J580" s="722" t="s">
        <v>982</v>
      </c>
      <c r="K580" s="722" t="s">
        <v>1184</v>
      </c>
      <c r="L580" s="723">
        <f t="shared" si="30"/>
        <v>0</v>
      </c>
      <c r="M580" s="723">
        <f t="shared" si="31"/>
        <v>0</v>
      </c>
      <c r="N580" s="723">
        <f t="shared" si="32"/>
        <v>0</v>
      </c>
    </row>
    <row r="581" spans="1:14">
      <c r="A581" s="639" t="s">
        <v>1182</v>
      </c>
      <c r="B581" s="718">
        <v>405</v>
      </c>
      <c r="C581" s="727" t="s">
        <v>1171</v>
      </c>
      <c r="D581" s="718">
        <f>VLOOKUP(B581,'2-Kosten per locatie'!$A$13:$C$88,3,FALSE)</f>
        <v>2</v>
      </c>
      <c r="E581" s="720" t="s">
        <v>794</v>
      </c>
      <c r="F581" s="639" t="s">
        <v>971</v>
      </c>
      <c r="G581" s="639" t="s">
        <v>1179</v>
      </c>
      <c r="H581" s="705">
        <v>2</v>
      </c>
      <c r="I581" s="721">
        <f>2*0.9*3</f>
        <v>5.4</v>
      </c>
      <c r="J581" s="722" t="s">
        <v>982</v>
      </c>
      <c r="K581" s="722"/>
      <c r="L581" s="723">
        <f t="shared" si="30"/>
        <v>0</v>
      </c>
      <c r="M581" s="723">
        <f t="shared" si="31"/>
        <v>0</v>
      </c>
      <c r="N581" s="723">
        <f t="shared" si="32"/>
        <v>0</v>
      </c>
    </row>
    <row r="582" spans="1:14">
      <c r="A582" s="639" t="s">
        <v>1182</v>
      </c>
      <c r="B582" s="718">
        <v>405</v>
      </c>
      <c r="C582" s="727" t="s">
        <v>1171</v>
      </c>
      <c r="D582" s="718">
        <f>VLOOKUP(B582,'2-Kosten per locatie'!$A$13:$C$88,3,FALSE)</f>
        <v>2</v>
      </c>
      <c r="E582" s="720" t="s">
        <v>794</v>
      </c>
      <c r="F582" s="639" t="s">
        <v>977</v>
      </c>
      <c r="G582" s="639" t="s">
        <v>1179</v>
      </c>
      <c r="H582" s="705">
        <v>2</v>
      </c>
      <c r="I582" s="721">
        <f t="shared" ref="I582" si="33">2*0.9*3</f>
        <v>5.4</v>
      </c>
      <c r="J582" s="722" t="s">
        <v>982</v>
      </c>
      <c r="K582" s="722"/>
      <c r="L582" s="723">
        <f t="shared" si="30"/>
        <v>0</v>
      </c>
      <c r="M582" s="723">
        <f t="shared" si="31"/>
        <v>0</v>
      </c>
      <c r="N582" s="723">
        <f t="shared" si="32"/>
        <v>0</v>
      </c>
    </row>
    <row r="583" spans="1:14">
      <c r="A583" s="639" t="s">
        <v>121</v>
      </c>
      <c r="B583" s="718">
        <v>406</v>
      </c>
      <c r="C583" s="727" t="s">
        <v>1171</v>
      </c>
      <c r="D583" s="718">
        <f>VLOOKUP(B583,'2-Kosten per locatie'!$A$13:$C$88,3,FALSE)</f>
        <v>2</v>
      </c>
      <c r="E583" s="720" t="s">
        <v>792</v>
      </c>
      <c r="F583" s="639" t="s">
        <v>971</v>
      </c>
      <c r="G583" s="639" t="s">
        <v>1173</v>
      </c>
      <c r="H583" s="705">
        <v>2</v>
      </c>
      <c r="I583" s="721">
        <f>1.8*0.8+0.85*2.1</f>
        <v>3.2250000000000001</v>
      </c>
      <c r="J583" s="722" t="s">
        <v>982</v>
      </c>
      <c r="K583" s="722" t="s">
        <v>1185</v>
      </c>
      <c r="L583" s="723">
        <f t="shared" si="30"/>
        <v>0</v>
      </c>
      <c r="M583" s="723">
        <f t="shared" si="31"/>
        <v>0</v>
      </c>
      <c r="N583" s="723">
        <f t="shared" si="32"/>
        <v>0</v>
      </c>
    </row>
    <row r="584" spans="1:14">
      <c r="A584" s="639" t="s">
        <v>121</v>
      </c>
      <c r="B584" s="718">
        <v>406</v>
      </c>
      <c r="C584" s="727" t="s">
        <v>1171</v>
      </c>
      <c r="D584" s="718">
        <f>VLOOKUP(B584,'2-Kosten per locatie'!$A$13:$C$88,3,FALSE)</f>
        <v>2</v>
      </c>
      <c r="E584" s="720" t="s">
        <v>792</v>
      </c>
      <c r="F584" s="639" t="s">
        <v>977</v>
      </c>
      <c r="G584" s="639" t="s">
        <v>1173</v>
      </c>
      <c r="H584" s="705">
        <v>2</v>
      </c>
      <c r="I584" s="721">
        <f>1.8*0.8</f>
        <v>1.4400000000000002</v>
      </c>
      <c r="J584" s="722" t="s">
        <v>982</v>
      </c>
      <c r="K584" s="722"/>
      <c r="L584" s="723">
        <f t="shared" si="30"/>
        <v>0</v>
      </c>
      <c r="M584" s="723">
        <f t="shared" si="31"/>
        <v>0</v>
      </c>
      <c r="N584" s="723">
        <f t="shared" si="32"/>
        <v>0</v>
      </c>
    </row>
    <row r="585" spans="1:14">
      <c r="A585" s="639" t="s">
        <v>121</v>
      </c>
      <c r="B585" s="718">
        <v>406</v>
      </c>
      <c r="C585" s="727" t="s">
        <v>1171</v>
      </c>
      <c r="D585" s="718">
        <f>VLOOKUP(B585,'2-Kosten per locatie'!$A$13:$C$88,3,FALSE)</f>
        <v>2</v>
      </c>
      <c r="E585" s="720" t="s">
        <v>798</v>
      </c>
      <c r="F585" s="639" t="s">
        <v>971</v>
      </c>
      <c r="G585" s="639" t="s">
        <v>1177</v>
      </c>
      <c r="H585" s="705">
        <v>2</v>
      </c>
      <c r="I585" s="721">
        <f>2*0.9*2.1</f>
        <v>3.7800000000000002</v>
      </c>
      <c r="J585" s="722" t="s">
        <v>982</v>
      </c>
      <c r="K585" s="722"/>
      <c r="L585" s="723">
        <f t="shared" si="30"/>
        <v>0</v>
      </c>
      <c r="M585" s="723">
        <f t="shared" si="31"/>
        <v>0</v>
      </c>
      <c r="N585" s="723">
        <f t="shared" si="32"/>
        <v>0</v>
      </c>
    </row>
    <row r="586" spans="1:14">
      <c r="A586" s="639" t="s">
        <v>121</v>
      </c>
      <c r="B586" s="718">
        <v>406</v>
      </c>
      <c r="C586" s="727" t="s">
        <v>1171</v>
      </c>
      <c r="D586" s="718">
        <f>VLOOKUP(B586,'2-Kosten per locatie'!$A$13:$C$88,3,FALSE)</f>
        <v>2</v>
      </c>
      <c r="E586" s="720" t="s">
        <v>794</v>
      </c>
      <c r="F586" s="639" t="s">
        <v>971</v>
      </c>
      <c r="G586" s="639" t="s">
        <v>1179</v>
      </c>
      <c r="H586" s="705">
        <v>2</v>
      </c>
      <c r="I586" s="721">
        <f>1*0.9*0.9+2*0.9*2.1</f>
        <v>4.59</v>
      </c>
      <c r="J586" s="722" t="s">
        <v>982</v>
      </c>
      <c r="K586" s="722"/>
      <c r="L586" s="723">
        <f t="shared" si="30"/>
        <v>0</v>
      </c>
      <c r="M586" s="723">
        <f t="shared" si="31"/>
        <v>0</v>
      </c>
      <c r="N586" s="723">
        <f t="shared" si="32"/>
        <v>0</v>
      </c>
    </row>
    <row r="587" spans="1:14">
      <c r="A587" s="639" t="s">
        <v>121</v>
      </c>
      <c r="B587" s="718">
        <v>406</v>
      </c>
      <c r="C587" s="727" t="s">
        <v>1171</v>
      </c>
      <c r="D587" s="718">
        <f>VLOOKUP(B587,'2-Kosten per locatie'!$A$13:$C$88,3,FALSE)</f>
        <v>2</v>
      </c>
      <c r="E587" s="720" t="s">
        <v>794</v>
      </c>
      <c r="F587" s="639" t="s">
        <v>977</v>
      </c>
      <c r="G587" s="639" t="s">
        <v>1179</v>
      </c>
      <c r="H587" s="705">
        <v>2</v>
      </c>
      <c r="I587" s="721">
        <f>1*0.9*0.9</f>
        <v>0.81</v>
      </c>
      <c r="J587" s="722" t="s">
        <v>982</v>
      </c>
      <c r="K587" s="722"/>
      <c r="L587" s="723">
        <f t="shared" si="30"/>
        <v>0</v>
      </c>
      <c r="M587" s="723">
        <f t="shared" si="31"/>
        <v>0</v>
      </c>
      <c r="N587" s="723">
        <f t="shared" si="32"/>
        <v>0</v>
      </c>
    </row>
    <row r="588" spans="1:14">
      <c r="A588" s="639" t="s">
        <v>122</v>
      </c>
      <c r="B588" s="718">
        <v>407</v>
      </c>
      <c r="C588" s="727" t="s">
        <v>1171</v>
      </c>
      <c r="D588" s="718">
        <f>VLOOKUP(B588,'2-Kosten per locatie'!$A$13:$C$88,3,FALSE)</f>
        <v>2</v>
      </c>
      <c r="E588" s="720" t="s">
        <v>792</v>
      </c>
      <c r="F588" s="639" t="s">
        <v>971</v>
      </c>
      <c r="G588" s="639" t="s">
        <v>1173</v>
      </c>
      <c r="H588" s="705">
        <v>2</v>
      </c>
      <c r="I588" s="721">
        <f>1.8*0.8+0.85*2.1</f>
        <v>3.2250000000000001</v>
      </c>
      <c r="J588" s="722" t="s">
        <v>982</v>
      </c>
      <c r="K588" s="722" t="s">
        <v>1186</v>
      </c>
      <c r="L588" s="723">
        <f t="shared" si="30"/>
        <v>0</v>
      </c>
      <c r="M588" s="723">
        <f t="shared" si="31"/>
        <v>0</v>
      </c>
      <c r="N588" s="723">
        <f t="shared" si="32"/>
        <v>0</v>
      </c>
    </row>
    <row r="589" spans="1:14">
      <c r="A589" s="639" t="s">
        <v>122</v>
      </c>
      <c r="B589" s="718">
        <v>407</v>
      </c>
      <c r="C589" s="727" t="s">
        <v>1171</v>
      </c>
      <c r="D589" s="718">
        <f>VLOOKUP(B589,'2-Kosten per locatie'!$A$13:$C$88,3,FALSE)</f>
        <v>2</v>
      </c>
      <c r="E589" s="720" t="s">
        <v>792</v>
      </c>
      <c r="F589" s="639" t="s">
        <v>977</v>
      </c>
      <c r="G589" s="639" t="s">
        <v>1173</v>
      </c>
      <c r="H589" s="705">
        <v>2</v>
      </c>
      <c r="I589" s="721">
        <f>1.8*0.8+0.85*2.1</f>
        <v>3.2250000000000001</v>
      </c>
      <c r="J589" s="722" t="s">
        <v>982</v>
      </c>
      <c r="K589" s="722" t="s">
        <v>1187</v>
      </c>
      <c r="L589" s="723">
        <f t="shared" si="30"/>
        <v>0</v>
      </c>
      <c r="M589" s="723">
        <f t="shared" si="31"/>
        <v>0</v>
      </c>
      <c r="N589" s="723">
        <f t="shared" si="32"/>
        <v>0</v>
      </c>
    </row>
    <row r="590" spans="1:14">
      <c r="A590" s="639" t="s">
        <v>122</v>
      </c>
      <c r="B590" s="718">
        <v>407</v>
      </c>
      <c r="C590" s="727" t="s">
        <v>1171</v>
      </c>
      <c r="D590" s="718">
        <f>VLOOKUP(B590,'2-Kosten per locatie'!$A$13:$C$88,3,FALSE)</f>
        <v>2</v>
      </c>
      <c r="E590" s="720" t="s">
        <v>798</v>
      </c>
      <c r="F590" s="639" t="s">
        <v>971</v>
      </c>
      <c r="G590" s="639" t="s">
        <v>1177</v>
      </c>
      <c r="H590" s="705">
        <v>2</v>
      </c>
      <c r="I590" s="721">
        <f>1*0.9*3+0.9*0.9+0.9*1</f>
        <v>4.41</v>
      </c>
      <c r="J590" s="722" t="s">
        <v>982</v>
      </c>
      <c r="K590" s="722"/>
      <c r="L590" s="723">
        <f t="shared" si="30"/>
        <v>0</v>
      </c>
      <c r="M590" s="723">
        <f t="shared" si="31"/>
        <v>0</v>
      </c>
      <c r="N590" s="723">
        <f t="shared" si="32"/>
        <v>0</v>
      </c>
    </row>
    <row r="591" spans="1:14">
      <c r="A591" s="639" t="s">
        <v>122</v>
      </c>
      <c r="B591" s="718">
        <v>407</v>
      </c>
      <c r="C591" s="727" t="s">
        <v>1171</v>
      </c>
      <c r="D591" s="718">
        <f>VLOOKUP(B591,'2-Kosten per locatie'!$A$13:$C$88,3,FALSE)</f>
        <v>2</v>
      </c>
      <c r="E591" s="720" t="s">
        <v>798</v>
      </c>
      <c r="F591" s="639" t="s">
        <v>977</v>
      </c>
      <c r="G591" s="639" t="s">
        <v>1177</v>
      </c>
      <c r="H591" s="705">
        <v>2</v>
      </c>
      <c r="I591" s="721">
        <f>1*0.9*3+0.9*0.9</f>
        <v>3.5100000000000002</v>
      </c>
      <c r="J591" s="722" t="s">
        <v>982</v>
      </c>
      <c r="K591" s="722" t="s">
        <v>1187</v>
      </c>
      <c r="L591" s="723">
        <f t="shared" ref="L591:L605" si="34">IF(J591="ja",0,VLOOKUP(F591,Glassoort2,2,0))*I591</f>
        <v>0</v>
      </c>
      <c r="M591" s="723">
        <f t="shared" ref="M591:M605" si="35">IF(J591="ja",VLOOKUP(F591,Glassoort2,3,0))*I591</f>
        <v>0</v>
      </c>
      <c r="N591" s="723">
        <f t="shared" ref="N591:N605" si="36">(M591*H591)+(L591*H591)</f>
        <v>0</v>
      </c>
    </row>
    <row r="592" spans="1:14">
      <c r="A592" s="639" t="s">
        <v>122</v>
      </c>
      <c r="B592" s="718">
        <v>407</v>
      </c>
      <c r="C592" s="727" t="s">
        <v>1171</v>
      </c>
      <c r="D592" s="718">
        <f>VLOOKUP(B592,'2-Kosten per locatie'!$A$13:$C$88,3,FALSE)</f>
        <v>2</v>
      </c>
      <c r="E592" s="720" t="s">
        <v>794</v>
      </c>
      <c r="F592" s="639" t="s">
        <v>971</v>
      </c>
      <c r="G592" s="639" t="s">
        <v>1179</v>
      </c>
      <c r="H592" s="705">
        <v>2</v>
      </c>
      <c r="I592" s="721">
        <f>2*0.9*3</f>
        <v>5.4</v>
      </c>
      <c r="J592" s="722" t="s">
        <v>982</v>
      </c>
      <c r="K592" s="722"/>
      <c r="L592" s="723">
        <f t="shared" si="34"/>
        <v>0</v>
      </c>
      <c r="M592" s="723">
        <f t="shared" si="35"/>
        <v>0</v>
      </c>
      <c r="N592" s="723">
        <f t="shared" si="36"/>
        <v>0</v>
      </c>
    </row>
    <row r="593" spans="1:14">
      <c r="A593" s="639" t="s">
        <v>122</v>
      </c>
      <c r="B593" s="718">
        <v>407</v>
      </c>
      <c r="C593" s="727" t="s">
        <v>1171</v>
      </c>
      <c r="D593" s="718">
        <f>VLOOKUP(B593,'2-Kosten per locatie'!$A$13:$C$88,3,FALSE)</f>
        <v>2</v>
      </c>
      <c r="E593" s="720" t="s">
        <v>794</v>
      </c>
      <c r="F593" s="639" t="s">
        <v>977</v>
      </c>
      <c r="G593" s="639" t="s">
        <v>1179</v>
      </c>
      <c r="H593" s="705">
        <v>2</v>
      </c>
      <c r="I593" s="721">
        <f>2*0.9*3</f>
        <v>5.4</v>
      </c>
      <c r="J593" s="722" t="s">
        <v>982</v>
      </c>
      <c r="K593" s="722" t="s">
        <v>1181</v>
      </c>
      <c r="L593" s="723">
        <f t="shared" si="34"/>
        <v>0</v>
      </c>
      <c r="M593" s="723">
        <f t="shared" si="35"/>
        <v>0</v>
      </c>
      <c r="N593" s="723">
        <f t="shared" si="36"/>
        <v>0</v>
      </c>
    </row>
    <row r="594" spans="1:14">
      <c r="A594" s="639" t="s">
        <v>123</v>
      </c>
      <c r="B594" s="718">
        <v>408</v>
      </c>
      <c r="C594" s="727" t="s">
        <v>1171</v>
      </c>
      <c r="D594" s="718">
        <f>VLOOKUP(B594,'2-Kosten per locatie'!$A$13:$C$88,3,FALSE)</f>
        <v>2</v>
      </c>
      <c r="E594" s="720" t="s">
        <v>792</v>
      </c>
      <c r="F594" s="639" t="s">
        <v>971</v>
      </c>
      <c r="G594" s="639" t="s">
        <v>1173</v>
      </c>
      <c r="H594" s="705">
        <v>2</v>
      </c>
      <c r="I594" s="721">
        <f>1.8*0.8+0.85*2.1</f>
        <v>3.2250000000000001</v>
      </c>
      <c r="J594" s="722" t="s">
        <v>982</v>
      </c>
      <c r="K594" s="722" t="s">
        <v>1188</v>
      </c>
      <c r="L594" s="723">
        <f t="shared" si="34"/>
        <v>0</v>
      </c>
      <c r="M594" s="723">
        <f t="shared" si="35"/>
        <v>0</v>
      </c>
      <c r="N594" s="723">
        <f t="shared" si="36"/>
        <v>0</v>
      </c>
    </row>
    <row r="595" spans="1:14">
      <c r="A595" s="639" t="s">
        <v>123</v>
      </c>
      <c r="B595" s="718">
        <v>408</v>
      </c>
      <c r="C595" s="727" t="s">
        <v>1171</v>
      </c>
      <c r="D595" s="718">
        <f>VLOOKUP(B595,'2-Kosten per locatie'!$A$13:$C$88,3,FALSE)</f>
        <v>2</v>
      </c>
      <c r="E595" s="720" t="s">
        <v>792</v>
      </c>
      <c r="F595" s="639" t="s">
        <v>977</v>
      </c>
      <c r="G595" s="639" t="s">
        <v>1173</v>
      </c>
      <c r="H595" s="705">
        <v>2</v>
      </c>
      <c r="I595" s="721">
        <f>1.8*0.8</f>
        <v>1.4400000000000002</v>
      </c>
      <c r="J595" s="722" t="s">
        <v>982</v>
      </c>
      <c r="K595" s="722" t="s">
        <v>1175</v>
      </c>
      <c r="L595" s="723">
        <f t="shared" si="34"/>
        <v>0</v>
      </c>
      <c r="M595" s="723">
        <f t="shared" si="35"/>
        <v>0</v>
      </c>
      <c r="N595" s="723">
        <f t="shared" si="36"/>
        <v>0</v>
      </c>
    </row>
    <row r="596" spans="1:14">
      <c r="A596" s="639" t="s">
        <v>123</v>
      </c>
      <c r="B596" s="718">
        <v>408</v>
      </c>
      <c r="C596" s="727" t="s">
        <v>1171</v>
      </c>
      <c r="D596" s="718">
        <f>VLOOKUP(B596,'2-Kosten per locatie'!$A$13:$C$88,3,FALSE)</f>
        <v>2</v>
      </c>
      <c r="E596" s="720" t="s">
        <v>798</v>
      </c>
      <c r="F596" s="639" t="s">
        <v>971</v>
      </c>
      <c r="G596" s="639" t="s">
        <v>1177</v>
      </c>
      <c r="H596" s="705">
        <v>2</v>
      </c>
      <c r="I596" s="721">
        <f>2*0.9*0.9+2*0.9*2.1</f>
        <v>5.4</v>
      </c>
      <c r="J596" s="722" t="s">
        <v>982</v>
      </c>
      <c r="K596" s="722" t="s">
        <v>1175</v>
      </c>
      <c r="L596" s="723">
        <f t="shared" si="34"/>
        <v>0</v>
      </c>
      <c r="M596" s="723">
        <f t="shared" si="35"/>
        <v>0</v>
      </c>
      <c r="N596" s="723">
        <f t="shared" si="36"/>
        <v>0</v>
      </c>
    </row>
    <row r="597" spans="1:14">
      <c r="A597" s="639" t="s">
        <v>123</v>
      </c>
      <c r="B597" s="718">
        <v>408</v>
      </c>
      <c r="C597" s="727" t="s">
        <v>1171</v>
      </c>
      <c r="D597" s="718">
        <f>VLOOKUP(B597,'2-Kosten per locatie'!$A$13:$C$88,3,FALSE)</f>
        <v>2</v>
      </c>
      <c r="E597" s="720" t="s">
        <v>798</v>
      </c>
      <c r="F597" s="639" t="s">
        <v>977</v>
      </c>
      <c r="G597" s="639" t="s">
        <v>1177</v>
      </c>
      <c r="H597" s="705">
        <v>2</v>
      </c>
      <c r="I597" s="721">
        <f>2*0.9*0.9</f>
        <v>1.62</v>
      </c>
      <c r="J597" s="722" t="s">
        <v>982</v>
      </c>
      <c r="K597" s="722" t="s">
        <v>1175</v>
      </c>
      <c r="L597" s="723">
        <f t="shared" si="34"/>
        <v>0</v>
      </c>
      <c r="M597" s="723">
        <f t="shared" si="35"/>
        <v>0</v>
      </c>
      <c r="N597" s="723">
        <f t="shared" si="36"/>
        <v>0</v>
      </c>
    </row>
    <row r="598" spans="1:14">
      <c r="A598" s="639" t="s">
        <v>123</v>
      </c>
      <c r="B598" s="718">
        <v>408</v>
      </c>
      <c r="C598" s="727" t="s">
        <v>1171</v>
      </c>
      <c r="D598" s="718">
        <f>VLOOKUP(B598,'2-Kosten per locatie'!$A$13:$C$88,3,FALSE)</f>
        <v>2</v>
      </c>
      <c r="E598" s="720" t="s">
        <v>794</v>
      </c>
      <c r="F598" s="639" t="s">
        <v>971</v>
      </c>
      <c r="G598" s="639" t="s">
        <v>1179</v>
      </c>
      <c r="H598" s="705">
        <v>2</v>
      </c>
      <c r="I598" s="721">
        <f>0.9*1+0.9*2+0.9*0.9+0.9*2.1</f>
        <v>5.4</v>
      </c>
      <c r="J598" s="722" t="s">
        <v>982</v>
      </c>
      <c r="K598" s="722" t="s">
        <v>1175</v>
      </c>
      <c r="L598" s="723">
        <f t="shared" si="34"/>
        <v>0</v>
      </c>
      <c r="M598" s="723">
        <f t="shared" si="35"/>
        <v>0</v>
      </c>
      <c r="N598" s="723">
        <f t="shared" si="36"/>
        <v>0</v>
      </c>
    </row>
    <row r="599" spans="1:14">
      <c r="A599" s="639" t="s">
        <v>123</v>
      </c>
      <c r="B599" s="718">
        <v>408</v>
      </c>
      <c r="C599" s="727" t="s">
        <v>1171</v>
      </c>
      <c r="D599" s="718">
        <f>VLOOKUP(B599,'2-Kosten per locatie'!$A$13:$C$88,3,FALSE)</f>
        <v>2</v>
      </c>
      <c r="E599" s="720" t="s">
        <v>794</v>
      </c>
      <c r="F599" s="639" t="s">
        <v>977</v>
      </c>
      <c r="G599" s="639" t="s">
        <v>1179</v>
      </c>
      <c r="H599" s="705">
        <v>2</v>
      </c>
      <c r="I599" s="721">
        <f>0.9*2+0.9*0.9</f>
        <v>2.6100000000000003</v>
      </c>
      <c r="J599" s="722" t="s">
        <v>982</v>
      </c>
      <c r="K599" s="722" t="s">
        <v>1175</v>
      </c>
      <c r="L599" s="723">
        <f t="shared" si="34"/>
        <v>0</v>
      </c>
      <c r="M599" s="723">
        <f t="shared" si="35"/>
        <v>0</v>
      </c>
      <c r="N599" s="723">
        <f t="shared" si="36"/>
        <v>0</v>
      </c>
    </row>
    <row r="600" spans="1:14">
      <c r="A600" s="551" t="s">
        <v>116</v>
      </c>
      <c r="B600" s="718">
        <v>1001</v>
      </c>
      <c r="C600" s="719" t="s">
        <v>772</v>
      </c>
      <c r="D600" s="718">
        <f>VLOOKUP(B600,'2-Kosten per locatie'!$A$13:$C$88,3,FALSE)</f>
        <v>2</v>
      </c>
      <c r="E600" s="725" t="s">
        <v>486</v>
      </c>
      <c r="F600" s="639" t="s">
        <v>980</v>
      </c>
      <c r="G600" s="639" t="s">
        <v>1189</v>
      </c>
      <c r="H600" s="705">
        <v>2</v>
      </c>
      <c r="I600" s="721">
        <v>48</v>
      </c>
      <c r="J600" s="722" t="s">
        <v>982</v>
      </c>
      <c r="K600" s="722"/>
      <c r="L600" s="723">
        <f t="shared" si="34"/>
        <v>0</v>
      </c>
      <c r="M600" s="723">
        <f t="shared" si="35"/>
        <v>0</v>
      </c>
      <c r="N600" s="723">
        <f t="shared" si="36"/>
        <v>0</v>
      </c>
    </row>
    <row r="601" spans="1:14">
      <c r="A601" s="551" t="s">
        <v>116</v>
      </c>
      <c r="B601" s="718">
        <v>1001</v>
      </c>
      <c r="C601" s="719" t="s">
        <v>772</v>
      </c>
      <c r="D601" s="718">
        <f>VLOOKUP(B601,'2-Kosten per locatie'!$A$13:$C$88,3,FALSE)</f>
        <v>2</v>
      </c>
      <c r="E601" s="725" t="s">
        <v>486</v>
      </c>
      <c r="F601" s="639" t="s">
        <v>983</v>
      </c>
      <c r="G601" s="639" t="s">
        <v>1189</v>
      </c>
      <c r="H601" s="705">
        <v>2</v>
      </c>
      <c r="I601" s="721">
        <v>48</v>
      </c>
      <c r="J601" s="722" t="s">
        <v>968</v>
      </c>
      <c r="K601" s="722"/>
      <c r="L601" s="723">
        <f t="shared" si="34"/>
        <v>0</v>
      </c>
      <c r="M601" s="723">
        <f t="shared" si="35"/>
        <v>0</v>
      </c>
      <c r="N601" s="723">
        <f t="shared" si="36"/>
        <v>0</v>
      </c>
    </row>
    <row r="602" spans="1:14">
      <c r="A602" s="551" t="s">
        <v>116</v>
      </c>
      <c r="B602" s="718">
        <v>1001</v>
      </c>
      <c r="C602" s="719" t="s">
        <v>772</v>
      </c>
      <c r="D602" s="718">
        <f>VLOOKUP(B602,'2-Kosten per locatie'!$A$13:$C$88,3,FALSE)</f>
        <v>2</v>
      </c>
      <c r="E602" s="725" t="s">
        <v>486</v>
      </c>
      <c r="F602" s="639" t="s">
        <v>984</v>
      </c>
      <c r="G602" s="639" t="s">
        <v>1190</v>
      </c>
      <c r="H602" s="705">
        <v>2</v>
      </c>
      <c r="I602" s="721">
        <v>18</v>
      </c>
      <c r="J602" s="722" t="s">
        <v>982</v>
      </c>
      <c r="K602" s="722"/>
      <c r="L602" s="723">
        <f t="shared" si="34"/>
        <v>0</v>
      </c>
      <c r="M602" s="723">
        <f t="shared" si="35"/>
        <v>0</v>
      </c>
      <c r="N602" s="723">
        <f t="shared" si="36"/>
        <v>0</v>
      </c>
    </row>
    <row r="603" spans="1:14">
      <c r="A603" s="551" t="s">
        <v>116</v>
      </c>
      <c r="B603" s="718">
        <v>1001</v>
      </c>
      <c r="C603" s="719" t="s">
        <v>772</v>
      </c>
      <c r="D603" s="718">
        <f>VLOOKUP(B603,'2-Kosten per locatie'!$A$13:$C$88,3,FALSE)</f>
        <v>2</v>
      </c>
      <c r="E603" s="725" t="s">
        <v>486</v>
      </c>
      <c r="F603" s="639" t="s">
        <v>986</v>
      </c>
      <c r="G603" s="639" t="s">
        <v>1190</v>
      </c>
      <c r="H603" s="705">
        <v>2</v>
      </c>
      <c r="I603" s="721">
        <v>18</v>
      </c>
      <c r="J603" s="722" t="s">
        <v>982</v>
      </c>
      <c r="K603" s="722"/>
      <c r="L603" s="723">
        <f t="shared" si="34"/>
        <v>0</v>
      </c>
      <c r="M603" s="723">
        <f t="shared" si="35"/>
        <v>0</v>
      </c>
      <c r="N603" s="723">
        <f t="shared" si="36"/>
        <v>0</v>
      </c>
    </row>
    <row r="604" spans="1:14">
      <c r="A604" s="551" t="s">
        <v>117</v>
      </c>
      <c r="B604" s="718">
        <v>1002</v>
      </c>
      <c r="C604" s="719" t="s">
        <v>772</v>
      </c>
      <c r="D604" s="718">
        <f>VLOOKUP(B604,'2-Kosten per locatie'!$A$13:$C$88,3,FALSE)</f>
        <v>2</v>
      </c>
      <c r="E604" s="725" t="s">
        <v>486</v>
      </c>
      <c r="F604" s="639" t="s">
        <v>980</v>
      </c>
      <c r="G604" s="639" t="s">
        <v>1189</v>
      </c>
      <c r="H604" s="705">
        <v>2</v>
      </c>
      <c r="I604" s="721">
        <v>96</v>
      </c>
      <c r="J604" s="722" t="s">
        <v>982</v>
      </c>
      <c r="K604" s="722"/>
      <c r="L604" s="723">
        <f t="shared" si="34"/>
        <v>0</v>
      </c>
      <c r="M604" s="723">
        <f t="shared" si="35"/>
        <v>0</v>
      </c>
      <c r="N604" s="723">
        <f t="shared" si="36"/>
        <v>0</v>
      </c>
    </row>
    <row r="605" spans="1:14">
      <c r="A605" s="551" t="s">
        <v>117</v>
      </c>
      <c r="B605" s="718">
        <v>1002</v>
      </c>
      <c r="C605" s="719" t="s">
        <v>772</v>
      </c>
      <c r="D605" s="718">
        <f>VLOOKUP(B605,'2-Kosten per locatie'!$A$13:$C$88,3,FALSE)</f>
        <v>2</v>
      </c>
      <c r="E605" s="725" t="s">
        <v>486</v>
      </c>
      <c r="F605" s="639" t="s">
        <v>983</v>
      </c>
      <c r="G605" s="639" t="s">
        <v>1189</v>
      </c>
      <c r="H605" s="705">
        <v>2</v>
      </c>
      <c r="I605" s="721">
        <v>96</v>
      </c>
      <c r="J605" s="722" t="s">
        <v>968</v>
      </c>
      <c r="K605" s="722"/>
      <c r="L605" s="723">
        <f t="shared" si="34"/>
        <v>0</v>
      </c>
      <c r="M605" s="723">
        <f t="shared" si="35"/>
        <v>0</v>
      </c>
      <c r="N605" s="723">
        <f t="shared" si="36"/>
        <v>0</v>
      </c>
    </row>
    <row r="606" spans="1:14">
      <c r="B606" s="258"/>
      <c r="C606" s="108"/>
      <c r="D606" s="258"/>
      <c r="F606" s="187"/>
      <c r="G606" s="203"/>
      <c r="H606" s="259"/>
      <c r="I606" s="257"/>
      <c r="J606" s="257"/>
      <c r="K606" s="257"/>
      <c r="L606" s="257"/>
      <c r="M606" s="257"/>
      <c r="N606" s="257"/>
    </row>
    <row r="607" spans="1:14">
      <c r="A607" s="732" t="s">
        <v>917</v>
      </c>
      <c r="B607" s="733"/>
      <c r="C607" s="712"/>
      <c r="D607" s="733"/>
      <c r="E607" s="734"/>
      <c r="F607" s="735"/>
      <c r="G607" s="736"/>
      <c r="H607" s="737"/>
      <c r="I607" s="738"/>
      <c r="J607" s="738"/>
      <c r="K607" s="738"/>
      <c r="L607" s="738"/>
      <c r="M607" s="738"/>
      <c r="N607" s="739">
        <f>SUM(N12:N606)</f>
        <v>0</v>
      </c>
    </row>
    <row r="608" spans="1:14">
      <c r="B608" s="258"/>
      <c r="C608" s="108"/>
      <c r="D608" s="258"/>
      <c r="F608" s="187"/>
      <c r="G608" s="203"/>
      <c r="H608" s="204"/>
    </row>
    <row r="609" spans="2:8">
      <c r="B609" s="258"/>
      <c r="C609" s="108"/>
      <c r="D609" s="258"/>
      <c r="F609" s="187"/>
      <c r="G609" s="203"/>
      <c r="H609" s="204"/>
    </row>
    <row r="610" spans="2:8">
      <c r="B610" s="258"/>
      <c r="C610" s="108"/>
      <c r="D610" s="258"/>
      <c r="F610" s="187"/>
      <c r="G610" s="203"/>
      <c r="H610" s="204"/>
    </row>
    <row r="611" spans="2:8">
      <c r="B611" s="258"/>
      <c r="C611" s="108"/>
      <c r="D611" s="258"/>
      <c r="F611" s="187"/>
      <c r="G611" s="203"/>
      <c r="H611" s="204"/>
    </row>
    <row r="612" spans="2:8">
      <c r="B612" s="258"/>
      <c r="C612" s="108"/>
      <c r="D612" s="258"/>
      <c r="F612" s="187"/>
      <c r="G612" s="203"/>
      <c r="H612" s="204"/>
    </row>
    <row r="613" spans="2:8">
      <c r="B613" s="258"/>
      <c r="C613" s="108"/>
      <c r="D613" s="258"/>
      <c r="F613" s="187"/>
      <c r="G613" s="203"/>
      <c r="H613" s="204"/>
    </row>
    <row r="614" spans="2:8">
      <c r="B614" s="258"/>
      <c r="C614" s="108"/>
      <c r="D614" s="258"/>
      <c r="F614" s="187"/>
      <c r="G614" s="203"/>
      <c r="H614" s="204"/>
    </row>
    <row r="615" spans="2:8">
      <c r="B615" s="258"/>
      <c r="C615" s="108"/>
      <c r="D615" s="258"/>
      <c r="F615" s="187"/>
      <c r="G615" s="203"/>
      <c r="H615" s="204"/>
    </row>
    <row r="616" spans="2:8">
      <c r="B616" s="258"/>
      <c r="C616" s="108"/>
      <c r="D616" s="258"/>
      <c r="F616" s="187"/>
      <c r="G616" s="203"/>
      <c r="H616" s="204"/>
    </row>
    <row r="617" spans="2:8">
      <c r="B617" s="258"/>
      <c r="C617" s="108"/>
      <c r="D617" s="258"/>
      <c r="F617" s="187"/>
      <c r="G617" s="203"/>
      <c r="H617" s="204"/>
    </row>
    <row r="618" spans="2:8">
      <c r="B618" s="258"/>
      <c r="C618" s="108"/>
      <c r="D618" s="258"/>
      <c r="F618" s="187"/>
      <c r="G618" s="203"/>
      <c r="H618" s="204"/>
    </row>
    <row r="619" spans="2:8">
      <c r="B619" s="258"/>
      <c r="C619" s="108"/>
      <c r="D619" s="258"/>
      <c r="F619" s="187"/>
      <c r="G619" s="203"/>
      <c r="H619" s="204"/>
    </row>
    <row r="620" spans="2:8">
      <c r="B620" s="258"/>
      <c r="C620" s="108"/>
      <c r="D620" s="258"/>
      <c r="F620" s="187"/>
      <c r="G620" s="203"/>
      <c r="H620" s="204"/>
    </row>
    <row r="621" spans="2:8">
      <c r="B621" s="258"/>
      <c r="C621" s="108"/>
      <c r="D621" s="258"/>
      <c r="F621" s="187"/>
      <c r="G621" s="203"/>
      <c r="H621" s="204"/>
    </row>
    <row r="622" spans="2:8">
      <c r="B622" s="258"/>
      <c r="C622" s="108"/>
      <c r="D622" s="258"/>
      <c r="F622" s="187"/>
      <c r="G622" s="203"/>
      <c r="H622" s="204"/>
    </row>
    <row r="623" spans="2:8">
      <c r="B623" s="258"/>
      <c r="C623" s="108"/>
      <c r="D623" s="258"/>
      <c r="F623" s="187"/>
      <c r="G623" s="203"/>
      <c r="H623" s="204"/>
    </row>
    <row r="624" spans="2:8">
      <c r="B624" s="258"/>
      <c r="C624" s="108"/>
      <c r="D624" s="258"/>
      <c r="F624" s="187"/>
      <c r="G624" s="203"/>
      <c r="H624" s="204"/>
    </row>
    <row r="625" spans="2:8">
      <c r="B625" s="258"/>
      <c r="C625" s="108"/>
      <c r="D625" s="258"/>
      <c r="F625" s="187"/>
      <c r="G625" s="203"/>
      <c r="H625" s="204"/>
    </row>
    <row r="626" spans="2:8">
      <c r="B626" s="258"/>
      <c r="C626" s="108"/>
      <c r="D626" s="258"/>
      <c r="F626" s="187"/>
      <c r="G626" s="203"/>
      <c r="H626" s="204"/>
    </row>
    <row r="627" spans="2:8">
      <c r="B627" s="258"/>
      <c r="C627" s="108"/>
      <c r="D627" s="258"/>
      <c r="F627" s="187"/>
      <c r="G627" s="203"/>
      <c r="H627" s="204"/>
    </row>
    <row r="628" spans="2:8">
      <c r="B628" s="258"/>
      <c r="C628" s="108"/>
      <c r="D628" s="258"/>
      <c r="F628" s="187"/>
      <c r="G628" s="203"/>
      <c r="H628" s="204"/>
    </row>
    <row r="629" spans="2:8">
      <c r="B629" s="258"/>
      <c r="C629" s="108"/>
      <c r="D629" s="258"/>
      <c r="F629" s="187"/>
      <c r="G629" s="203"/>
      <c r="H629" s="204"/>
    </row>
    <row r="630" spans="2:8">
      <c r="B630" s="258"/>
      <c r="C630" s="108"/>
      <c r="D630" s="258"/>
      <c r="F630" s="187"/>
      <c r="G630" s="203"/>
      <c r="H630" s="204"/>
    </row>
    <row r="631" spans="2:8">
      <c r="B631" s="258"/>
      <c r="C631" s="108"/>
      <c r="D631" s="258"/>
      <c r="F631" s="187"/>
      <c r="G631" s="203"/>
      <c r="H631" s="204"/>
    </row>
    <row r="632" spans="2:8">
      <c r="B632" s="258"/>
      <c r="C632" s="108"/>
      <c r="D632" s="258"/>
      <c r="F632" s="187"/>
      <c r="G632" s="203"/>
      <c r="H632" s="204"/>
    </row>
    <row r="633" spans="2:8">
      <c r="B633" s="258"/>
      <c r="C633" s="108"/>
      <c r="D633" s="258"/>
      <c r="F633" s="187"/>
      <c r="G633" s="203"/>
      <c r="H633" s="204"/>
    </row>
    <row r="634" spans="2:8">
      <c r="B634" s="258"/>
      <c r="C634" s="108"/>
      <c r="D634" s="258"/>
      <c r="F634" s="187"/>
      <c r="G634" s="203"/>
      <c r="H634" s="204"/>
    </row>
    <row r="635" spans="2:8">
      <c r="B635" s="258"/>
      <c r="C635" s="108"/>
      <c r="D635" s="258"/>
      <c r="F635" s="187"/>
      <c r="G635" s="203"/>
      <c r="H635" s="204"/>
    </row>
    <row r="636" spans="2:8">
      <c r="B636" s="258"/>
      <c r="C636" s="108"/>
      <c r="D636" s="258"/>
      <c r="F636" s="187"/>
      <c r="G636" s="203"/>
      <c r="H636" s="204"/>
    </row>
    <row r="637" spans="2:8">
      <c r="B637" s="258"/>
      <c r="C637" s="108"/>
      <c r="D637" s="258"/>
      <c r="F637" s="187"/>
      <c r="G637" s="203"/>
      <c r="H637" s="204"/>
    </row>
    <row r="638" spans="2:8">
      <c r="B638" s="258"/>
      <c r="C638" s="108"/>
      <c r="D638" s="258"/>
      <c r="F638" s="187"/>
      <c r="G638" s="203"/>
      <c r="H638" s="204"/>
    </row>
    <row r="639" spans="2:8">
      <c r="B639" s="258"/>
      <c r="C639" s="108"/>
      <c r="D639" s="258"/>
      <c r="F639" s="187"/>
      <c r="G639" s="203"/>
      <c r="H639" s="204"/>
    </row>
    <row r="640" spans="2:8">
      <c r="B640" s="258"/>
      <c r="C640" s="108"/>
      <c r="D640" s="258"/>
      <c r="F640" s="187"/>
      <c r="G640" s="203"/>
      <c r="H640" s="204"/>
    </row>
    <row r="641" spans="2:8">
      <c r="B641" s="258"/>
      <c r="C641" s="108"/>
      <c r="D641" s="258"/>
      <c r="F641" s="187"/>
      <c r="G641" s="203"/>
      <c r="H641" s="204"/>
    </row>
    <row r="642" spans="2:8">
      <c r="B642" s="258"/>
      <c r="C642" s="108"/>
      <c r="D642" s="258"/>
      <c r="F642" s="187"/>
      <c r="G642" s="203"/>
      <c r="H642" s="204"/>
    </row>
    <row r="643" spans="2:8">
      <c r="B643" s="258"/>
      <c r="C643" s="108"/>
      <c r="D643" s="258"/>
      <c r="F643" s="187"/>
      <c r="G643" s="203"/>
      <c r="H643" s="204"/>
    </row>
    <row r="644" spans="2:8">
      <c r="B644" s="258"/>
      <c r="C644" s="108"/>
      <c r="D644" s="258"/>
      <c r="F644" s="187"/>
      <c r="G644" s="203"/>
      <c r="H644" s="204"/>
    </row>
    <row r="645" spans="2:8">
      <c r="B645" s="258"/>
      <c r="C645" s="108"/>
      <c r="D645" s="258"/>
      <c r="F645" s="187"/>
      <c r="G645" s="203"/>
      <c r="H645" s="204"/>
    </row>
    <row r="646" spans="2:8">
      <c r="B646" s="258"/>
      <c r="C646" s="108"/>
      <c r="D646" s="258"/>
      <c r="F646" s="187"/>
      <c r="G646" s="203"/>
      <c r="H646" s="204"/>
    </row>
    <row r="647" spans="2:8">
      <c r="B647" s="258"/>
      <c r="C647" s="108"/>
      <c r="D647" s="258"/>
      <c r="F647" s="187"/>
      <c r="G647" s="203"/>
      <c r="H647" s="204"/>
    </row>
    <row r="648" spans="2:8">
      <c r="B648" s="258"/>
      <c r="C648" s="108"/>
      <c r="D648" s="258"/>
      <c r="F648" s="187"/>
      <c r="G648" s="203"/>
      <c r="H648" s="204"/>
    </row>
    <row r="649" spans="2:8">
      <c r="B649" s="258"/>
      <c r="C649" s="108"/>
      <c r="D649" s="258"/>
      <c r="F649" s="187"/>
      <c r="G649" s="203"/>
      <c r="H649" s="204"/>
    </row>
    <row r="650" spans="2:8">
      <c r="B650" s="258"/>
      <c r="C650" s="108"/>
      <c r="D650" s="258"/>
      <c r="F650" s="187"/>
      <c r="G650" s="203"/>
      <c r="H650" s="204"/>
    </row>
    <row r="651" spans="2:8">
      <c r="B651" s="258"/>
      <c r="C651" s="108"/>
      <c r="D651" s="258"/>
      <c r="F651" s="187"/>
      <c r="G651" s="203"/>
      <c r="H651" s="204"/>
    </row>
    <row r="652" spans="2:8">
      <c r="B652" s="258"/>
      <c r="C652" s="108"/>
      <c r="D652" s="258"/>
      <c r="F652" s="187"/>
      <c r="G652" s="203"/>
      <c r="H652" s="204"/>
    </row>
    <row r="653" spans="2:8">
      <c r="B653" s="258"/>
      <c r="C653" s="108"/>
      <c r="D653" s="258"/>
      <c r="F653" s="187"/>
      <c r="G653" s="203"/>
      <c r="H653" s="204"/>
    </row>
    <row r="654" spans="2:8">
      <c r="B654" s="258"/>
      <c r="C654" s="108"/>
      <c r="D654" s="258"/>
      <c r="F654" s="187"/>
      <c r="G654" s="203"/>
      <c r="H654" s="204"/>
    </row>
    <row r="655" spans="2:8">
      <c r="B655" s="258"/>
      <c r="C655" s="108"/>
      <c r="D655" s="258"/>
      <c r="F655" s="187"/>
      <c r="G655" s="203"/>
      <c r="H655" s="204"/>
    </row>
    <row r="656" spans="2:8">
      <c r="B656" s="258"/>
      <c r="C656" s="108"/>
      <c r="D656" s="258"/>
      <c r="F656" s="187"/>
      <c r="G656" s="203"/>
      <c r="H656" s="204"/>
    </row>
    <row r="657" spans="2:8">
      <c r="B657" s="258"/>
      <c r="C657" s="108"/>
      <c r="D657" s="258"/>
      <c r="F657" s="187"/>
      <c r="G657" s="203"/>
      <c r="H657" s="204"/>
    </row>
    <row r="658" spans="2:8">
      <c r="B658" s="258"/>
      <c r="C658" s="108"/>
      <c r="D658" s="258"/>
      <c r="F658" s="187"/>
      <c r="G658" s="203"/>
      <c r="H658" s="204"/>
    </row>
    <row r="659" spans="2:8">
      <c r="B659" s="258"/>
      <c r="C659" s="108"/>
      <c r="D659" s="258"/>
      <c r="F659" s="187"/>
      <c r="G659" s="203"/>
      <c r="H659" s="204"/>
    </row>
    <row r="660" spans="2:8">
      <c r="B660" s="258"/>
      <c r="C660" s="108"/>
      <c r="D660" s="258"/>
      <c r="F660" s="187"/>
      <c r="G660" s="203"/>
      <c r="H660" s="204"/>
    </row>
    <row r="661" spans="2:8">
      <c r="B661" s="258"/>
      <c r="C661" s="108"/>
      <c r="D661" s="258"/>
      <c r="F661" s="187"/>
      <c r="G661" s="203"/>
      <c r="H661" s="204"/>
    </row>
    <row r="662" spans="2:8">
      <c r="B662" s="258"/>
      <c r="C662" s="108"/>
      <c r="D662" s="258"/>
      <c r="F662" s="187"/>
      <c r="G662" s="203"/>
      <c r="H662" s="204"/>
    </row>
    <row r="663" spans="2:8">
      <c r="B663" s="258"/>
      <c r="C663" s="108"/>
      <c r="D663" s="258"/>
      <c r="F663" s="187"/>
      <c r="G663" s="203"/>
      <c r="H663" s="204"/>
    </row>
    <row r="664" spans="2:8">
      <c r="B664" s="258"/>
      <c r="C664" s="108"/>
      <c r="D664" s="258"/>
      <c r="F664" s="187"/>
      <c r="G664" s="203"/>
      <c r="H664" s="204"/>
    </row>
    <row r="665" spans="2:8">
      <c r="B665" s="258"/>
      <c r="C665" s="108"/>
      <c r="D665" s="258"/>
      <c r="F665" s="187"/>
      <c r="G665" s="203"/>
      <c r="H665" s="204"/>
    </row>
    <row r="666" spans="2:8">
      <c r="B666" s="258"/>
      <c r="C666" s="108"/>
      <c r="D666" s="258"/>
      <c r="F666" s="187"/>
      <c r="G666" s="203"/>
      <c r="H666" s="204"/>
    </row>
    <row r="667" spans="2:8">
      <c r="B667" s="258"/>
      <c r="C667" s="108"/>
      <c r="D667" s="258"/>
      <c r="F667" s="187"/>
      <c r="G667" s="203"/>
      <c r="H667" s="204"/>
    </row>
    <row r="668" spans="2:8">
      <c r="B668" s="258"/>
      <c r="C668" s="108"/>
      <c r="D668" s="258"/>
      <c r="F668" s="187"/>
      <c r="G668" s="203"/>
      <c r="H668" s="204"/>
    </row>
    <row r="669" spans="2:8">
      <c r="B669" s="258"/>
      <c r="C669" s="108"/>
      <c r="D669" s="258"/>
      <c r="F669" s="187"/>
      <c r="G669" s="203"/>
      <c r="H669" s="204"/>
    </row>
    <row r="670" spans="2:8">
      <c r="B670" s="258"/>
      <c r="C670" s="108"/>
      <c r="D670" s="258"/>
      <c r="F670" s="187"/>
      <c r="G670" s="203"/>
      <c r="H670" s="204"/>
    </row>
    <row r="671" spans="2:8">
      <c r="B671" s="258"/>
      <c r="C671" s="108"/>
      <c r="D671" s="258"/>
      <c r="F671" s="187"/>
      <c r="G671" s="203"/>
      <c r="H671" s="204"/>
    </row>
    <row r="672" spans="2:8">
      <c r="B672" s="258"/>
      <c r="C672" s="108"/>
      <c r="D672" s="258"/>
      <c r="F672" s="187"/>
      <c r="G672" s="203"/>
      <c r="H672" s="204"/>
    </row>
    <row r="673" spans="2:8">
      <c r="B673" s="258"/>
      <c r="C673" s="108"/>
      <c r="D673" s="258"/>
      <c r="F673" s="187"/>
      <c r="G673" s="203"/>
      <c r="H673" s="204"/>
    </row>
    <row r="674" spans="2:8">
      <c r="B674" s="258"/>
      <c r="C674" s="108"/>
      <c r="D674" s="258"/>
      <c r="F674" s="187"/>
      <c r="G674" s="203"/>
      <c r="H674" s="204"/>
    </row>
    <row r="675" spans="2:8">
      <c r="B675" s="258"/>
      <c r="C675" s="108"/>
      <c r="D675" s="258"/>
      <c r="F675" s="187"/>
      <c r="G675" s="203"/>
      <c r="H675" s="204"/>
    </row>
    <row r="676" spans="2:8">
      <c r="B676" s="258"/>
      <c r="C676" s="108"/>
      <c r="D676" s="258"/>
      <c r="F676" s="187"/>
      <c r="G676" s="203"/>
      <c r="H676" s="204"/>
    </row>
    <row r="677" spans="2:8">
      <c r="B677" s="258"/>
      <c r="C677" s="108"/>
      <c r="D677" s="258"/>
      <c r="F677" s="187"/>
      <c r="G677" s="203"/>
      <c r="H677" s="204"/>
    </row>
    <row r="678" spans="2:8">
      <c r="B678" s="258"/>
      <c r="C678" s="108"/>
      <c r="D678" s="258"/>
      <c r="F678" s="187"/>
      <c r="G678" s="203"/>
      <c r="H678" s="204"/>
    </row>
    <row r="679" spans="2:8">
      <c r="B679" s="258"/>
      <c r="C679" s="108"/>
      <c r="D679" s="258"/>
      <c r="F679" s="187"/>
      <c r="G679" s="203"/>
      <c r="H679" s="204"/>
    </row>
    <row r="680" spans="2:8">
      <c r="B680" s="258"/>
      <c r="C680" s="108"/>
      <c r="D680" s="258"/>
      <c r="F680" s="187"/>
      <c r="G680" s="203"/>
      <c r="H680" s="204"/>
    </row>
    <row r="681" spans="2:8">
      <c r="B681" s="258"/>
      <c r="C681" s="108"/>
      <c r="D681" s="258"/>
      <c r="F681" s="187"/>
      <c r="G681" s="203"/>
      <c r="H681" s="204"/>
    </row>
    <row r="682" spans="2:8">
      <c r="B682" s="258"/>
      <c r="C682" s="108"/>
      <c r="D682" s="258"/>
      <c r="F682" s="187"/>
      <c r="G682" s="203"/>
      <c r="H682" s="204"/>
    </row>
    <row r="683" spans="2:8">
      <c r="B683" s="258"/>
      <c r="C683" s="108"/>
      <c r="D683" s="258"/>
      <c r="F683" s="187"/>
      <c r="G683" s="203"/>
      <c r="H683" s="204"/>
    </row>
    <row r="684" spans="2:8">
      <c r="B684" s="258"/>
      <c r="C684" s="108"/>
      <c r="D684" s="258"/>
      <c r="F684" s="187"/>
      <c r="G684" s="203"/>
      <c r="H684" s="204"/>
    </row>
    <row r="685" spans="2:8">
      <c r="B685" s="258"/>
      <c r="C685" s="108"/>
      <c r="D685" s="258"/>
      <c r="F685" s="187"/>
      <c r="G685" s="203"/>
      <c r="H685" s="204"/>
    </row>
    <row r="686" spans="2:8">
      <c r="B686" s="258"/>
      <c r="C686" s="108"/>
      <c r="D686" s="258"/>
      <c r="F686" s="187"/>
      <c r="G686" s="203"/>
      <c r="H686" s="204"/>
    </row>
    <row r="687" spans="2:8">
      <c r="B687" s="258"/>
      <c r="C687" s="108"/>
      <c r="D687" s="258"/>
      <c r="F687" s="187"/>
      <c r="G687" s="203"/>
      <c r="H687" s="204"/>
    </row>
    <row r="688" spans="2:8">
      <c r="B688" s="258"/>
      <c r="C688" s="108"/>
      <c r="D688" s="258"/>
      <c r="F688" s="187"/>
      <c r="G688" s="203"/>
      <c r="H688" s="204"/>
    </row>
    <row r="689" spans="2:8">
      <c r="B689" s="258"/>
      <c r="C689" s="108"/>
      <c r="D689" s="258"/>
      <c r="F689" s="187"/>
      <c r="G689" s="203"/>
      <c r="H689" s="204"/>
    </row>
    <row r="690" spans="2:8">
      <c r="B690" s="258"/>
      <c r="C690" s="108"/>
      <c r="D690" s="258"/>
      <c r="F690" s="187"/>
      <c r="G690" s="203"/>
      <c r="H690" s="204"/>
    </row>
    <row r="691" spans="2:8">
      <c r="B691" s="258"/>
      <c r="C691" s="108"/>
      <c r="D691" s="258"/>
      <c r="F691" s="187"/>
      <c r="G691" s="203"/>
      <c r="H691" s="204"/>
    </row>
    <row r="692" spans="2:8">
      <c r="B692" s="258"/>
      <c r="C692" s="108"/>
      <c r="D692" s="258"/>
      <c r="F692" s="187"/>
      <c r="G692" s="203"/>
      <c r="H692" s="204"/>
    </row>
    <row r="693" spans="2:8">
      <c r="B693" s="258"/>
      <c r="C693" s="108"/>
      <c r="D693" s="258"/>
      <c r="F693" s="187"/>
      <c r="G693" s="203"/>
      <c r="H693" s="204"/>
    </row>
    <row r="694" spans="2:8">
      <c r="B694" s="258"/>
      <c r="C694" s="108"/>
      <c r="D694" s="258"/>
      <c r="F694" s="187"/>
      <c r="G694" s="203"/>
      <c r="H694" s="204"/>
    </row>
    <row r="695" spans="2:8">
      <c r="B695" s="258"/>
      <c r="C695" s="108"/>
      <c r="D695" s="258"/>
      <c r="F695" s="187"/>
      <c r="G695" s="203"/>
      <c r="H695" s="204"/>
    </row>
    <row r="696" spans="2:8">
      <c r="B696" s="258"/>
      <c r="C696" s="108"/>
      <c r="D696" s="258"/>
      <c r="F696" s="187"/>
      <c r="G696" s="203"/>
      <c r="H696" s="204"/>
    </row>
    <row r="697" spans="2:8">
      <c r="B697" s="258"/>
      <c r="C697" s="108"/>
      <c r="D697" s="258"/>
      <c r="F697" s="187"/>
      <c r="G697" s="203"/>
      <c r="H697" s="204"/>
    </row>
    <row r="698" spans="2:8">
      <c r="B698" s="258"/>
      <c r="C698" s="108"/>
      <c r="D698" s="258"/>
      <c r="F698" s="187"/>
      <c r="G698" s="203"/>
      <c r="H698" s="204"/>
    </row>
    <row r="699" spans="2:8">
      <c r="B699" s="258"/>
      <c r="C699" s="108"/>
      <c r="D699" s="258"/>
      <c r="F699" s="187"/>
      <c r="G699" s="203"/>
      <c r="H699" s="204"/>
    </row>
    <row r="700" spans="2:8">
      <c r="B700" s="258"/>
      <c r="C700" s="108"/>
      <c r="D700" s="258"/>
      <c r="F700" s="187"/>
      <c r="G700" s="203"/>
      <c r="H700" s="204"/>
    </row>
    <row r="701" spans="2:8">
      <c r="B701" s="258"/>
      <c r="C701" s="108"/>
      <c r="D701" s="258"/>
      <c r="F701" s="187"/>
      <c r="G701" s="203"/>
      <c r="H701" s="204"/>
    </row>
    <row r="702" spans="2:8">
      <c r="B702" s="258"/>
      <c r="C702" s="108"/>
      <c r="D702" s="258"/>
      <c r="F702" s="187"/>
      <c r="G702" s="203"/>
      <c r="H702" s="204"/>
    </row>
    <row r="703" spans="2:8">
      <c r="B703" s="258"/>
      <c r="C703" s="108"/>
      <c r="D703" s="258"/>
      <c r="F703" s="187"/>
      <c r="G703" s="203"/>
      <c r="H703" s="204"/>
    </row>
    <row r="704" spans="2:8">
      <c r="B704" s="258"/>
      <c r="C704" s="108"/>
      <c r="D704" s="258"/>
      <c r="F704" s="187"/>
      <c r="G704" s="203"/>
      <c r="H704" s="204"/>
    </row>
    <row r="705" spans="2:8">
      <c r="B705" s="258"/>
      <c r="C705" s="108"/>
      <c r="D705" s="258"/>
      <c r="F705" s="187"/>
      <c r="G705" s="203"/>
      <c r="H705" s="204"/>
    </row>
    <row r="706" spans="2:8">
      <c r="B706" s="258"/>
      <c r="C706" s="108"/>
      <c r="D706" s="258"/>
      <c r="F706" s="187"/>
      <c r="G706" s="203"/>
      <c r="H706" s="204"/>
    </row>
    <row r="707" spans="2:8">
      <c r="B707" s="258"/>
      <c r="C707" s="108"/>
      <c r="D707" s="258"/>
      <c r="F707" s="187"/>
      <c r="G707" s="203"/>
      <c r="H707" s="204"/>
    </row>
    <row r="708" spans="2:8">
      <c r="B708" s="258"/>
      <c r="C708" s="108"/>
      <c r="D708" s="258"/>
      <c r="F708" s="187"/>
      <c r="G708" s="203"/>
      <c r="H708" s="204"/>
    </row>
    <row r="709" spans="2:8">
      <c r="B709" s="258"/>
      <c r="C709" s="108"/>
      <c r="D709" s="258"/>
      <c r="F709" s="187"/>
      <c r="G709" s="203"/>
      <c r="H709" s="204"/>
    </row>
    <row r="710" spans="2:8">
      <c r="B710" s="258"/>
      <c r="C710" s="108"/>
      <c r="D710" s="258"/>
      <c r="F710" s="187"/>
      <c r="G710" s="203"/>
      <c r="H710" s="204"/>
    </row>
    <row r="711" spans="2:8">
      <c r="B711" s="258"/>
      <c r="C711" s="108"/>
      <c r="D711" s="258"/>
      <c r="F711" s="187"/>
      <c r="G711" s="203"/>
      <c r="H711" s="204"/>
    </row>
    <row r="712" spans="2:8">
      <c r="B712" s="258"/>
      <c r="C712" s="108"/>
      <c r="D712" s="258"/>
      <c r="F712" s="187"/>
      <c r="G712" s="203"/>
      <c r="H712" s="204"/>
    </row>
    <row r="713" spans="2:8">
      <c r="B713" s="258"/>
      <c r="C713" s="108"/>
      <c r="D713" s="258"/>
      <c r="F713" s="187"/>
      <c r="G713" s="203"/>
      <c r="H713" s="204"/>
    </row>
    <row r="714" spans="2:8">
      <c r="B714" s="258"/>
      <c r="C714" s="108"/>
      <c r="D714" s="258"/>
      <c r="F714" s="187"/>
      <c r="G714" s="203"/>
      <c r="H714" s="204"/>
    </row>
    <row r="715" spans="2:8">
      <c r="B715" s="258"/>
      <c r="C715" s="108"/>
      <c r="D715" s="258"/>
      <c r="F715" s="187"/>
      <c r="G715" s="203"/>
      <c r="H715" s="204"/>
    </row>
    <row r="716" spans="2:8">
      <c r="B716" s="258"/>
      <c r="C716" s="108"/>
      <c r="D716" s="258"/>
      <c r="F716" s="187"/>
      <c r="G716" s="203"/>
      <c r="H716" s="204"/>
    </row>
    <row r="717" spans="2:8">
      <c r="B717" s="258"/>
      <c r="C717" s="108"/>
      <c r="D717" s="258"/>
      <c r="F717" s="187"/>
      <c r="G717" s="203"/>
      <c r="H717" s="204"/>
    </row>
    <row r="718" spans="2:8">
      <c r="B718" s="258"/>
      <c r="C718" s="108"/>
      <c r="D718" s="258"/>
      <c r="F718" s="187"/>
      <c r="G718" s="203"/>
      <c r="H718" s="204"/>
    </row>
    <row r="719" spans="2:8">
      <c r="B719" s="258"/>
      <c r="C719" s="108"/>
      <c r="D719" s="258"/>
      <c r="F719" s="187"/>
      <c r="G719" s="203"/>
      <c r="H719" s="204"/>
    </row>
    <row r="720" spans="2:8">
      <c r="B720" s="258"/>
      <c r="C720" s="108"/>
      <c r="D720" s="258"/>
      <c r="F720" s="187"/>
      <c r="G720" s="203"/>
      <c r="H720" s="204"/>
    </row>
    <row r="721" spans="2:8">
      <c r="B721" s="258"/>
      <c r="C721" s="108"/>
      <c r="D721" s="258"/>
      <c r="F721" s="187"/>
      <c r="G721" s="203"/>
      <c r="H721" s="204"/>
    </row>
    <row r="722" spans="2:8">
      <c r="B722" s="258"/>
      <c r="C722" s="108"/>
      <c r="D722" s="258"/>
      <c r="F722" s="187"/>
      <c r="G722" s="203"/>
      <c r="H722" s="204"/>
    </row>
    <row r="723" spans="2:8">
      <c r="B723" s="258"/>
      <c r="C723" s="108"/>
      <c r="D723" s="258"/>
      <c r="F723" s="187"/>
      <c r="G723" s="203"/>
      <c r="H723" s="204"/>
    </row>
    <row r="724" spans="2:8">
      <c r="B724" s="258"/>
      <c r="C724" s="108"/>
      <c r="D724" s="258"/>
      <c r="F724" s="187"/>
      <c r="G724" s="203"/>
      <c r="H724" s="204"/>
    </row>
    <row r="725" spans="2:8">
      <c r="B725" s="258"/>
      <c r="C725" s="108"/>
      <c r="D725" s="258"/>
      <c r="F725" s="187"/>
      <c r="G725" s="203"/>
      <c r="H725" s="204"/>
    </row>
    <row r="726" spans="2:8">
      <c r="B726" s="258"/>
      <c r="C726" s="108"/>
      <c r="D726" s="258"/>
      <c r="F726" s="187"/>
      <c r="G726" s="203"/>
      <c r="H726" s="204"/>
    </row>
    <row r="727" spans="2:8">
      <c r="B727" s="258"/>
      <c r="C727" s="108"/>
      <c r="D727" s="258"/>
      <c r="F727" s="187"/>
      <c r="G727" s="203"/>
      <c r="H727" s="204"/>
    </row>
    <row r="728" spans="2:8">
      <c r="B728" s="258"/>
      <c r="C728" s="108"/>
      <c r="D728" s="258"/>
      <c r="F728" s="187"/>
      <c r="G728" s="203"/>
      <c r="H728" s="204"/>
    </row>
    <row r="729" spans="2:8">
      <c r="B729" s="258"/>
      <c r="C729" s="108"/>
      <c r="D729" s="258"/>
      <c r="F729" s="187"/>
      <c r="G729" s="203"/>
      <c r="H729" s="204"/>
    </row>
    <row r="730" spans="2:8">
      <c r="B730" s="258"/>
      <c r="C730" s="108"/>
      <c r="D730" s="258"/>
      <c r="F730" s="187"/>
      <c r="G730" s="203"/>
      <c r="H730" s="204"/>
    </row>
    <row r="731" spans="2:8">
      <c r="B731" s="258"/>
      <c r="C731" s="108"/>
      <c r="D731" s="258"/>
      <c r="F731" s="187"/>
      <c r="G731" s="203"/>
      <c r="H731" s="204"/>
    </row>
    <row r="732" spans="2:8">
      <c r="B732" s="258"/>
      <c r="C732" s="108"/>
      <c r="D732" s="258"/>
      <c r="F732" s="187"/>
      <c r="G732" s="203"/>
      <c r="H732" s="204"/>
    </row>
    <row r="733" spans="2:8">
      <c r="B733" s="258"/>
      <c r="C733" s="108"/>
      <c r="D733" s="258"/>
      <c r="F733" s="187"/>
      <c r="G733" s="203"/>
      <c r="H733" s="204"/>
    </row>
    <row r="734" spans="2:8">
      <c r="B734" s="258"/>
      <c r="C734" s="108"/>
      <c r="D734" s="258"/>
      <c r="F734" s="187"/>
      <c r="G734" s="203"/>
      <c r="H734" s="204"/>
    </row>
    <row r="735" spans="2:8">
      <c r="B735" s="258"/>
      <c r="C735" s="108"/>
      <c r="D735" s="258"/>
      <c r="F735" s="187"/>
      <c r="G735" s="203"/>
      <c r="H735" s="204"/>
    </row>
    <row r="736" spans="2:8">
      <c r="B736" s="258"/>
      <c r="C736" s="108"/>
      <c r="D736" s="258"/>
      <c r="F736" s="187"/>
      <c r="G736" s="203"/>
      <c r="H736" s="204"/>
    </row>
    <row r="737" spans="1:14">
      <c r="B737" s="258"/>
      <c r="C737" s="108"/>
      <c r="D737" s="258"/>
      <c r="F737" s="187"/>
      <c r="G737" s="203"/>
      <c r="H737" s="204"/>
    </row>
    <row r="738" spans="1:14">
      <c r="B738" s="258"/>
      <c r="C738" s="108"/>
      <c r="D738" s="258"/>
      <c r="F738" s="187"/>
      <c r="G738" s="203"/>
      <c r="H738" s="204"/>
    </row>
    <row r="739" spans="1:14">
      <c r="B739" s="258"/>
      <c r="C739" s="108"/>
      <c r="D739" s="258"/>
      <c r="F739" s="187"/>
      <c r="G739" s="203"/>
      <c r="H739" s="204"/>
    </row>
    <row r="740" spans="1:14">
      <c r="B740" s="258"/>
      <c r="C740" s="108"/>
      <c r="D740" s="258"/>
      <c r="F740" s="187"/>
      <c r="G740" s="203"/>
      <c r="H740" s="204"/>
    </row>
    <row r="741" spans="1:14">
      <c r="B741" s="258"/>
      <c r="C741" s="108"/>
      <c r="D741" s="258"/>
      <c r="F741" s="187"/>
      <c r="G741" s="203"/>
      <c r="H741" s="204"/>
    </row>
    <row r="742" spans="1:14">
      <c r="B742" s="258"/>
      <c r="C742" s="108"/>
      <c r="D742" s="258"/>
      <c r="F742" s="187"/>
      <c r="G742" s="203"/>
      <c r="H742" s="204"/>
    </row>
    <row r="743" spans="1:14">
      <c r="B743" s="258"/>
      <c r="C743" s="108"/>
      <c r="D743" s="258"/>
      <c r="F743" s="187"/>
      <c r="G743" s="203"/>
      <c r="H743" s="204"/>
    </row>
    <row r="744" spans="1:14">
      <c r="B744" s="258"/>
      <c r="C744" s="108"/>
      <c r="D744" s="258"/>
      <c r="F744" s="187"/>
      <c r="G744" s="203"/>
      <c r="H744" s="204"/>
    </row>
    <row r="745" spans="1:14">
      <c r="A745" s="108"/>
      <c r="B745" s="258"/>
      <c r="C745" s="108"/>
      <c r="D745" s="258"/>
      <c r="F745" s="187"/>
      <c r="G745" s="203"/>
      <c r="H745" s="204"/>
      <c r="I745" s="108"/>
      <c r="J745" s="108"/>
      <c r="K745" s="108"/>
      <c r="L745" s="108"/>
      <c r="M745" s="108"/>
      <c r="N745" s="108"/>
    </row>
  </sheetData>
  <autoFilter ref="A12:R605" xr:uid="{5B3ADC2F-CA44-428F-9021-11E461F4D7EB}"/>
  <pageMargins left="0.70866141732283472" right="0.70866141732283472" top="0.74803149606299213" bottom="0.74803149606299213" header="0.31496062992125984" footer="0.31496062992125984"/>
  <pageSetup paperSize="9"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M99"/>
  <sheetViews>
    <sheetView showGridLines="0" zoomScale="89" zoomScaleNormal="89" workbookViewId="0">
      <pane xSplit="1" ySplit="11" topLeftCell="B12" activePane="bottomRight" state="frozen"/>
      <selection pane="bottomRight" activeCell="I15" sqref="I15"/>
      <selection pane="bottomLeft" activeCell="A872" sqref="A872"/>
      <selection pane="topRight" activeCell="A872" sqref="A872"/>
    </sheetView>
  </sheetViews>
  <sheetFormatPr defaultColWidth="9.140625" defaultRowHeight="13.15"/>
  <cols>
    <col min="1" max="1" width="15.140625" style="197" customWidth="1"/>
    <col min="2" max="2" width="30.7109375" style="197" customWidth="1"/>
    <col min="3" max="3" width="16.28515625" style="197" customWidth="1"/>
    <col min="4" max="4" width="26.85546875" style="197" bestFit="1" customWidth="1"/>
    <col min="5" max="6" width="14.85546875" style="197" customWidth="1"/>
    <col min="7" max="7" width="14.85546875" style="198" customWidth="1"/>
    <col min="8" max="8" width="17.28515625" style="198" customWidth="1"/>
    <col min="9" max="9" width="14.85546875" style="198" customWidth="1"/>
    <col min="10" max="10" width="17.28515625" style="198" customWidth="1"/>
    <col min="11" max="11" width="16.42578125" style="197" customWidth="1"/>
    <col min="12" max="13" width="14.85546875" style="197" customWidth="1"/>
    <col min="14" max="14" width="12.28515625" style="197" customWidth="1"/>
    <col min="15" max="16384" width="9.140625" style="197"/>
  </cols>
  <sheetData>
    <row r="1" spans="1:13">
      <c r="A1" s="644" t="s">
        <v>0</v>
      </c>
    </row>
    <row r="2" spans="1:13">
      <c r="A2" s="160"/>
    </row>
    <row r="3" spans="1:13" ht="15.6">
      <c r="A3" s="111" t="s">
        <v>1</v>
      </c>
      <c r="B3" s="111"/>
      <c r="C3" s="174" t="str">
        <f>'1-Inschrijfstaat'!B3</f>
        <v>GVB Infra B.V.</v>
      </c>
      <c r="F3" s="198"/>
      <c r="J3" s="197"/>
    </row>
    <row r="4" spans="1:13" ht="15.6">
      <c r="A4" s="111" t="s">
        <v>918</v>
      </c>
      <c r="B4" s="111"/>
      <c r="C4" s="93" t="e">
        <f ca="1">MID(CELL("bestandsnaam",$D$10),SEARCH("]",CELL("bestandsnaam",$D$10),1)+1,256)</f>
        <v>#VALUE!</v>
      </c>
      <c r="F4" s="198"/>
      <c r="J4" s="197"/>
    </row>
    <row r="5" spans="1:13" ht="15.6">
      <c r="A5" s="111" t="s">
        <v>4</v>
      </c>
      <c r="B5" s="111"/>
      <c r="C5" s="174" t="str">
        <f>'1-Inschrijfstaat'!B5</f>
        <v>Diverse</v>
      </c>
      <c r="F5" s="198"/>
      <c r="J5" s="197"/>
    </row>
    <row r="6" spans="1:13" ht="15.6">
      <c r="A6" s="12" t="s">
        <v>47</v>
      </c>
      <c r="B6" s="111"/>
      <c r="C6" s="174" t="str">
        <f>'1-Inschrijfstaat'!B6</f>
        <v>2024-20</v>
      </c>
      <c r="F6" s="198"/>
      <c r="J6" s="197"/>
    </row>
    <row r="7" spans="1:13" ht="15.6">
      <c r="A7" s="111" t="s">
        <v>8</v>
      </c>
      <c r="B7" s="111"/>
      <c r="C7" s="174">
        <f>'1-Inschrijfstaat'!B7</f>
        <v>0</v>
      </c>
      <c r="F7" s="198"/>
      <c r="J7" s="197"/>
    </row>
    <row r="8" spans="1:13" ht="15.6">
      <c r="A8" s="111" t="s">
        <v>9</v>
      </c>
      <c r="B8" s="111"/>
      <c r="C8" s="136" t="str">
        <f>'1-Inschrijfstaat'!B8</f>
        <v>1 januari 2025</v>
      </c>
      <c r="F8" s="198"/>
      <c r="J8" s="197"/>
    </row>
    <row r="9" spans="1:13" ht="15.6">
      <c r="A9" s="115" t="s">
        <v>11</v>
      </c>
      <c r="B9" s="115"/>
      <c r="C9" s="393" t="str">
        <f>'1-Inschrijfstaat'!B9</f>
        <v>2 Specialistiche schoonmaak</v>
      </c>
      <c r="F9" s="198"/>
      <c r="J9" s="197"/>
    </row>
    <row r="10" spans="1:13">
      <c r="F10" s="198"/>
    </row>
    <row r="11" spans="1:13" s="199" customFormat="1" ht="79.150000000000006">
      <c r="A11" s="740" t="s">
        <v>49</v>
      </c>
      <c r="B11" s="740" t="s">
        <v>50</v>
      </c>
      <c r="C11" s="740" t="s">
        <v>11</v>
      </c>
      <c r="D11" s="740" t="s">
        <v>51</v>
      </c>
      <c r="E11" s="740" t="s">
        <v>1191</v>
      </c>
      <c r="F11" s="740" t="s">
        <v>912</v>
      </c>
      <c r="G11" s="740" t="s">
        <v>913</v>
      </c>
      <c r="H11" s="740" t="s">
        <v>1192</v>
      </c>
      <c r="I11" s="700" t="s">
        <v>1193</v>
      </c>
      <c r="J11" s="700" t="s">
        <v>1194</v>
      </c>
      <c r="K11" s="700" t="s">
        <v>1195</v>
      </c>
      <c r="L11" s="700" t="s">
        <v>1196</v>
      </c>
      <c r="M11" s="700" t="s">
        <v>942</v>
      </c>
    </row>
    <row r="12" spans="1:13">
      <c r="A12" s="718">
        <v>107</v>
      </c>
      <c r="B12" s="725" t="s">
        <v>64</v>
      </c>
      <c r="C12" s="680">
        <f>VLOOKUP(A12,'2-Kosten per locatie'!$A$13:$C$88,3,FALSE)</f>
        <v>2</v>
      </c>
      <c r="D12" s="540" t="str">
        <f ca="1">VLOOKUP(A12,'3-Ruimtestaat'!B:D,3,FALSE)</f>
        <v>Oostlijn bovengronds</v>
      </c>
      <c r="E12" s="615">
        <f ca="1">SUMIF('8a-Glasstaat'!$B:$B,$A12,'8a-Glasstaat'!$I:$I)</f>
        <v>593.56000000000006</v>
      </c>
      <c r="F12" s="741">
        <f ca="1">SUMIF('8a-Glasstaat'!$B:$B,$A12,'8a-Glasstaat'!$L:$L)</f>
        <v>0</v>
      </c>
      <c r="G12" s="741">
        <f ca="1">SUMIF('8a-Glasstaat'!$B:$B,$A12,'8a-Glasstaat'!$N:$N)</f>
        <v>0</v>
      </c>
      <c r="H12" s="742"/>
      <c r="I12" s="743" t="s">
        <v>1197</v>
      </c>
      <c r="J12" s="741">
        <f t="shared" ref="J12:J13" si="0">H12*I12</f>
        <v>0</v>
      </c>
      <c r="K12" s="744"/>
      <c r="L12" s="741">
        <f t="shared" ref="L12:L13" si="1">K12*I12</f>
        <v>0</v>
      </c>
      <c r="M12" s="741">
        <f t="shared" ref="M12:M13" ca="1" si="2">L12+J12+G12</f>
        <v>0</v>
      </c>
    </row>
    <row r="13" spans="1:13">
      <c r="A13" s="718">
        <v>108</v>
      </c>
      <c r="B13" s="725" t="s">
        <v>993</v>
      </c>
      <c r="C13" s="680">
        <f>VLOOKUP(A13,'2-Kosten per locatie'!$A$13:$C$88,3,FALSE)</f>
        <v>2</v>
      </c>
      <c r="D13" s="540" t="str">
        <f ca="1">VLOOKUP(A13,'3-Ruimtestaat'!B:D,3,FALSE)</f>
        <v>Oostlijn bovengronds</v>
      </c>
      <c r="E13" s="615">
        <f ca="1">SUMIF('8a-Glasstaat'!$B:$B,$A13,'8a-Glasstaat'!$I:$I)</f>
        <v>619.90000000000032</v>
      </c>
      <c r="F13" s="741">
        <f ca="1">SUMIF('8a-Glasstaat'!$B:$B,$A13,'8a-Glasstaat'!$L:$L)</f>
        <v>0</v>
      </c>
      <c r="G13" s="741">
        <f ca="1">SUMIF('8a-Glasstaat'!$B:$B,$A13,'8a-Glasstaat'!$N:$N)</f>
        <v>0</v>
      </c>
      <c r="H13" s="742"/>
      <c r="I13" s="743" t="s">
        <v>1197</v>
      </c>
      <c r="J13" s="741">
        <f t="shared" si="0"/>
        <v>0</v>
      </c>
      <c r="K13" s="744"/>
      <c r="L13" s="741">
        <f t="shared" si="1"/>
        <v>0</v>
      </c>
      <c r="M13" s="741">
        <f t="shared" ca="1" si="2"/>
        <v>0</v>
      </c>
    </row>
    <row r="14" spans="1:13">
      <c r="A14" s="718">
        <v>109</v>
      </c>
      <c r="B14" s="639" t="s">
        <v>66</v>
      </c>
      <c r="C14" s="680">
        <f>VLOOKUP(A14,'2-Kosten per locatie'!$A$13:$C$88,3,FALSE)</f>
        <v>2</v>
      </c>
      <c r="D14" s="540" t="str">
        <f ca="1">VLOOKUP(A14,'3-Ruimtestaat'!B:D,3,FALSE)</f>
        <v>Oostlijn bovengronds</v>
      </c>
      <c r="E14" s="615">
        <f ca="1">SUMIF('8a-Glasstaat'!$B:$B,$A14,'8a-Glasstaat'!$I:$I)</f>
        <v>1.7</v>
      </c>
      <c r="F14" s="741">
        <f ca="1">SUMIF('8a-Glasstaat'!$B:$B,$A14,'8a-Glasstaat'!$L:$L)</f>
        <v>0</v>
      </c>
      <c r="G14" s="741">
        <f ca="1">SUMIF('8a-Glasstaat'!$B:$B,$A14,'8a-Glasstaat'!$N:$N)</f>
        <v>0</v>
      </c>
      <c r="H14" s="742"/>
      <c r="I14" s="743" t="s">
        <v>1197</v>
      </c>
      <c r="J14" s="741">
        <f t="shared" ref="J14:J20" si="3">H14*I14</f>
        <v>0</v>
      </c>
      <c r="K14" s="744"/>
      <c r="L14" s="741">
        <f t="shared" ref="L14:L20" si="4">K14*I14</f>
        <v>0</v>
      </c>
      <c r="M14" s="741">
        <f t="shared" ref="M14:M20" ca="1" si="5">L14+J14+G14</f>
        <v>0</v>
      </c>
    </row>
    <row r="15" spans="1:13">
      <c r="A15" s="718">
        <v>110</v>
      </c>
      <c r="B15" s="725" t="s">
        <v>67</v>
      </c>
      <c r="C15" s="680">
        <f>VLOOKUP(A15,'2-Kosten per locatie'!$A$13:$C$88,3,FALSE)</f>
        <v>2</v>
      </c>
      <c r="D15" s="540" t="str">
        <f ca="1">VLOOKUP(A15,'3-Ruimtestaat'!B:D,3,FALSE)</f>
        <v>Oostlijn bovengronds</v>
      </c>
      <c r="E15" s="615">
        <f ca="1">SUMIF('8a-Glasstaat'!$B:$B,$A15,'8a-Glasstaat'!$I:$I)</f>
        <v>717.41000000000008</v>
      </c>
      <c r="F15" s="741">
        <f ca="1">SUMIF('8a-Glasstaat'!$B:$B,$A15,'8a-Glasstaat'!$L:$L)</f>
        <v>0</v>
      </c>
      <c r="G15" s="741">
        <f ca="1">SUMIF('8a-Glasstaat'!$B:$B,$A15,'8a-Glasstaat'!$N:$N)</f>
        <v>0</v>
      </c>
      <c r="H15" s="742"/>
      <c r="I15" s="743" t="s">
        <v>1197</v>
      </c>
      <c r="J15" s="741">
        <f t="shared" si="3"/>
        <v>0</v>
      </c>
      <c r="K15" s="744"/>
      <c r="L15" s="741">
        <f t="shared" si="4"/>
        <v>0</v>
      </c>
      <c r="M15" s="741">
        <f t="shared" ca="1" si="5"/>
        <v>0</v>
      </c>
    </row>
    <row r="16" spans="1:13">
      <c r="A16" s="718">
        <v>111</v>
      </c>
      <c r="B16" s="725" t="s">
        <v>68</v>
      </c>
      <c r="C16" s="680">
        <f>VLOOKUP(A16,'2-Kosten per locatie'!$A$13:$C$88,3,FALSE)</f>
        <v>2</v>
      </c>
      <c r="D16" s="540" t="str">
        <f ca="1">VLOOKUP(A16,'3-Ruimtestaat'!B:D,3,FALSE)</f>
        <v>Oostlijn bovengronds</v>
      </c>
      <c r="E16" s="615">
        <f ca="1">SUMIF('8a-Glasstaat'!$B:$B,$A16,'8a-Glasstaat'!$I:$I)</f>
        <v>543.90000000000009</v>
      </c>
      <c r="F16" s="741">
        <f ca="1">SUMIF('8a-Glasstaat'!$B:$B,$A16,'8a-Glasstaat'!$L:$L)</f>
        <v>0</v>
      </c>
      <c r="G16" s="741">
        <f ca="1">SUMIF('8a-Glasstaat'!$B:$B,$A16,'8a-Glasstaat'!$N:$N)</f>
        <v>0</v>
      </c>
      <c r="H16" s="742"/>
      <c r="I16" s="743" t="s">
        <v>1197</v>
      </c>
      <c r="J16" s="741">
        <f t="shared" si="3"/>
        <v>0</v>
      </c>
      <c r="K16" s="744"/>
      <c r="L16" s="741">
        <f t="shared" si="4"/>
        <v>0</v>
      </c>
      <c r="M16" s="741">
        <f t="shared" ca="1" si="5"/>
        <v>0</v>
      </c>
    </row>
    <row r="17" spans="1:13">
      <c r="A17" s="718">
        <v>112</v>
      </c>
      <c r="B17" s="725" t="s">
        <v>69</v>
      </c>
      <c r="C17" s="680">
        <f>VLOOKUP(A17,'2-Kosten per locatie'!$A$13:$C$88,3,FALSE)</f>
        <v>2</v>
      </c>
      <c r="D17" s="540" t="str">
        <f ca="1">VLOOKUP(A17,'3-Ruimtestaat'!B:D,3,FALSE)</f>
        <v>Oostlijn bovengronds</v>
      </c>
      <c r="E17" s="615">
        <f ca="1">SUMIF('8a-Glasstaat'!$B:$B,$A17,'8a-Glasstaat'!$I:$I)</f>
        <v>861.04500000000019</v>
      </c>
      <c r="F17" s="741">
        <f ca="1">SUMIF('8a-Glasstaat'!$B:$B,$A17,'8a-Glasstaat'!$L:$L)</f>
        <v>0</v>
      </c>
      <c r="G17" s="741">
        <f ca="1">SUMIF('8a-Glasstaat'!$B:$B,$A17,'8a-Glasstaat'!$N:$N)</f>
        <v>0</v>
      </c>
      <c r="H17" s="742"/>
      <c r="I17" s="743" t="s">
        <v>1197</v>
      </c>
      <c r="J17" s="741">
        <f t="shared" si="3"/>
        <v>0</v>
      </c>
      <c r="K17" s="744"/>
      <c r="L17" s="741">
        <f t="shared" si="4"/>
        <v>0</v>
      </c>
      <c r="M17" s="741">
        <f t="shared" ca="1" si="5"/>
        <v>0</v>
      </c>
    </row>
    <row r="18" spans="1:13">
      <c r="A18" s="718">
        <v>113</v>
      </c>
      <c r="B18" s="725" t="s">
        <v>70</v>
      </c>
      <c r="C18" s="680">
        <f>VLOOKUP(A18,'2-Kosten per locatie'!$A$13:$C$88,3,FALSE)</f>
        <v>2</v>
      </c>
      <c r="D18" s="540" t="str">
        <f ca="1">VLOOKUP(A18,'3-Ruimtestaat'!B:D,3,FALSE)</f>
        <v>Oostlijn bovengronds</v>
      </c>
      <c r="E18" s="615">
        <f ca="1">SUMIF('8a-Glasstaat'!$B:$B,$A18,'8a-Glasstaat'!$I:$I)</f>
        <v>917.56000000000006</v>
      </c>
      <c r="F18" s="741">
        <f ca="1">SUMIF('8a-Glasstaat'!$B:$B,$A18,'8a-Glasstaat'!$L:$L)</f>
        <v>0</v>
      </c>
      <c r="G18" s="741">
        <f ca="1">SUMIF('8a-Glasstaat'!$B:$B,$A18,'8a-Glasstaat'!$N:$N)</f>
        <v>0</v>
      </c>
      <c r="H18" s="742"/>
      <c r="I18" s="743" t="s">
        <v>1197</v>
      </c>
      <c r="J18" s="741">
        <f t="shared" si="3"/>
        <v>0</v>
      </c>
      <c r="K18" s="744"/>
      <c r="L18" s="741">
        <f t="shared" si="4"/>
        <v>0</v>
      </c>
      <c r="M18" s="741">
        <f t="shared" ca="1" si="5"/>
        <v>0</v>
      </c>
    </row>
    <row r="19" spans="1:13">
      <c r="A19" s="718">
        <v>114</v>
      </c>
      <c r="B19" s="725" t="s">
        <v>71</v>
      </c>
      <c r="C19" s="680">
        <f>VLOOKUP(A19,'2-Kosten per locatie'!$A$13:$C$88,3,FALSE)</f>
        <v>2</v>
      </c>
      <c r="D19" s="540" t="str">
        <f ca="1">VLOOKUP(A19,'3-Ruimtestaat'!B:D,3,FALSE)</f>
        <v>Oostlijn bovengronds</v>
      </c>
      <c r="E19" s="615">
        <f ca="1">SUMIF('8a-Glasstaat'!$B:$B,$A19,'8a-Glasstaat'!$I:$I)</f>
        <v>1348.8900000000003</v>
      </c>
      <c r="F19" s="741">
        <f ca="1">SUMIF('8a-Glasstaat'!$B:$B,$A19,'8a-Glasstaat'!$L:$L)</f>
        <v>0</v>
      </c>
      <c r="G19" s="741">
        <f ca="1">SUMIF('8a-Glasstaat'!$B:$B,$A19,'8a-Glasstaat'!$N:$N)</f>
        <v>0</v>
      </c>
      <c r="H19" s="742"/>
      <c r="I19" s="743" t="s">
        <v>1197</v>
      </c>
      <c r="J19" s="741">
        <f t="shared" si="3"/>
        <v>0</v>
      </c>
      <c r="K19" s="744"/>
      <c r="L19" s="741">
        <f t="shared" si="4"/>
        <v>0</v>
      </c>
      <c r="M19" s="741">
        <f t="shared" ca="1" si="5"/>
        <v>0</v>
      </c>
    </row>
    <row r="20" spans="1:13">
      <c r="A20" s="718">
        <v>115</v>
      </c>
      <c r="B20" s="725" t="s">
        <v>72</v>
      </c>
      <c r="C20" s="680">
        <f>VLOOKUP(A20,'2-Kosten per locatie'!$A$13:$C$88,3,FALSE)</f>
        <v>2</v>
      </c>
      <c r="D20" s="540" t="str">
        <f ca="1">VLOOKUP(A20,'3-Ruimtestaat'!B:D,3,FALSE)</f>
        <v>Oostlijn Bovengronds</v>
      </c>
      <c r="E20" s="615">
        <f ca="1">SUMIF('8a-Glasstaat'!$B:$B,$A20,'8a-Glasstaat'!$I:$I)</f>
        <v>547.57500000000016</v>
      </c>
      <c r="F20" s="741">
        <f ca="1">SUMIF('8a-Glasstaat'!$B:$B,$A20,'8a-Glasstaat'!$L:$L)</f>
        <v>0</v>
      </c>
      <c r="G20" s="741">
        <f ca="1">SUMIF('8a-Glasstaat'!$B:$B,$A20,'8a-Glasstaat'!$N:$N)</f>
        <v>0</v>
      </c>
      <c r="H20" s="742"/>
      <c r="I20" s="743" t="s">
        <v>1197</v>
      </c>
      <c r="J20" s="741">
        <f t="shared" si="3"/>
        <v>0</v>
      </c>
      <c r="K20" s="744"/>
      <c r="L20" s="741">
        <f t="shared" si="4"/>
        <v>0</v>
      </c>
      <c r="M20" s="741">
        <f t="shared" ca="1" si="5"/>
        <v>0</v>
      </c>
    </row>
    <row r="21" spans="1:13">
      <c r="A21" s="718">
        <v>116</v>
      </c>
      <c r="B21" s="725" t="s">
        <v>73</v>
      </c>
      <c r="C21" s="680">
        <f>VLOOKUP(A21,'2-Kosten per locatie'!$A$13:$C$88,3,FALSE)</f>
        <v>2</v>
      </c>
      <c r="D21" s="540" t="str">
        <f ca="1">VLOOKUP(A21,'3-Ruimtestaat'!B:D,3,FALSE)</f>
        <v>Oostlijn bovengronds</v>
      </c>
      <c r="E21" s="615">
        <f ca="1">SUMIF('8a-Glasstaat'!$B:$B,$A21,'8a-Glasstaat'!$I:$I)</f>
        <v>257.92</v>
      </c>
      <c r="F21" s="741">
        <f ca="1">SUMIF('8a-Glasstaat'!$B:$B,$A21,'8a-Glasstaat'!$L:$L)</f>
        <v>0</v>
      </c>
      <c r="G21" s="741">
        <f ca="1">SUMIF('8a-Glasstaat'!$B:$B,$A21,'8a-Glasstaat'!$N:$N)</f>
        <v>0</v>
      </c>
      <c r="H21" s="742"/>
      <c r="I21" s="743" t="s">
        <v>1197</v>
      </c>
      <c r="J21" s="741">
        <f t="shared" ref="J21:J67" si="6">H21*I21</f>
        <v>0</v>
      </c>
      <c r="K21" s="744"/>
      <c r="L21" s="741">
        <f t="shared" ref="L21:L67" si="7">K21*I21</f>
        <v>0</v>
      </c>
      <c r="M21" s="741">
        <f t="shared" ref="M21:M67" ca="1" si="8">L21+J21+G21</f>
        <v>0</v>
      </c>
    </row>
    <row r="22" spans="1:13">
      <c r="A22" s="718">
        <v>117</v>
      </c>
      <c r="B22" s="725" t="s">
        <v>74</v>
      </c>
      <c r="C22" s="680">
        <f>VLOOKUP(A22,'2-Kosten per locatie'!$A$13:$C$88,3,FALSE)</f>
        <v>2</v>
      </c>
      <c r="D22" s="540" t="str">
        <f ca="1">VLOOKUP(A22,'3-Ruimtestaat'!B:D,3,FALSE)</f>
        <v>Oostlijn bovengronds</v>
      </c>
      <c r="E22" s="615">
        <f ca="1">SUMIF('8a-Glasstaat'!$B:$B,$A22,'8a-Glasstaat'!$I:$I)</f>
        <v>650.2199999999998</v>
      </c>
      <c r="F22" s="741">
        <f ca="1">SUMIF('8a-Glasstaat'!$B:$B,$A22,'8a-Glasstaat'!$L:$L)</f>
        <v>0</v>
      </c>
      <c r="G22" s="741">
        <f ca="1">SUMIF('8a-Glasstaat'!$B:$B,$A22,'8a-Glasstaat'!$N:$N)</f>
        <v>0</v>
      </c>
      <c r="H22" s="742"/>
      <c r="I22" s="743" t="s">
        <v>1197</v>
      </c>
      <c r="J22" s="741">
        <f t="shared" ref="J22:J27" si="9">H22*I22</f>
        <v>0</v>
      </c>
      <c r="K22" s="744"/>
      <c r="L22" s="741">
        <f t="shared" ref="L22:L27" si="10">K22*I22</f>
        <v>0</v>
      </c>
      <c r="M22" s="741">
        <f t="shared" ref="M22:M27" ca="1" si="11">L22+J22+G22</f>
        <v>0</v>
      </c>
    </row>
    <row r="23" spans="1:13">
      <c r="A23" s="718">
        <v>118</v>
      </c>
      <c r="B23" s="725" t="s">
        <v>75</v>
      </c>
      <c r="C23" s="680">
        <f>VLOOKUP(A23,'2-Kosten per locatie'!$A$13:$C$88,3,FALSE)</f>
        <v>2</v>
      </c>
      <c r="D23" s="540" t="str">
        <f ca="1">VLOOKUP(A23,'3-Ruimtestaat'!B:D,3,FALSE)</f>
        <v>Oostlijn bovengronds</v>
      </c>
      <c r="E23" s="615">
        <f ca="1">SUMIF('8a-Glasstaat'!$B:$B,$A23,'8a-Glasstaat'!$I:$I)</f>
        <v>316.49500000000006</v>
      </c>
      <c r="F23" s="741">
        <f ca="1">SUMIF('8a-Glasstaat'!$B:$B,$A23,'8a-Glasstaat'!$L:$L)</f>
        <v>0</v>
      </c>
      <c r="G23" s="741">
        <f ca="1">SUMIF('8a-Glasstaat'!$B:$B,$A23,'8a-Glasstaat'!$N:$N)</f>
        <v>0</v>
      </c>
      <c r="H23" s="742"/>
      <c r="I23" s="743" t="s">
        <v>1197</v>
      </c>
      <c r="J23" s="741">
        <f t="shared" si="9"/>
        <v>0</v>
      </c>
      <c r="K23" s="744"/>
      <c r="L23" s="741">
        <f t="shared" si="10"/>
        <v>0</v>
      </c>
      <c r="M23" s="741">
        <f t="shared" ca="1" si="11"/>
        <v>0</v>
      </c>
    </row>
    <row r="24" spans="1:13">
      <c r="A24" s="718">
        <v>119</v>
      </c>
      <c r="B24" s="725" t="s">
        <v>76</v>
      </c>
      <c r="C24" s="680">
        <f>VLOOKUP(A24,'2-Kosten per locatie'!$A$13:$C$88,3,FALSE)</f>
        <v>2</v>
      </c>
      <c r="D24" s="540" t="str">
        <f ca="1">VLOOKUP(A24,'3-Ruimtestaat'!B:D,3,FALSE)</f>
        <v>Oostlijn bovengronds</v>
      </c>
      <c r="E24" s="615">
        <f ca="1">SUMIF('8a-Glasstaat'!$B:$B,$A24,'8a-Glasstaat'!$I:$I)</f>
        <v>5439.0249999999996</v>
      </c>
      <c r="F24" s="741">
        <f ca="1">SUMIF('8a-Glasstaat'!$B:$B,$A24,'8a-Glasstaat'!$L:$L)</f>
        <v>0</v>
      </c>
      <c r="G24" s="741">
        <f ca="1">SUMIF('8a-Glasstaat'!$B:$B,$A24,'8a-Glasstaat'!$N:$N)</f>
        <v>0</v>
      </c>
      <c r="H24" s="742"/>
      <c r="I24" s="743" t="s">
        <v>1197</v>
      </c>
      <c r="J24" s="741">
        <f t="shared" si="9"/>
        <v>0</v>
      </c>
      <c r="K24" s="744"/>
      <c r="L24" s="741">
        <f t="shared" si="10"/>
        <v>0</v>
      </c>
      <c r="M24" s="741">
        <f t="shared" ca="1" si="11"/>
        <v>0</v>
      </c>
    </row>
    <row r="25" spans="1:13">
      <c r="A25" s="718">
        <v>120</v>
      </c>
      <c r="B25" s="725" t="s">
        <v>77</v>
      </c>
      <c r="C25" s="680">
        <f>VLOOKUP(A25,'2-Kosten per locatie'!$A$13:$C$88,3,FALSE)</f>
        <v>2</v>
      </c>
      <c r="D25" s="540" t="str">
        <f ca="1">VLOOKUP(A25,'3-Ruimtestaat'!B:D,3,FALSE)</f>
        <v>Oostlijn bovengronds</v>
      </c>
      <c r="E25" s="615">
        <f ca="1">SUMIF('8a-Glasstaat'!$B:$B,$A25,'8a-Glasstaat'!$I:$I)</f>
        <v>311.02000000000004</v>
      </c>
      <c r="F25" s="741">
        <f ca="1">SUMIF('8a-Glasstaat'!$B:$B,$A25,'8a-Glasstaat'!$L:$L)</f>
        <v>0</v>
      </c>
      <c r="G25" s="741">
        <f ca="1">SUMIF('8a-Glasstaat'!$B:$B,$A25,'8a-Glasstaat'!$N:$N)</f>
        <v>0</v>
      </c>
      <c r="H25" s="742"/>
      <c r="I25" s="743" t="s">
        <v>1197</v>
      </c>
      <c r="J25" s="741">
        <f t="shared" si="9"/>
        <v>0</v>
      </c>
      <c r="K25" s="744"/>
      <c r="L25" s="741">
        <f t="shared" si="10"/>
        <v>0</v>
      </c>
      <c r="M25" s="741">
        <f t="shared" ca="1" si="11"/>
        <v>0</v>
      </c>
    </row>
    <row r="26" spans="1:13">
      <c r="A26" s="718">
        <v>121</v>
      </c>
      <c r="B26" s="725" t="s">
        <v>78</v>
      </c>
      <c r="C26" s="680">
        <f>VLOOKUP(A26,'2-Kosten per locatie'!$A$13:$C$88,3,FALSE)</f>
        <v>2</v>
      </c>
      <c r="D26" s="540" t="str">
        <f ca="1">VLOOKUP(A26,'3-Ruimtestaat'!B:D,3,FALSE)</f>
        <v>Oostlijn bovengronds</v>
      </c>
      <c r="E26" s="615">
        <f ca="1">SUMIF('8a-Glasstaat'!$B:$B,$A26,'8a-Glasstaat'!$I:$I)</f>
        <v>352.62000000000006</v>
      </c>
      <c r="F26" s="741">
        <f ca="1">SUMIF('8a-Glasstaat'!$B:$B,$A26,'8a-Glasstaat'!$L:$L)</f>
        <v>0</v>
      </c>
      <c r="G26" s="741">
        <f ca="1">SUMIF('8a-Glasstaat'!$B:$B,$A26,'8a-Glasstaat'!$N:$N)</f>
        <v>0</v>
      </c>
      <c r="H26" s="742"/>
      <c r="I26" s="743" t="s">
        <v>1197</v>
      </c>
      <c r="J26" s="741">
        <f t="shared" si="9"/>
        <v>0</v>
      </c>
      <c r="K26" s="744"/>
      <c r="L26" s="741">
        <f t="shared" si="10"/>
        <v>0</v>
      </c>
      <c r="M26" s="741">
        <f t="shared" ca="1" si="11"/>
        <v>0</v>
      </c>
    </row>
    <row r="27" spans="1:13">
      <c r="A27" s="718">
        <v>201</v>
      </c>
      <c r="B27" s="725" t="s">
        <v>79</v>
      </c>
      <c r="C27" s="680">
        <f>VLOOKUP(A27,'2-Kosten per locatie'!$A$13:$C$88,3,FALSE)</f>
        <v>2</v>
      </c>
      <c r="D27" s="540" t="str">
        <f ca="1">VLOOKUP(A27,'3-Ruimtestaat'!B:D,3,FALSE)</f>
        <v>Amstellijn</v>
      </c>
      <c r="E27" s="615">
        <f ca="1">SUMIF('8a-Glasstaat'!$B:$B,$A27,'8a-Glasstaat'!$I:$I)</f>
        <v>424.8</v>
      </c>
      <c r="F27" s="741">
        <f ca="1">SUMIF('8a-Glasstaat'!$B:$B,$A27,'8a-Glasstaat'!$L:$L)</f>
        <v>0</v>
      </c>
      <c r="G27" s="741">
        <f ca="1">SUMIF('8a-Glasstaat'!$B:$B,$A27,'8a-Glasstaat'!$N:$N)</f>
        <v>0</v>
      </c>
      <c r="H27" s="742"/>
      <c r="I27" s="743" t="s">
        <v>1197</v>
      </c>
      <c r="J27" s="741">
        <f t="shared" si="9"/>
        <v>0</v>
      </c>
      <c r="K27" s="744"/>
      <c r="L27" s="741">
        <f t="shared" si="10"/>
        <v>0</v>
      </c>
      <c r="M27" s="741">
        <f t="shared" ca="1" si="11"/>
        <v>0</v>
      </c>
    </row>
    <row r="28" spans="1:13">
      <c r="A28" s="718">
        <v>202</v>
      </c>
      <c r="B28" s="725" t="s">
        <v>80</v>
      </c>
      <c r="C28" s="680">
        <f>VLOOKUP(A28,'2-Kosten per locatie'!$A$13:$C$88,3,FALSE)</f>
        <v>2</v>
      </c>
      <c r="D28" s="540" t="str">
        <f ca="1">VLOOKUP(A28,'3-Ruimtestaat'!B:D,3,FALSE)</f>
        <v>Amstellijn</v>
      </c>
      <c r="E28" s="615">
        <f ca="1">SUMIF('8a-Glasstaat'!$B:$B,$A28,'8a-Glasstaat'!$I:$I)</f>
        <v>350.4</v>
      </c>
      <c r="F28" s="741">
        <f ca="1">SUMIF('8a-Glasstaat'!$B:$B,$A28,'8a-Glasstaat'!$L:$L)</f>
        <v>0</v>
      </c>
      <c r="G28" s="741">
        <f ca="1">SUMIF('8a-Glasstaat'!$B:$B,$A28,'8a-Glasstaat'!$N:$N)</f>
        <v>0</v>
      </c>
      <c r="H28" s="742"/>
      <c r="I28" s="743" t="s">
        <v>1197</v>
      </c>
      <c r="J28" s="741">
        <f t="shared" ref="J28:J41" si="12">H28*I28</f>
        <v>0</v>
      </c>
      <c r="K28" s="744"/>
      <c r="L28" s="741">
        <f t="shared" ref="L28:L41" si="13">K28*I28</f>
        <v>0</v>
      </c>
      <c r="M28" s="741">
        <f t="shared" ref="M28:M41" ca="1" si="14">L28+J28+G28</f>
        <v>0</v>
      </c>
    </row>
    <row r="29" spans="1:13">
      <c r="A29" s="718">
        <v>203</v>
      </c>
      <c r="B29" s="725" t="s">
        <v>81</v>
      </c>
      <c r="C29" s="680">
        <f>VLOOKUP(A29,'2-Kosten per locatie'!$A$13:$C$88,3,FALSE)</f>
        <v>2</v>
      </c>
      <c r="D29" s="540" t="str">
        <f ca="1">VLOOKUP(A29,'3-Ruimtestaat'!B:D,3,FALSE)</f>
        <v>Amstellijn</v>
      </c>
      <c r="E29" s="615">
        <f ca="1">SUMIF('8a-Glasstaat'!$B:$B,$A29,'8a-Glasstaat'!$I:$I)</f>
        <v>128</v>
      </c>
      <c r="F29" s="741">
        <f ca="1">SUMIF('8a-Glasstaat'!$B:$B,$A29,'8a-Glasstaat'!$L:$L)</f>
        <v>0</v>
      </c>
      <c r="G29" s="741">
        <f ca="1">SUMIF('8a-Glasstaat'!$B:$B,$A29,'8a-Glasstaat'!$N:$N)</f>
        <v>0</v>
      </c>
      <c r="H29" s="742"/>
      <c r="I29" s="743" t="s">
        <v>1197</v>
      </c>
      <c r="J29" s="741">
        <f t="shared" si="12"/>
        <v>0</v>
      </c>
      <c r="K29" s="744"/>
      <c r="L29" s="741">
        <f t="shared" si="13"/>
        <v>0</v>
      </c>
      <c r="M29" s="741">
        <f t="shared" ca="1" si="14"/>
        <v>0</v>
      </c>
    </row>
    <row r="30" spans="1:13">
      <c r="A30" s="718">
        <v>204</v>
      </c>
      <c r="B30" s="725" t="s">
        <v>82</v>
      </c>
      <c r="C30" s="680">
        <f>VLOOKUP(A30,'2-Kosten per locatie'!$A$13:$C$88,3,FALSE)</f>
        <v>2</v>
      </c>
      <c r="D30" s="540" t="str">
        <f ca="1">VLOOKUP(A30,'3-Ruimtestaat'!B:D,3,FALSE)</f>
        <v>Amstellijn</v>
      </c>
      <c r="E30" s="615">
        <f ca="1">SUMIF('8a-Glasstaat'!$B:$B,$A30,'8a-Glasstaat'!$I:$I)</f>
        <v>220</v>
      </c>
      <c r="F30" s="741">
        <f ca="1">SUMIF('8a-Glasstaat'!$B:$B,$A30,'8a-Glasstaat'!$L:$L)</f>
        <v>0</v>
      </c>
      <c r="G30" s="741">
        <f ca="1">SUMIF('8a-Glasstaat'!$B:$B,$A30,'8a-Glasstaat'!$N:$N)</f>
        <v>0</v>
      </c>
      <c r="H30" s="742"/>
      <c r="I30" s="743" t="s">
        <v>1197</v>
      </c>
      <c r="J30" s="741">
        <f t="shared" si="12"/>
        <v>0</v>
      </c>
      <c r="K30" s="744"/>
      <c r="L30" s="741">
        <f t="shared" si="13"/>
        <v>0</v>
      </c>
      <c r="M30" s="741">
        <f t="shared" ca="1" si="14"/>
        <v>0</v>
      </c>
    </row>
    <row r="31" spans="1:13">
      <c r="A31" s="718">
        <v>205</v>
      </c>
      <c r="B31" s="725" t="s">
        <v>83</v>
      </c>
      <c r="C31" s="680">
        <f>VLOOKUP(A31,'2-Kosten per locatie'!$A$13:$C$88,3,FALSE)</f>
        <v>2</v>
      </c>
      <c r="D31" s="540" t="str">
        <f ca="1">VLOOKUP(A31,'3-Ruimtestaat'!B:D,3,FALSE)</f>
        <v>Amstellijn</v>
      </c>
      <c r="E31" s="615">
        <f ca="1">SUMIF('8a-Glasstaat'!$B:$B,$A31,'8a-Glasstaat'!$I:$I)</f>
        <v>220</v>
      </c>
      <c r="F31" s="741">
        <f ca="1">SUMIF('8a-Glasstaat'!$B:$B,$A31,'8a-Glasstaat'!$L:$L)</f>
        <v>0</v>
      </c>
      <c r="G31" s="741">
        <f ca="1">SUMIF('8a-Glasstaat'!$B:$B,$A31,'8a-Glasstaat'!$N:$N)</f>
        <v>0</v>
      </c>
      <c r="H31" s="742"/>
      <c r="I31" s="743" t="s">
        <v>1197</v>
      </c>
      <c r="J31" s="741">
        <f t="shared" si="12"/>
        <v>0</v>
      </c>
      <c r="K31" s="744"/>
      <c r="L31" s="741">
        <f t="shared" si="13"/>
        <v>0</v>
      </c>
      <c r="M31" s="741">
        <f t="shared" ca="1" si="14"/>
        <v>0</v>
      </c>
    </row>
    <row r="32" spans="1:13">
      <c r="A32" s="718">
        <v>206</v>
      </c>
      <c r="B32" s="725" t="s">
        <v>84</v>
      </c>
      <c r="C32" s="680">
        <f>VLOOKUP(A32,'2-Kosten per locatie'!$A$13:$C$88,3,FALSE)</f>
        <v>2</v>
      </c>
      <c r="D32" s="540" t="str">
        <f ca="1">VLOOKUP(A32,'3-Ruimtestaat'!B:D,3,FALSE)</f>
        <v>Amstellijn</v>
      </c>
      <c r="E32" s="615">
        <f ca="1">SUMIF('8a-Glasstaat'!$B:$B,$A32,'8a-Glasstaat'!$I:$I)</f>
        <v>128</v>
      </c>
      <c r="F32" s="741">
        <f ca="1">SUMIF('8a-Glasstaat'!$B:$B,$A32,'8a-Glasstaat'!$L:$L)</f>
        <v>0</v>
      </c>
      <c r="G32" s="741">
        <f ca="1">SUMIF('8a-Glasstaat'!$B:$B,$A32,'8a-Glasstaat'!$N:$N)</f>
        <v>0</v>
      </c>
      <c r="H32" s="742"/>
      <c r="I32" s="743" t="s">
        <v>1197</v>
      </c>
      <c r="J32" s="741">
        <f t="shared" si="12"/>
        <v>0</v>
      </c>
      <c r="K32" s="744"/>
      <c r="L32" s="741">
        <f t="shared" si="13"/>
        <v>0</v>
      </c>
      <c r="M32" s="741">
        <f t="shared" ca="1" si="14"/>
        <v>0</v>
      </c>
    </row>
    <row r="33" spans="1:13">
      <c r="A33" s="718">
        <v>207</v>
      </c>
      <c r="B33" s="725" t="s">
        <v>85</v>
      </c>
      <c r="C33" s="680">
        <f>VLOOKUP(A33,'2-Kosten per locatie'!$A$13:$C$88,3,FALSE)</f>
        <v>2</v>
      </c>
      <c r="D33" s="540" t="str">
        <f ca="1">VLOOKUP(A33,'3-Ruimtestaat'!B:D,3,FALSE)</f>
        <v>Amstellijn</v>
      </c>
      <c r="E33" s="615">
        <f ca="1">SUMIF('8a-Glasstaat'!$B:$B,$A33,'8a-Glasstaat'!$I:$I)</f>
        <v>128</v>
      </c>
      <c r="F33" s="741">
        <f ca="1">SUMIF('8a-Glasstaat'!$B:$B,$A33,'8a-Glasstaat'!$L:$L)</f>
        <v>0</v>
      </c>
      <c r="G33" s="741">
        <f ca="1">SUMIF('8a-Glasstaat'!$B:$B,$A33,'8a-Glasstaat'!$N:$N)</f>
        <v>0</v>
      </c>
      <c r="H33" s="742"/>
      <c r="I33" s="743" t="s">
        <v>1197</v>
      </c>
      <c r="J33" s="741">
        <f t="shared" si="12"/>
        <v>0</v>
      </c>
      <c r="K33" s="744"/>
      <c r="L33" s="741">
        <f t="shared" si="13"/>
        <v>0</v>
      </c>
      <c r="M33" s="741">
        <f t="shared" ca="1" si="14"/>
        <v>0</v>
      </c>
    </row>
    <row r="34" spans="1:13">
      <c r="A34" s="718">
        <v>208</v>
      </c>
      <c r="B34" s="725" t="s">
        <v>86</v>
      </c>
      <c r="C34" s="680">
        <f>VLOOKUP(A34,'2-Kosten per locatie'!$A$13:$C$88,3,FALSE)</f>
        <v>2</v>
      </c>
      <c r="D34" s="540" t="str">
        <f ca="1">VLOOKUP(A34,'3-Ruimtestaat'!B:D,3,FALSE)</f>
        <v>Amstellijn</v>
      </c>
      <c r="E34" s="615">
        <f ca="1">SUMIF('8a-Glasstaat'!$B:$B,$A34,'8a-Glasstaat'!$I:$I)</f>
        <v>0</v>
      </c>
      <c r="F34" s="741">
        <f ca="1">SUMIF('8a-Glasstaat'!$B:$B,$A34,'8a-Glasstaat'!$L:$L)</f>
        <v>0</v>
      </c>
      <c r="G34" s="741">
        <f ca="1">SUMIF('8a-Glasstaat'!$B:$B,$A34,'8a-Glasstaat'!$N:$N)</f>
        <v>0</v>
      </c>
      <c r="H34" s="742"/>
      <c r="I34" s="743"/>
      <c r="J34" s="741">
        <f t="shared" si="12"/>
        <v>0</v>
      </c>
      <c r="K34" s="744"/>
      <c r="L34" s="741">
        <f t="shared" si="13"/>
        <v>0</v>
      </c>
      <c r="M34" s="741">
        <f t="shared" ca="1" si="14"/>
        <v>0</v>
      </c>
    </row>
    <row r="35" spans="1:13">
      <c r="A35" s="718">
        <v>209</v>
      </c>
      <c r="B35" s="725" t="s">
        <v>87</v>
      </c>
      <c r="C35" s="680">
        <f>VLOOKUP(A35,'2-Kosten per locatie'!$A$13:$C$88,3,FALSE)</f>
        <v>2</v>
      </c>
      <c r="D35" s="540" t="str">
        <f ca="1">VLOOKUP(A35,'3-Ruimtestaat'!B:D,3,FALSE)</f>
        <v>Amstellijn</v>
      </c>
      <c r="E35" s="615">
        <f ca="1">SUMIF('8a-Glasstaat'!$B:$B,$A35,'8a-Glasstaat'!$I:$I)</f>
        <v>239</v>
      </c>
      <c r="F35" s="741">
        <f ca="1">SUMIF('8a-Glasstaat'!$B:$B,$A35,'8a-Glasstaat'!$L:$L)</f>
        <v>0</v>
      </c>
      <c r="G35" s="741">
        <f ca="1">SUMIF('8a-Glasstaat'!$B:$B,$A35,'8a-Glasstaat'!$N:$N)</f>
        <v>0</v>
      </c>
      <c r="H35" s="742"/>
      <c r="I35" s="743" t="s">
        <v>1197</v>
      </c>
      <c r="J35" s="741">
        <f t="shared" si="12"/>
        <v>0</v>
      </c>
      <c r="K35" s="744"/>
      <c r="L35" s="741">
        <f t="shared" si="13"/>
        <v>0</v>
      </c>
      <c r="M35" s="741">
        <f t="shared" ca="1" si="14"/>
        <v>0</v>
      </c>
    </row>
    <row r="36" spans="1:13">
      <c r="A36" s="718">
        <v>210</v>
      </c>
      <c r="B36" s="725" t="s">
        <v>88</v>
      </c>
      <c r="C36" s="680">
        <f>VLOOKUP(A36,'2-Kosten per locatie'!$A$13:$C$88,3,FALSE)</f>
        <v>2</v>
      </c>
      <c r="D36" s="540" t="str">
        <f ca="1">VLOOKUP(A36,'3-Ruimtestaat'!B:D,3,FALSE)</f>
        <v>Amstellijn</v>
      </c>
      <c r="E36" s="615">
        <f ca="1">SUMIF('8a-Glasstaat'!$B:$B,$A36,'8a-Glasstaat'!$I:$I)</f>
        <v>220</v>
      </c>
      <c r="F36" s="741">
        <f ca="1">SUMIF('8a-Glasstaat'!$B:$B,$A36,'8a-Glasstaat'!$L:$L)</f>
        <v>0</v>
      </c>
      <c r="G36" s="741">
        <f ca="1">SUMIF('8a-Glasstaat'!$B:$B,$A36,'8a-Glasstaat'!$N:$N)</f>
        <v>0</v>
      </c>
      <c r="H36" s="742"/>
      <c r="I36" s="743" t="s">
        <v>1197</v>
      </c>
      <c r="J36" s="741">
        <f t="shared" si="12"/>
        <v>0</v>
      </c>
      <c r="K36" s="744"/>
      <c r="L36" s="741">
        <f t="shared" si="13"/>
        <v>0</v>
      </c>
      <c r="M36" s="741">
        <f t="shared" ca="1" si="14"/>
        <v>0</v>
      </c>
    </row>
    <row r="37" spans="1:13">
      <c r="A37" s="718">
        <v>211</v>
      </c>
      <c r="B37" s="725" t="s">
        <v>89</v>
      </c>
      <c r="C37" s="680">
        <f>VLOOKUP(A37,'2-Kosten per locatie'!$A$13:$C$88,3,FALSE)</f>
        <v>2</v>
      </c>
      <c r="D37" s="540" t="str">
        <f ca="1">VLOOKUP(A37,'3-Ruimtestaat'!B:D,3,FALSE)</f>
        <v>Amstellijn</v>
      </c>
      <c r="E37" s="615">
        <f ca="1">SUMIF('8a-Glasstaat'!$B:$B,$A37,'8a-Glasstaat'!$I:$I)</f>
        <v>128</v>
      </c>
      <c r="F37" s="741">
        <f ca="1">SUMIF('8a-Glasstaat'!$B:$B,$A37,'8a-Glasstaat'!$L:$L)</f>
        <v>0</v>
      </c>
      <c r="G37" s="741">
        <f ca="1">SUMIF('8a-Glasstaat'!$B:$B,$A37,'8a-Glasstaat'!$N:$N)</f>
        <v>0</v>
      </c>
      <c r="H37" s="742"/>
      <c r="I37" s="743" t="s">
        <v>1197</v>
      </c>
      <c r="J37" s="741">
        <f t="shared" si="12"/>
        <v>0</v>
      </c>
      <c r="K37" s="744"/>
      <c r="L37" s="741">
        <f t="shared" si="13"/>
        <v>0</v>
      </c>
      <c r="M37" s="741">
        <f t="shared" ca="1" si="14"/>
        <v>0</v>
      </c>
    </row>
    <row r="38" spans="1:13">
      <c r="A38" s="718">
        <v>212</v>
      </c>
      <c r="B38" s="725" t="s">
        <v>90</v>
      </c>
      <c r="C38" s="680">
        <f>VLOOKUP(A38,'2-Kosten per locatie'!$A$13:$C$88,3,FALSE)</f>
        <v>2</v>
      </c>
      <c r="D38" s="540" t="str">
        <f ca="1">VLOOKUP(A38,'3-Ruimtestaat'!B:D,3,FALSE)</f>
        <v>Amstellijn</v>
      </c>
      <c r="E38" s="615">
        <f ca="1">SUMIF('8a-Glasstaat'!$B:$B,$A38,'8a-Glasstaat'!$I:$I)</f>
        <v>148</v>
      </c>
      <c r="F38" s="741">
        <f ca="1">SUMIF('8a-Glasstaat'!$B:$B,$A38,'8a-Glasstaat'!$L:$L)</f>
        <v>0</v>
      </c>
      <c r="G38" s="741">
        <f ca="1">SUMIF('8a-Glasstaat'!$B:$B,$A38,'8a-Glasstaat'!$N:$N)</f>
        <v>0</v>
      </c>
      <c r="H38" s="742"/>
      <c r="I38" s="743" t="s">
        <v>1197</v>
      </c>
      <c r="J38" s="741">
        <f t="shared" si="12"/>
        <v>0</v>
      </c>
      <c r="K38" s="744"/>
      <c r="L38" s="741">
        <f t="shared" si="13"/>
        <v>0</v>
      </c>
      <c r="M38" s="741">
        <f t="shared" ca="1" si="14"/>
        <v>0</v>
      </c>
    </row>
    <row r="39" spans="1:13">
      <c r="A39" s="718">
        <v>213</v>
      </c>
      <c r="B39" s="725" t="s">
        <v>91</v>
      </c>
      <c r="C39" s="680">
        <f>VLOOKUP(A39,'2-Kosten per locatie'!$A$13:$C$88,3,FALSE)</f>
        <v>2</v>
      </c>
      <c r="D39" s="540" t="str">
        <f ca="1">VLOOKUP(A39,'3-Ruimtestaat'!B:D,3,FALSE)</f>
        <v>Amstellijn</v>
      </c>
      <c r="E39" s="615">
        <f ca="1">SUMIF('8a-Glasstaat'!$B:$B,$A39,'8a-Glasstaat'!$I:$I)</f>
        <v>0</v>
      </c>
      <c r="F39" s="741">
        <f ca="1">SUMIF('8a-Glasstaat'!$B:$B,$A39,'8a-Glasstaat'!$L:$L)</f>
        <v>0</v>
      </c>
      <c r="G39" s="741">
        <f ca="1">SUMIF('8a-Glasstaat'!$B:$B,$A39,'8a-Glasstaat'!$N:$N)</f>
        <v>0</v>
      </c>
      <c r="H39" s="742"/>
      <c r="I39" s="743"/>
      <c r="J39" s="741">
        <f t="shared" si="12"/>
        <v>0</v>
      </c>
      <c r="K39" s="744"/>
      <c r="L39" s="741">
        <f t="shared" si="13"/>
        <v>0</v>
      </c>
      <c r="M39" s="741">
        <f t="shared" ca="1" si="14"/>
        <v>0</v>
      </c>
    </row>
    <row r="40" spans="1:13">
      <c r="A40" s="718">
        <v>214</v>
      </c>
      <c r="B40" s="725" t="s">
        <v>92</v>
      </c>
      <c r="C40" s="680">
        <f>VLOOKUP(A40,'2-Kosten per locatie'!$A$13:$C$88,3,FALSE)</f>
        <v>2</v>
      </c>
      <c r="D40" s="540" t="str">
        <f ca="1">VLOOKUP(A40,'3-Ruimtestaat'!B:D,3,FALSE)</f>
        <v>Amstellijn</v>
      </c>
      <c r="E40" s="615">
        <f ca="1">SUMIF('8a-Glasstaat'!$B:$B,$A40,'8a-Glasstaat'!$I:$I)</f>
        <v>0</v>
      </c>
      <c r="F40" s="741">
        <f ca="1">SUMIF('8a-Glasstaat'!$B:$B,$A40,'8a-Glasstaat'!$L:$L)</f>
        <v>0</v>
      </c>
      <c r="G40" s="741">
        <f ca="1">SUMIF('8a-Glasstaat'!$B:$B,$A40,'8a-Glasstaat'!$N:$N)</f>
        <v>0</v>
      </c>
      <c r="H40" s="742"/>
      <c r="I40" s="743"/>
      <c r="J40" s="741">
        <f t="shared" si="12"/>
        <v>0</v>
      </c>
      <c r="K40" s="744"/>
      <c r="L40" s="741">
        <f t="shared" si="13"/>
        <v>0</v>
      </c>
      <c r="M40" s="741">
        <f t="shared" ca="1" si="14"/>
        <v>0</v>
      </c>
    </row>
    <row r="41" spans="1:13">
      <c r="A41" s="718">
        <v>215</v>
      </c>
      <c r="B41" s="725" t="s">
        <v>93</v>
      </c>
      <c r="C41" s="680">
        <f>VLOOKUP(A41,'2-Kosten per locatie'!$A$13:$C$88,3,FALSE)</f>
        <v>2</v>
      </c>
      <c r="D41" s="540" t="str">
        <f ca="1">VLOOKUP(A41,'3-Ruimtestaat'!B:D,3,FALSE)</f>
        <v>Amstellijn</v>
      </c>
      <c r="E41" s="615">
        <f ca="1">SUMIF('8a-Glasstaat'!$B:$B,$A41,'8a-Glasstaat'!$I:$I)</f>
        <v>0</v>
      </c>
      <c r="F41" s="741">
        <f ca="1">SUMIF('8a-Glasstaat'!$B:$B,$A41,'8a-Glasstaat'!$L:$L)</f>
        <v>0</v>
      </c>
      <c r="G41" s="741">
        <f ca="1">SUMIF('8a-Glasstaat'!$B:$B,$A41,'8a-Glasstaat'!$N:$N)</f>
        <v>0</v>
      </c>
      <c r="H41" s="742"/>
      <c r="I41" s="743"/>
      <c r="J41" s="741">
        <f t="shared" si="12"/>
        <v>0</v>
      </c>
      <c r="K41" s="744"/>
      <c r="L41" s="741">
        <f t="shared" si="13"/>
        <v>0</v>
      </c>
      <c r="M41" s="741">
        <f t="shared" ca="1" si="14"/>
        <v>0</v>
      </c>
    </row>
    <row r="42" spans="1:13">
      <c r="A42" s="718">
        <v>301</v>
      </c>
      <c r="B42" s="725" t="s">
        <v>100</v>
      </c>
      <c r="C42" s="680">
        <f>VLOOKUP(A42,'2-Kosten per locatie'!$A$13:$C$88,3,FALSE)</f>
        <v>2</v>
      </c>
      <c r="D42" s="540" t="str">
        <f ca="1">VLOOKUP(A42,'3-Ruimtestaat'!B:D,3,FALSE)</f>
        <v>Ringlijn</v>
      </c>
      <c r="E42" s="615">
        <f ca="1">SUMIF('8a-Glasstaat'!$B:$B,$A42,'8a-Glasstaat'!$I:$I)</f>
        <v>324.2</v>
      </c>
      <c r="F42" s="741">
        <f ca="1">SUMIF('8a-Glasstaat'!$B:$B,$A42,'8a-Glasstaat'!$L:$L)</f>
        <v>0</v>
      </c>
      <c r="G42" s="741">
        <f ca="1">SUMIF('8a-Glasstaat'!$B:$B,$A42,'8a-Glasstaat'!$N:$N)</f>
        <v>0</v>
      </c>
      <c r="H42" s="742"/>
      <c r="I42" s="743" t="s">
        <v>1197</v>
      </c>
      <c r="J42" s="741">
        <f t="shared" si="6"/>
        <v>0</v>
      </c>
      <c r="K42" s="744"/>
      <c r="L42" s="741">
        <f t="shared" si="7"/>
        <v>0</v>
      </c>
      <c r="M42" s="741">
        <f t="shared" ca="1" si="8"/>
        <v>0</v>
      </c>
    </row>
    <row r="43" spans="1:13">
      <c r="A43" s="718">
        <v>302</v>
      </c>
      <c r="B43" s="725" t="s">
        <v>1113</v>
      </c>
      <c r="C43" s="680">
        <f>VLOOKUP(A43,'2-Kosten per locatie'!$A$13:$C$88,3,FALSE)</f>
        <v>2</v>
      </c>
      <c r="D43" s="540" t="str">
        <f ca="1">VLOOKUP(A43,'3-Ruimtestaat'!B:D,3,FALSE)</f>
        <v>Ringlijn</v>
      </c>
      <c r="E43" s="615">
        <f ca="1">SUMIF('8a-Glasstaat'!$B:$B,$A43,'8a-Glasstaat'!$I:$I)</f>
        <v>938.66999999999985</v>
      </c>
      <c r="F43" s="741">
        <f ca="1">SUMIF('8a-Glasstaat'!$B:$B,$A43,'8a-Glasstaat'!$L:$L)</f>
        <v>0</v>
      </c>
      <c r="G43" s="741">
        <f ca="1">SUMIF('8a-Glasstaat'!$B:$B,$A43,'8a-Glasstaat'!$N:$N)</f>
        <v>0</v>
      </c>
      <c r="H43" s="742"/>
      <c r="I43" s="743" t="s">
        <v>1197</v>
      </c>
      <c r="J43" s="741">
        <f t="shared" si="6"/>
        <v>0</v>
      </c>
      <c r="K43" s="744"/>
      <c r="L43" s="741">
        <f t="shared" si="7"/>
        <v>0</v>
      </c>
      <c r="M43" s="741">
        <f t="shared" ca="1" si="8"/>
        <v>0</v>
      </c>
    </row>
    <row r="44" spans="1:13">
      <c r="A44" s="718">
        <v>303</v>
      </c>
      <c r="B44" s="725" t="s">
        <v>102</v>
      </c>
      <c r="C44" s="680">
        <f>VLOOKUP(A44,'2-Kosten per locatie'!$A$13:$C$88,3,FALSE)</f>
        <v>2</v>
      </c>
      <c r="D44" s="540" t="str">
        <f ca="1">VLOOKUP(A44,'3-Ruimtestaat'!B:D,3,FALSE)</f>
        <v>Ringlijn</v>
      </c>
      <c r="E44" s="615">
        <f ca="1">SUMIF('8a-Glasstaat'!$B:$B,$A44,'8a-Glasstaat'!$I:$I)</f>
        <v>2172.0250000000001</v>
      </c>
      <c r="F44" s="741">
        <f ca="1">SUMIF('8a-Glasstaat'!$B:$B,$A44,'8a-Glasstaat'!$L:$L)</f>
        <v>0</v>
      </c>
      <c r="G44" s="741">
        <f ca="1">SUMIF('8a-Glasstaat'!$B:$B,$A44,'8a-Glasstaat'!$N:$N)</f>
        <v>0</v>
      </c>
      <c r="H44" s="742"/>
      <c r="I44" s="743" t="s">
        <v>1197</v>
      </c>
      <c r="J44" s="741">
        <f t="shared" ref="J44" si="15">H44*I44</f>
        <v>0</v>
      </c>
      <c r="K44" s="744"/>
      <c r="L44" s="741">
        <f t="shared" ref="L44" si="16">K44*I44</f>
        <v>0</v>
      </c>
      <c r="M44" s="741">
        <f t="shared" ref="M44" ca="1" si="17">L44+J44+G44</f>
        <v>0</v>
      </c>
    </row>
    <row r="45" spans="1:13">
      <c r="A45" s="718" t="s">
        <v>103</v>
      </c>
      <c r="B45" s="545" t="s">
        <v>104</v>
      </c>
      <c r="C45" s="680">
        <f>VLOOKUP(A45,'2-Kosten per locatie'!$A$13:$C$88,3,FALSE)</f>
        <v>2</v>
      </c>
      <c r="D45" s="540" t="str">
        <f ca="1">VLOOKUP(A45,'3-Ruimtestaat'!B:D,3,FALSE)</f>
        <v>Ringlijn</v>
      </c>
      <c r="E45" s="615">
        <f ca="1">SUMIF('8a-Glasstaat'!$B:$B,$A45,'8a-Glasstaat'!$I:$I)</f>
        <v>120</v>
      </c>
      <c r="F45" s="741">
        <f ca="1">SUMIF('8a-Glasstaat'!$B:$B,$A45,'8a-Glasstaat'!$L:$L)</f>
        <v>0</v>
      </c>
      <c r="G45" s="741">
        <f ca="1">SUMIF('8a-Glasstaat'!$B:$B,$A45,'8a-Glasstaat'!$N:$N)</f>
        <v>0</v>
      </c>
      <c r="H45" s="742"/>
      <c r="I45" s="743" t="s">
        <v>1197</v>
      </c>
      <c r="J45" s="741">
        <f t="shared" si="6"/>
        <v>0</v>
      </c>
      <c r="K45" s="744"/>
      <c r="L45" s="741">
        <f t="shared" si="7"/>
        <v>0</v>
      </c>
      <c r="M45" s="741">
        <f t="shared" ca="1" si="8"/>
        <v>0</v>
      </c>
    </row>
    <row r="46" spans="1:13">
      <c r="A46" s="718">
        <v>304</v>
      </c>
      <c r="B46" s="725" t="s">
        <v>105</v>
      </c>
      <c r="C46" s="680">
        <f>VLOOKUP(A46,'2-Kosten per locatie'!$A$13:$C$88,3,FALSE)</f>
        <v>2</v>
      </c>
      <c r="D46" s="540" t="str">
        <f ca="1">VLOOKUP(A46,'3-Ruimtestaat'!B:D,3,FALSE)</f>
        <v>Ringlijn</v>
      </c>
      <c r="E46" s="615">
        <f ca="1">SUMIF('8a-Glasstaat'!$B:$B,$A46,'8a-Glasstaat'!$I:$I)</f>
        <v>1301.4000000000001</v>
      </c>
      <c r="F46" s="741">
        <f ca="1">SUMIF('8a-Glasstaat'!$B:$B,$A46,'8a-Glasstaat'!$L:$L)</f>
        <v>0</v>
      </c>
      <c r="G46" s="741">
        <f ca="1">SUMIF('8a-Glasstaat'!$B:$B,$A46,'8a-Glasstaat'!$N:$N)</f>
        <v>0</v>
      </c>
      <c r="H46" s="742"/>
      <c r="I46" s="743" t="s">
        <v>1197</v>
      </c>
      <c r="J46" s="741">
        <f t="shared" si="6"/>
        <v>0</v>
      </c>
      <c r="K46" s="744"/>
      <c r="L46" s="741">
        <f t="shared" si="7"/>
        <v>0</v>
      </c>
      <c r="M46" s="741">
        <f t="shared" ca="1" si="8"/>
        <v>0</v>
      </c>
    </row>
    <row r="47" spans="1:13">
      <c r="A47" s="718">
        <v>305</v>
      </c>
      <c r="B47" s="725" t="s">
        <v>106</v>
      </c>
      <c r="C47" s="680">
        <f>VLOOKUP(A47,'2-Kosten per locatie'!$A$13:$C$88,3,FALSE)</f>
        <v>2</v>
      </c>
      <c r="D47" s="540" t="str">
        <f ca="1">VLOOKUP(A47,'3-Ruimtestaat'!B:D,3,FALSE)</f>
        <v>Ringlijn</v>
      </c>
      <c r="E47" s="615">
        <f ca="1">SUMIF('8a-Glasstaat'!$B:$B,$A47,'8a-Glasstaat'!$I:$I)</f>
        <v>762.84</v>
      </c>
      <c r="F47" s="741">
        <f ca="1">SUMIF('8a-Glasstaat'!$B:$B,$A47,'8a-Glasstaat'!$L:$L)</f>
        <v>0</v>
      </c>
      <c r="G47" s="741">
        <f ca="1">SUMIF('8a-Glasstaat'!$B:$B,$A47,'8a-Glasstaat'!$N:$N)</f>
        <v>0</v>
      </c>
      <c r="H47" s="742"/>
      <c r="I47" s="743" t="s">
        <v>1197</v>
      </c>
      <c r="J47" s="741">
        <f t="shared" si="6"/>
        <v>0</v>
      </c>
      <c r="K47" s="744"/>
      <c r="L47" s="741">
        <f t="shared" si="7"/>
        <v>0</v>
      </c>
      <c r="M47" s="741">
        <f t="shared" ca="1" si="8"/>
        <v>0</v>
      </c>
    </row>
    <row r="48" spans="1:13">
      <c r="A48" s="718">
        <v>306</v>
      </c>
      <c r="B48" s="725" t="s">
        <v>107</v>
      </c>
      <c r="C48" s="680">
        <f>VLOOKUP(A48,'2-Kosten per locatie'!$A$13:$C$88,3,FALSE)</f>
        <v>2</v>
      </c>
      <c r="D48" s="540" t="str">
        <f ca="1">VLOOKUP(A48,'3-Ruimtestaat'!B:D,3,FALSE)</f>
        <v>Ringlijn</v>
      </c>
      <c r="E48" s="615">
        <f ca="1">SUMIF('8a-Glasstaat'!$B:$B,$A48,'8a-Glasstaat'!$I:$I)</f>
        <v>596.79999999999995</v>
      </c>
      <c r="F48" s="741">
        <f ca="1">SUMIF('8a-Glasstaat'!$B:$B,$A48,'8a-Glasstaat'!$L:$L)</f>
        <v>0</v>
      </c>
      <c r="G48" s="741">
        <f ca="1">SUMIF('8a-Glasstaat'!$B:$B,$A48,'8a-Glasstaat'!$N:$N)</f>
        <v>0</v>
      </c>
      <c r="H48" s="742"/>
      <c r="I48" s="743" t="s">
        <v>1197</v>
      </c>
      <c r="J48" s="741">
        <f t="shared" si="6"/>
        <v>0</v>
      </c>
      <c r="K48" s="744"/>
      <c r="L48" s="741">
        <f t="shared" si="7"/>
        <v>0</v>
      </c>
      <c r="M48" s="741">
        <f t="shared" ca="1" si="8"/>
        <v>0</v>
      </c>
    </row>
    <row r="49" spans="1:13">
      <c r="A49" s="718">
        <v>307</v>
      </c>
      <c r="B49" s="725" t="s">
        <v>108</v>
      </c>
      <c r="C49" s="680">
        <f>VLOOKUP(A49,'2-Kosten per locatie'!$A$13:$C$88,3,FALSE)</f>
        <v>2</v>
      </c>
      <c r="D49" s="540" t="str">
        <f ca="1">VLOOKUP(A49,'3-Ruimtestaat'!B:D,3,FALSE)</f>
        <v>Ringlijn</v>
      </c>
      <c r="E49" s="615">
        <f ca="1">SUMIF('8a-Glasstaat'!$B:$B,$A49,'8a-Glasstaat'!$I:$I)</f>
        <v>2309.0409999999997</v>
      </c>
      <c r="F49" s="741">
        <f ca="1">SUMIF('8a-Glasstaat'!$B:$B,$A49,'8a-Glasstaat'!$L:$L)</f>
        <v>0</v>
      </c>
      <c r="G49" s="741">
        <f ca="1">SUMIF('8a-Glasstaat'!$B:$B,$A49,'8a-Glasstaat'!$N:$N)</f>
        <v>0</v>
      </c>
      <c r="H49" s="742"/>
      <c r="I49" s="743" t="s">
        <v>1197</v>
      </c>
      <c r="J49" s="741">
        <f t="shared" si="6"/>
        <v>0</v>
      </c>
      <c r="K49" s="744"/>
      <c r="L49" s="741">
        <f t="shared" si="7"/>
        <v>0</v>
      </c>
      <c r="M49" s="741">
        <f t="shared" ca="1" si="8"/>
        <v>0</v>
      </c>
    </row>
    <row r="50" spans="1:13">
      <c r="A50" s="718">
        <v>308</v>
      </c>
      <c r="B50" s="725" t="s">
        <v>109</v>
      </c>
      <c r="C50" s="680">
        <f>VLOOKUP(A50,'2-Kosten per locatie'!$A$13:$C$88,3,FALSE)</f>
        <v>2</v>
      </c>
      <c r="D50" s="540" t="str">
        <f ca="1">VLOOKUP(A50,'3-Ruimtestaat'!B:D,3,FALSE)</f>
        <v>Ringlijn</v>
      </c>
      <c r="E50" s="615">
        <f ca="1">SUMIF('8a-Glasstaat'!$B:$B,$A50,'8a-Glasstaat'!$I:$I)</f>
        <v>608.79999999999995</v>
      </c>
      <c r="F50" s="741">
        <f ca="1">SUMIF('8a-Glasstaat'!$B:$B,$A50,'8a-Glasstaat'!$L:$L)</f>
        <v>0</v>
      </c>
      <c r="G50" s="741">
        <f ca="1">SUMIF('8a-Glasstaat'!$B:$B,$A50,'8a-Glasstaat'!$N:$N)</f>
        <v>0</v>
      </c>
      <c r="H50" s="742"/>
      <c r="I50" s="743" t="s">
        <v>1197</v>
      </c>
      <c r="J50" s="741">
        <f t="shared" si="6"/>
        <v>0</v>
      </c>
      <c r="K50" s="744"/>
      <c r="L50" s="741">
        <f t="shared" si="7"/>
        <v>0</v>
      </c>
      <c r="M50" s="741">
        <f t="shared" ca="1" si="8"/>
        <v>0</v>
      </c>
    </row>
    <row r="51" spans="1:13">
      <c r="A51" s="718">
        <v>309</v>
      </c>
      <c r="B51" s="725" t="s">
        <v>110</v>
      </c>
      <c r="C51" s="680">
        <f>VLOOKUP(A51,'2-Kosten per locatie'!$A$13:$C$88,3,FALSE)</f>
        <v>2</v>
      </c>
      <c r="D51" s="540" t="str">
        <f ca="1">VLOOKUP(A51,'3-Ruimtestaat'!B:D,3,FALSE)</f>
        <v>Ringlijn</v>
      </c>
      <c r="E51" s="615">
        <f ca="1">SUMIF('8a-Glasstaat'!$B:$B,$A51,'8a-Glasstaat'!$I:$I)</f>
        <v>619.79999999999995</v>
      </c>
      <c r="F51" s="741">
        <f ca="1">SUMIF('8a-Glasstaat'!$B:$B,$A51,'8a-Glasstaat'!$L:$L)</f>
        <v>0</v>
      </c>
      <c r="G51" s="741">
        <f ca="1">SUMIF('8a-Glasstaat'!$B:$B,$A51,'8a-Glasstaat'!$N:$N)</f>
        <v>0</v>
      </c>
      <c r="H51" s="742"/>
      <c r="I51" s="743" t="s">
        <v>1197</v>
      </c>
      <c r="J51" s="741">
        <f t="shared" si="6"/>
        <v>0</v>
      </c>
      <c r="K51" s="744"/>
      <c r="L51" s="741">
        <f t="shared" si="7"/>
        <v>0</v>
      </c>
      <c r="M51" s="741">
        <f t="shared" ca="1" si="8"/>
        <v>0</v>
      </c>
    </row>
    <row r="52" spans="1:13">
      <c r="A52" s="718">
        <v>310</v>
      </c>
      <c r="B52" s="725" t="s">
        <v>111</v>
      </c>
      <c r="C52" s="680">
        <f>VLOOKUP(A52,'2-Kosten per locatie'!$A$13:$C$88,3,FALSE)</f>
        <v>2</v>
      </c>
      <c r="D52" s="540" t="str">
        <f ca="1">VLOOKUP(A52,'3-Ruimtestaat'!B:D,3,FALSE)</f>
        <v>Ringlijn</v>
      </c>
      <c r="E52" s="615">
        <f ca="1">SUMIF('8a-Glasstaat'!$B:$B,$A52,'8a-Glasstaat'!$I:$I)</f>
        <v>599</v>
      </c>
      <c r="F52" s="741">
        <f ca="1">SUMIF('8a-Glasstaat'!$B:$B,$A52,'8a-Glasstaat'!$L:$L)</f>
        <v>0</v>
      </c>
      <c r="G52" s="741">
        <f ca="1">SUMIF('8a-Glasstaat'!$B:$B,$A52,'8a-Glasstaat'!$N:$N)</f>
        <v>0</v>
      </c>
      <c r="H52" s="742"/>
      <c r="I52" s="743" t="s">
        <v>1197</v>
      </c>
      <c r="J52" s="741">
        <f t="shared" si="6"/>
        <v>0</v>
      </c>
      <c r="K52" s="744"/>
      <c r="L52" s="741">
        <f t="shared" si="7"/>
        <v>0</v>
      </c>
      <c r="M52" s="741">
        <f t="shared" ca="1" si="8"/>
        <v>0</v>
      </c>
    </row>
    <row r="53" spans="1:13">
      <c r="A53" s="718">
        <v>311</v>
      </c>
      <c r="B53" s="725" t="s">
        <v>112</v>
      </c>
      <c r="C53" s="680">
        <f>VLOOKUP(A53,'2-Kosten per locatie'!$A$13:$C$88,3,FALSE)</f>
        <v>2</v>
      </c>
      <c r="D53" s="540" t="str">
        <f ca="1">VLOOKUP(A53,'3-Ruimtestaat'!B:D,3,FALSE)</f>
        <v>Ringlijn</v>
      </c>
      <c r="E53" s="615">
        <f ca="1">SUMIF('8a-Glasstaat'!$B:$B,$A53,'8a-Glasstaat'!$I:$I)</f>
        <v>2797.42</v>
      </c>
      <c r="F53" s="741">
        <f ca="1">SUMIF('8a-Glasstaat'!$B:$B,$A53,'8a-Glasstaat'!$L:$L)</f>
        <v>0</v>
      </c>
      <c r="G53" s="741">
        <f ca="1">SUMIF('8a-Glasstaat'!$B:$B,$A53,'8a-Glasstaat'!$N:$N)</f>
        <v>0</v>
      </c>
      <c r="H53" s="742"/>
      <c r="I53" s="743" t="s">
        <v>1197</v>
      </c>
      <c r="J53" s="741">
        <f t="shared" ref="J53" si="18">H53*I53</f>
        <v>0</v>
      </c>
      <c r="K53" s="744"/>
      <c r="L53" s="741">
        <f t="shared" ref="L53" si="19">K53*I53</f>
        <v>0</v>
      </c>
      <c r="M53" s="741">
        <f t="shared" ref="M53" ca="1" si="20">L53+J53+G53</f>
        <v>0</v>
      </c>
    </row>
    <row r="54" spans="1:13">
      <c r="A54" s="718" t="s">
        <v>113</v>
      </c>
      <c r="B54" s="545" t="s">
        <v>114</v>
      </c>
      <c r="C54" s="680">
        <f>VLOOKUP(A54,'2-Kosten per locatie'!$A$13:$C$88,3,FALSE)</f>
        <v>2</v>
      </c>
      <c r="D54" s="540" t="str">
        <f ca="1">VLOOKUP(A54,'3-Ruimtestaat'!B:D,3,FALSE)</f>
        <v>Ringlijn</v>
      </c>
      <c r="E54" s="615">
        <f ca="1">SUMIF('8a-Glasstaat'!$B:$B,$A54,'8a-Glasstaat'!$I:$I)</f>
        <v>120</v>
      </c>
      <c r="F54" s="741">
        <f ca="1">SUMIF('8a-Glasstaat'!$B:$B,$A54,'8a-Glasstaat'!$L:$L)</f>
        <v>0</v>
      </c>
      <c r="G54" s="741">
        <f ca="1">SUMIF('8a-Glasstaat'!$B:$B,$A54,'8a-Glasstaat'!$N:$N)</f>
        <v>0</v>
      </c>
      <c r="H54" s="742"/>
      <c r="I54" s="743"/>
      <c r="J54" s="741">
        <f t="shared" si="6"/>
        <v>0</v>
      </c>
      <c r="K54" s="744"/>
      <c r="L54" s="741">
        <f t="shared" si="7"/>
        <v>0</v>
      </c>
      <c r="M54" s="741">
        <f t="shared" ca="1" si="8"/>
        <v>0</v>
      </c>
    </row>
    <row r="55" spans="1:13">
      <c r="A55" s="718">
        <v>312</v>
      </c>
      <c r="B55" s="725" t="s">
        <v>115</v>
      </c>
      <c r="C55" s="680">
        <f>VLOOKUP(A55,'2-Kosten per locatie'!$A$13:$C$88,3,FALSE)</f>
        <v>2</v>
      </c>
      <c r="D55" s="540" t="str">
        <f ca="1">VLOOKUP(A55,'3-Ruimtestaat'!B:D,3,FALSE)</f>
        <v>Ringlijn</v>
      </c>
      <c r="E55" s="615">
        <f ca="1">SUMIF('8a-Glasstaat'!$B:$B,$A55,'8a-Glasstaat'!$I:$I)</f>
        <v>773.38500000000033</v>
      </c>
      <c r="F55" s="741">
        <f ca="1">SUMIF('8a-Glasstaat'!$B:$B,$A55,'8a-Glasstaat'!$L:$L)</f>
        <v>0</v>
      </c>
      <c r="G55" s="741">
        <f ca="1">SUMIF('8a-Glasstaat'!$B:$B,$A55,'8a-Glasstaat'!$N:$N)</f>
        <v>0</v>
      </c>
      <c r="H55" s="742"/>
      <c r="I55" s="743" t="s">
        <v>1197</v>
      </c>
      <c r="J55" s="741">
        <f t="shared" si="6"/>
        <v>0</v>
      </c>
      <c r="K55" s="744"/>
      <c r="L55" s="741">
        <f t="shared" si="7"/>
        <v>0</v>
      </c>
      <c r="M55" s="741">
        <f t="shared" ca="1" si="8"/>
        <v>0</v>
      </c>
    </row>
    <row r="56" spans="1:13">
      <c r="A56" s="718">
        <v>401</v>
      </c>
      <c r="B56" s="639" t="s">
        <v>118</v>
      </c>
      <c r="C56" s="680">
        <f>VLOOKUP(A56,'2-Kosten per locatie'!$A$13:$C$88,3,FALSE)</f>
        <v>2</v>
      </c>
      <c r="D56" s="540" t="str">
        <f ca="1">VLOOKUP(A56,'3-Ruimtestaat'!B:D,3,FALSE)</f>
        <v>Gelijkrichter station</v>
      </c>
      <c r="E56" s="615">
        <f ca="1">SUMIF('8a-Glasstaat'!$B:$B,$A56,'8a-Glasstaat'!$I:$I)</f>
        <v>28.049999999999997</v>
      </c>
      <c r="F56" s="741">
        <f ca="1">SUMIF('8a-Glasstaat'!$B:$B,$A56,'8a-Glasstaat'!$L:$L)</f>
        <v>0</v>
      </c>
      <c r="G56" s="741">
        <f ca="1">SUMIF('8a-Glasstaat'!$B:$B,$A56,'8a-Glasstaat'!$N:$N)</f>
        <v>0</v>
      </c>
      <c r="H56" s="742"/>
      <c r="I56" s="743" t="s">
        <v>1197</v>
      </c>
      <c r="J56" s="741">
        <f t="shared" ref="J56:J57" si="21">H56*I56</f>
        <v>0</v>
      </c>
      <c r="K56" s="744"/>
      <c r="L56" s="741">
        <f t="shared" ref="L56:L57" si="22">K56*I56</f>
        <v>0</v>
      </c>
      <c r="M56" s="741">
        <f t="shared" ref="M56:M57" ca="1" si="23">L56+J56+G56</f>
        <v>0</v>
      </c>
    </row>
    <row r="57" spans="1:13">
      <c r="A57" s="718">
        <v>402</v>
      </c>
      <c r="B57" s="725" t="s">
        <v>119</v>
      </c>
      <c r="C57" s="680">
        <f>VLOOKUP(A57,'2-Kosten per locatie'!$A$13:$C$88,3,FALSE)</f>
        <v>2</v>
      </c>
      <c r="D57" s="540" t="s">
        <v>737</v>
      </c>
      <c r="E57" s="615">
        <f ca="1">SUMIF('8a-Glasstaat'!$B:$B,$A57,'8a-Glasstaat'!$I:$I)</f>
        <v>28.049999999999997</v>
      </c>
      <c r="F57" s="741">
        <f ca="1">SUMIF('8a-Glasstaat'!$B:$B,$A57,'8a-Glasstaat'!$L:$L)</f>
        <v>0</v>
      </c>
      <c r="G57" s="741">
        <f ca="1">SUMIF('8a-Glasstaat'!$B:$B,$A57,'8a-Glasstaat'!$N:$N)</f>
        <v>0</v>
      </c>
      <c r="H57" s="742"/>
      <c r="I57" s="743" t="s">
        <v>1197</v>
      </c>
      <c r="J57" s="741">
        <f t="shared" si="21"/>
        <v>0</v>
      </c>
      <c r="K57" s="744"/>
      <c r="L57" s="741">
        <f t="shared" si="22"/>
        <v>0</v>
      </c>
      <c r="M57" s="741">
        <f t="shared" ca="1" si="23"/>
        <v>0</v>
      </c>
    </row>
    <row r="58" spans="1:13">
      <c r="A58" s="718">
        <v>403</v>
      </c>
      <c r="B58" s="725" t="s">
        <v>1198</v>
      </c>
      <c r="C58" s="680">
        <f>VLOOKUP(A58,'2-Kosten per locatie'!$A$13:$C$88,3,FALSE)</f>
        <v>2</v>
      </c>
      <c r="D58" s="540" t="str">
        <f ca="1">VLOOKUP(A58,'3-Ruimtestaat'!B:D,3,FALSE)</f>
        <v>Gelijkrichter station</v>
      </c>
      <c r="E58" s="615">
        <f ca="1">SUMIF('8a-Glasstaat'!$B:$B,$A58,'8a-Glasstaat'!$I:$I)</f>
        <v>0</v>
      </c>
      <c r="F58" s="741">
        <f ca="1">SUMIF('8a-Glasstaat'!$B:$B,$A58,'8a-Glasstaat'!$L:$L)</f>
        <v>0</v>
      </c>
      <c r="G58" s="741">
        <f ca="1">SUMIF('8a-Glasstaat'!$B:$B,$A58,'8a-Glasstaat'!$N:$N)</f>
        <v>0</v>
      </c>
      <c r="H58" s="742"/>
      <c r="I58" s="743"/>
      <c r="J58" s="741">
        <f t="shared" si="6"/>
        <v>0</v>
      </c>
      <c r="K58" s="744"/>
      <c r="L58" s="741">
        <f t="shared" si="7"/>
        <v>0</v>
      </c>
      <c r="M58" s="741">
        <f t="shared" ca="1" si="8"/>
        <v>0</v>
      </c>
    </row>
    <row r="59" spans="1:13">
      <c r="A59" s="718">
        <v>404</v>
      </c>
      <c r="B59" s="725" t="s">
        <v>1199</v>
      </c>
      <c r="C59" s="680">
        <f>VLOOKUP(A59,'2-Kosten per locatie'!$A$13:$C$88,3,FALSE)</f>
        <v>2</v>
      </c>
      <c r="D59" s="540" t="str">
        <f ca="1">VLOOKUP(A59,'3-Ruimtestaat'!B:D,3,FALSE)</f>
        <v>Gelijkrichter station</v>
      </c>
      <c r="E59" s="615">
        <f ca="1">SUMIF('8a-Glasstaat'!$B:$B,$A59,'8a-Glasstaat'!$I:$I)</f>
        <v>0</v>
      </c>
      <c r="F59" s="741">
        <f ca="1">SUMIF('8a-Glasstaat'!$B:$B,$A59,'8a-Glasstaat'!$L:$L)</f>
        <v>0</v>
      </c>
      <c r="G59" s="741">
        <f ca="1">SUMIF('8a-Glasstaat'!$B:$B,$A59,'8a-Glasstaat'!$N:$N)</f>
        <v>0</v>
      </c>
      <c r="H59" s="742"/>
      <c r="I59" s="743"/>
      <c r="J59" s="741">
        <f t="shared" si="6"/>
        <v>0</v>
      </c>
      <c r="K59" s="744"/>
      <c r="L59" s="741">
        <f t="shared" si="7"/>
        <v>0</v>
      </c>
      <c r="M59" s="741">
        <f t="shared" ca="1" si="8"/>
        <v>0</v>
      </c>
    </row>
    <row r="60" spans="1:13">
      <c r="A60" s="718">
        <v>405</v>
      </c>
      <c r="B60" s="725" t="s">
        <v>1182</v>
      </c>
      <c r="C60" s="680">
        <f>VLOOKUP(A60,'2-Kosten per locatie'!$A$13:$C$88,3,FALSE)</f>
        <v>2</v>
      </c>
      <c r="D60" s="540" t="str">
        <f ca="1">VLOOKUP(A60,'3-Ruimtestaat'!B:D,3,FALSE)</f>
        <v>Gelijkrichter station</v>
      </c>
      <c r="E60" s="615">
        <f ca="1">SUMIF('8a-Glasstaat'!$B:$B,$A60,'8a-Glasstaat'!$I:$I)</f>
        <v>28.049999999999997</v>
      </c>
      <c r="F60" s="741">
        <f ca="1">SUMIF('8a-Glasstaat'!$B:$B,$A60,'8a-Glasstaat'!$L:$L)</f>
        <v>0</v>
      </c>
      <c r="G60" s="741">
        <f ca="1">SUMIF('8a-Glasstaat'!$B:$B,$A60,'8a-Glasstaat'!$N:$N)</f>
        <v>0</v>
      </c>
      <c r="H60" s="742"/>
      <c r="I60" s="743" t="s">
        <v>1197</v>
      </c>
      <c r="J60" s="741">
        <f t="shared" si="6"/>
        <v>0</v>
      </c>
      <c r="K60" s="744"/>
      <c r="L60" s="741">
        <f t="shared" si="7"/>
        <v>0</v>
      </c>
      <c r="M60" s="741">
        <f t="shared" ca="1" si="8"/>
        <v>0</v>
      </c>
    </row>
    <row r="61" spans="1:13">
      <c r="A61" s="718">
        <v>406</v>
      </c>
      <c r="B61" s="725" t="s">
        <v>121</v>
      </c>
      <c r="C61" s="680">
        <f>VLOOKUP(A61,'2-Kosten per locatie'!$A$13:$C$88,3,FALSE)</f>
        <v>2</v>
      </c>
      <c r="D61" s="540" t="s">
        <v>737</v>
      </c>
      <c r="E61" s="615">
        <f ca="1">SUMIF('8a-Glasstaat'!$B:$B,$A61,'8a-Glasstaat'!$I:$I)</f>
        <v>13.845000000000001</v>
      </c>
      <c r="F61" s="741">
        <f ca="1">SUMIF('8a-Glasstaat'!$B:$B,$A61,'8a-Glasstaat'!$L:$L)</f>
        <v>0</v>
      </c>
      <c r="G61" s="741">
        <f ca="1">SUMIF('8a-Glasstaat'!$B:$B,$A61,'8a-Glasstaat'!$N:$N)</f>
        <v>0</v>
      </c>
      <c r="H61" s="742"/>
      <c r="I61" s="743" t="s">
        <v>1197</v>
      </c>
      <c r="J61" s="741">
        <f t="shared" ref="J61:J63" si="24">H61*I61</f>
        <v>0</v>
      </c>
      <c r="K61" s="744"/>
      <c r="L61" s="741">
        <f t="shared" ref="L61:L63" si="25">K61*I61</f>
        <v>0</v>
      </c>
      <c r="M61" s="741">
        <f t="shared" ref="M61:M63" ca="1" si="26">L61+J61+G61</f>
        <v>0</v>
      </c>
    </row>
    <row r="62" spans="1:13">
      <c r="A62" s="718">
        <v>407</v>
      </c>
      <c r="B62" s="725" t="s">
        <v>122</v>
      </c>
      <c r="C62" s="680">
        <f>VLOOKUP(A62,'2-Kosten per locatie'!$A$13:$C$88,3,FALSE)</f>
        <v>2</v>
      </c>
      <c r="D62" s="540" t="s">
        <v>737</v>
      </c>
      <c r="E62" s="615">
        <f ca="1">SUMIF('8a-Glasstaat'!$B:$B,$A62,'8a-Glasstaat'!$I:$I)</f>
        <v>25.17</v>
      </c>
      <c r="F62" s="741">
        <f ca="1">SUMIF('8a-Glasstaat'!$B:$B,$A62,'8a-Glasstaat'!$L:$L)</f>
        <v>0</v>
      </c>
      <c r="G62" s="741">
        <f ca="1">SUMIF('8a-Glasstaat'!$B:$B,$A62,'8a-Glasstaat'!$N:$N)</f>
        <v>0</v>
      </c>
      <c r="H62" s="742"/>
      <c r="I62" s="743" t="s">
        <v>1197</v>
      </c>
      <c r="J62" s="741">
        <f t="shared" si="24"/>
        <v>0</v>
      </c>
      <c r="K62" s="744"/>
      <c r="L62" s="741">
        <f t="shared" si="25"/>
        <v>0</v>
      </c>
      <c r="M62" s="741">
        <f t="shared" ca="1" si="26"/>
        <v>0</v>
      </c>
    </row>
    <row r="63" spans="1:13">
      <c r="A63" s="718">
        <v>408</v>
      </c>
      <c r="B63" s="725" t="s">
        <v>123</v>
      </c>
      <c r="C63" s="680">
        <f>VLOOKUP(A63,'2-Kosten per locatie'!$A$13:$C$88,3,FALSE)</f>
        <v>2</v>
      </c>
      <c r="D63" s="540" t="s">
        <v>737</v>
      </c>
      <c r="E63" s="615">
        <f ca="1">SUMIF('8a-Glasstaat'!$B:$B,$A63,'8a-Glasstaat'!$I:$I)</f>
        <v>19.695</v>
      </c>
      <c r="F63" s="741">
        <f ca="1">SUMIF('8a-Glasstaat'!$B:$B,$A63,'8a-Glasstaat'!$L:$L)</f>
        <v>0</v>
      </c>
      <c r="G63" s="741">
        <f ca="1">SUMIF('8a-Glasstaat'!$B:$B,$A63,'8a-Glasstaat'!$N:$N)</f>
        <v>0</v>
      </c>
      <c r="H63" s="742"/>
      <c r="I63" s="743" t="s">
        <v>1197</v>
      </c>
      <c r="J63" s="741">
        <f t="shared" si="24"/>
        <v>0</v>
      </c>
      <c r="K63" s="744"/>
      <c r="L63" s="741">
        <f t="shared" si="25"/>
        <v>0</v>
      </c>
      <c r="M63" s="741">
        <f t="shared" ca="1" si="26"/>
        <v>0</v>
      </c>
    </row>
    <row r="64" spans="1:13">
      <c r="A64" s="718">
        <v>409</v>
      </c>
      <c r="B64" s="725" t="s">
        <v>1200</v>
      </c>
      <c r="C64" s="680">
        <f>VLOOKUP(A64,'2-Kosten per locatie'!$A$13:$C$88,3,FALSE)</f>
        <v>2</v>
      </c>
      <c r="D64" s="540" t="str">
        <f ca="1">VLOOKUP(A64,'3-Ruimtestaat'!B:D,3,FALSE)</f>
        <v>Gelijkrichter station</v>
      </c>
      <c r="E64" s="615">
        <f ca="1">SUMIF('8a-Glasstaat'!$B:$B,$A64,'8a-Glasstaat'!$I:$I)</f>
        <v>0</v>
      </c>
      <c r="F64" s="741">
        <f ca="1">SUMIF('8a-Glasstaat'!$B:$B,$A64,'8a-Glasstaat'!$L:$L)</f>
        <v>0</v>
      </c>
      <c r="G64" s="741">
        <f ca="1">SUMIF('8a-Glasstaat'!$B:$B,$A64,'8a-Glasstaat'!$N:$N)</f>
        <v>0</v>
      </c>
      <c r="H64" s="742"/>
      <c r="I64" s="743"/>
      <c r="J64" s="741">
        <f t="shared" si="6"/>
        <v>0</v>
      </c>
      <c r="K64" s="744"/>
      <c r="L64" s="741">
        <f t="shared" si="7"/>
        <v>0</v>
      </c>
      <c r="M64" s="741">
        <f t="shared" ca="1" si="8"/>
        <v>0</v>
      </c>
    </row>
    <row r="65" spans="1:13">
      <c r="A65" s="718">
        <v>410</v>
      </c>
      <c r="B65" s="725" t="s">
        <v>1201</v>
      </c>
      <c r="C65" s="680">
        <f>VLOOKUP(A65,'2-Kosten per locatie'!$A$13:$C$88,3,FALSE)</f>
        <v>2</v>
      </c>
      <c r="D65" s="540" t="str">
        <f ca="1">VLOOKUP(A65,'3-Ruimtestaat'!B:D,3,FALSE)</f>
        <v>Gelijkrichter station</v>
      </c>
      <c r="E65" s="615">
        <f ca="1">SUMIF('8a-Glasstaat'!$B:$B,$A65,'8a-Glasstaat'!$I:$I)</f>
        <v>0</v>
      </c>
      <c r="F65" s="741">
        <f ca="1">SUMIF('8a-Glasstaat'!$B:$B,$A65,'8a-Glasstaat'!$L:$L)</f>
        <v>0</v>
      </c>
      <c r="G65" s="741">
        <f ca="1">SUMIF('8a-Glasstaat'!$B:$B,$A65,'8a-Glasstaat'!$N:$N)</f>
        <v>0</v>
      </c>
      <c r="H65" s="742"/>
      <c r="I65" s="743"/>
      <c r="J65" s="741">
        <f t="shared" si="6"/>
        <v>0</v>
      </c>
      <c r="K65" s="744"/>
      <c r="L65" s="741">
        <f t="shared" si="7"/>
        <v>0</v>
      </c>
      <c r="M65" s="741">
        <f t="shared" ca="1" si="8"/>
        <v>0</v>
      </c>
    </row>
    <row r="66" spans="1:13">
      <c r="A66" s="718">
        <v>411</v>
      </c>
      <c r="B66" s="725" t="s">
        <v>1202</v>
      </c>
      <c r="C66" s="680">
        <f>VLOOKUP(A66,'2-Kosten per locatie'!$A$13:$C$88,3,FALSE)</f>
        <v>2</v>
      </c>
      <c r="D66" s="540" t="str">
        <f ca="1">VLOOKUP(A66,'3-Ruimtestaat'!B:D,3,FALSE)</f>
        <v>Gelijkrichter station</v>
      </c>
      <c r="E66" s="615">
        <f ca="1">SUMIF('8a-Glasstaat'!$B:$B,$A66,'8a-Glasstaat'!$I:$I)</f>
        <v>0</v>
      </c>
      <c r="F66" s="741">
        <f ca="1">SUMIF('8a-Glasstaat'!$B:$B,$A66,'8a-Glasstaat'!$L:$L)</f>
        <v>0</v>
      </c>
      <c r="G66" s="741">
        <f ca="1">SUMIF('8a-Glasstaat'!$B:$B,$A66,'8a-Glasstaat'!$N:$N)</f>
        <v>0</v>
      </c>
      <c r="H66" s="742"/>
      <c r="I66" s="743"/>
      <c r="J66" s="741">
        <f t="shared" si="6"/>
        <v>0</v>
      </c>
      <c r="K66" s="744"/>
      <c r="L66" s="741">
        <f t="shared" si="7"/>
        <v>0</v>
      </c>
      <c r="M66" s="741">
        <f t="shared" ca="1" si="8"/>
        <v>0</v>
      </c>
    </row>
    <row r="67" spans="1:13">
      <c r="A67" s="718" t="s">
        <v>127</v>
      </c>
      <c r="B67" s="725" t="s">
        <v>1203</v>
      </c>
      <c r="C67" s="680">
        <f>VLOOKUP(A67,'2-Kosten per locatie'!$A$13:$C$88,3,FALSE)</f>
        <v>2</v>
      </c>
      <c r="D67" s="540" t="s">
        <v>737</v>
      </c>
      <c r="E67" s="615">
        <f ca="1">SUMIF('8a-Glasstaat'!$B:$B,$A67,'8a-Glasstaat'!$I:$I)</f>
        <v>0</v>
      </c>
      <c r="F67" s="741">
        <f ca="1">SUMIF('8a-Glasstaat'!$B:$B,$A67,'8a-Glasstaat'!$L:$L)</f>
        <v>0</v>
      </c>
      <c r="G67" s="741">
        <f ca="1">SUMIF('8a-Glasstaat'!$B:$B,$A67,'8a-Glasstaat'!$N:$N)</f>
        <v>0</v>
      </c>
      <c r="H67" s="742"/>
      <c r="I67" s="743"/>
      <c r="J67" s="741">
        <f t="shared" si="6"/>
        <v>0</v>
      </c>
      <c r="K67" s="744"/>
      <c r="L67" s="741">
        <f t="shared" si="7"/>
        <v>0</v>
      </c>
      <c r="M67" s="741">
        <f t="shared" ca="1" si="8"/>
        <v>0</v>
      </c>
    </row>
    <row r="68" spans="1:13">
      <c r="A68" s="718" t="s">
        <v>128</v>
      </c>
      <c r="B68" s="725" t="s">
        <v>1204</v>
      </c>
      <c r="C68" s="680">
        <f>VLOOKUP(A68,'2-Kosten per locatie'!$A$13:$C$88,3,FALSE)</f>
        <v>2</v>
      </c>
      <c r="D68" s="540" t="s">
        <v>737</v>
      </c>
      <c r="E68" s="615">
        <f ca="1">SUMIF('8a-Glasstaat'!$B:$B,$A68,'8a-Glasstaat'!$I:$I)</f>
        <v>0</v>
      </c>
      <c r="F68" s="741">
        <f ca="1">SUMIF('8a-Glasstaat'!$B:$B,$A68,'8a-Glasstaat'!$L:$L)</f>
        <v>0</v>
      </c>
      <c r="G68" s="741">
        <f ca="1">SUMIF('8a-Glasstaat'!$B:$B,$A68,'8a-Glasstaat'!$N:$N)</f>
        <v>0</v>
      </c>
      <c r="H68" s="742"/>
      <c r="I68" s="743"/>
      <c r="J68" s="741">
        <f t="shared" ref="J68:J70" si="27">H68*I68</f>
        <v>0</v>
      </c>
      <c r="K68" s="744"/>
      <c r="L68" s="741">
        <f t="shared" ref="L68:L70" si="28">K68*I68</f>
        <v>0</v>
      </c>
      <c r="M68" s="741">
        <f t="shared" ref="M68:M70" ca="1" si="29">L68+J68+G68</f>
        <v>0</v>
      </c>
    </row>
    <row r="69" spans="1:13">
      <c r="A69" s="718" t="s">
        <v>129</v>
      </c>
      <c r="B69" s="725" t="s">
        <v>1205</v>
      </c>
      <c r="C69" s="680">
        <f>VLOOKUP(A69,'2-Kosten per locatie'!$A$13:$C$88,3,FALSE)</f>
        <v>2</v>
      </c>
      <c r="D69" s="540" t="str">
        <f ca="1">VLOOKUP(A69,'3-Ruimtestaat'!B:D,3,FALSE)</f>
        <v>Gelijkrichter station</v>
      </c>
      <c r="E69" s="615">
        <f ca="1">SUMIF('8a-Glasstaat'!$B:$B,$A69,'8a-Glasstaat'!$I:$I)</f>
        <v>0</v>
      </c>
      <c r="F69" s="741">
        <f ca="1">SUMIF('8a-Glasstaat'!$B:$B,$A69,'8a-Glasstaat'!$L:$L)</f>
        <v>0</v>
      </c>
      <c r="G69" s="741">
        <f ca="1">SUMIF('8a-Glasstaat'!$B:$B,$A69,'8a-Glasstaat'!$N:$N)</f>
        <v>0</v>
      </c>
      <c r="H69" s="742"/>
      <c r="I69" s="743"/>
      <c r="J69" s="741">
        <f t="shared" si="27"/>
        <v>0</v>
      </c>
      <c r="K69" s="744"/>
      <c r="L69" s="741">
        <f t="shared" si="28"/>
        <v>0</v>
      </c>
      <c r="M69" s="741">
        <f t="shared" ca="1" si="29"/>
        <v>0</v>
      </c>
    </row>
    <row r="70" spans="1:13">
      <c r="A70" s="718">
        <v>1001</v>
      </c>
      <c r="B70" s="551" t="s">
        <v>116</v>
      </c>
      <c r="C70" s="680">
        <f>VLOOKUP(A70,'2-Kosten per locatie'!$A$13:$C$88,3,FALSE)</f>
        <v>2</v>
      </c>
      <c r="D70" s="540" t="str">
        <f ca="1">VLOOKUP(A70,'3-Ruimtestaat'!B:D,3,FALSE)</f>
        <v>Ijtram</v>
      </c>
      <c r="E70" s="615">
        <f ca="1">SUMIF('8a-Glasstaat'!$B:$B,$A70,'8a-Glasstaat'!$I:$I)</f>
        <v>132</v>
      </c>
      <c r="F70" s="741">
        <f ca="1">SUMIF('8a-Glasstaat'!$B:$B,$A70,'8a-Glasstaat'!$L:$L)</f>
        <v>0</v>
      </c>
      <c r="G70" s="741">
        <f ca="1">SUMIF('8a-Glasstaat'!$B:$B,$A70,'8a-Glasstaat'!$N:$N)</f>
        <v>0</v>
      </c>
      <c r="H70" s="742"/>
      <c r="I70" s="743" t="s">
        <v>1197</v>
      </c>
      <c r="J70" s="741">
        <f t="shared" si="27"/>
        <v>0</v>
      </c>
      <c r="K70" s="744"/>
      <c r="L70" s="741">
        <f t="shared" si="28"/>
        <v>0</v>
      </c>
      <c r="M70" s="741">
        <f t="shared" ca="1" si="29"/>
        <v>0</v>
      </c>
    </row>
    <row r="71" spans="1:13">
      <c r="A71" s="718">
        <v>1002</v>
      </c>
      <c r="B71" s="551" t="s">
        <v>117</v>
      </c>
      <c r="C71" s="680">
        <f>VLOOKUP(A71,'2-Kosten per locatie'!$A$13:$C$88,3,FALSE)</f>
        <v>2</v>
      </c>
      <c r="D71" s="540" t="str">
        <f ca="1">VLOOKUP(A71,'3-Ruimtestaat'!B:D,3,FALSE)</f>
        <v>Ijtram</v>
      </c>
      <c r="E71" s="615">
        <f ca="1">SUMIF('8a-Glasstaat'!$B:$B,$A71,'8a-Glasstaat'!$I:$I)</f>
        <v>192</v>
      </c>
      <c r="F71" s="741">
        <f ca="1">SUMIF('8a-Glasstaat'!$B:$B,$A71,'8a-Glasstaat'!$L:$L)</f>
        <v>0</v>
      </c>
      <c r="G71" s="741">
        <f ca="1">SUMIF('8a-Glasstaat'!$B:$B,$A71,'8a-Glasstaat'!$N:$N)</f>
        <v>0</v>
      </c>
      <c r="H71" s="742"/>
      <c r="I71" s="743" t="s">
        <v>1197</v>
      </c>
      <c r="J71" s="741">
        <f t="shared" ref="J71" si="30">H71*I71</f>
        <v>0</v>
      </c>
      <c r="K71" s="744"/>
      <c r="L71" s="741">
        <f t="shared" ref="L71" si="31">K71*I71</f>
        <v>0</v>
      </c>
      <c r="M71" s="741">
        <f t="shared" ref="M71" ca="1" si="32">L71+J71+G71</f>
        <v>0</v>
      </c>
    </row>
    <row r="72" spans="1:13">
      <c r="A72" s="732" t="s">
        <v>1206</v>
      </c>
      <c r="B72" s="745"/>
      <c r="C72" s="745"/>
      <c r="D72" s="745"/>
      <c r="E72" s="746"/>
      <c r="F72" s="747"/>
      <c r="G72" s="747"/>
      <c r="H72" s="747"/>
      <c r="I72" s="747"/>
      <c r="J72" s="748"/>
      <c r="K72" s="748"/>
      <c r="L72" s="749"/>
      <c r="M72" s="739">
        <f ca="1">SUM(M12:M71)</f>
        <v>0</v>
      </c>
    </row>
    <row r="73" spans="1:13">
      <c r="F73" s="198"/>
      <c r="I73" s="197"/>
      <c r="J73" s="197"/>
    </row>
    <row r="74" spans="1:13">
      <c r="F74" s="198"/>
      <c r="H74" s="197"/>
      <c r="I74" s="197"/>
      <c r="J74" s="197"/>
    </row>
    <row r="75" spans="1:13">
      <c r="F75" s="198"/>
      <c r="H75" s="200"/>
      <c r="I75" s="197"/>
      <c r="J75" s="197"/>
    </row>
    <row r="76" spans="1:13">
      <c r="F76" s="198"/>
      <c r="H76" s="197"/>
      <c r="I76" s="197"/>
      <c r="J76" s="197"/>
    </row>
    <row r="77" spans="1:13">
      <c r="F77" s="198"/>
      <c r="H77" s="197"/>
      <c r="I77" s="197"/>
      <c r="J77" s="197"/>
    </row>
    <row r="78" spans="1:13">
      <c r="F78" s="198"/>
      <c r="H78" s="197"/>
      <c r="I78" s="197"/>
      <c r="J78" s="197"/>
    </row>
    <row r="79" spans="1:13">
      <c r="F79" s="198"/>
      <c r="H79" s="197"/>
      <c r="I79" s="197"/>
      <c r="J79" s="197"/>
    </row>
    <row r="80" spans="1:13">
      <c r="F80" s="198"/>
      <c r="H80" s="197"/>
      <c r="I80" s="197"/>
      <c r="J80" s="197"/>
    </row>
    <row r="81" spans="6:10">
      <c r="F81" s="198"/>
      <c r="H81" s="197"/>
      <c r="I81" s="197"/>
      <c r="J81" s="197"/>
    </row>
    <row r="82" spans="6:10">
      <c r="F82" s="198"/>
      <c r="H82" s="197"/>
      <c r="I82" s="197"/>
      <c r="J82" s="197"/>
    </row>
    <row r="83" spans="6:10">
      <c r="F83" s="198"/>
      <c r="H83" s="197"/>
      <c r="I83" s="197"/>
      <c r="J83" s="197"/>
    </row>
    <row r="84" spans="6:10">
      <c r="F84" s="198"/>
      <c r="H84" s="197"/>
      <c r="I84" s="197"/>
      <c r="J84" s="197"/>
    </row>
    <row r="85" spans="6:10">
      <c r="F85" s="198"/>
      <c r="H85" s="197"/>
      <c r="I85" s="197"/>
      <c r="J85" s="197"/>
    </row>
    <row r="86" spans="6:10">
      <c r="F86" s="198"/>
      <c r="H86" s="197"/>
      <c r="I86" s="197"/>
      <c r="J86" s="197"/>
    </row>
    <row r="87" spans="6:10">
      <c r="F87" s="198"/>
      <c r="H87" s="197"/>
      <c r="I87" s="197"/>
      <c r="J87" s="197"/>
    </row>
    <row r="88" spans="6:10">
      <c r="F88" s="198"/>
      <c r="H88" s="197"/>
      <c r="I88" s="197"/>
      <c r="J88" s="197"/>
    </row>
    <row r="89" spans="6:10">
      <c r="F89" s="198"/>
      <c r="H89" s="197"/>
      <c r="I89" s="197"/>
      <c r="J89" s="197"/>
    </row>
    <row r="90" spans="6:10">
      <c r="F90" s="198"/>
      <c r="H90" s="197"/>
      <c r="I90" s="197"/>
      <c r="J90" s="197"/>
    </row>
    <row r="91" spans="6:10">
      <c r="F91" s="198"/>
      <c r="H91" s="197"/>
      <c r="I91" s="197"/>
      <c r="J91" s="197"/>
    </row>
    <row r="92" spans="6:10">
      <c r="F92" s="198"/>
      <c r="H92" s="197"/>
      <c r="I92" s="197"/>
      <c r="J92" s="197"/>
    </row>
    <row r="93" spans="6:10">
      <c r="F93" s="198"/>
      <c r="H93" s="197"/>
      <c r="I93" s="197"/>
      <c r="J93" s="197"/>
    </row>
    <row r="94" spans="6:10">
      <c r="F94" s="198"/>
      <c r="H94" s="197"/>
      <c r="I94" s="197"/>
      <c r="J94" s="197"/>
    </row>
    <row r="95" spans="6:10">
      <c r="F95" s="198"/>
      <c r="H95" s="197"/>
      <c r="I95" s="197"/>
      <c r="J95" s="197"/>
    </row>
    <row r="96" spans="6:10">
      <c r="F96" s="198"/>
      <c r="H96" s="197"/>
      <c r="I96" s="197"/>
      <c r="J96" s="197"/>
    </row>
    <row r="97" spans="6:10">
      <c r="F97" s="198"/>
      <c r="H97" s="197"/>
      <c r="I97" s="197"/>
      <c r="J97" s="197"/>
    </row>
    <row r="98" spans="6:10">
      <c r="F98" s="198"/>
      <c r="H98" s="197"/>
      <c r="I98" s="197"/>
      <c r="J98" s="197"/>
    </row>
    <row r="99" spans="6:10">
      <c r="F99" s="198"/>
      <c r="H99" s="197"/>
      <c r="I99" s="197"/>
      <c r="J99" s="197"/>
    </row>
  </sheetData>
  <autoFilter ref="A11:M72" xr:uid="{00000000-0001-0000-0C00-000000000000}"/>
  <pageMargins left="0.70866141732283472" right="0.70866141732283472" top="0.74803149606299213" bottom="0.74803149606299213" header="0.31496062992125984" footer="0.31496062992125984"/>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18" ma:contentTypeDescription="Een nieuw document maken." ma:contentTypeScope="" ma:versionID="135f4eaf2d3ff73d871c135e97982074">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c863136cba9e260ccc2ee8cdd8aeb37d"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50f811-0cc2-4fbd-b9a6-9c8d3b73eff0">
      <Terms xmlns="http://schemas.microsoft.com/office/infopath/2007/PartnerControls"/>
    </lcf76f155ced4ddcb4097134ff3c332f>
    <TaxCatchAll xmlns="95714b43-610b-4bf1-8f96-b5c8a38cd7ea" xsi:nil="true"/>
  </documentManagement>
</p:properties>
</file>

<file path=customXml/itemProps1.xml><?xml version="1.0" encoding="utf-8"?>
<ds:datastoreItem xmlns:ds="http://schemas.openxmlformats.org/officeDocument/2006/customXml" ds:itemID="{B09C99ED-5CD5-4C26-A0FD-BC639DD55A82}"/>
</file>

<file path=customXml/itemProps2.xml><?xml version="1.0" encoding="utf-8"?>
<ds:datastoreItem xmlns:ds="http://schemas.openxmlformats.org/officeDocument/2006/customXml" ds:itemID="{3871D951-0FEE-4065-8086-3C454F6DDCC9}"/>
</file>

<file path=customXml/itemProps3.xml><?xml version="1.0" encoding="utf-8"?>
<ds:datastoreItem xmlns:ds="http://schemas.openxmlformats.org/officeDocument/2006/customXml" ds:itemID="{85CB134A-7C85-4971-B5F2-40BD75FE93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van der Velde</dc:creator>
  <cp:keywords/>
  <dc:description/>
  <cp:lastModifiedBy>Rob Toorenburgh | Contrastcompany</cp:lastModifiedBy>
  <cp:revision/>
  <dcterms:created xsi:type="dcterms:W3CDTF">1999-10-05T12:28:40Z</dcterms:created>
  <dcterms:modified xsi:type="dcterms:W3CDTF">2024-09-26T12:24:18Z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y fmtid="{D5CDD505-2E9C-101B-9397-08002B2CF9AE}" pid="3" name="MediaServiceImageTags">
    <vt:lpwstr/>
  </property>
</Properties>
</file>