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RSG Enkhuizen/3. opgestelde documenten/Publicatie/"/>
    </mc:Choice>
  </mc:AlternateContent>
  <xr:revisionPtr revIDLastSave="91" documentId="8_{1957D248-2FFC-4702-98BB-15D4548963FF}" xr6:coauthVersionLast="47" xr6:coauthVersionMax="47" xr10:uidLastSave="{72FE09F3-8494-44C4-A650-8FD9D94E8807}"/>
  <bookViews>
    <workbookView xWindow="-108" yWindow="-108" windowWidth="23256" windowHeight="12456" tabRatio="946" xr2:uid="{00000000-000D-0000-FFFF-FFFF00000000}"/>
  </bookViews>
  <sheets>
    <sheet name="1-Uitgangspunten" sheetId="41" r:id="rId1"/>
    <sheet name="2-Kosten totaal"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hidden="1">'[3]#REF'!#REF!</definedName>
    <definedName name="_filll" hidden="1">'[4]#REF'!#REF!</definedName>
    <definedName name="_xlnm._FilterDatabase" localSheetId="9" hidden="1">'10-Vloeronderhoud'!$A$12:$X$15</definedName>
    <definedName name="_xlnm._FilterDatabase" localSheetId="1" hidden="1">'2-Kosten totaal'!$A$14:$J$17</definedName>
    <definedName name="_xlnm._FilterDatabase" localSheetId="3" hidden="1">'4-Basis ruimtestaat'!$B$9:$T$197</definedName>
    <definedName name="_Hlk39130726" localSheetId="0">'1-Uitgangspunten'!$A$16</definedName>
    <definedName name="_Key1" localSheetId="9"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totaal'!$A$3:$AA$16</definedName>
    <definedName name="_xlnm.Print_Area" localSheetId="3">'4-Basis ruimtestaat'!$B$3:$T$197</definedName>
    <definedName name="_xlnm.Print_Area" localSheetId="4">'5-Premies en opslagen'!$A$3:$E$55</definedName>
    <definedName name="_xlnm.Print_Area" localSheetId="5">'6-Opbouw uurtarief productie'!$A$1:$R$63</definedName>
    <definedName name="_xlnm.Print_Area" localSheetId="8">'9-Afroepprijs'!$A$3:$F$54</definedName>
    <definedName name="_xlnm.Print_Titles" localSheetId="9">'10-Vloeronderhoud'!$12:$12</definedName>
    <definedName name="_xlnm.Print_Titles" localSheetId="1">'2-Kosten totaal'!$14:$14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totaal'!berichtok</definedName>
    <definedName name="berichtok">'2-Kosten totaal'!berichtok</definedName>
    <definedName name="berichtoke" localSheetId="1">'2-Kosten totaal'!berichtoke</definedName>
    <definedName name="berichtoke">'2-Kosten totaal'!berichtoke</definedName>
    <definedName name="berichtoke1" localSheetId="1">'2-Kosten totaal'!berichtoke1</definedName>
    <definedName name="berichtoke1">'2-Kosten totaal'!berichtoke1</definedName>
    <definedName name="Berkt" localSheetId="1">'2-Kosten totaal'!Berkt</definedName>
    <definedName name="Berkt">'2-Kosten totaal'!Berkt</definedName>
    <definedName name="dffdf" hidden="1">'[5]#REF'!#REF!</definedName>
    <definedName name="einde" localSheetId="1">'2-Kosten totaal'!einde</definedName>
    <definedName name="einde">'2-Kosten totaal'!einde</definedName>
    <definedName name="fghf" hidden="1">'[6]#REF'!#REF!</definedName>
    <definedName name="Gan_R" localSheetId="1">'2-Kosten totaal'!Gan_R</definedName>
    <definedName name="Gan_R">'2-Kosten totaal'!Gan_R</definedName>
    <definedName name="gs" hidden="1">'[5]#REF'!#REF!</definedName>
    <definedName name="han" localSheetId="9"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28" l="1"/>
  <c r="H21" i="31"/>
  <c r="H11" i="31"/>
  <c r="G11" i="31"/>
  <c r="F11" i="31"/>
  <c r="Q6" i="37" l="1"/>
  <c r="Q5" i="37"/>
  <c r="J97" i="2" l="1"/>
  <c r="T97" i="2" s="1"/>
  <c r="N97" i="2"/>
  <c r="P97" i="2"/>
  <c r="N133" i="2"/>
  <c r="P133" i="2"/>
  <c r="J133" i="2"/>
  <c r="T133" i="2" s="1"/>
  <c r="N139" i="2"/>
  <c r="P139" i="2"/>
  <c r="N132" i="2"/>
  <c r="P132" i="2"/>
  <c r="N134" i="2"/>
  <c r="P134" i="2"/>
  <c r="N135" i="2"/>
  <c r="P135" i="2"/>
  <c r="N136" i="2"/>
  <c r="P136" i="2"/>
  <c r="N137" i="2"/>
  <c r="P137" i="2"/>
  <c r="J135" i="2"/>
  <c r="J136" i="2"/>
  <c r="J137" i="2"/>
  <c r="J134" i="2"/>
  <c r="T134" i="2" s="1"/>
  <c r="J132" i="2"/>
  <c r="T132" i="2" s="1"/>
  <c r="J139" i="2"/>
  <c r="T139" i="2" s="1"/>
  <c r="N128" i="2"/>
  <c r="P128" i="2"/>
  <c r="J128" i="2"/>
  <c r="T128" i="2" s="1"/>
  <c r="N27" i="2"/>
  <c r="P27" i="2"/>
  <c r="J27" i="2"/>
  <c r="T27" i="2" s="1"/>
  <c r="N15" i="2"/>
  <c r="P15" i="2"/>
  <c r="I14" i="2"/>
  <c r="J15" i="2"/>
  <c r="T15" i="2" s="1"/>
  <c r="D11" i="31"/>
  <c r="D14" i="39" l="1"/>
  <c r="D15" i="39"/>
  <c r="D13" i="39"/>
  <c r="J10" i="28" l="1"/>
  <c r="B4" i="41" l="1"/>
  <c r="B3" i="41"/>
  <c r="O179" i="2" l="1"/>
  <c r="B1" i="41" l="1"/>
  <c r="B2" i="41"/>
  <c r="M179" i="2"/>
  <c r="K52" i="38" l="1"/>
  <c r="N29" i="2"/>
  <c r="N30" i="2"/>
  <c r="N31" i="2"/>
  <c r="N32" i="2"/>
  <c r="N33" i="2"/>
  <c r="N34" i="2"/>
  <c r="N35" i="2"/>
  <c r="N36" i="2"/>
  <c r="N37" i="2"/>
  <c r="N38" i="2"/>
  <c r="N39" i="2"/>
  <c r="N40" i="2"/>
  <c r="N41" i="2"/>
  <c r="N42" i="2"/>
  <c r="N43" i="2"/>
  <c r="N44" i="2"/>
  <c r="N45" i="2"/>
  <c r="N46" i="2"/>
  <c r="N47" i="2"/>
  <c r="N48" i="2"/>
  <c r="N49" i="2"/>
  <c r="N52" i="2"/>
  <c r="N53" i="2"/>
  <c r="N54" i="2"/>
  <c r="N55" i="2"/>
  <c r="N56" i="2"/>
  <c r="N57" i="2"/>
  <c r="N58" i="2"/>
  <c r="N59" i="2"/>
  <c r="N60" i="2"/>
  <c r="N61" i="2"/>
  <c r="N62" i="2"/>
  <c r="N63" i="2"/>
  <c r="N64" i="2"/>
  <c r="N65" i="2"/>
  <c r="N66" i="2"/>
  <c r="N70" i="2"/>
  <c r="N71" i="2"/>
  <c r="N72" i="2"/>
  <c r="N73" i="2"/>
  <c r="N74" i="2"/>
  <c r="N75" i="2"/>
  <c r="N76" i="2"/>
  <c r="N77" i="2"/>
  <c r="N78" i="2"/>
  <c r="N79" i="2"/>
  <c r="N80" i="2"/>
  <c r="N81" i="2"/>
  <c r="N82" i="2"/>
  <c r="N83" i="2"/>
  <c r="N84" i="2"/>
  <c r="N85" i="2"/>
  <c r="N86" i="2"/>
  <c r="N87" i="2"/>
  <c r="N88" i="2"/>
  <c r="N89" i="2"/>
  <c r="N90" i="2"/>
  <c r="N91" i="2"/>
  <c r="N92" i="2"/>
  <c r="N93" i="2"/>
  <c r="N94" i="2"/>
  <c r="N98" i="2"/>
  <c r="N99" i="2"/>
  <c r="N100" i="2"/>
  <c r="N101" i="2"/>
  <c r="N102" i="2"/>
  <c r="N103" i="2"/>
  <c r="N104" i="2"/>
  <c r="N105" i="2"/>
  <c r="N106" i="2"/>
  <c r="N107" i="2"/>
  <c r="N108" i="2"/>
  <c r="N109" i="2"/>
  <c r="N110" i="2"/>
  <c r="N112" i="2"/>
  <c r="N113" i="2"/>
  <c r="N114" i="2"/>
  <c r="N115" i="2"/>
  <c r="N116" i="2"/>
  <c r="N117" i="2"/>
  <c r="N118" i="2"/>
  <c r="N119" i="2"/>
  <c r="N120" i="2"/>
  <c r="N121" i="2"/>
  <c r="N122" i="2"/>
  <c r="N123" i="2"/>
  <c r="N124" i="2"/>
  <c r="N125" i="2"/>
  <c r="N126" i="2"/>
  <c r="N127" i="2"/>
  <c r="N129" i="2"/>
  <c r="N130" i="2"/>
  <c r="N131" i="2"/>
  <c r="N138" i="2"/>
  <c r="N140" i="2"/>
  <c r="N141" i="2"/>
  <c r="N142" i="2"/>
  <c r="N143" i="2"/>
  <c r="N146" i="2"/>
  <c r="N147" i="2"/>
  <c r="N148" i="2"/>
  <c r="N149" i="2"/>
  <c r="N150" i="2"/>
  <c r="N151" i="2"/>
  <c r="N152" i="2"/>
  <c r="N153" i="2"/>
  <c r="N154" i="2"/>
  <c r="N155" i="2"/>
  <c r="N156" i="2"/>
  <c r="N157" i="2"/>
  <c r="N160" i="2"/>
  <c r="N161" i="2"/>
  <c r="N162" i="2"/>
  <c r="N163" i="2"/>
  <c r="N164" i="2"/>
  <c r="N165" i="2"/>
  <c r="N166" i="2"/>
  <c r="N167" i="2"/>
  <c r="N168" i="2"/>
  <c r="N169" i="2"/>
  <c r="N170" i="2"/>
  <c r="N171" i="2"/>
  <c r="N172" i="2"/>
  <c r="N173" i="2"/>
  <c r="N174" i="2"/>
  <c r="N175" i="2"/>
  <c r="N176" i="2"/>
  <c r="N177" i="2"/>
  <c r="N178" i="2"/>
  <c r="N179" i="2"/>
  <c r="N180" i="2"/>
  <c r="N181" i="2"/>
  <c r="N184" i="2"/>
  <c r="N185" i="2"/>
  <c r="N186" i="2"/>
  <c r="N189" i="2"/>
  <c r="N196" i="2"/>
  <c r="N197" i="2"/>
  <c r="K60" i="38" l="1"/>
  <c r="K59" i="38"/>
  <c r="K58" i="38"/>
  <c r="K57" i="38"/>
  <c r="K56" i="38"/>
  <c r="K55" i="38"/>
  <c r="K54" i="38"/>
  <c r="K53" i="38"/>
  <c r="K51" i="38"/>
  <c r="K50" i="38"/>
  <c r="B5" i="39" l="1"/>
  <c r="B6" i="39"/>
  <c r="B7" i="39"/>
  <c r="B8" i="39"/>
  <c r="B4" i="39"/>
  <c r="B3" i="39"/>
  <c r="A4" i="39"/>
  <c r="A5" i="39"/>
  <c r="A6" i="39"/>
  <c r="A7" i="39"/>
  <c r="A8" i="39"/>
  <c r="A3" i="39"/>
  <c r="E15" i="39"/>
  <c r="F15" i="39" s="1"/>
  <c r="H15" i="39" s="1"/>
  <c r="E14" i="39"/>
  <c r="F14" i="39" s="1"/>
  <c r="H14" i="39" s="1"/>
  <c r="E13" i="39"/>
  <c r="F13" i="39" s="1"/>
  <c r="H13" i="39" s="1"/>
  <c r="D17"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P29" i="2"/>
  <c r="P30" i="2"/>
  <c r="P31" i="2"/>
  <c r="P32" i="2"/>
  <c r="P33" i="2"/>
  <c r="P34" i="2"/>
  <c r="P35" i="2"/>
  <c r="P36" i="2"/>
  <c r="P37" i="2"/>
  <c r="P38" i="2"/>
  <c r="P39" i="2"/>
  <c r="P40" i="2"/>
  <c r="P41" i="2"/>
  <c r="P42" i="2"/>
  <c r="P43" i="2"/>
  <c r="P44" i="2"/>
  <c r="P45" i="2"/>
  <c r="P46" i="2"/>
  <c r="P47" i="2"/>
  <c r="P48" i="2"/>
  <c r="P49" i="2"/>
  <c r="P52" i="2"/>
  <c r="P53" i="2"/>
  <c r="P54" i="2"/>
  <c r="P55" i="2"/>
  <c r="P56" i="2"/>
  <c r="P57" i="2"/>
  <c r="P58" i="2"/>
  <c r="P59" i="2"/>
  <c r="P60" i="2"/>
  <c r="P61" i="2"/>
  <c r="P62" i="2"/>
  <c r="P63" i="2"/>
  <c r="P64" i="2"/>
  <c r="P65" i="2"/>
  <c r="P66" i="2"/>
  <c r="P70" i="2"/>
  <c r="P71" i="2"/>
  <c r="P72" i="2"/>
  <c r="P73" i="2"/>
  <c r="P74" i="2"/>
  <c r="P75" i="2"/>
  <c r="P76" i="2"/>
  <c r="P77" i="2"/>
  <c r="P78" i="2"/>
  <c r="P79" i="2"/>
  <c r="P80" i="2"/>
  <c r="P81" i="2"/>
  <c r="P82" i="2"/>
  <c r="P83" i="2"/>
  <c r="P84" i="2"/>
  <c r="P85" i="2"/>
  <c r="P86" i="2"/>
  <c r="P87" i="2"/>
  <c r="P88" i="2"/>
  <c r="P89" i="2"/>
  <c r="P90" i="2"/>
  <c r="P91" i="2"/>
  <c r="P92" i="2"/>
  <c r="P93" i="2"/>
  <c r="P94" i="2"/>
  <c r="P98" i="2"/>
  <c r="P99" i="2"/>
  <c r="P100" i="2"/>
  <c r="P101" i="2"/>
  <c r="P102" i="2"/>
  <c r="P103" i="2"/>
  <c r="P104" i="2"/>
  <c r="P105" i="2"/>
  <c r="P106" i="2"/>
  <c r="P107" i="2"/>
  <c r="P108" i="2"/>
  <c r="P109" i="2"/>
  <c r="P110" i="2"/>
  <c r="P112" i="2"/>
  <c r="P113" i="2"/>
  <c r="P114" i="2"/>
  <c r="P115" i="2"/>
  <c r="P116" i="2"/>
  <c r="P117" i="2"/>
  <c r="P118" i="2"/>
  <c r="P119" i="2"/>
  <c r="P120" i="2"/>
  <c r="P121" i="2"/>
  <c r="P122" i="2"/>
  <c r="P123" i="2"/>
  <c r="P124" i="2"/>
  <c r="P125" i="2"/>
  <c r="P126" i="2"/>
  <c r="P127" i="2"/>
  <c r="P129" i="2"/>
  <c r="P130" i="2"/>
  <c r="P131" i="2"/>
  <c r="P138" i="2"/>
  <c r="P140" i="2"/>
  <c r="P141" i="2"/>
  <c r="P142" i="2"/>
  <c r="P143" i="2"/>
  <c r="P146" i="2"/>
  <c r="P147" i="2"/>
  <c r="P148" i="2"/>
  <c r="P149" i="2"/>
  <c r="P150" i="2"/>
  <c r="P151" i="2"/>
  <c r="P152" i="2"/>
  <c r="P153" i="2"/>
  <c r="P154" i="2"/>
  <c r="P155" i="2"/>
  <c r="P156" i="2"/>
  <c r="P157" i="2"/>
  <c r="P160" i="2"/>
  <c r="P161" i="2"/>
  <c r="P162" i="2"/>
  <c r="P163" i="2"/>
  <c r="P164" i="2"/>
  <c r="P165" i="2"/>
  <c r="P166" i="2"/>
  <c r="P167" i="2"/>
  <c r="P168" i="2"/>
  <c r="P169" i="2"/>
  <c r="P170" i="2"/>
  <c r="P171" i="2"/>
  <c r="P172" i="2"/>
  <c r="P173" i="2"/>
  <c r="P174" i="2"/>
  <c r="P175" i="2"/>
  <c r="P176" i="2"/>
  <c r="P177" i="2"/>
  <c r="P178" i="2"/>
  <c r="P179" i="2"/>
  <c r="P180" i="2"/>
  <c r="P181" i="2"/>
  <c r="P184" i="2"/>
  <c r="P185" i="2"/>
  <c r="P186" i="2"/>
  <c r="P189" i="2"/>
  <c r="P196" i="2"/>
  <c r="P197" i="2"/>
  <c r="J11" i="2"/>
  <c r="T11" i="2" s="1"/>
  <c r="J12" i="2"/>
  <c r="T12" i="2" s="1"/>
  <c r="J13" i="2"/>
  <c r="T13" i="2" s="1"/>
  <c r="J14" i="2"/>
  <c r="T14" i="2" s="1"/>
  <c r="J16" i="2"/>
  <c r="T16" i="2" s="1"/>
  <c r="J17" i="2"/>
  <c r="T17" i="2" s="1"/>
  <c r="J18" i="2"/>
  <c r="T18" i="2" s="1"/>
  <c r="J19" i="2"/>
  <c r="T19" i="2" s="1"/>
  <c r="J20" i="2"/>
  <c r="T20" i="2" s="1"/>
  <c r="J21" i="2"/>
  <c r="T21" i="2" s="1"/>
  <c r="J22" i="2"/>
  <c r="T22" i="2" s="1"/>
  <c r="J23" i="2"/>
  <c r="T23" i="2" s="1"/>
  <c r="J24" i="2"/>
  <c r="T24" i="2" s="1"/>
  <c r="J25" i="2"/>
  <c r="T25" i="2" s="1"/>
  <c r="J26" i="2"/>
  <c r="T26" i="2" s="1"/>
  <c r="J28" i="2"/>
  <c r="T28" i="2" s="1"/>
  <c r="J10" i="2"/>
  <c r="T10" i="2" s="1"/>
  <c r="B6" i="28"/>
  <c r="B5" i="28"/>
  <c r="B3" i="28"/>
  <c r="A4" i="28"/>
  <c r="A5" i="28"/>
  <c r="A6" i="28"/>
  <c r="A3" i="28"/>
  <c r="B7" i="2"/>
  <c r="B6" i="2"/>
  <c r="B5" i="2"/>
  <c r="B4" i="2"/>
  <c r="B3" i="2"/>
  <c r="C7" i="2"/>
  <c r="C6" i="2"/>
  <c r="C5" i="2"/>
  <c r="C3" i="2"/>
  <c r="K54" i="18"/>
  <c r="K55" i="18"/>
  <c r="K56" i="18"/>
  <c r="K57" i="18"/>
  <c r="K58" i="18"/>
  <c r="K59" i="18"/>
  <c r="K60" i="18"/>
  <c r="K53" i="18"/>
  <c r="K51" i="18"/>
  <c r="K50" i="18"/>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6" i="2"/>
  <c r="T76"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J112" i="2"/>
  <c r="T112" i="2" s="1"/>
  <c r="J113" i="2"/>
  <c r="T113" i="2" s="1"/>
  <c r="J114" i="2"/>
  <c r="T114" i="2" s="1"/>
  <c r="J115" i="2"/>
  <c r="T115" i="2" s="1"/>
  <c r="J116" i="2"/>
  <c r="T116" i="2" s="1"/>
  <c r="J117" i="2"/>
  <c r="T117" i="2" s="1"/>
  <c r="J118" i="2"/>
  <c r="T118" i="2" s="1"/>
  <c r="J119" i="2"/>
  <c r="T119" i="2" s="1"/>
  <c r="J120" i="2"/>
  <c r="T120" i="2" s="1"/>
  <c r="J121" i="2"/>
  <c r="T121" i="2" s="1"/>
  <c r="J122" i="2"/>
  <c r="T122" i="2" s="1"/>
  <c r="J123" i="2"/>
  <c r="T123" i="2" s="1"/>
  <c r="J124" i="2"/>
  <c r="T124" i="2" s="1"/>
  <c r="J125" i="2"/>
  <c r="T125" i="2" s="1"/>
  <c r="J126" i="2"/>
  <c r="T126" i="2" s="1"/>
  <c r="J127" i="2"/>
  <c r="T127" i="2" s="1"/>
  <c r="J129" i="2"/>
  <c r="T129" i="2" s="1"/>
  <c r="J130" i="2"/>
  <c r="T130" i="2" s="1"/>
  <c r="J131" i="2"/>
  <c r="T131" i="2" s="1"/>
  <c r="J138" i="2"/>
  <c r="T138" i="2" s="1"/>
  <c r="J140" i="2"/>
  <c r="T140" i="2" s="1"/>
  <c r="J141" i="2"/>
  <c r="T141" i="2" s="1"/>
  <c r="J142" i="2"/>
  <c r="T142" i="2" s="1"/>
  <c r="J143" i="2"/>
  <c r="T143" i="2" s="1"/>
  <c r="J144" i="2"/>
  <c r="T144" i="2" s="1"/>
  <c r="J145" i="2"/>
  <c r="T145" i="2" s="1"/>
  <c r="J146" i="2"/>
  <c r="T146" i="2" s="1"/>
  <c r="J147" i="2"/>
  <c r="T147" i="2" s="1"/>
  <c r="J148" i="2"/>
  <c r="T148" i="2" s="1"/>
  <c r="J149" i="2"/>
  <c r="T149" i="2" s="1"/>
  <c r="J150" i="2"/>
  <c r="T150" i="2" s="1"/>
  <c r="J151" i="2"/>
  <c r="T151" i="2" s="1"/>
  <c r="J152" i="2"/>
  <c r="T152" i="2" s="1"/>
  <c r="J153" i="2"/>
  <c r="T153" i="2" s="1"/>
  <c r="J154" i="2"/>
  <c r="T154" i="2" s="1"/>
  <c r="J155" i="2"/>
  <c r="T155" i="2" s="1"/>
  <c r="J156" i="2"/>
  <c r="T156" i="2" s="1"/>
  <c r="J157" i="2"/>
  <c r="T157" i="2" s="1"/>
  <c r="J158" i="2"/>
  <c r="T158" i="2" s="1"/>
  <c r="J159" i="2"/>
  <c r="T159" i="2" s="1"/>
  <c r="J160" i="2"/>
  <c r="T160" i="2" s="1"/>
  <c r="J161" i="2"/>
  <c r="T161" i="2" s="1"/>
  <c r="J162" i="2"/>
  <c r="T162" i="2" s="1"/>
  <c r="J163" i="2"/>
  <c r="T163" i="2" s="1"/>
  <c r="J164" i="2"/>
  <c r="T164" i="2" s="1"/>
  <c r="J165" i="2"/>
  <c r="T165" i="2" s="1"/>
  <c r="J166" i="2"/>
  <c r="T166" i="2" s="1"/>
  <c r="J167" i="2"/>
  <c r="T167" i="2" s="1"/>
  <c r="J168" i="2"/>
  <c r="T168" i="2" s="1"/>
  <c r="J169" i="2"/>
  <c r="T169" i="2" s="1"/>
  <c r="J170" i="2"/>
  <c r="T170" i="2" s="1"/>
  <c r="J171" i="2"/>
  <c r="T171" i="2" s="1"/>
  <c r="J172" i="2"/>
  <c r="T172" i="2" s="1"/>
  <c r="J173" i="2"/>
  <c r="T173" i="2" s="1"/>
  <c r="J174" i="2"/>
  <c r="T174" i="2" s="1"/>
  <c r="J175" i="2"/>
  <c r="T175" i="2" s="1"/>
  <c r="J176" i="2"/>
  <c r="T176" i="2" s="1"/>
  <c r="J177" i="2"/>
  <c r="T177" i="2" s="1"/>
  <c r="J178" i="2"/>
  <c r="T178" i="2" s="1"/>
  <c r="J179" i="2"/>
  <c r="T179" i="2" s="1"/>
  <c r="J180" i="2"/>
  <c r="T180" i="2" s="1"/>
  <c r="J181" i="2"/>
  <c r="T181" i="2" s="1"/>
  <c r="J182" i="2"/>
  <c r="T182" i="2" s="1"/>
  <c r="J183" i="2"/>
  <c r="T183" i="2" s="1"/>
  <c r="J184" i="2"/>
  <c r="T184" i="2" s="1"/>
  <c r="J185" i="2"/>
  <c r="T185" i="2" s="1"/>
  <c r="J186" i="2"/>
  <c r="T186" i="2" s="1"/>
  <c r="J187" i="2"/>
  <c r="T187" i="2" s="1"/>
  <c r="J188" i="2"/>
  <c r="T188" i="2" s="1"/>
  <c r="J189" i="2"/>
  <c r="T189" i="2" s="1"/>
  <c r="J190" i="2"/>
  <c r="T190" i="2" s="1"/>
  <c r="J191" i="2"/>
  <c r="T191" i="2" s="1"/>
  <c r="J192" i="2"/>
  <c r="T192" i="2" s="1"/>
  <c r="J193" i="2"/>
  <c r="T193" i="2" s="1"/>
  <c r="J194" i="2"/>
  <c r="T194" i="2" s="1"/>
  <c r="J195" i="2"/>
  <c r="T195" i="2" s="1"/>
  <c r="J196" i="2"/>
  <c r="T196" i="2" s="1"/>
  <c r="J197" i="2"/>
  <c r="T197" i="2" s="1"/>
  <c r="H17" i="39" l="1"/>
  <c r="Q133" i="2"/>
  <c r="Q27" i="2"/>
  <c r="O134" i="2"/>
  <c r="M134" i="2" s="1"/>
  <c r="Q132" i="2"/>
  <c r="Q135" i="2"/>
  <c r="Q137" i="2"/>
  <c r="O128" i="2"/>
  <c r="M128" i="2" s="1"/>
  <c r="O136" i="2"/>
  <c r="M136" i="2" s="1"/>
  <c r="Q128" i="2"/>
  <c r="O15" i="2"/>
  <c r="M15" i="2" s="1"/>
  <c r="O137" i="2"/>
  <c r="M137" i="2" s="1"/>
  <c r="O97" i="2"/>
  <c r="M97" i="2" s="1"/>
  <c r="O139" i="2"/>
  <c r="M139" i="2" s="1"/>
  <c r="Q97" i="2"/>
  <c r="O135" i="2"/>
  <c r="M135" i="2" s="1"/>
  <c r="Q139" i="2"/>
  <c r="Q134" i="2"/>
  <c r="Q136" i="2"/>
  <c r="Q15" i="2"/>
  <c r="O27" i="2"/>
  <c r="M27" i="2" s="1"/>
  <c r="O133" i="2"/>
  <c r="M133" i="2" s="1"/>
  <c r="O132" i="2"/>
  <c r="M132" i="2" s="1"/>
  <c r="E15" i="37"/>
  <c r="O86" i="2"/>
  <c r="M86" i="2" s="1"/>
  <c r="O36" i="2"/>
  <c r="M36" i="2" s="1"/>
  <c r="O44" i="2"/>
  <c r="M44" i="2" s="1"/>
  <c r="O52" i="2"/>
  <c r="M52" i="2" s="1"/>
  <c r="O60" i="2"/>
  <c r="M60" i="2" s="1"/>
  <c r="O68" i="2"/>
  <c r="O76" i="2"/>
  <c r="M76" i="2" s="1"/>
  <c r="O84" i="2"/>
  <c r="M84" i="2" s="1"/>
  <c r="O91" i="2"/>
  <c r="M91" i="2" s="1"/>
  <c r="O98" i="2"/>
  <c r="M98" i="2" s="1"/>
  <c r="O106" i="2"/>
  <c r="M106" i="2" s="1"/>
  <c r="O114" i="2"/>
  <c r="M114" i="2" s="1"/>
  <c r="O122" i="2"/>
  <c r="M122" i="2" s="1"/>
  <c r="O131" i="2"/>
  <c r="M131" i="2" s="1"/>
  <c r="O146" i="2"/>
  <c r="M146" i="2" s="1"/>
  <c r="O154" i="2"/>
  <c r="M154" i="2" s="1"/>
  <c r="O162" i="2"/>
  <c r="M162" i="2" s="1"/>
  <c r="O170" i="2"/>
  <c r="M170" i="2" s="1"/>
  <c r="O178" i="2"/>
  <c r="M178" i="2" s="1"/>
  <c r="O186" i="2"/>
  <c r="M186" i="2" s="1"/>
  <c r="O194" i="2"/>
  <c r="O165" i="2"/>
  <c r="M165" i="2" s="1"/>
  <c r="O189" i="2"/>
  <c r="M189" i="2" s="1"/>
  <c r="O40" i="2"/>
  <c r="M40" i="2" s="1"/>
  <c r="O80" i="2"/>
  <c r="M80" i="2" s="1"/>
  <c r="O110" i="2"/>
  <c r="M110" i="2" s="1"/>
  <c r="O142" i="2"/>
  <c r="M142" i="2" s="1"/>
  <c r="O174" i="2"/>
  <c r="M174" i="2" s="1"/>
  <c r="O41" i="2"/>
  <c r="M41" i="2" s="1"/>
  <c r="O65" i="2"/>
  <c r="M65" i="2" s="1"/>
  <c r="O96" i="2"/>
  <c r="O119" i="2"/>
  <c r="M119" i="2" s="1"/>
  <c r="O151" i="2"/>
  <c r="M151" i="2" s="1"/>
  <c r="O183" i="2"/>
  <c r="O50" i="2"/>
  <c r="O82" i="2"/>
  <c r="M82" i="2" s="1"/>
  <c r="O104" i="2"/>
  <c r="M104" i="2" s="1"/>
  <c r="O120" i="2"/>
  <c r="M120" i="2" s="1"/>
  <c r="O160" i="2"/>
  <c r="M160" i="2" s="1"/>
  <c r="O184" i="2"/>
  <c r="M184" i="2" s="1"/>
  <c r="O51" i="2"/>
  <c r="O83" i="2"/>
  <c r="M83" i="2" s="1"/>
  <c r="O105" i="2"/>
  <c r="M105" i="2" s="1"/>
  <c r="O153" i="2"/>
  <c r="M153" i="2" s="1"/>
  <c r="O185" i="2"/>
  <c r="M185" i="2" s="1"/>
  <c r="O29" i="2"/>
  <c r="M29" i="2" s="1"/>
  <c r="O37" i="2"/>
  <c r="M37" i="2" s="1"/>
  <c r="O45" i="2"/>
  <c r="M45" i="2" s="1"/>
  <c r="O53" i="2"/>
  <c r="M53" i="2" s="1"/>
  <c r="O61" i="2"/>
  <c r="M61" i="2" s="1"/>
  <c r="O69" i="2"/>
  <c r="O77" i="2"/>
  <c r="M77" i="2" s="1"/>
  <c r="O85" i="2"/>
  <c r="M85" i="2" s="1"/>
  <c r="O92" i="2"/>
  <c r="M92" i="2" s="1"/>
  <c r="O99" i="2"/>
  <c r="M99" i="2" s="1"/>
  <c r="O107" i="2"/>
  <c r="M107" i="2" s="1"/>
  <c r="O115" i="2"/>
  <c r="M115" i="2" s="1"/>
  <c r="O123" i="2"/>
  <c r="M123" i="2" s="1"/>
  <c r="O138" i="2"/>
  <c r="M138" i="2" s="1"/>
  <c r="O147" i="2"/>
  <c r="M147" i="2" s="1"/>
  <c r="O155" i="2"/>
  <c r="M155" i="2" s="1"/>
  <c r="O163" i="2"/>
  <c r="M163" i="2" s="1"/>
  <c r="O171" i="2"/>
  <c r="M171" i="2" s="1"/>
  <c r="O187" i="2"/>
  <c r="O195" i="2"/>
  <c r="O173" i="2"/>
  <c r="M173" i="2" s="1"/>
  <c r="O181" i="2"/>
  <c r="M181" i="2" s="1"/>
  <c r="O32" i="2"/>
  <c r="M32" i="2" s="1"/>
  <c r="O72" i="2"/>
  <c r="M72" i="2" s="1"/>
  <c r="O102" i="2"/>
  <c r="M102" i="2" s="1"/>
  <c r="O126" i="2"/>
  <c r="M126" i="2" s="1"/>
  <c r="O166" i="2"/>
  <c r="M166" i="2" s="1"/>
  <c r="O190" i="2"/>
  <c r="O49" i="2"/>
  <c r="M49" i="2" s="1"/>
  <c r="O81" i="2"/>
  <c r="M81" i="2" s="1"/>
  <c r="O111" i="2"/>
  <c r="O143" i="2"/>
  <c r="M143" i="2" s="1"/>
  <c r="O175" i="2"/>
  <c r="M175" i="2" s="1"/>
  <c r="O34" i="2"/>
  <c r="M34" i="2" s="1"/>
  <c r="O66" i="2"/>
  <c r="M66" i="2" s="1"/>
  <c r="O129" i="2"/>
  <c r="M129" i="2" s="1"/>
  <c r="O176" i="2"/>
  <c r="M176" i="2" s="1"/>
  <c r="O35" i="2"/>
  <c r="M35" i="2" s="1"/>
  <c r="O67" i="2"/>
  <c r="O90" i="2"/>
  <c r="M90" i="2" s="1"/>
  <c r="O113" i="2"/>
  <c r="M113" i="2" s="1"/>
  <c r="O130" i="2"/>
  <c r="M130" i="2" s="1"/>
  <c r="O169" i="2"/>
  <c r="M169" i="2" s="1"/>
  <c r="O30" i="2"/>
  <c r="M30" i="2" s="1"/>
  <c r="O38" i="2"/>
  <c r="M38" i="2" s="1"/>
  <c r="O46" i="2"/>
  <c r="M46" i="2" s="1"/>
  <c r="O54" i="2"/>
  <c r="M54" i="2" s="1"/>
  <c r="O62" i="2"/>
  <c r="M62" i="2" s="1"/>
  <c r="O70" i="2"/>
  <c r="M70" i="2" s="1"/>
  <c r="O78" i="2"/>
  <c r="M78" i="2" s="1"/>
  <c r="O93" i="2"/>
  <c r="M93" i="2" s="1"/>
  <c r="O100" i="2"/>
  <c r="M100" i="2" s="1"/>
  <c r="O108" i="2"/>
  <c r="M108" i="2" s="1"/>
  <c r="O116" i="2"/>
  <c r="M116" i="2" s="1"/>
  <c r="O124" i="2"/>
  <c r="M124" i="2" s="1"/>
  <c r="O140" i="2"/>
  <c r="M140" i="2" s="1"/>
  <c r="O148" i="2"/>
  <c r="M148" i="2" s="1"/>
  <c r="O156" i="2"/>
  <c r="M156" i="2" s="1"/>
  <c r="O164" i="2"/>
  <c r="M164" i="2" s="1"/>
  <c r="O172" i="2"/>
  <c r="M172" i="2" s="1"/>
  <c r="O180" i="2"/>
  <c r="M180" i="2" s="1"/>
  <c r="O188" i="2"/>
  <c r="O196" i="2"/>
  <c r="M196" i="2" s="1"/>
  <c r="O157" i="2"/>
  <c r="M157" i="2" s="1"/>
  <c r="O197" i="2"/>
  <c r="M197" i="2" s="1"/>
  <c r="O48" i="2"/>
  <c r="M48" i="2" s="1"/>
  <c r="O64" i="2"/>
  <c r="M64" i="2" s="1"/>
  <c r="O118" i="2"/>
  <c r="M118" i="2" s="1"/>
  <c r="O158" i="2"/>
  <c r="O182" i="2"/>
  <c r="O33" i="2"/>
  <c r="M33" i="2" s="1"/>
  <c r="O73" i="2"/>
  <c r="M73" i="2" s="1"/>
  <c r="O103" i="2"/>
  <c r="M103" i="2" s="1"/>
  <c r="O127" i="2"/>
  <c r="M127" i="2" s="1"/>
  <c r="O167" i="2"/>
  <c r="M167" i="2" s="1"/>
  <c r="O191" i="2"/>
  <c r="O58" i="2"/>
  <c r="M58" i="2" s="1"/>
  <c r="O74" i="2"/>
  <c r="M74" i="2" s="1"/>
  <c r="O112" i="2"/>
  <c r="M112" i="2" s="1"/>
  <c r="O144" i="2"/>
  <c r="O168" i="2"/>
  <c r="M168" i="2" s="1"/>
  <c r="O192" i="2"/>
  <c r="O59" i="2"/>
  <c r="M59" i="2" s="1"/>
  <c r="O75" i="2"/>
  <c r="M75" i="2" s="1"/>
  <c r="O121" i="2"/>
  <c r="M121" i="2" s="1"/>
  <c r="O161" i="2"/>
  <c r="M161" i="2" s="1"/>
  <c r="O177" i="2"/>
  <c r="M177" i="2" s="1"/>
  <c r="O31" i="2"/>
  <c r="M31" i="2" s="1"/>
  <c r="O39" i="2"/>
  <c r="M39" i="2" s="1"/>
  <c r="O47" i="2"/>
  <c r="M47" i="2" s="1"/>
  <c r="O55" i="2"/>
  <c r="M55" i="2" s="1"/>
  <c r="O63" i="2"/>
  <c r="M63" i="2" s="1"/>
  <c r="O71" i="2"/>
  <c r="M71" i="2" s="1"/>
  <c r="O79" i="2"/>
  <c r="M79" i="2" s="1"/>
  <c r="O87" i="2"/>
  <c r="M87" i="2" s="1"/>
  <c r="O94" i="2"/>
  <c r="M94" i="2" s="1"/>
  <c r="O101" i="2"/>
  <c r="M101" i="2" s="1"/>
  <c r="O109" i="2"/>
  <c r="M109" i="2" s="1"/>
  <c r="O117" i="2"/>
  <c r="M117" i="2" s="1"/>
  <c r="O125" i="2"/>
  <c r="M125" i="2" s="1"/>
  <c r="O141" i="2"/>
  <c r="M141" i="2" s="1"/>
  <c r="O149" i="2"/>
  <c r="M149" i="2" s="1"/>
  <c r="O56" i="2"/>
  <c r="M56" i="2" s="1"/>
  <c r="O95" i="2"/>
  <c r="O150" i="2"/>
  <c r="M150" i="2" s="1"/>
  <c r="O57" i="2"/>
  <c r="M57" i="2" s="1"/>
  <c r="O88" i="2"/>
  <c r="M88" i="2" s="1"/>
  <c r="O159" i="2"/>
  <c r="O42" i="2"/>
  <c r="M42" i="2" s="1"/>
  <c r="O89" i="2"/>
  <c r="M89" i="2" s="1"/>
  <c r="O152" i="2"/>
  <c r="M152" i="2" s="1"/>
  <c r="O43" i="2"/>
  <c r="M43" i="2" s="1"/>
  <c r="O145" i="2"/>
  <c r="O193" i="2"/>
  <c r="D15" i="37"/>
  <c r="O11" i="2"/>
  <c r="O20" i="2"/>
  <c r="O10" i="2"/>
  <c r="O12" i="2"/>
  <c r="O21" i="2"/>
  <c r="O13" i="2"/>
  <c r="O22" i="2"/>
  <c r="O14" i="2"/>
  <c r="O23" i="2"/>
  <c r="O16" i="2"/>
  <c r="O24" i="2"/>
  <c r="O17" i="2"/>
  <c r="O25" i="2"/>
  <c r="O18" i="2"/>
  <c r="O26" i="2"/>
  <c r="O19" i="2"/>
  <c r="O28" i="2"/>
  <c r="Q19" i="2"/>
  <c r="Q28" i="2"/>
  <c r="Q36" i="2"/>
  <c r="Q44" i="2"/>
  <c r="Q12" i="2"/>
  <c r="Q21" i="2"/>
  <c r="Q30" i="2"/>
  <c r="Q38" i="2"/>
  <c r="Q46" i="2"/>
  <c r="Q54" i="2"/>
  <c r="Q62" i="2"/>
  <c r="Q70" i="2"/>
  <c r="Q78" i="2"/>
  <c r="Q86" i="2"/>
  <c r="Q93" i="2"/>
  <c r="Q100" i="2"/>
  <c r="Q108" i="2"/>
  <c r="Q116" i="2"/>
  <c r="Q124" i="2"/>
  <c r="Q140" i="2"/>
  <c r="Q148" i="2"/>
  <c r="Q156" i="2"/>
  <c r="Q164" i="2"/>
  <c r="Q172" i="2"/>
  <c r="Q180" i="2"/>
  <c r="Q188" i="2"/>
  <c r="Q196" i="2"/>
  <c r="Q16" i="2"/>
  <c r="Q26" i="2"/>
  <c r="Q39" i="2"/>
  <c r="Q49" i="2"/>
  <c r="Q58" i="2"/>
  <c r="Q67" i="2"/>
  <c r="Q76" i="2"/>
  <c r="Q85" i="2"/>
  <c r="Q94" i="2"/>
  <c r="Q102" i="2"/>
  <c r="Q111" i="2"/>
  <c r="Q120" i="2"/>
  <c r="Q130" i="2"/>
  <c r="Q146" i="2"/>
  <c r="Q155" i="2"/>
  <c r="Q165" i="2"/>
  <c r="Q174" i="2"/>
  <c r="Q183" i="2"/>
  <c r="Q192" i="2"/>
  <c r="Q17" i="2"/>
  <c r="Q29" i="2"/>
  <c r="Q40" i="2"/>
  <c r="Q50" i="2"/>
  <c r="Q59" i="2"/>
  <c r="Q68" i="2"/>
  <c r="Q77" i="2"/>
  <c r="Q87" i="2"/>
  <c r="Q95" i="2"/>
  <c r="Q103" i="2"/>
  <c r="Q112" i="2"/>
  <c r="Q121" i="2"/>
  <c r="Q131" i="2"/>
  <c r="Q147" i="2"/>
  <c r="Q157" i="2"/>
  <c r="Q166" i="2"/>
  <c r="Q175" i="2"/>
  <c r="Q184" i="2"/>
  <c r="Q193" i="2"/>
  <c r="Q18" i="2"/>
  <c r="Q31" i="2"/>
  <c r="Q41" i="2"/>
  <c r="Q51" i="2"/>
  <c r="Q60" i="2"/>
  <c r="Q69" i="2"/>
  <c r="Q79" i="2"/>
  <c r="Q96" i="2"/>
  <c r="Q104" i="2"/>
  <c r="Q113" i="2"/>
  <c r="Q122" i="2"/>
  <c r="Q138" i="2"/>
  <c r="Q149" i="2"/>
  <c r="Q158" i="2"/>
  <c r="Q167" i="2"/>
  <c r="Q176" i="2"/>
  <c r="Q185" i="2"/>
  <c r="Q194" i="2"/>
  <c r="Q10" i="2"/>
  <c r="Q20" i="2"/>
  <c r="Q32" i="2"/>
  <c r="Q42" i="2"/>
  <c r="Q52" i="2"/>
  <c r="Q61" i="2"/>
  <c r="Q71" i="2"/>
  <c r="Q80" i="2"/>
  <c r="Q88" i="2"/>
  <c r="Q105" i="2"/>
  <c r="Q114" i="2"/>
  <c r="Q123" i="2"/>
  <c r="Q141" i="2"/>
  <c r="Q150" i="2"/>
  <c r="Q159" i="2"/>
  <c r="Q168" i="2"/>
  <c r="Q177" i="2"/>
  <c r="Q186" i="2"/>
  <c r="Q195" i="2"/>
  <c r="Q22" i="2"/>
  <c r="Q33" i="2"/>
  <c r="Q43" i="2"/>
  <c r="Q53" i="2"/>
  <c r="Q63" i="2"/>
  <c r="Q72" i="2"/>
  <c r="Q81" i="2"/>
  <c r="Q89" i="2"/>
  <c r="Q106" i="2"/>
  <c r="Q115" i="2"/>
  <c r="Q125" i="2"/>
  <c r="Q142" i="2"/>
  <c r="Q151" i="2"/>
  <c r="Q160" i="2"/>
  <c r="Q169" i="2"/>
  <c r="Q178" i="2"/>
  <c r="Q187" i="2"/>
  <c r="Q197" i="2"/>
  <c r="Q11" i="2"/>
  <c r="Q23" i="2"/>
  <c r="Q34" i="2"/>
  <c r="Q45" i="2"/>
  <c r="Q55" i="2"/>
  <c r="Q64" i="2"/>
  <c r="Q73" i="2"/>
  <c r="Q82" i="2"/>
  <c r="Q90" i="2"/>
  <c r="Q98" i="2"/>
  <c r="Q107" i="2"/>
  <c r="Q117" i="2"/>
  <c r="Q126" i="2"/>
  <c r="Q143" i="2"/>
  <c r="Q152" i="2"/>
  <c r="Q161" i="2"/>
  <c r="Q170" i="2"/>
  <c r="Q179" i="2"/>
  <c r="Q189" i="2"/>
  <c r="Q13" i="2"/>
  <c r="Q24" i="2"/>
  <c r="Q35" i="2"/>
  <c r="Q47" i="2"/>
  <c r="Q56" i="2"/>
  <c r="Q65" i="2"/>
  <c r="Q74" i="2"/>
  <c r="Q83" i="2"/>
  <c r="Q91" i="2"/>
  <c r="Q99" i="2"/>
  <c r="Q109" i="2"/>
  <c r="Q118" i="2"/>
  <c r="Q127" i="2"/>
  <c r="Q144" i="2"/>
  <c r="Q153" i="2"/>
  <c r="Q162" i="2"/>
  <c r="Q171" i="2"/>
  <c r="Q181" i="2"/>
  <c r="Q190" i="2"/>
  <c r="Q14" i="2"/>
  <c r="Q25" i="2"/>
  <c r="Q37" i="2"/>
  <c r="Q48" i="2"/>
  <c r="Q57" i="2"/>
  <c r="Q66" i="2"/>
  <c r="Q75" i="2"/>
  <c r="Q84" i="2"/>
  <c r="Q92" i="2"/>
  <c r="Q101" i="2"/>
  <c r="Q110" i="2"/>
  <c r="Q119" i="2"/>
  <c r="Q129" i="2"/>
  <c r="Q145" i="2"/>
  <c r="Q154" i="2"/>
  <c r="Q163" i="2"/>
  <c r="Q173" i="2"/>
  <c r="Q182" i="2"/>
  <c r="Q191" i="2"/>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195" i="2" l="1"/>
  <c r="M95" i="2"/>
  <c r="M144" i="2"/>
  <c r="M96" i="2"/>
  <c r="M68" i="2"/>
  <c r="M182" i="2"/>
  <c r="M67" i="2"/>
  <c r="M194" i="2"/>
  <c r="M158" i="2"/>
  <c r="M188" i="2"/>
  <c r="M111" i="2"/>
  <c r="M159" i="2"/>
  <c r="M191" i="2"/>
  <c r="M69" i="2"/>
  <c r="M50" i="2"/>
  <c r="M193" i="2"/>
  <c r="M183" i="2"/>
  <c r="M145" i="2"/>
  <c r="M192" i="2"/>
  <c r="M190" i="2"/>
  <c r="M51" i="2"/>
  <c r="M187" i="2"/>
  <c r="M16" i="2"/>
  <c r="M18" i="2"/>
  <c r="M21" i="2"/>
  <c r="M20" i="2"/>
  <c r="M28" i="2"/>
  <c r="M22" i="2"/>
  <c r="M23" i="2"/>
  <c r="M19" i="2"/>
  <c r="M14" i="2"/>
  <c r="M12" i="2"/>
  <c r="M17" i="2"/>
  <c r="M25" i="2"/>
  <c r="M24" i="2"/>
  <c r="M11" i="2"/>
  <c r="M26" i="2"/>
  <c r="M13" i="2"/>
  <c r="M10" i="2"/>
  <c r="F15" i="37" l="1"/>
  <c r="A19" i="37"/>
  <c r="L19" i="37" s="1"/>
  <c r="H15" i="37" l="1"/>
  <c r="L21" i="37"/>
  <c r="M21" i="37" s="1"/>
  <c r="C16" i="17"/>
  <c r="N33" i="18" l="1"/>
  <c r="M33" i="18"/>
  <c r="L33" i="18"/>
  <c r="K33" i="18"/>
  <c r="J33" i="18"/>
  <c r="I33" i="18"/>
  <c r="J31" i="38" l="1"/>
  <c r="I31" i="38"/>
  <c r="M31" i="38"/>
  <c r="L31" i="38"/>
  <c r="I40" i="18"/>
  <c r="N40" i="18"/>
  <c r="M40" i="18"/>
  <c r="J29" i="28"/>
  <c r="J11" i="28"/>
  <c r="J12" i="28"/>
  <c r="J13" i="28"/>
  <c r="J14" i="28"/>
  <c r="J15" i="28"/>
  <c r="J16" i="28"/>
  <c r="J17" i="28"/>
  <c r="J18" i="28"/>
  <c r="J19" i="28"/>
  <c r="J20" i="28"/>
  <c r="J21" i="28"/>
  <c r="J22" i="28"/>
  <c r="J23" i="28"/>
  <c r="J24" i="28"/>
  <c r="J25" i="28"/>
  <c r="J26" i="28"/>
  <c r="J27" i="28"/>
  <c r="J28" i="28"/>
  <c r="N23" i="38"/>
  <c r="M23" i="38"/>
  <c r="L23" i="38"/>
  <c r="K23" i="38"/>
  <c r="J23" i="38"/>
  <c r="I23" i="38"/>
  <c r="B4" i="38"/>
  <c r="P8" i="2"/>
  <c r="B4" i="37"/>
  <c r="B4" i="5"/>
  <c r="B4" i="31"/>
  <c r="N29" i="18"/>
  <c r="M29" i="18"/>
  <c r="L29" i="18"/>
  <c r="K29" i="18"/>
  <c r="J29" i="18"/>
  <c r="I29" i="18"/>
  <c r="B4" i="28"/>
  <c r="C4" i="2"/>
  <c r="B4" i="18"/>
  <c r="B4" i="17"/>
  <c r="B41" i="17"/>
  <c r="B47" i="17" s="1"/>
  <c r="B51" i="17" s="1"/>
  <c r="B52" i="17"/>
  <c r="P68" i="2" l="1"/>
  <c r="N68" i="2" s="1"/>
  <c r="P195" i="2"/>
  <c r="N195" i="2" s="1"/>
  <c r="P182" i="2"/>
  <c r="N182" i="2" s="1"/>
  <c r="P188" i="2"/>
  <c r="N188" i="2" s="1"/>
  <c r="P69" i="2"/>
  <c r="N69" i="2" s="1"/>
  <c r="P145" i="2"/>
  <c r="N145" i="2" s="1"/>
  <c r="P187" i="2"/>
  <c r="N187" i="2" s="1"/>
  <c r="P144" i="2"/>
  <c r="N144" i="2" s="1"/>
  <c r="P67" i="2"/>
  <c r="N67" i="2" s="1"/>
  <c r="P111" i="2"/>
  <c r="N111" i="2" s="1"/>
  <c r="P50" i="2"/>
  <c r="N50" i="2" s="1"/>
  <c r="P192" i="2"/>
  <c r="N192" i="2" s="1"/>
  <c r="P194" i="2"/>
  <c r="N194" i="2" s="1"/>
  <c r="P159" i="2"/>
  <c r="N159" i="2" s="1"/>
  <c r="P193" i="2"/>
  <c r="N193" i="2" s="1"/>
  <c r="P190" i="2"/>
  <c r="N190" i="2" s="1"/>
  <c r="P158" i="2"/>
  <c r="N158" i="2" s="1"/>
  <c r="P191" i="2"/>
  <c r="N191" i="2" s="1"/>
  <c r="P183" i="2"/>
  <c r="N183" i="2" s="1"/>
  <c r="P51" i="2"/>
  <c r="N51" i="2" s="1"/>
  <c r="P95" i="2"/>
  <c r="N95" i="2" s="1"/>
  <c r="P96" i="2"/>
  <c r="N96" i="2" s="1"/>
  <c r="P28" i="2"/>
  <c r="N28" i="2" s="1"/>
  <c r="P22" i="2"/>
  <c r="N22" i="2" s="1"/>
  <c r="P25" i="2"/>
  <c r="N25" i="2" s="1"/>
  <c r="P26" i="2"/>
  <c r="N26" i="2" s="1"/>
  <c r="P23" i="2"/>
  <c r="N23" i="2" s="1"/>
  <c r="P14" i="2"/>
  <c r="N14" i="2" s="1"/>
  <c r="B15" i="37"/>
  <c r="P24" i="2"/>
  <c r="N24" i="2" s="1"/>
  <c r="P17" i="2"/>
  <c r="N17" i="2" s="1"/>
  <c r="P20" i="2"/>
  <c r="N20" i="2" s="1"/>
  <c r="P19" i="2"/>
  <c r="N19" i="2" s="1"/>
  <c r="P18" i="2"/>
  <c r="N18" i="2" s="1"/>
  <c r="P21" i="2"/>
  <c r="N21" i="2" s="1"/>
  <c r="P16" i="2"/>
  <c r="N16" i="2" s="1"/>
  <c r="O29" i="18"/>
  <c r="F21" i="31"/>
  <c r="B49" i="17"/>
  <c r="B50" i="17"/>
  <c r="O23" i="38"/>
  <c r="K31" i="38"/>
  <c r="J40" i="18"/>
  <c r="N31" i="38"/>
  <c r="L40" i="18"/>
  <c r="K40" i="18"/>
  <c r="P10" i="2"/>
  <c r="P13" i="2"/>
  <c r="N13" i="2" s="1"/>
  <c r="P11" i="2"/>
  <c r="N11" i="2" s="1"/>
  <c r="N10" i="2" l="1"/>
  <c r="B16" i="37"/>
  <c r="E12" i="18"/>
  <c r="E15" i="18" s="1"/>
  <c r="B53" i="17"/>
  <c r="E12" i="38"/>
  <c r="E15" i="38" s="1"/>
  <c r="P12" i="2"/>
  <c r="N12" i="2" s="1"/>
  <c r="G15" i="37" l="1"/>
  <c r="G6" i="28"/>
  <c r="E17" i="38"/>
  <c r="K46" i="38" s="1"/>
  <c r="K45" i="38"/>
  <c r="E18" i="18"/>
  <c r="K47" i="18" s="1"/>
  <c r="K45" i="18"/>
  <c r="F16" i="37"/>
  <c r="E18" i="38"/>
  <c r="E17" i="18"/>
  <c r="I15" i="37" l="1"/>
  <c r="G16" i="37"/>
  <c r="K52" i="18"/>
  <c r="H16" i="37"/>
  <c r="E19" i="38"/>
  <c r="E21" i="38" s="1"/>
  <c r="K47" i="38"/>
  <c r="E19" i="18"/>
  <c r="E21" i="18" s="1"/>
  <c r="C29" i="17" s="1"/>
  <c r="C31" i="17" s="1"/>
  <c r="C34" i="17" s="1"/>
  <c r="C21" i="17" s="1"/>
  <c r="C24" i="17" s="1"/>
  <c r="K46" i="18"/>
  <c r="I16" i="37" l="1"/>
  <c r="E22" i="38"/>
  <c r="E23" i="38" s="1"/>
  <c r="E25" i="38" s="1"/>
  <c r="E22" i="18"/>
  <c r="K48" i="38" l="1"/>
  <c r="E26" i="38"/>
  <c r="E32" i="38" s="1"/>
  <c r="E43" i="38" s="1"/>
  <c r="K61" i="38" s="1"/>
  <c r="K49" i="38"/>
  <c r="E23" i="18"/>
  <c r="E25" i="18" s="1"/>
  <c r="K48" i="18"/>
  <c r="K63" i="38" l="1"/>
  <c r="E26" i="18"/>
  <c r="E32" i="18" s="1"/>
  <c r="K49" i="18"/>
  <c r="E47" i="38"/>
  <c r="E19" i="37" l="1"/>
  <c r="E21" i="37" s="1"/>
  <c r="F19" i="37"/>
  <c r="F21" i="37" s="1"/>
  <c r="F35" i="38"/>
  <c r="F36" i="38"/>
  <c r="F37" i="38"/>
  <c r="F38" i="38"/>
  <c r="F39" i="38"/>
  <c r="F40" i="38"/>
  <c r="F41" i="38"/>
  <c r="E49" i="38"/>
  <c r="K65" i="38" s="1"/>
  <c r="F34" i="38"/>
  <c r="E53" i="38"/>
  <c r="F19" i="38"/>
  <c r="F45" i="38"/>
  <c r="F26" i="38"/>
  <c r="E51" i="38"/>
  <c r="F23" i="38"/>
  <c r="F32" i="38"/>
  <c r="F43" i="38"/>
  <c r="E43" i="18"/>
  <c r="K61" i="18" s="1"/>
  <c r="K63" i="18" s="1"/>
  <c r="G19" i="37" l="1"/>
  <c r="G21" i="37" s="1"/>
  <c r="K69" i="38"/>
  <c r="K67" i="38"/>
  <c r="F47" i="38"/>
  <c r="E47" i="18"/>
  <c r="B19" i="37" l="1"/>
  <c r="B21" i="37" s="1"/>
  <c r="C19" i="37"/>
  <c r="C21" i="37" s="1"/>
  <c r="H2" i="31"/>
  <c r="H20" i="37" s="1"/>
  <c r="I20" i="37" s="1"/>
  <c r="J20" i="37" s="1"/>
  <c r="E49" i="18"/>
  <c r="F35" i="18"/>
  <c r="F36" i="18"/>
  <c r="F37" i="18"/>
  <c r="F38" i="18"/>
  <c r="F39" i="18"/>
  <c r="F40" i="18"/>
  <c r="F41" i="18"/>
  <c r="F34" i="18"/>
  <c r="F42" i="18"/>
  <c r="E51" i="18"/>
  <c r="F45" i="18"/>
  <c r="F19" i="18"/>
  <c r="F23" i="18"/>
  <c r="F26" i="18"/>
  <c r="E53" i="18"/>
  <c r="F32" i="18"/>
  <c r="F43" i="18"/>
  <c r="D19" i="37" l="1"/>
  <c r="K69" i="18"/>
  <c r="K67" i="18"/>
  <c r="K65" i="18"/>
  <c r="H4" i="31"/>
  <c r="H3" i="31"/>
  <c r="F47" i="18"/>
  <c r="D21" i="37" l="1"/>
  <c r="H19" i="37"/>
  <c r="H21" i="37" s="1"/>
  <c r="I19" i="37" l="1"/>
  <c r="I21" i="37" s="1"/>
  <c r="P1" i="37" s="1"/>
  <c r="J19" i="37" l="1"/>
  <c r="J21" i="37" s="1"/>
  <c r="P2" i="37"/>
  <c r="P3" i="37" s="1"/>
</calcChain>
</file>

<file path=xl/sharedStrings.xml><?xml version="1.0" encoding="utf-8"?>
<sst xmlns="http://schemas.openxmlformats.org/spreadsheetml/2006/main" count="1652" uniqueCount="424">
  <si>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</si>
  <si>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</si>
  <si>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</si>
  <si>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</si>
  <si>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</si>
  <si>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</si>
  <si>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</si>
  <si>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</si>
  <si>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</si>
  <si>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</si>
  <si>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</si>
  <si>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</si>
  <si>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</si>
  <si>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</si>
  <si>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</si>
  <si>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</si>
  <si>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</si>
  <si>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Locatie factor</t>
  </si>
  <si>
    <t>Hoogste frequentie ma t/m vr</t>
  </si>
  <si>
    <t>Productie uren ma t/m vr</t>
  </si>
  <si>
    <t>Toezicht uren per jaar ma t/m vr</t>
  </si>
  <si>
    <t>Totaal</t>
  </si>
  <si>
    <t>Totale kosten productie per jaar</t>
  </si>
  <si>
    <t xml:space="preserve">Kosten toezicht per jaar ma t/m vr </t>
  </si>
  <si>
    <t>Totale kosten toezicht per jaar</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</si>
  <si>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</si>
  <si>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</si>
  <si>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</si>
  <si>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</si>
  <si>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</si>
  <si>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</si>
  <si>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</si>
  <si>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</si>
  <si>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</si>
  <si>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</si>
  <si>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</si>
  <si>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Administratieve ruimten</t>
  </si>
  <si>
    <t>B</t>
  </si>
  <si>
    <t>Sanitaire ruimten</t>
  </si>
  <si>
    <t>S</t>
  </si>
  <si>
    <t>Gang, hal</t>
  </si>
  <si>
    <t>V</t>
  </si>
  <si>
    <t>Kleedruimten</t>
  </si>
  <si>
    <t>Vergaderruimten</t>
  </si>
  <si>
    <t>Entree</t>
  </si>
  <si>
    <t>Lift</t>
  </si>
  <si>
    <t>Nio</t>
  </si>
  <si>
    <t>Kolom voor matrix</t>
  </si>
  <si>
    <t>Frequentie verklaring</t>
  </si>
  <si>
    <t>Freq</t>
  </si>
  <si>
    <t>Kolom</t>
  </si>
  <si>
    <t>2 x per jaar</t>
  </si>
  <si>
    <t>4 x per jaar</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</si>
  <si>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</si>
  <si>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</si>
  <si>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</si>
  <si>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</si>
  <si>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</si>
  <si>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</si>
  <si>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</si>
  <si>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</si>
  <si>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</si>
  <si>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</si>
  <si>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</si>
  <si>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</si>
  <si>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</si>
  <si>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</si>
  <si>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</si>
  <si>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VSR code</t>
  </si>
  <si>
    <t>Bijzonderheden / opmerkingen</t>
  </si>
  <si>
    <t>M2 per jaar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</si>
  <si>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</si>
  <si>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</si>
  <si>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</si>
  <si>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</si>
  <si>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</si>
  <si>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</si>
  <si>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</si>
  <si>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</si>
  <si>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</si>
  <si>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</si>
  <si>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</si>
  <si>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</si>
  <si>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</si>
  <si>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</si>
  <si>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</si>
  <si>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</si>
  <si>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</si>
  <si>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</si>
  <si>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</si>
  <si>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</si>
  <si>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</si>
  <si>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</si>
  <si>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</si>
  <si>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</si>
  <si>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</si>
  <si>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</si>
  <si>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</si>
  <si>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</si>
  <si>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</si>
  <si>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</si>
  <si>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</si>
  <si>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</si>
  <si>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</si>
  <si>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</si>
  <si>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</si>
  <si>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</si>
  <si>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</si>
  <si>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</si>
  <si>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</si>
  <si>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</si>
  <si>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</si>
  <si>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</si>
  <si>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</si>
  <si>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</si>
  <si>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</si>
  <si>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</si>
  <si>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</si>
  <si>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</si>
  <si>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</si>
  <si>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</si>
  <si>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</si>
  <si>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</si>
  <si>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</si>
  <si>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</si>
  <si>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</si>
  <si>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</si>
  <si>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</si>
  <si>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</si>
  <si>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</si>
  <si>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</si>
  <si>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</si>
  <si>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</si>
  <si>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</si>
  <si>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</si>
  <si>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</si>
  <si>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</si>
  <si>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</si>
  <si>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</si>
  <si>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</si>
  <si>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</si>
  <si>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</si>
  <si>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</si>
  <si>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</si>
  <si>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</si>
  <si>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</si>
  <si>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</si>
  <si>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</si>
  <si>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</si>
  <si>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</si>
  <si>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</si>
  <si>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</si>
  <si>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</si>
  <si>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</si>
  <si>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</si>
  <si>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</si>
  <si>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</si>
  <si>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</si>
  <si>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</si>
  <si>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t>
  </si>
  <si>
    <t>Omschrijving werkzaamheden</t>
  </si>
  <si>
    <t>Aantal of m2</t>
  </si>
  <si>
    <t>frequentie per jaar</t>
  </si>
  <si>
    <t>uren per m2/ beurt</t>
  </si>
  <si>
    <t>uren per jaar</t>
  </si>
  <si>
    <t>uurtarief</t>
  </si>
  <si>
    <t>kosten per jaar</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</si>
  <si>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</si>
  <si>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</si>
  <si>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</si>
  <si>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</si>
  <si>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</si>
  <si>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</si>
  <si>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</si>
  <si>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</si>
  <si>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</si>
  <si>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</si>
  <si>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</si>
  <si>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</si>
  <si>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</si>
  <si>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</si>
  <si>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</si>
  <si>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</si>
  <si>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</si>
  <si>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</si>
  <si>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</si>
  <si>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</si>
  <si>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</si>
  <si>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</si>
  <si>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</si>
  <si>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</si>
  <si>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</si>
  <si>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</si>
  <si>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</si>
  <si>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</si>
  <si>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</si>
  <si>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</si>
  <si>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</si>
  <si>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</si>
  <si>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</si>
  <si>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</si>
  <si>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</si>
  <si>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</si>
  <si>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</si>
  <si>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</si>
  <si>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</si>
  <si>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</si>
  <si>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</si>
  <si>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</si>
  <si>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Aantal m2</t>
  </si>
  <si>
    <r>
      <t>Kosten per m</t>
    </r>
    <r>
      <rPr>
        <b/>
        <vertAlign val="superscript"/>
        <sz val="10"/>
        <color theme="0"/>
        <rFont val="Arial Black"/>
        <family val="2"/>
      </rPr>
      <t>2</t>
    </r>
  </si>
  <si>
    <t>Kosten per beurt</t>
  </si>
  <si>
    <t>Frequentie per jaar</t>
  </si>
  <si>
    <t>Totaalkosten per jaar</t>
  </si>
  <si>
    <t>Handeling</t>
  </si>
  <si>
    <t>Sprayen</t>
  </si>
  <si>
    <t>Top-coaten</t>
  </si>
  <si>
    <t>Vloerafwerking</t>
  </si>
  <si>
    <t>RSG Enkhuizen</t>
  </si>
  <si>
    <t>Enkhuizen</t>
  </si>
  <si>
    <t>5 x per week (40 weken)</t>
  </si>
  <si>
    <t>1 x per week (40 weken)</t>
  </si>
  <si>
    <t>2 x per week (40 weken)</t>
  </si>
  <si>
    <t>Aula</t>
  </si>
  <si>
    <t>Leslokalen</t>
  </si>
  <si>
    <t>Mediatheek</t>
  </si>
  <si>
    <t>Opslagruimten</t>
  </si>
  <si>
    <t>Praktijkruimten</t>
  </si>
  <si>
    <t>Sportruimten</t>
  </si>
  <si>
    <t>Trap</t>
  </si>
  <si>
    <t>L</t>
  </si>
  <si>
    <t>3x per week</t>
  </si>
  <si>
    <t>Boendersveld 3</t>
  </si>
  <si>
    <t>1e Verdieping</t>
  </si>
  <si>
    <t>Begane grond</t>
  </si>
  <si>
    <t>t001</t>
  </si>
  <si>
    <t>TRAP BOUWDEEL 1996</t>
  </si>
  <si>
    <t>INSTRUCTIELOKAAL</t>
  </si>
  <si>
    <t>007b</t>
  </si>
  <si>
    <t>TOILETGROEP MEISJES</t>
  </si>
  <si>
    <t>007a</t>
  </si>
  <si>
    <t>TOILETGROEP JONGENS</t>
  </si>
  <si>
    <t>003-006</t>
  </si>
  <si>
    <t>VERKEERSRUIMTE</t>
  </si>
  <si>
    <t>012a</t>
  </si>
  <si>
    <t>B1 DOMEIN</t>
  </si>
  <si>
    <t>11</t>
  </si>
  <si>
    <t>tn001</t>
  </si>
  <si>
    <t>TRAP NOODUITGANG</t>
  </si>
  <si>
    <t>p001</t>
  </si>
  <si>
    <t>012c</t>
  </si>
  <si>
    <t>012b</t>
  </si>
  <si>
    <t>LESLOKAAL</t>
  </si>
  <si>
    <t>ENTREE WEST</t>
  </si>
  <si>
    <t>SKEPSIS/LEERLINGENRAAD</t>
  </si>
  <si>
    <t>COMPUTER</t>
  </si>
  <si>
    <t>p002</t>
  </si>
  <si>
    <t>tn002</t>
  </si>
  <si>
    <t>TRAP NOODTUITGANG B1</t>
  </si>
  <si>
    <t>KLEINE AULA</t>
  </si>
  <si>
    <t>v001</t>
  </si>
  <si>
    <t>t002</t>
  </si>
  <si>
    <t>TRAP BOUWDEEL 2003</t>
  </si>
  <si>
    <t>v002</t>
  </si>
  <si>
    <t>FACILITAIRE ZAKEN</t>
  </si>
  <si>
    <t>v003</t>
  </si>
  <si>
    <t>MEDIATHEEK</t>
  </si>
  <si>
    <t>KANTINE</t>
  </si>
  <si>
    <t>DECAAN</t>
  </si>
  <si>
    <t>T003</t>
  </si>
  <si>
    <t xml:space="preserve">TRAP BOUWDEEL 2003 </t>
  </si>
  <si>
    <t>v004</t>
  </si>
  <si>
    <t>MIVA TOILET</t>
  </si>
  <si>
    <t>ht001</t>
  </si>
  <si>
    <t>HOOFDTRAP BOUWDEEL 1981</t>
  </si>
  <si>
    <t>v005</t>
  </si>
  <si>
    <t>TEKENLOKAAL</t>
  </si>
  <si>
    <t>HANDVAARDIGHEID/TECHNIEK</t>
  </si>
  <si>
    <t>TOA</t>
  </si>
  <si>
    <t>tn003</t>
  </si>
  <si>
    <t>NOODTRAP LAB</t>
  </si>
  <si>
    <t>p003</t>
  </si>
  <si>
    <t>v006</t>
  </si>
  <si>
    <t>t004</t>
  </si>
  <si>
    <t>TRAPPENHUIS</t>
  </si>
  <si>
    <t>tn004</t>
  </si>
  <si>
    <t>NOODTRAP BOUWDEEL 1981</t>
  </si>
  <si>
    <t>tp001</t>
  </si>
  <si>
    <t>TRAPPORTAAL</t>
  </si>
  <si>
    <t>068A</t>
  </si>
  <si>
    <t>MUZIEK OEFENRUIMTE 1</t>
  </si>
  <si>
    <t>068B</t>
  </si>
  <si>
    <t>MUZIEK OEFENRUIMTE 2</t>
  </si>
  <si>
    <t>069A</t>
  </si>
  <si>
    <t>SECRETARIAAT</t>
  </si>
  <si>
    <t>VOORZITTER VAN COLLEGE</t>
  </si>
  <si>
    <t>TOILET DAMES</t>
  </si>
  <si>
    <t>TOILET HEREN</t>
  </si>
  <si>
    <t>NOODTRAP ATH DOMEIN</t>
  </si>
  <si>
    <t>KLUISJESRUIMTE/GANG</t>
  </si>
  <si>
    <t>LIFT</t>
  </si>
  <si>
    <t>ROOSTERKAMER</t>
  </si>
  <si>
    <t>DRUKKERIJ</t>
  </si>
  <si>
    <t>ENTREE</t>
  </si>
  <si>
    <t>CONCIERGES</t>
  </si>
  <si>
    <t>GARDEROBE</t>
  </si>
  <si>
    <t>v008</t>
  </si>
  <si>
    <t>a001</t>
  </si>
  <si>
    <t>AULA</t>
  </si>
  <si>
    <t>v009</t>
  </si>
  <si>
    <t>RECEPTIE</t>
  </si>
  <si>
    <t>t1001</t>
  </si>
  <si>
    <t>107A</t>
  </si>
  <si>
    <t>PERSONEELSTOILET</t>
  </si>
  <si>
    <t>112c</t>
  </si>
  <si>
    <t>DOMEIN HAVO</t>
  </si>
  <si>
    <t>112b</t>
  </si>
  <si>
    <t>DOMEIN HAVO STILTEGEBIED</t>
  </si>
  <si>
    <t>112a</t>
  </si>
  <si>
    <t>tp1001</t>
  </si>
  <si>
    <t>DOMEIN HAVO MIDDENSTUK</t>
  </si>
  <si>
    <t>tp112</t>
  </si>
  <si>
    <t>NOODTRAP</t>
  </si>
  <si>
    <t>v1001</t>
  </si>
  <si>
    <t>120a</t>
  </si>
  <si>
    <t>tp1002</t>
  </si>
  <si>
    <t>SYSTEEMBEHEERDER</t>
  </si>
  <si>
    <t>v1002</t>
  </si>
  <si>
    <t>PERSONEELSKAMER</t>
  </si>
  <si>
    <t>v1003</t>
  </si>
  <si>
    <t>157/159</t>
  </si>
  <si>
    <t>v1004</t>
  </si>
  <si>
    <t>MULTIFUNCTIONEELLOKAAL</t>
  </si>
  <si>
    <t>LABORATORIUM</t>
  </si>
  <si>
    <t>tp1003</t>
  </si>
  <si>
    <t>KABINET</t>
  </si>
  <si>
    <t>tp1004</t>
  </si>
  <si>
    <t>v1005</t>
  </si>
  <si>
    <t>DOMEIN ATHENEUM</t>
  </si>
  <si>
    <t>180a</t>
  </si>
  <si>
    <t>Leslokaal</t>
  </si>
  <si>
    <t>WERKKAST</t>
  </si>
  <si>
    <t>Personeelswerkplek</t>
  </si>
  <si>
    <t>v1006</t>
  </si>
  <si>
    <t>1.86</t>
  </si>
  <si>
    <t>TOILETGROEP HEREN</t>
  </si>
  <si>
    <t>1.87</t>
  </si>
  <si>
    <t>TOILETGROEP DAMES</t>
  </si>
  <si>
    <t>GYMZAAL</t>
  </si>
  <si>
    <t>KLEEDKAMER LERAAR</t>
  </si>
  <si>
    <t>KLEEDRUIMTE</t>
  </si>
  <si>
    <t>DOUCHERUIMTE</t>
  </si>
  <si>
    <t>TOESTELBERGING</t>
  </si>
  <si>
    <t>TOILET JONGENS</t>
  </si>
  <si>
    <t>TOILET MEISJES</t>
  </si>
  <si>
    <t>HAL</t>
  </si>
  <si>
    <t>Rubber Nop</t>
  </si>
  <si>
    <t>Tapijt</t>
  </si>
  <si>
    <t>Steen</t>
  </si>
  <si>
    <t>Linoleum</t>
  </si>
  <si>
    <t>PVC</t>
  </si>
  <si>
    <t>Inloopmat</t>
  </si>
  <si>
    <t>Hout</t>
  </si>
  <si>
    <t>Rubber</t>
  </si>
  <si>
    <t>Vilt</t>
  </si>
  <si>
    <t>Tegelvloer</t>
  </si>
  <si>
    <t xml:space="preserve">Pulastic </t>
  </si>
  <si>
    <t>Multifunctionele ruimten</t>
  </si>
  <si>
    <t>10 x per jaar</t>
  </si>
  <si>
    <t>nio</t>
  </si>
  <si>
    <t>Lino-/marmoleum Permanente coating</t>
  </si>
  <si>
    <t>1</t>
  </si>
  <si>
    <t>Hoogste frequentie ma t/m vr naloop</t>
  </si>
  <si>
    <t>Productie uren ma t/m vr naloop</t>
  </si>
  <si>
    <t xml:space="preserve">Kosten productie per jaar ma t/m vr </t>
  </si>
  <si>
    <t>Kosten productie per jaar ma t/m vr Naloop</t>
  </si>
  <si>
    <t xml:space="preserve">Kosten toezicht per jaar ma t/m vr naloop </t>
  </si>
  <si>
    <t>Nooduitgang</t>
  </si>
  <si>
    <t>SPREEKKAMER/KANTOOR</t>
  </si>
  <si>
    <t>Schoonmaak na feest (aula + Toiletten + gangen) incl. schrobben</t>
  </si>
  <si>
    <t>006a</t>
  </si>
  <si>
    <t>kantoor</t>
  </si>
  <si>
    <t>brugklascoordinatoren B1</t>
  </si>
  <si>
    <t>Directie B1</t>
  </si>
  <si>
    <t>Kantoor Zorg</t>
  </si>
  <si>
    <t>Kantoor zorg</t>
  </si>
  <si>
    <t>012c1</t>
  </si>
  <si>
    <t>Leerling zorg</t>
  </si>
  <si>
    <t>kantoor zorg</t>
  </si>
  <si>
    <t>Kantoor</t>
  </si>
  <si>
    <t xml:space="preserve">LOKAAL MUZIEK </t>
  </si>
  <si>
    <t>MUZIEK OEFENRUIMTE 3</t>
  </si>
  <si>
    <t>Vergaderkamer</t>
  </si>
  <si>
    <t>Leerlaag coodinator Mavo</t>
  </si>
  <si>
    <t>Leerlaag coodinator Havo</t>
  </si>
  <si>
    <t>Leerlaag coordinator Atheneum</t>
  </si>
  <si>
    <t>Directielid Mavo</t>
  </si>
  <si>
    <t>Schoolopleiders</t>
  </si>
  <si>
    <t>Directielid Atheneum</t>
  </si>
  <si>
    <t>Directielid HAVO</t>
  </si>
  <si>
    <t>INSTRUCTIELOKAAL TTO</t>
  </si>
  <si>
    <t>DOMEIN MAVO</t>
  </si>
  <si>
    <t>128a</t>
  </si>
  <si>
    <t>Toetsruimte Mavo</t>
  </si>
  <si>
    <t>120C</t>
  </si>
  <si>
    <t>Computerruimte Mavo</t>
  </si>
  <si>
    <t>Gang/hal Mavo</t>
  </si>
  <si>
    <t>PERSONELE werkplek Mavo</t>
  </si>
  <si>
    <t>Directielid bedrijfsvoering</t>
  </si>
  <si>
    <t>HR</t>
  </si>
  <si>
    <t>ROOSTERKAMER/leerlingzaken</t>
  </si>
  <si>
    <t>INSTRUCTIE</t>
  </si>
  <si>
    <t xml:space="preserve">Schoonmaak kleedruimtes en toiletten voetbalvereniging SV Enkhuizen incl. bijvullen sanitaire middelen </t>
  </si>
  <si>
    <t>M² prijs (incl. uit- en inruimen)</t>
  </si>
  <si>
    <t>TN481900</t>
  </si>
  <si>
    <t>8 kleedruimtes</t>
  </si>
  <si>
    <t>S.V. Enkhuizen</t>
  </si>
  <si>
    <t>Incl. BTW</t>
  </si>
  <si>
    <t>Tapijtreiniging (sproei-extractie methode)</t>
  </si>
  <si>
    <t>Regie Kosten vloeronderhoud per jaar incl. btw</t>
  </si>
  <si>
    <t>Regie Kosten vloeronderhoud per jaar excl. btw</t>
  </si>
  <si>
    <t>09-09-2024 v1</t>
  </si>
  <si>
    <t>Tapijt (kristalliseer methode)</t>
  </si>
  <si>
    <t>Uurlonen 1 juli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</si>
</sst>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5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color rgb="FFFF0000"/>
      <name val="Georgia"/>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28">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74" fillId="0" borderId="0" xfId="0" applyFont="1"/>
    <xf numFmtId="2" fontId="75" fillId="0" borderId="0" xfId="12" applyNumberFormat="1" applyFont="1"/>
    <xf numFmtId="2" fontId="76" fillId="2" borderId="0" xfId="12" applyNumberFormat="1" applyFont="1" applyFill="1"/>
    <xf numFmtId="0" fontId="78" fillId="0" borderId="0" xfId="89" applyFont="1"/>
    <xf numFmtId="167" fontId="78" fillId="0" borderId="0" xfId="8" applyFont="1"/>
    <xf numFmtId="173" fontId="80" fillId="0" borderId="0" xfId="8" applyNumberFormat="1" applyFont="1" applyAlignment="1">
      <alignment horizontal="center"/>
    </xf>
    <xf numFmtId="167" fontId="78" fillId="0" borderId="35" xfId="8" applyFont="1" applyBorder="1"/>
    <xf numFmtId="49" fontId="82" fillId="0" borderId="0" xfId="63" applyNumberFormat="1" applyFont="1"/>
    <xf numFmtId="0" fontId="82" fillId="0" borderId="0" xfId="63" applyFont="1"/>
    <xf numFmtId="10" fontId="82" fillId="0" borderId="0" xfId="63" applyNumberFormat="1" applyFont="1" applyAlignment="1">
      <alignment horizontal="left"/>
    </xf>
    <xf numFmtId="2" fontId="76" fillId="0" borderId="0" xfId="12" applyNumberFormat="1" applyFont="1"/>
    <xf numFmtId="188" fontId="83" fillId="0" borderId="0" xfId="63" applyNumberFormat="1" applyFont="1" applyAlignment="1">
      <alignment horizontal="left"/>
    </xf>
    <xf numFmtId="0" fontId="78" fillId="0" borderId="0" xfId="63" applyFont="1"/>
    <xf numFmtId="2" fontId="83" fillId="0" borderId="0" xfId="12" applyNumberFormat="1" applyFont="1"/>
    <xf numFmtId="2" fontId="80" fillId="0" borderId="0" xfId="89" applyNumberFormat="1" applyFont="1"/>
    <xf numFmtId="0" fontId="85" fillId="0" borderId="0" xfId="89" applyFont="1"/>
    <xf numFmtId="166" fontId="78" fillId="2" borderId="37" xfId="18" applyFont="1" applyFill="1" applyBorder="1" applyAlignment="1">
      <alignment horizontal="right"/>
    </xf>
    <xf numFmtId="166" fontId="78" fillId="2" borderId="37" xfId="18" applyFont="1" applyFill="1" applyBorder="1" applyAlignment="1">
      <alignment horizontal="center"/>
    </xf>
    <xf numFmtId="0" fontId="80" fillId="0" borderId="0" xfId="89" applyFont="1"/>
    <xf numFmtId="0" fontId="78" fillId="0" borderId="0" xfId="0" applyFont="1"/>
    <xf numFmtId="0" fontId="78" fillId="0" borderId="0" xfId="0" applyFont="1" applyAlignment="1">
      <alignment horizontal="center" vertical="center"/>
    </xf>
    <xf numFmtId="2" fontId="86" fillId="0" borderId="0" xfId="12" applyNumberFormat="1" applyFont="1"/>
    <xf numFmtId="0" fontId="78" fillId="0" borderId="0" xfId="17" applyFont="1" applyAlignment="1">
      <alignment horizontal="center"/>
    </xf>
    <xf numFmtId="2" fontId="78" fillId="0" borderId="0" xfId="8" applyNumberFormat="1" applyFont="1" applyAlignment="1">
      <alignment horizontal="left"/>
    </xf>
    <xf numFmtId="172" fontId="78" fillId="0" borderId="0" xfId="17" applyNumberFormat="1" applyFont="1" applyAlignment="1">
      <alignment horizontal="center"/>
    </xf>
    <xf numFmtId="172" fontId="87" fillId="0" borderId="0" xfId="12" applyNumberFormat="1" applyFont="1"/>
    <xf numFmtId="3" fontId="87" fillId="0" borderId="0" xfId="12" applyNumberFormat="1" applyFont="1" applyAlignment="1">
      <alignment horizontal="right"/>
    </xf>
    <xf numFmtId="3" fontId="78" fillId="0" borderId="0" xfId="8" applyNumberFormat="1" applyFont="1" applyAlignment="1">
      <alignment horizontal="right"/>
    </xf>
    <xf numFmtId="0" fontId="78" fillId="0" borderId="0" xfId="17" applyFont="1"/>
    <xf numFmtId="167" fontId="78" fillId="0" borderId="0" xfId="8" applyFont="1" applyAlignment="1">
      <alignment horizontal="right"/>
    </xf>
    <xf numFmtId="0" fontId="78" fillId="0" borderId="0" xfId="17" applyFont="1" applyAlignment="1">
      <alignment horizontal="center" vertical="center"/>
    </xf>
    <xf numFmtId="0" fontId="88" fillId="0" borderId="0" xfId="17" applyFont="1"/>
    <xf numFmtId="173" fontId="78" fillId="0" borderId="0" xfId="0" applyNumberFormat="1" applyFont="1"/>
    <xf numFmtId="0" fontId="78" fillId="2" borderId="0" xfId="17" applyFont="1" applyFill="1"/>
    <xf numFmtId="0" fontId="78" fillId="0" borderId="37" xfId="0" applyFont="1" applyBorder="1"/>
    <xf numFmtId="1" fontId="78" fillId="0" borderId="37" xfId="61" applyNumberFormat="1" applyFont="1" applyBorder="1" applyAlignment="1">
      <alignment horizontal="center"/>
    </xf>
    <xf numFmtId="1" fontId="88" fillId="0" borderId="37" xfId="61" applyNumberFormat="1" applyFont="1" applyBorder="1" applyAlignment="1">
      <alignment horizontal="center"/>
    </xf>
    <xf numFmtId="0" fontId="82" fillId="0" borderId="0" xfId="0" applyFont="1"/>
    <xf numFmtId="0" fontId="85" fillId="0" borderId="0" xfId="0" applyFont="1" applyAlignment="1">
      <alignment horizontal="center"/>
    </xf>
    <xf numFmtId="2" fontId="89" fillId="0" borderId="0" xfId="0" applyNumberFormat="1" applyFont="1"/>
    <xf numFmtId="2" fontId="80" fillId="0" borderId="0" xfId="0" applyNumberFormat="1" applyFont="1" applyAlignment="1">
      <alignment horizontal="center"/>
    </xf>
    <xf numFmtId="2" fontId="80" fillId="0" borderId="0" xfId="0" applyNumberFormat="1" applyFont="1"/>
    <xf numFmtId="0" fontId="80" fillId="0" borderId="0" xfId="0" applyFont="1"/>
    <xf numFmtId="1" fontId="80" fillId="0" borderId="0" xfId="0" applyNumberFormat="1" applyFont="1" applyAlignment="1">
      <alignment horizontal="center"/>
    </xf>
    <xf numFmtId="0" fontId="81" fillId="0" borderId="0" xfId="0" applyFont="1"/>
    <xf numFmtId="0" fontId="77" fillId="0" borderId="0" xfId="0" applyFont="1"/>
    <xf numFmtId="167" fontId="80" fillId="0" borderId="0" xfId="8" applyFont="1"/>
    <xf numFmtId="0" fontId="78" fillId="0" borderId="4" xfId="0" applyFont="1" applyBorder="1"/>
    <xf numFmtId="1" fontId="78" fillId="0" borderId="4" xfId="0" applyNumberFormat="1" applyFont="1" applyBorder="1" applyAlignment="1">
      <alignment horizontal="center"/>
    </xf>
    <xf numFmtId="1" fontId="84" fillId="0" borderId="39" xfId="0" applyNumberFormat="1" applyFont="1" applyBorder="1" applyAlignment="1">
      <alignment horizontal="center"/>
    </xf>
    <xf numFmtId="167" fontId="85" fillId="0" borderId="39" xfId="8" applyFont="1" applyFill="1" applyBorder="1" applyAlignment="1">
      <alignment horizontal="center"/>
    </xf>
    <xf numFmtId="167" fontId="85" fillId="0" borderId="0" xfId="8" applyFont="1" applyFill="1" applyBorder="1" applyAlignment="1">
      <alignment horizontal="center"/>
    </xf>
    <xf numFmtId="2" fontId="85" fillId="0" borderId="0" xfId="8" applyNumberFormat="1" applyFont="1" applyFill="1" applyBorder="1" applyAlignment="1">
      <alignment horizontal="center"/>
    </xf>
    <xf numFmtId="2" fontId="78" fillId="0" borderId="0" xfId="0" applyNumberFormat="1" applyFont="1"/>
    <xf numFmtId="1" fontId="78" fillId="0" borderId="0" xfId="0" applyNumberFormat="1" applyFont="1" applyAlignment="1">
      <alignment horizontal="center"/>
    </xf>
    <xf numFmtId="0" fontId="78" fillId="0" borderId="0" xfId="8" applyNumberFormat="1" applyFont="1" applyFill="1" applyBorder="1" applyAlignment="1"/>
    <xf numFmtId="2" fontId="78" fillId="0" borderId="0" xfId="0" applyNumberFormat="1" applyFont="1" applyAlignment="1">
      <alignment horizontal="right"/>
    </xf>
    <xf numFmtId="1" fontId="82" fillId="0" borderId="0" xfId="0" applyNumberFormat="1" applyFont="1" applyAlignment="1">
      <alignment horizontal="center"/>
    </xf>
    <xf numFmtId="1" fontId="84" fillId="0" borderId="0" xfId="0" applyNumberFormat="1" applyFont="1" applyAlignment="1">
      <alignment horizontal="center"/>
    </xf>
    <xf numFmtId="43" fontId="85" fillId="0" borderId="0" xfId="8" applyNumberFormat="1" applyFont="1" applyFill="1" applyBorder="1" applyAlignment="1">
      <alignment horizontal="center"/>
    </xf>
    <xf numFmtId="0" fontId="84" fillId="0" borderId="0" xfId="0" applyFont="1"/>
    <xf numFmtId="0" fontId="85" fillId="0" borderId="0" xfId="13" applyFont="1" applyProtection="1">
      <protection hidden="1"/>
    </xf>
    <xf numFmtId="0" fontId="78" fillId="0" borderId="0" xfId="13" applyFont="1" applyProtection="1">
      <protection hidden="1"/>
    </xf>
    <xf numFmtId="0" fontId="80" fillId="0" borderId="0" xfId="0" applyFont="1" applyAlignment="1">
      <alignment horizontal="center"/>
    </xf>
    <xf numFmtId="2" fontId="78" fillId="0" borderId="0" xfId="13" applyNumberFormat="1" applyFont="1" applyAlignment="1" applyProtection="1">
      <alignment vertical="center"/>
      <protection hidden="1"/>
    </xf>
    <xf numFmtId="2" fontId="78" fillId="0" borderId="3" xfId="11" applyNumberFormat="1" applyFont="1" applyBorder="1" applyProtection="1">
      <protection hidden="1"/>
    </xf>
    <xf numFmtId="2" fontId="78" fillId="0" borderId="0" xfId="11" applyNumberFormat="1" applyFont="1" applyProtection="1">
      <protection hidden="1"/>
    </xf>
    <xf numFmtId="0" fontId="78" fillId="0" borderId="36" xfId="0" applyFont="1" applyBorder="1"/>
    <xf numFmtId="0" fontId="78" fillId="0" borderId="35" xfId="0" applyFont="1" applyBorder="1" applyAlignment="1">
      <alignment horizontal="left"/>
    </xf>
    <xf numFmtId="0" fontId="92" fillId="0" borderId="3" xfId="13" applyFont="1" applyBorder="1" applyAlignment="1" applyProtection="1">
      <alignment horizontal="left" vertical="center"/>
      <protection hidden="1"/>
    </xf>
    <xf numFmtId="0" fontId="78" fillId="0" borderId="0" xfId="0" applyFont="1" applyAlignment="1">
      <alignment vertical="center"/>
    </xf>
    <xf numFmtId="0" fontId="92" fillId="0" borderId="0" xfId="13" applyFont="1" applyAlignment="1" applyProtection="1">
      <alignment horizontal="left" vertical="center"/>
      <protection hidden="1"/>
    </xf>
    <xf numFmtId="0" fontId="82" fillId="0" borderId="35" xfId="0" applyFont="1" applyBorder="1"/>
    <xf numFmtId="0" fontId="78" fillId="0" borderId="2" xfId="0" applyFont="1" applyBorder="1"/>
    <xf numFmtId="0" fontId="89" fillId="0" borderId="0" xfId="13" applyFont="1" applyProtection="1">
      <protection hidden="1"/>
    </xf>
    <xf numFmtId="0" fontId="94" fillId="0" borderId="0" xfId="0" applyFont="1" applyAlignment="1">
      <alignment horizontal="left" indent="3"/>
    </xf>
    <xf numFmtId="0" fontId="94" fillId="0" borderId="0" xfId="0" applyFont="1"/>
    <xf numFmtId="0" fontId="94" fillId="0" borderId="0" xfId="0" applyFont="1" applyAlignment="1">
      <alignment horizontal="left" indent="1"/>
    </xf>
    <xf numFmtId="180" fontId="94" fillId="0" borderId="0" xfId="0" applyNumberFormat="1" applyFont="1"/>
    <xf numFmtId="179" fontId="94" fillId="0" borderId="0" xfId="0" applyNumberFormat="1" applyFont="1"/>
    <xf numFmtId="0" fontId="95" fillId="0" borderId="0" xfId="13" applyFont="1" applyProtection="1">
      <protection hidden="1"/>
    </xf>
    <xf numFmtId="0" fontId="95" fillId="0" borderId="0" xfId="13" applyFont="1" applyAlignment="1" applyProtection="1">
      <alignment horizontal="center"/>
      <protection hidden="1"/>
    </xf>
    <xf numFmtId="0" fontId="95" fillId="0" borderId="0" xfId="13" applyFont="1" applyAlignment="1" applyProtection="1">
      <alignment horizontal="right"/>
      <protection hidden="1"/>
    </xf>
    <xf numFmtId="169" fontId="95" fillId="0" borderId="0" xfId="3" applyFont="1" applyFill="1" applyBorder="1" applyAlignment="1" applyProtection="1">
      <alignment horizontal="center"/>
      <protection hidden="1"/>
    </xf>
    <xf numFmtId="175" fontId="95" fillId="0" borderId="0" xfId="3" applyNumberFormat="1" applyFont="1" applyFill="1" applyBorder="1" applyAlignment="1" applyProtection="1">
      <alignment horizontal="center"/>
      <protection hidden="1"/>
    </xf>
    <xf numFmtId="2" fontId="75" fillId="0" borderId="0" xfId="0" applyNumberFormat="1" applyFont="1"/>
    <xf numFmtId="2" fontId="76" fillId="0" borderId="0" xfId="0" applyNumberFormat="1" applyFont="1"/>
    <xf numFmtId="0" fontId="96" fillId="0" borderId="0" xfId="13" applyFont="1" applyAlignment="1" applyProtection="1">
      <alignment horizontal="right"/>
      <protection hidden="1"/>
    </xf>
    <xf numFmtId="0" fontId="97" fillId="0" borderId="0" xfId="0" applyFont="1" applyAlignment="1">
      <alignment horizontal="center" vertical="center"/>
    </xf>
    <xf numFmtId="175" fontId="97" fillId="0" borderId="0" xfId="0" applyNumberFormat="1" applyFont="1" applyAlignment="1">
      <alignment horizontal="center" vertical="center"/>
    </xf>
    <xf numFmtId="1" fontId="76" fillId="0" borderId="0" xfId="0" applyNumberFormat="1" applyFont="1" applyAlignment="1">
      <alignment horizontal="left"/>
    </xf>
    <xf numFmtId="2" fontId="96" fillId="0" borderId="0" xfId="13" applyNumberFormat="1" applyFont="1" applyAlignment="1" applyProtection="1">
      <alignment horizontal="right"/>
      <protection hidden="1"/>
    </xf>
    <xf numFmtId="2" fontId="98" fillId="0" borderId="0" xfId="13" applyNumberFormat="1" applyFont="1" applyAlignment="1" applyProtection="1">
      <alignment horizontal="center"/>
      <protection hidden="1"/>
    </xf>
    <xf numFmtId="0" fontId="78" fillId="0" borderId="0" xfId="0" applyFont="1" applyAlignment="1">
      <alignment vertical="top" wrapText="1"/>
    </xf>
    <xf numFmtId="0" fontId="78" fillId="0" borderId="0" xfId="0" applyFont="1" applyAlignment="1">
      <alignment horizontal="center" wrapText="1"/>
    </xf>
    <xf numFmtId="2" fontId="90" fillId="0" borderId="0" xfId="0" applyNumberFormat="1" applyFont="1"/>
    <xf numFmtId="1" fontId="99" fillId="0" borderId="0" xfId="0" applyNumberFormat="1" applyFont="1" applyAlignment="1">
      <alignment horizontal="left"/>
    </xf>
    <xf numFmtId="2" fontId="98" fillId="0" borderId="0" xfId="13" applyNumberFormat="1" applyFont="1" applyAlignment="1" applyProtection="1">
      <alignment horizontal="right"/>
      <protection hidden="1"/>
    </xf>
    <xf numFmtId="2" fontId="87" fillId="0" borderId="0" xfId="0" applyNumberFormat="1" applyFont="1" applyAlignment="1">
      <alignment horizontal="center" vertical="center"/>
    </xf>
    <xf numFmtId="175" fontId="87" fillId="0" borderId="0" xfId="0" applyNumberFormat="1" applyFont="1" applyAlignment="1">
      <alignment horizontal="center" vertical="center"/>
    </xf>
    <xf numFmtId="2" fontId="88" fillId="0" borderId="37" xfId="3" applyNumberFormat="1" applyFont="1" applyFill="1" applyBorder="1" applyAlignment="1" applyProtection="1">
      <protection hidden="1"/>
    </xf>
    <xf numFmtId="1" fontId="80" fillId="0" borderId="37" xfId="13" applyNumberFormat="1" applyFont="1" applyBorder="1" applyAlignment="1" applyProtection="1">
      <alignment horizontal="center"/>
      <protection hidden="1"/>
    </xf>
    <xf numFmtId="0" fontId="78" fillId="0" borderId="36" xfId="13" applyFont="1" applyBorder="1" applyProtection="1">
      <protection hidden="1"/>
    </xf>
    <xf numFmtId="0" fontId="103" fillId="0" borderId="35" xfId="13" applyFont="1" applyBorder="1" applyAlignment="1" applyProtection="1">
      <alignment horizontal="right"/>
      <protection hidden="1"/>
    </xf>
    <xf numFmtId="2" fontId="96" fillId="0" borderId="0" xfId="13" applyNumberFormat="1" applyFont="1" applyAlignment="1" applyProtection="1">
      <alignment horizontal="center"/>
      <protection hidden="1"/>
    </xf>
    <xf numFmtId="2" fontId="105" fillId="0" borderId="0" xfId="13" applyNumberFormat="1" applyFont="1" applyAlignment="1" applyProtection="1">
      <alignment horizontal="center"/>
      <protection hidden="1"/>
    </xf>
    <xf numFmtId="0" fontId="85" fillId="0" borderId="0" xfId="0" applyFont="1"/>
    <xf numFmtId="2" fontId="78" fillId="0" borderId="36" xfId="13" applyNumberFormat="1" applyFont="1" applyBorder="1" applyProtection="1">
      <protection hidden="1"/>
    </xf>
    <xf numFmtId="0" fontId="80" fillId="0" borderId="37" xfId="0" applyFont="1" applyBorder="1"/>
    <xf numFmtId="0" fontId="104" fillId="0" borderId="0" xfId="0" applyFont="1"/>
    <xf numFmtId="0" fontId="107" fillId="0" borderId="36" xfId="13" applyFont="1" applyBorder="1" applyProtection="1">
      <protection hidden="1"/>
    </xf>
    <xf numFmtId="0" fontId="108" fillId="0" borderId="38" xfId="13" applyFont="1" applyBorder="1" applyProtection="1">
      <protection hidden="1"/>
    </xf>
    <xf numFmtId="0" fontId="108" fillId="0" borderId="35" xfId="13" applyFont="1" applyBorder="1" applyAlignment="1" applyProtection="1">
      <alignment horizontal="right"/>
      <protection hidden="1"/>
    </xf>
    <xf numFmtId="0" fontId="88" fillId="0" borderId="34" xfId="13" applyFont="1" applyBorder="1" applyProtection="1">
      <protection hidden="1"/>
    </xf>
    <xf numFmtId="10" fontId="102" fillId="0" borderId="2" xfId="13" applyNumberFormat="1" applyFont="1" applyBorder="1" applyAlignment="1" applyProtection="1">
      <alignment horizontal="right"/>
      <protection hidden="1"/>
    </xf>
    <xf numFmtId="175" fontId="103" fillId="0" borderId="6" xfId="16" applyNumberFormat="1" applyFont="1" applyFill="1" applyBorder="1" applyAlignment="1" applyProtection="1">
      <alignment horizontal="right"/>
      <protection hidden="1"/>
    </xf>
    <xf numFmtId="0" fontId="102" fillId="0" borderId="0" xfId="0" applyFont="1"/>
    <xf numFmtId="0" fontId="102" fillId="0" borderId="5" xfId="0" applyFont="1" applyBorder="1" applyAlignment="1">
      <alignment horizontal="right"/>
    </xf>
    <xf numFmtId="0" fontId="102" fillId="0" borderId="0" xfId="0" applyFont="1" applyAlignment="1">
      <alignment horizontal="right"/>
    </xf>
    <xf numFmtId="175" fontId="85" fillId="0" borderId="0" xfId="0" applyNumberFormat="1" applyFont="1"/>
    <xf numFmtId="0" fontId="85" fillId="0" borderId="0" xfId="0" applyFont="1" applyAlignment="1">
      <alignment horizontal="right"/>
    </xf>
    <xf numFmtId="0" fontId="78" fillId="2" borderId="36" xfId="10" applyFont="1" applyFill="1" applyBorder="1"/>
    <xf numFmtId="44" fontId="78" fillId="35" borderId="38" xfId="66" applyFont="1" applyFill="1" applyBorder="1" applyAlignment="1" applyProtection="1">
      <protection locked="0"/>
    </xf>
    <xf numFmtId="44" fontId="78" fillId="35" borderId="35" xfId="66" applyFont="1" applyFill="1" applyBorder="1" applyAlignment="1" applyProtection="1">
      <protection locked="0"/>
    </xf>
    <xf numFmtId="2" fontId="76" fillId="0" borderId="0" xfId="63" applyNumberFormat="1" applyFont="1"/>
    <xf numFmtId="0" fontId="104" fillId="0" borderId="0" xfId="10" applyFont="1"/>
    <xf numFmtId="179" fontId="104" fillId="0" borderId="0" xfId="10" applyNumberFormat="1" applyFont="1"/>
    <xf numFmtId="2" fontId="104" fillId="0" borderId="0" xfId="10" applyNumberFormat="1" applyFont="1"/>
    <xf numFmtId="2" fontId="90" fillId="0" borderId="0" xfId="10" applyNumberFormat="1" applyFont="1" applyAlignment="1">
      <alignment vertical="center"/>
    </xf>
    <xf numFmtId="2" fontId="90" fillId="0" borderId="0" xfId="10" applyNumberFormat="1" applyFont="1" applyAlignment="1">
      <alignment horizontal="right" vertical="center"/>
    </xf>
    <xf numFmtId="2" fontId="90" fillId="0" borderId="0" xfId="12" applyNumberFormat="1" applyFont="1"/>
    <xf numFmtId="2" fontId="99" fillId="0" borderId="0" xfId="10" applyNumberFormat="1" applyFont="1" applyAlignment="1">
      <alignment vertical="center"/>
    </xf>
    <xf numFmtId="0" fontId="87" fillId="0" borderId="0" xfId="14" applyFont="1"/>
    <xf numFmtId="2" fontId="87" fillId="0" borderId="0" xfId="14" applyNumberFormat="1" applyFont="1"/>
    <xf numFmtId="0" fontId="78" fillId="0" borderId="0" xfId="10" applyFont="1"/>
    <xf numFmtId="0" fontId="80" fillId="0" borderId="0" xfId="9" applyFont="1" applyAlignment="1" applyProtection="1">
      <alignment horizontal="left" vertical="center"/>
      <protection hidden="1"/>
    </xf>
    <xf numFmtId="0" fontId="78" fillId="0" borderId="0" xfId="9" applyFont="1" applyAlignment="1" applyProtection="1">
      <alignment horizontal="center"/>
      <protection hidden="1"/>
    </xf>
    <xf numFmtId="0" fontId="78" fillId="0" borderId="0" xfId="9" applyFont="1" applyAlignment="1" applyProtection="1">
      <alignment horizontal="left"/>
      <protection hidden="1"/>
    </xf>
    <xf numFmtId="0" fontId="78" fillId="0" borderId="2" xfId="10" applyFont="1" applyBorder="1"/>
    <xf numFmtId="0" fontId="78" fillId="0" borderId="0" xfId="0" applyFont="1" applyAlignment="1">
      <alignment horizontal="left" vertical="center" indent="6"/>
    </xf>
    <xf numFmtId="0" fontId="85" fillId="0" borderId="0" xfId="13" applyFont="1" applyAlignment="1" applyProtection="1">
      <alignment horizontal="center"/>
      <protection hidden="1"/>
    </xf>
    <xf numFmtId="173" fontId="78" fillId="0" borderId="0" xfId="8" applyNumberFormat="1" applyFont="1" applyFill="1" applyAlignment="1" applyProtection="1">
      <protection hidden="1"/>
    </xf>
    <xf numFmtId="0" fontId="78" fillId="0" borderId="0" xfId="84" applyFont="1"/>
    <xf numFmtId="175" fontId="109" fillId="0" borderId="0" xfId="3" applyNumberFormat="1" applyFont="1" applyFill="1" applyBorder="1" applyAlignment="1" applyProtection="1">
      <alignment horizontal="center"/>
      <protection hidden="1"/>
    </xf>
    <xf numFmtId="2" fontId="90" fillId="0" borderId="0" xfId="84" applyNumberFormat="1" applyFont="1"/>
    <xf numFmtId="169" fontId="109" fillId="0" borderId="0" xfId="3" applyFont="1" applyFill="1" applyBorder="1" applyAlignment="1" applyProtection="1">
      <alignment horizontal="center"/>
      <protection hidden="1"/>
    </xf>
    <xf numFmtId="173" fontId="109" fillId="0" borderId="0" xfId="8" applyNumberFormat="1" applyFont="1" applyFill="1" applyBorder="1" applyAlignment="1" applyProtection="1">
      <alignment horizontal="center"/>
      <protection hidden="1"/>
    </xf>
    <xf numFmtId="0" fontId="78" fillId="0" borderId="0" xfId="103" applyFont="1"/>
    <xf numFmtId="0" fontId="78" fillId="0" borderId="0" xfId="103" applyFont="1" applyAlignment="1">
      <alignment horizontal="center"/>
    </xf>
    <xf numFmtId="167" fontId="78" fillId="0" borderId="0" xfId="105" applyFont="1"/>
    <xf numFmtId="173" fontId="78" fillId="0" borderId="0" xfId="8" applyNumberFormat="1" applyFont="1"/>
    <xf numFmtId="0" fontId="79" fillId="63" borderId="37" xfId="0" applyFont="1" applyFill="1" applyBorder="1" applyAlignment="1">
      <alignment wrapText="1"/>
    </xf>
    <xf numFmtId="0" fontId="79" fillId="63" borderId="37" xfId="0" applyFont="1" applyFill="1" applyBorder="1"/>
    <xf numFmtId="2" fontId="76" fillId="64" borderId="0" xfId="12" applyNumberFormat="1" applyFont="1" applyFill="1"/>
    <xf numFmtId="0" fontId="78" fillId="64" borderId="2" xfId="10" applyFont="1" applyFill="1" applyBorder="1"/>
    <xf numFmtId="2" fontId="111" fillId="0" borderId="0" xfId="12" applyNumberFormat="1" applyFont="1"/>
    <xf numFmtId="167" fontId="114" fillId="63" borderId="32" xfId="8" applyFont="1" applyFill="1" applyBorder="1" applyAlignment="1">
      <alignment horizontal="center" vertical="top" wrapText="1"/>
    </xf>
    <xf numFmtId="0" fontId="113" fillId="0" borderId="0" xfId="0" applyFont="1" applyAlignment="1">
      <alignment horizontal="center" vertical="center"/>
    </xf>
    <xf numFmtId="0" fontId="117" fillId="0" borderId="0" xfId="17" applyFont="1"/>
    <xf numFmtId="0" fontId="113" fillId="0" borderId="0" xfId="0" applyFont="1"/>
    <xf numFmtId="1" fontId="80" fillId="0" borderId="37" xfId="61" applyNumberFormat="1" applyFont="1" applyBorder="1" applyAlignment="1">
      <alignment horizontal="center"/>
    </xf>
    <xf numFmtId="2" fontId="118" fillId="0" borderId="0" xfId="0" applyNumberFormat="1" applyFont="1"/>
    <xf numFmtId="2" fontId="116" fillId="63" borderId="32" xfId="0" applyNumberFormat="1" applyFont="1" applyFill="1" applyBorder="1" applyAlignment="1">
      <alignment horizontal="center" vertical="top" wrapText="1"/>
    </xf>
    <xf numFmtId="0" fontId="113" fillId="0" borderId="0" xfId="0" applyFont="1" applyAlignment="1">
      <alignment horizontal="center"/>
    </xf>
    <xf numFmtId="2" fontId="119" fillId="0" borderId="0" xfId="13" applyNumberFormat="1" applyFont="1" applyAlignment="1" applyProtection="1">
      <alignment vertical="center"/>
      <protection locked="0"/>
    </xf>
    <xf numFmtId="2" fontId="124" fillId="0" borderId="0" xfId="13" applyNumberFormat="1" applyFont="1" applyAlignment="1" applyProtection="1">
      <alignment horizontal="center" wrapText="1"/>
      <protection hidden="1"/>
    </xf>
    <xf numFmtId="0" fontId="113" fillId="0" borderId="0" xfId="0" applyFont="1" applyAlignment="1">
      <alignment horizontal="center" wrapText="1"/>
    </xf>
    <xf numFmtId="0" fontId="125" fillId="0" borderId="0" xfId="13" applyFont="1" applyProtection="1">
      <protection hidden="1"/>
    </xf>
    <xf numFmtId="2" fontId="111" fillId="0" borderId="0" xfId="0" applyNumberFormat="1" applyFont="1"/>
    <xf numFmtId="2" fontId="123" fillId="63" borderId="36" xfId="13" applyNumberFormat="1" applyFont="1" applyFill="1" applyBorder="1" applyAlignment="1" applyProtection="1">
      <alignment horizontal="left" vertical="center" wrapText="1"/>
      <protection hidden="1"/>
    </xf>
    <xf numFmtId="2" fontId="123" fillId="63" borderId="37" xfId="3" applyNumberFormat="1" applyFont="1" applyFill="1" applyBorder="1" applyAlignment="1" applyProtection="1">
      <alignment vertical="center" wrapText="1"/>
      <protection hidden="1"/>
    </xf>
    <xf numFmtId="2" fontId="111" fillId="0" borderId="0" xfId="63" applyNumberFormat="1" applyFont="1"/>
    <xf numFmtId="173" fontId="114" fillId="63" borderId="36" xfId="8" applyNumberFormat="1" applyFont="1" applyFill="1" applyBorder="1" applyAlignment="1">
      <alignment vertical="top" wrapText="1"/>
    </xf>
    <xf numFmtId="173" fontId="114" fillId="63" borderId="38" xfId="8" applyNumberFormat="1" applyFont="1" applyFill="1" applyBorder="1" applyAlignment="1">
      <alignment vertical="top" wrapText="1"/>
    </xf>
    <xf numFmtId="173" fontId="114" fillId="63" borderId="35" xfId="8" applyNumberFormat="1" applyFont="1" applyFill="1" applyBorder="1" applyAlignment="1">
      <alignment vertical="top" wrapText="1"/>
    </xf>
    <xf numFmtId="173" fontId="114" fillId="63" borderId="40" xfId="8" applyNumberFormat="1" applyFont="1" applyFill="1" applyBorder="1" applyAlignment="1">
      <alignment vertical="top" wrapText="1"/>
    </xf>
    <xf numFmtId="0" fontId="83" fillId="0" borderId="0" xfId="9" applyFont="1" applyAlignment="1" applyProtection="1">
      <alignment horizontal="left" vertical="center"/>
      <protection hidden="1"/>
    </xf>
    <xf numFmtId="0" fontId="129" fillId="0" borderId="0" xfId="13" applyFont="1" applyProtection="1">
      <protection hidden="1"/>
    </xf>
    <xf numFmtId="2" fontId="114" fillId="63" borderId="32" xfId="0" applyNumberFormat="1" applyFont="1" applyFill="1" applyBorder="1" applyAlignment="1">
      <alignment horizontal="left" vertical="top" wrapText="1"/>
    </xf>
    <xf numFmtId="166" fontId="133" fillId="2" borderId="35" xfId="18" applyFont="1" applyFill="1" applyBorder="1" applyAlignment="1"/>
    <xf numFmtId="178" fontId="134" fillId="0" borderId="2" xfId="6" applyNumberFormat="1" applyFont="1" applyFill="1" applyBorder="1" applyAlignment="1"/>
    <xf numFmtId="44" fontId="134" fillId="0" borderId="0" xfId="63" applyNumberFormat="1" applyFont="1"/>
    <xf numFmtId="9" fontId="35" fillId="64" borderId="37" xfId="16" applyFont="1" applyFill="1" applyBorder="1" applyAlignment="1">
      <alignment horizontal="center"/>
    </xf>
    <xf numFmtId="44" fontId="131" fillId="63" borderId="35" xfId="63" applyNumberFormat="1" applyFont="1" applyFill="1" applyBorder="1"/>
    <xf numFmtId="2" fontId="35" fillId="64" borderId="37" xfId="8" applyNumberFormat="1" applyFont="1" applyFill="1" applyBorder="1" applyAlignment="1">
      <alignment horizontal="center"/>
    </xf>
    <xf numFmtId="1" fontId="132" fillId="2" borderId="37" xfId="8" applyNumberFormat="1" applyFont="1" applyFill="1" applyBorder="1" applyAlignment="1">
      <alignment horizontal="center"/>
    </xf>
    <xf numFmtId="2" fontId="35" fillId="2" borderId="37" xfId="8" applyNumberFormat="1" applyFont="1" applyFill="1" applyBorder="1" applyAlignment="1">
      <alignment horizontal="center"/>
    </xf>
    <xf numFmtId="173" fontId="132" fillId="2" borderId="37" xfId="8" applyNumberFormat="1" applyFont="1" applyFill="1" applyBorder="1"/>
    <xf numFmtId="167" fontId="132" fillId="2" borderId="37" xfId="8" applyFont="1" applyFill="1" applyBorder="1"/>
    <xf numFmtId="166" fontId="35" fillId="0" borderId="37" xfId="18" applyFont="1" applyBorder="1"/>
    <xf numFmtId="166" fontId="35" fillId="0" borderId="37" xfId="89" applyNumberFormat="1" applyFont="1" applyBorder="1"/>
    <xf numFmtId="180" fontId="35" fillId="0" borderId="37" xfId="89" applyNumberFormat="1" applyFont="1" applyBorder="1"/>
    <xf numFmtId="173" fontId="79" fillId="63" borderId="36" xfId="8" applyNumberFormat="1" applyFont="1" applyFill="1" applyBorder="1" applyAlignment="1">
      <alignment horizontal="left"/>
    </xf>
    <xf numFmtId="167" fontId="79" fillId="63" borderId="35" xfId="8" applyFont="1" applyFill="1" applyBorder="1"/>
    <xf numFmtId="49" fontId="81" fillId="0" borderId="36" xfId="63" applyNumberFormat="1" applyFont="1" applyBorder="1" applyAlignment="1">
      <alignment vertical="top"/>
    </xf>
    <xf numFmtId="0" fontId="78" fillId="0" borderId="38" xfId="63" applyFont="1" applyBorder="1"/>
    <xf numFmtId="49" fontId="80" fillId="0" borderId="38" xfId="63" applyNumberFormat="1" applyFont="1" applyBorder="1"/>
    <xf numFmtId="49" fontId="79" fillId="63" borderId="36" xfId="63" applyNumberFormat="1" applyFont="1" applyFill="1" applyBorder="1"/>
    <xf numFmtId="0" fontId="79" fillId="63" borderId="38" xfId="63" applyFont="1" applyFill="1" applyBorder="1"/>
    <xf numFmtId="173" fontId="79" fillId="63" borderId="37" xfId="8" applyNumberFormat="1" applyFont="1" applyFill="1" applyBorder="1" applyAlignment="1">
      <alignment vertical="top" wrapText="1"/>
    </xf>
    <xf numFmtId="173" fontId="79" fillId="63" borderId="37" xfId="8" applyNumberFormat="1" applyFont="1" applyFill="1" applyBorder="1" applyAlignment="1">
      <alignment horizontal="center" vertical="top" wrapText="1"/>
    </xf>
    <xf numFmtId="167" fontId="79" fillId="63" borderId="37" xfId="8" applyFont="1" applyFill="1" applyBorder="1" applyAlignment="1">
      <alignment horizontal="center" vertical="top" wrapText="1"/>
    </xf>
    <xf numFmtId="2" fontId="79" fillId="63" borderId="32" xfId="89" applyNumberFormat="1" applyFont="1" applyFill="1" applyBorder="1" applyAlignment="1">
      <alignment vertical="top" wrapText="1"/>
    </xf>
    <xf numFmtId="167" fontId="79" fillId="63" borderId="32" xfId="8" applyFont="1" applyFill="1" applyBorder="1" applyAlignment="1">
      <alignment horizontal="center" vertical="top" wrapText="1"/>
    </xf>
    <xf numFmtId="0" fontId="35" fillId="0" borderId="0" xfId="17" applyFont="1"/>
    <xf numFmtId="0" fontId="132" fillId="0" borderId="0" xfId="17" applyFont="1"/>
    <xf numFmtId="0" fontId="35" fillId="0" borderId="0" xfId="0" applyFont="1"/>
    <xf numFmtId="0" fontId="35" fillId="0" borderId="0" xfId="0" applyFont="1" applyAlignment="1">
      <alignment horizontal="center"/>
    </xf>
    <xf numFmtId="2" fontId="132" fillId="0" borderId="0" xfId="0" applyNumberFormat="1" applyFont="1" applyAlignment="1">
      <alignment horizontal="center"/>
    </xf>
    <xf numFmtId="2" fontId="135" fillId="0" borderId="0" xfId="0" applyNumberFormat="1" applyFont="1" applyAlignment="1">
      <alignment horizontal="center"/>
    </xf>
    <xf numFmtId="2" fontId="141" fillId="0" borderId="0" xfId="12" applyNumberFormat="1" applyFont="1" applyAlignment="1">
      <alignment horizontal="center"/>
    </xf>
    <xf numFmtId="174" fontId="35" fillId="0" borderId="4" xfId="0" applyNumberFormat="1" applyFont="1" applyBorder="1" applyAlignment="1">
      <alignment horizontal="center"/>
    </xf>
    <xf numFmtId="174" fontId="35" fillId="0" borderId="0" xfId="0" applyNumberFormat="1" applyFont="1" applyAlignment="1">
      <alignment horizontal="center"/>
    </xf>
    <xf numFmtId="43" fontId="137" fillId="0" borderId="37" xfId="8" applyNumberFormat="1" applyFont="1" applyFill="1" applyBorder="1" applyAlignment="1">
      <alignment horizontal="center"/>
    </xf>
    <xf numFmtId="1" fontId="138" fillId="0" borderId="37" xfId="0" applyNumberFormat="1" applyFont="1" applyBorder="1" applyAlignment="1">
      <alignment horizontal="center"/>
    </xf>
    <xf numFmtId="14" fontId="136"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42"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42" fillId="0" borderId="37" xfId="3" applyNumberFormat="1" applyFont="1" applyFill="1" applyBorder="1" applyAlignment="1" applyProtection="1">
      <protection hidden="1"/>
    </xf>
    <xf numFmtId="166" fontId="142" fillId="35" borderId="37" xfId="18" applyFont="1" applyFill="1" applyBorder="1" applyAlignment="1" applyProtection="1">
      <protection locked="0"/>
    </xf>
    <xf numFmtId="175" fontId="143" fillId="0" borderId="5" xfId="0" applyNumberFormat="1" applyFont="1" applyBorder="1" applyAlignment="1">
      <alignment horizontal="center" vertical="center"/>
    </xf>
    <xf numFmtId="166" fontId="142" fillId="65" borderId="37" xfId="18" applyFont="1" applyFill="1" applyBorder="1" applyAlignment="1" applyProtection="1">
      <protection locked="0"/>
    </xf>
    <xf numFmtId="179" fontId="132" fillId="0" borderId="37" xfId="3" applyNumberFormat="1" applyFont="1" applyFill="1" applyBorder="1" applyAlignment="1" applyProtection="1">
      <protection hidden="1"/>
    </xf>
    <xf numFmtId="169" fontId="142" fillId="0" borderId="37" xfId="3" applyFont="1" applyFill="1" applyBorder="1" applyAlignment="1" applyProtection="1">
      <protection hidden="1"/>
    </xf>
    <xf numFmtId="166" fontId="142" fillId="0" borderId="37" xfId="18" applyFont="1" applyFill="1" applyBorder="1" applyAlignment="1" applyProtection="1">
      <protection locked="0"/>
    </xf>
    <xf numFmtId="169" fontId="142" fillId="0" borderId="37" xfId="3" applyFont="1" applyFill="1" applyBorder="1" applyAlignment="1" applyProtection="1">
      <protection locked="0"/>
    </xf>
    <xf numFmtId="166" fontId="145" fillId="2" borderId="37" xfId="18" applyFont="1" applyFill="1" applyBorder="1" applyAlignment="1" applyProtection="1">
      <alignment horizontal="right"/>
      <protection locked="0"/>
    </xf>
    <xf numFmtId="175" fontId="137" fillId="0" borderId="5" xfId="0" applyNumberFormat="1" applyFont="1" applyBorder="1" applyAlignment="1">
      <alignment horizontal="center" vertical="center"/>
    </xf>
    <xf numFmtId="175" fontId="146" fillId="0" borderId="5" xfId="0" applyNumberFormat="1" applyFont="1" applyBorder="1" applyAlignment="1">
      <alignment horizontal="center" vertical="center"/>
    </xf>
    <xf numFmtId="175" fontId="35" fillId="0" borderId="5" xfId="0" applyNumberFormat="1" applyFont="1" applyBorder="1"/>
    <xf numFmtId="179" fontId="132"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47" fillId="0" borderId="37" xfId="5" applyNumberFormat="1" applyFont="1" applyFill="1" applyBorder="1" applyAlignment="1" applyProtection="1">
      <protection hidden="1"/>
    </xf>
    <xf numFmtId="179" fontId="137" fillId="0" borderId="0" xfId="0" applyNumberFormat="1" applyFont="1"/>
    <xf numFmtId="0" fontId="137" fillId="0" borderId="0" xfId="0" applyFont="1"/>
    <xf numFmtId="14" fontId="136" fillId="0" borderId="0" xfId="0" applyNumberFormat="1" applyFont="1" applyAlignment="1">
      <alignment horizontal="left"/>
    </xf>
    <xf numFmtId="166" fontId="35" fillId="0" borderId="36" xfId="18" applyFont="1" applyFill="1" applyBorder="1" applyAlignment="1" applyProtection="1">
      <protection hidden="1"/>
    </xf>
    <xf numFmtId="166" fontId="35" fillId="0" borderId="37" xfId="18" applyFont="1" applyFill="1" applyBorder="1" applyAlignment="1" applyProtection="1">
      <protection hidden="1"/>
    </xf>
    <xf numFmtId="166" fontId="132" fillId="0" borderId="37" xfId="18" applyFont="1" applyBorder="1"/>
    <xf numFmtId="1" fontId="132"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36" fillId="0" borderId="0" xfId="63" applyNumberFormat="1" applyFont="1" applyAlignment="1">
      <alignment horizontal="left"/>
    </xf>
    <xf numFmtId="0" fontId="35" fillId="0" borderId="0" xfId="103" applyFont="1"/>
    <xf numFmtId="3" fontId="142" fillId="64" borderId="37" xfId="62" applyNumberFormat="1" applyFont="1" applyFill="1" applyBorder="1" applyAlignment="1" applyProtection="1">
      <alignment horizontal="center"/>
      <protection hidden="1"/>
    </xf>
    <xf numFmtId="49" fontId="77" fillId="65" borderId="37" xfId="62" applyNumberFormat="1" applyFont="1" applyFill="1" applyBorder="1" applyAlignment="1" applyProtection="1">
      <alignment horizontal="left" vertical="top"/>
      <protection hidden="1"/>
    </xf>
    <xf numFmtId="2" fontId="79" fillId="63" borderId="37" xfId="89" applyNumberFormat="1" applyFont="1" applyFill="1" applyBorder="1" applyAlignment="1">
      <alignment vertical="top" wrapText="1"/>
    </xf>
    <xf numFmtId="2" fontId="78" fillId="0" borderId="37" xfId="0" applyNumberFormat="1" applyFont="1" applyBorder="1"/>
    <xf numFmtId="1" fontId="35" fillId="2" borderId="37" xfId="8" applyNumberFormat="1" applyFont="1" applyFill="1" applyBorder="1" applyAlignment="1">
      <alignment horizontal="center"/>
    </xf>
    <xf numFmtId="2" fontId="78" fillId="0" borderId="37" xfId="89" applyNumberFormat="1" applyFont="1" applyBorder="1"/>
    <xf numFmtId="0" fontId="84" fillId="0" borderId="37" xfId="0" applyFont="1" applyBorder="1"/>
    <xf numFmtId="0" fontId="80" fillId="0" borderId="37" xfId="89" applyFont="1" applyBorder="1"/>
    <xf numFmtId="2" fontId="132" fillId="2" borderId="37" xfId="8" applyNumberFormat="1" applyFont="1" applyFill="1" applyBorder="1" applyAlignment="1">
      <alignment horizontal="center"/>
    </xf>
    <xf numFmtId="166" fontId="35" fillId="2" borderId="37" xfId="18" applyFont="1" applyFill="1" applyBorder="1" applyAlignment="1">
      <alignment horizontal="center"/>
    </xf>
    <xf numFmtId="166" fontId="132" fillId="2" borderId="37" xfId="18" applyFont="1" applyFill="1" applyBorder="1"/>
    <xf numFmtId="49" fontId="112" fillId="65" borderId="37" xfId="9" applyNumberFormat="1" applyFont="1" applyFill="1" applyBorder="1" applyAlignment="1" applyProtection="1">
      <alignment horizontal="left" vertical="top"/>
      <protection hidden="1"/>
    </xf>
    <xf numFmtId="1" fontId="110" fillId="0" borderId="36" xfId="0" applyNumberFormat="1" applyFont="1" applyBorder="1" applyAlignment="1">
      <alignment horizontal="left" vertical="center"/>
    </xf>
    <xf numFmtId="1" fontId="110" fillId="0" borderId="38" xfId="0" applyNumberFormat="1" applyFont="1" applyBorder="1" applyAlignment="1">
      <alignment horizontal="left" vertical="center"/>
    </xf>
    <xf numFmtId="1" fontId="140" fillId="0" borderId="38" xfId="0" applyNumberFormat="1" applyFont="1" applyBorder="1" applyAlignment="1">
      <alignment horizontal="center" vertical="center" wrapText="1"/>
    </xf>
    <xf numFmtId="1" fontId="110" fillId="0" borderId="35" xfId="0" applyNumberFormat="1" applyFont="1" applyBorder="1" applyAlignment="1">
      <alignment horizontal="center" vertical="center" wrapText="1"/>
    </xf>
    <xf numFmtId="2" fontId="114" fillId="63" borderId="37" xfId="0" applyNumberFormat="1" applyFont="1" applyFill="1" applyBorder="1" applyAlignment="1">
      <alignment horizontal="left" vertical="center" wrapText="1"/>
    </xf>
    <xf numFmtId="1" fontId="114" fillId="63" borderId="37" xfId="0" applyNumberFormat="1" applyFont="1" applyFill="1" applyBorder="1" applyAlignment="1">
      <alignment horizontal="center" vertical="center" wrapText="1"/>
    </xf>
    <xf numFmtId="9" fontId="130" fillId="64" borderId="37" xfId="61" applyNumberFormat="1" applyFont="1" applyFill="1" applyBorder="1" applyAlignment="1">
      <alignment horizontal="center" vertical="center"/>
    </xf>
    <xf numFmtId="0" fontId="114" fillId="63" borderId="37" xfId="0" applyFont="1" applyFill="1" applyBorder="1" applyAlignment="1">
      <alignment horizontal="left" vertical="center" wrapText="1"/>
    </xf>
    <xf numFmtId="2" fontId="114" fillId="63" borderId="37" xfId="0" applyNumberFormat="1" applyFont="1" applyFill="1" applyBorder="1" applyAlignment="1">
      <alignment horizontal="center" vertical="center" wrapText="1"/>
    </xf>
    <xf numFmtId="1" fontId="115" fillId="0" borderId="37" xfId="0" applyNumberFormat="1" applyFont="1" applyBorder="1" applyAlignment="1">
      <alignment horizontal="center" vertical="center" wrapText="1"/>
    </xf>
    <xf numFmtId="0" fontId="78" fillId="2" borderId="37" xfId="0" applyFont="1" applyFill="1" applyBorder="1" applyAlignment="1">
      <alignment vertical="center"/>
    </xf>
    <xf numFmtId="173" fontId="132"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8" fillId="0" borderId="37" xfId="0" applyFont="1" applyBorder="1" applyAlignment="1">
      <alignment horizontal="center" vertical="center"/>
    </xf>
    <xf numFmtId="0" fontId="78" fillId="0" borderId="37" xfId="0" applyFont="1" applyBorder="1" applyAlignment="1">
      <alignment vertical="center"/>
    </xf>
    <xf numFmtId="173" fontId="132" fillId="0" borderId="37" xfId="8" applyNumberFormat="1" applyFont="1" applyFill="1" applyBorder="1" applyAlignment="1">
      <alignment horizontal="center"/>
    </xf>
    <xf numFmtId="173" fontId="139" fillId="0" borderId="37" xfId="8" applyNumberFormat="1" applyFont="1" applyFill="1" applyBorder="1" applyAlignment="1">
      <alignment horizontal="center"/>
    </xf>
    <xf numFmtId="49" fontId="35" fillId="0" borderId="37" xfId="0" applyNumberFormat="1" applyFont="1" applyBorder="1" applyAlignment="1">
      <alignment horizontal="center"/>
    </xf>
    <xf numFmtId="49" fontId="139" fillId="0" borderId="37" xfId="17" applyNumberFormat="1" applyFont="1" applyBorder="1" applyAlignment="1">
      <alignment horizontal="center"/>
    </xf>
    <xf numFmtId="0" fontId="80" fillId="0" borderId="37" xfId="0" applyFont="1" applyBorder="1" applyAlignment="1">
      <alignment vertical="center"/>
    </xf>
    <xf numFmtId="0" fontId="132" fillId="0" borderId="37" xfId="0" applyFont="1" applyBorder="1"/>
    <xf numFmtId="0" fontId="139" fillId="0" borderId="37" xfId="17" applyFont="1" applyBorder="1" applyAlignment="1">
      <alignment horizontal="left"/>
    </xf>
    <xf numFmtId="173" fontId="132" fillId="0" borderId="37" xfId="8" applyNumberFormat="1" applyFont="1" applyFill="1" applyBorder="1" applyAlignment="1">
      <alignment horizontal="center" vertical="center"/>
    </xf>
    <xf numFmtId="0" fontId="80" fillId="0" borderId="37" xfId="0" applyFont="1" applyBorder="1" applyAlignment="1">
      <alignment horizontal="center" vertical="center"/>
    </xf>
    <xf numFmtId="1" fontId="114" fillId="63" borderId="37" xfId="0" applyNumberFormat="1" applyFont="1" applyFill="1" applyBorder="1" applyAlignment="1">
      <alignment horizontal="left"/>
    </xf>
    <xf numFmtId="1" fontId="114" fillId="63" borderId="37" xfId="0" applyNumberFormat="1" applyFont="1" applyFill="1" applyBorder="1" applyAlignment="1">
      <alignment horizontal="center"/>
    </xf>
    <xf numFmtId="9" fontId="133" fillId="63" borderId="32" xfId="16" applyFont="1" applyFill="1" applyBorder="1" applyAlignment="1">
      <alignment horizontal="center" vertical="top" wrapText="1"/>
    </xf>
    <xf numFmtId="0" fontId="114" fillId="63" borderId="32" xfId="0" applyFont="1" applyFill="1" applyBorder="1" applyAlignment="1">
      <alignment horizontal="left" vertical="top" wrapText="1"/>
    </xf>
    <xf numFmtId="182" fontId="114" fillId="63" borderId="32" xfId="8" applyNumberFormat="1" applyFont="1" applyFill="1" applyBorder="1" applyAlignment="1">
      <alignment horizontal="left" vertical="top" wrapText="1"/>
    </xf>
    <xf numFmtId="167" fontId="116" fillId="63" borderId="32" xfId="8" applyFont="1" applyFill="1" applyBorder="1" applyAlignment="1">
      <alignment horizontal="center" vertical="top" wrapText="1"/>
    </xf>
    <xf numFmtId="1" fontId="78" fillId="0" borderId="37" xfId="0" applyNumberFormat="1" applyFont="1" applyBorder="1" applyAlignment="1">
      <alignment horizontal="center"/>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34" fillId="0" borderId="37" xfId="0" applyNumberFormat="1" applyFont="1" applyBorder="1" applyAlignment="1">
      <alignment horizontal="center"/>
    </xf>
    <xf numFmtId="1" fontId="137" fillId="0" borderId="37" xfId="8" applyNumberFormat="1" applyFont="1" applyFill="1" applyBorder="1" applyAlignment="1">
      <alignment horizontal="center"/>
    </xf>
    <xf numFmtId="2" fontId="85" fillId="0" borderId="37" xfId="8" applyNumberFormat="1" applyFont="1" applyFill="1" applyBorder="1" applyAlignment="1">
      <alignment horizontal="center"/>
    </xf>
    <xf numFmtId="173" fontId="137" fillId="0" borderId="37" xfId="8" applyNumberFormat="1" applyFont="1" applyFill="1" applyBorder="1" applyAlignment="1">
      <alignment horizontal="center"/>
    </xf>
    <xf numFmtId="0" fontId="78" fillId="0" borderId="35" xfId="0" applyFont="1" applyBorder="1"/>
    <xf numFmtId="0" fontId="78" fillId="0" borderId="32" xfId="0" applyFont="1" applyBorder="1"/>
    <xf numFmtId="2" fontId="35" fillId="0" borderId="35" xfId="0" applyNumberFormat="1" applyFont="1" applyBorder="1" applyAlignment="1">
      <alignment horizontal="right"/>
    </xf>
    <xf numFmtId="2" fontId="78" fillId="0" borderId="39" xfId="0" applyNumberFormat="1" applyFont="1" applyBorder="1"/>
    <xf numFmtId="1" fontId="78" fillId="0" borderId="39" xfId="0" applyNumberFormat="1" applyFont="1" applyBorder="1" applyAlignment="1">
      <alignment horizontal="center"/>
    </xf>
    <xf numFmtId="174" fontId="35" fillId="0" borderId="39" xfId="0" applyNumberFormat="1" applyFont="1" applyBorder="1" applyAlignment="1">
      <alignment horizontal="center"/>
    </xf>
    <xf numFmtId="0" fontId="78" fillId="0" borderId="39" xfId="8" applyNumberFormat="1" applyFont="1" applyFill="1" applyBorder="1" applyAlignment="1"/>
    <xf numFmtId="0" fontId="78" fillId="0" borderId="39" xfId="0" applyFont="1" applyBorder="1"/>
    <xf numFmtId="2" fontId="78" fillId="0" borderId="39" xfId="0" applyNumberFormat="1" applyFont="1" applyBorder="1" applyAlignment="1">
      <alignment horizontal="right"/>
    </xf>
    <xf numFmtId="1" fontId="82" fillId="0" borderId="39" xfId="0" applyNumberFormat="1" applyFont="1" applyBorder="1" applyAlignment="1">
      <alignment horizontal="center"/>
    </xf>
    <xf numFmtId="43" fontId="85" fillId="0" borderId="39" xfId="8" applyNumberFormat="1" applyFont="1" applyFill="1" applyBorder="1" applyAlignment="1">
      <alignment horizontal="center"/>
    </xf>
    <xf numFmtId="0" fontId="113" fillId="64" borderId="37" xfId="13" applyFont="1" applyFill="1" applyBorder="1" applyProtection="1">
      <protection hidden="1"/>
    </xf>
    <xf numFmtId="2" fontId="120" fillId="63" borderId="36" xfId="13" applyNumberFormat="1" applyFont="1" applyFill="1" applyBorder="1" applyAlignment="1" applyProtection="1">
      <alignment horizontal="left" vertical="center"/>
      <protection hidden="1"/>
    </xf>
    <xf numFmtId="2" fontId="91" fillId="63" borderId="38" xfId="11" applyNumberFormat="1" applyFont="1" applyFill="1" applyBorder="1" applyProtection="1">
      <protection hidden="1"/>
    </xf>
    <xf numFmtId="2" fontId="91" fillId="63" borderId="35" xfId="11" applyNumberFormat="1" applyFont="1" applyFill="1" applyBorder="1" applyProtection="1">
      <protection hidden="1"/>
    </xf>
    <xf numFmtId="2" fontId="78" fillId="0" borderId="36" xfId="11" applyNumberFormat="1" applyFont="1" applyBorder="1" applyProtection="1">
      <protection hidden="1"/>
    </xf>
    <xf numFmtId="2" fontId="78" fillId="0" borderId="35" xfId="11" applyNumberFormat="1" applyFont="1" applyBorder="1" applyProtection="1">
      <protection hidden="1"/>
    </xf>
    <xf numFmtId="0" fontId="80" fillId="0" borderId="36" xfId="0" applyFont="1" applyBorder="1"/>
    <xf numFmtId="0" fontId="80" fillId="0" borderId="35" xfId="0" applyFont="1" applyBorder="1"/>
    <xf numFmtId="177" fontId="132"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32" fillId="0" borderId="35" xfId="0" applyNumberFormat="1" applyFont="1" applyBorder="1"/>
    <xf numFmtId="2" fontId="80" fillId="0" borderId="37" xfId="11" applyNumberFormat="1" applyFont="1" applyBorder="1" applyAlignment="1" applyProtection="1">
      <alignment horizontal="center"/>
      <protection hidden="1"/>
    </xf>
    <xf numFmtId="179" fontId="142" fillId="0" borderId="37" xfId="13" applyNumberFormat="1" applyFont="1" applyBorder="1" applyAlignment="1" applyProtection="1">
      <alignment horizontal="left" vertical="center"/>
      <protection hidden="1"/>
    </xf>
    <xf numFmtId="166" fontId="142" fillId="64" borderId="37" xfId="18" applyFont="1" applyFill="1" applyBorder="1" applyAlignment="1" applyProtection="1">
      <alignment horizontal="right" vertical="center"/>
      <protection hidden="1"/>
    </xf>
    <xf numFmtId="0" fontId="78"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8" fillId="0" borderId="38" xfId="0" applyFont="1" applyBorder="1"/>
    <xf numFmtId="0" fontId="80" fillId="0" borderId="36" xfId="13" applyFont="1" applyBorder="1" applyAlignment="1" applyProtection="1">
      <alignment vertical="center"/>
      <protection hidden="1"/>
    </xf>
    <xf numFmtId="0" fontId="80" fillId="0" borderId="38" xfId="0" applyFont="1" applyBorder="1"/>
    <xf numFmtId="10" fontId="132" fillId="0" borderId="37" xfId="16" applyNumberFormat="1" applyFont="1" applyFill="1" applyBorder="1" applyAlignment="1"/>
    <xf numFmtId="0" fontId="120" fillId="63" borderId="36" xfId="13" applyFont="1" applyFill="1" applyBorder="1" applyAlignment="1" applyProtection="1">
      <alignment horizontal="left" vertical="center"/>
      <protection hidden="1"/>
    </xf>
    <xf numFmtId="0" fontId="121" fillId="63" borderId="38" xfId="13" applyFont="1" applyFill="1" applyBorder="1" applyAlignment="1" applyProtection="1">
      <alignment horizontal="left" vertical="center"/>
      <protection hidden="1"/>
    </xf>
    <xf numFmtId="9" fontId="122" fillId="63" borderId="35" xfId="13" applyNumberFormat="1" applyFont="1" applyFill="1" applyBorder="1" applyAlignment="1" applyProtection="1">
      <alignment vertical="center"/>
      <protection hidden="1"/>
    </xf>
    <xf numFmtId="0" fontId="114" fillId="63" borderId="37" xfId="13" applyFont="1" applyFill="1" applyBorder="1" applyAlignment="1" applyProtection="1">
      <alignment horizontal="left" vertical="center"/>
      <protection hidden="1"/>
    </xf>
    <xf numFmtId="0" fontId="88" fillId="0" borderId="37" xfId="13" applyFont="1" applyBorder="1" applyAlignment="1" applyProtection="1">
      <alignment horizontal="left" vertical="center"/>
      <protection hidden="1"/>
    </xf>
    <xf numFmtId="2" fontId="142" fillId="2" borderId="37" xfId="13" applyNumberFormat="1" applyFont="1" applyFill="1" applyBorder="1" applyAlignment="1" applyProtection="1">
      <alignment horizontal="right" vertical="center"/>
      <protection hidden="1"/>
    </xf>
    <xf numFmtId="0" fontId="80" fillId="0" borderId="37" xfId="13" applyFont="1" applyBorder="1" applyAlignment="1" applyProtection="1">
      <alignment vertical="center"/>
      <protection hidden="1"/>
    </xf>
    <xf numFmtId="2" fontId="132" fillId="0" borderId="37" xfId="13" applyNumberFormat="1" applyFont="1" applyBorder="1" applyAlignment="1" applyProtection="1">
      <alignment vertical="center"/>
      <protection hidden="1"/>
    </xf>
    <xf numFmtId="0" fontId="92" fillId="0" borderId="37" xfId="13" applyFont="1" applyBorder="1" applyAlignment="1" applyProtection="1">
      <alignment vertical="center"/>
      <protection hidden="1"/>
    </xf>
    <xf numFmtId="0" fontId="35" fillId="0" borderId="37" xfId="0" applyFont="1" applyBorder="1" applyAlignment="1">
      <alignment vertical="center"/>
    </xf>
    <xf numFmtId="2" fontId="142" fillId="64" borderId="37" xfId="13" applyNumberFormat="1" applyFont="1" applyFill="1" applyBorder="1" applyAlignment="1" applyProtection="1">
      <alignment horizontal="right" vertical="center"/>
      <protection hidden="1"/>
    </xf>
    <xf numFmtId="0" fontId="93" fillId="0" borderId="37" xfId="13" applyFont="1" applyBorder="1" applyAlignment="1" applyProtection="1">
      <alignment vertical="center"/>
      <protection hidden="1"/>
    </xf>
    <xf numFmtId="0" fontId="78" fillId="0" borderId="37" xfId="13" applyFont="1" applyBorder="1" applyAlignment="1" applyProtection="1">
      <alignment vertical="center"/>
      <protection hidden="1"/>
    </xf>
    <xf numFmtId="10" fontId="142" fillId="0" borderId="37" xfId="16" applyNumberFormat="1" applyFont="1" applyFill="1" applyBorder="1" applyAlignment="1" applyProtection="1">
      <alignment vertical="center"/>
      <protection hidden="1"/>
    </xf>
    <xf numFmtId="10" fontId="132" fillId="0" borderId="37" xfId="16" applyNumberFormat="1" applyFont="1" applyFill="1" applyBorder="1" applyAlignment="1" applyProtection="1">
      <alignment vertical="center"/>
      <protection hidden="1"/>
    </xf>
    <xf numFmtId="2" fontId="123" fillId="63" borderId="38" xfId="13" applyNumberFormat="1" applyFont="1" applyFill="1" applyBorder="1" applyAlignment="1" applyProtection="1">
      <alignment horizontal="center" wrapText="1"/>
      <protection hidden="1"/>
    </xf>
    <xf numFmtId="2" fontId="123" fillId="63" borderId="35" xfId="13" applyNumberFormat="1" applyFont="1" applyFill="1" applyBorder="1" applyAlignment="1" applyProtection="1">
      <alignment horizontal="right" wrapText="1"/>
      <protection hidden="1"/>
    </xf>
    <xf numFmtId="2" fontId="100" fillId="0" borderId="38" xfId="3" applyNumberFormat="1" applyFont="1" applyFill="1" applyBorder="1" applyAlignment="1" applyProtection="1">
      <alignment horizontal="center" vertical="center"/>
      <protection hidden="1"/>
    </xf>
    <xf numFmtId="2" fontId="100" fillId="0" borderId="35" xfId="3" applyNumberFormat="1" applyFont="1" applyFill="1" applyBorder="1" applyAlignment="1" applyProtection="1">
      <alignment horizontal="right" vertical="center"/>
      <protection hidden="1"/>
    </xf>
    <xf numFmtId="175" fontId="143" fillId="0" borderId="40" xfId="0" applyNumberFormat="1" applyFont="1" applyBorder="1" applyAlignment="1">
      <alignment horizontal="center" vertical="center"/>
    </xf>
    <xf numFmtId="2" fontId="101" fillId="0" borderId="38" xfId="3" applyNumberFormat="1" applyFont="1" applyFill="1" applyBorder="1" applyAlignment="1" applyProtection="1">
      <alignment horizontal="left" vertical="center"/>
      <protection hidden="1"/>
    </xf>
    <xf numFmtId="2" fontId="95" fillId="0" borderId="35" xfId="3" applyNumberFormat="1" applyFont="1" applyFill="1" applyBorder="1" applyAlignment="1" applyProtection="1">
      <alignment horizontal="right" vertical="center"/>
      <protection hidden="1"/>
    </xf>
    <xf numFmtId="10" fontId="102" fillId="0" borderId="35" xfId="16" applyNumberFormat="1" applyFont="1" applyFill="1" applyBorder="1" applyAlignment="1" applyProtection="1">
      <alignment horizontal="right"/>
      <protection hidden="1"/>
    </xf>
    <xf numFmtId="0" fontId="80" fillId="0" borderId="36" xfId="13" applyFont="1" applyBorder="1" applyProtection="1">
      <protection hidden="1"/>
    </xf>
    <xf numFmtId="0" fontId="104" fillId="0" borderId="38" xfId="13" applyFont="1" applyBorder="1" applyProtection="1">
      <protection hidden="1"/>
    </xf>
    <xf numFmtId="0" fontId="104" fillId="0" borderId="35" xfId="13" applyFont="1" applyBorder="1" applyAlignment="1" applyProtection="1">
      <alignment horizontal="right"/>
      <protection hidden="1"/>
    </xf>
    <xf numFmtId="0" fontId="102" fillId="0" borderId="38" xfId="13" applyFont="1" applyBorder="1" applyAlignment="1" applyProtection="1">
      <alignment horizontal="right"/>
      <protection hidden="1"/>
    </xf>
    <xf numFmtId="0" fontId="102" fillId="0" borderId="35" xfId="13" applyFont="1" applyBorder="1" applyAlignment="1" applyProtection="1">
      <alignment horizontal="right"/>
      <protection hidden="1"/>
    </xf>
    <xf numFmtId="0" fontId="88" fillId="0" borderId="36" xfId="13" applyFont="1" applyBorder="1" applyProtection="1">
      <protection hidden="1"/>
    </xf>
    <xf numFmtId="10" fontId="148" fillId="64" borderId="37" xfId="16" applyNumberFormat="1" applyFont="1" applyFill="1" applyBorder="1" applyAlignment="1" applyProtection="1">
      <alignment horizontal="right"/>
      <protection hidden="1"/>
    </xf>
    <xf numFmtId="0" fontId="103" fillId="0" borderId="38" xfId="13" applyFont="1" applyBorder="1" applyAlignment="1" applyProtection="1">
      <alignment horizontal="center"/>
      <protection hidden="1"/>
    </xf>
    <xf numFmtId="175" fontId="144" fillId="0" borderId="37" xfId="16" applyNumberFormat="1" applyFont="1" applyFill="1" applyBorder="1" applyAlignment="1" applyProtection="1">
      <alignment horizontal="center"/>
      <protection hidden="1"/>
    </xf>
    <xf numFmtId="0" fontId="85" fillId="0" borderId="36" xfId="13" applyFont="1" applyBorder="1" applyProtection="1">
      <protection hidden="1"/>
    </xf>
    <xf numFmtId="10" fontId="102" fillId="0" borderId="38" xfId="13" applyNumberFormat="1" applyFont="1" applyBorder="1" applyAlignment="1" applyProtection="1">
      <alignment horizontal="right"/>
      <protection hidden="1"/>
    </xf>
    <xf numFmtId="175" fontId="103" fillId="0" borderId="35" xfId="16" applyNumberFormat="1" applyFont="1" applyFill="1" applyBorder="1" applyAlignment="1" applyProtection="1">
      <alignment horizontal="right"/>
      <protection hidden="1"/>
    </xf>
    <xf numFmtId="9" fontId="142" fillId="64" borderId="37" xfId="16" applyFont="1" applyFill="1" applyBorder="1" applyAlignment="1" applyProtection="1">
      <alignment horizontal="center"/>
      <protection hidden="1"/>
    </xf>
    <xf numFmtId="0" fontId="106" fillId="0" borderId="38" xfId="13" applyFont="1" applyBorder="1" applyAlignment="1" applyProtection="1">
      <alignment horizontal="center"/>
      <protection hidden="1"/>
    </xf>
    <xf numFmtId="169" fontId="103" fillId="0" borderId="38" xfId="13" applyNumberFormat="1" applyFont="1" applyBorder="1" applyAlignment="1" applyProtection="1">
      <alignment horizontal="center"/>
      <protection hidden="1"/>
    </xf>
    <xf numFmtId="165" fontId="103" fillId="0" borderId="38" xfId="13" applyNumberFormat="1" applyFont="1" applyBorder="1" applyAlignment="1" applyProtection="1">
      <alignment horizontal="center"/>
      <protection hidden="1"/>
    </xf>
    <xf numFmtId="9" fontId="132" fillId="0" borderId="37" xfId="0" applyNumberFormat="1" applyFont="1" applyBorder="1" applyAlignment="1">
      <alignment horizontal="center"/>
    </xf>
    <xf numFmtId="9" fontId="132" fillId="61" borderId="37" xfId="65" applyFont="1" applyFill="1" applyBorder="1" applyAlignment="1">
      <alignment horizontal="center"/>
    </xf>
    <xf numFmtId="0" fontId="78" fillId="64" borderId="36" xfId="13" applyFont="1" applyFill="1" applyBorder="1" applyProtection="1">
      <protection hidden="1"/>
    </xf>
    <xf numFmtId="0" fontId="103" fillId="64" borderId="38" xfId="13" applyFont="1" applyFill="1" applyBorder="1" applyAlignment="1" applyProtection="1">
      <alignment horizontal="center"/>
      <protection hidden="1"/>
    </xf>
    <xf numFmtId="0" fontId="103" fillId="64" borderId="35" xfId="13" applyFont="1" applyFill="1" applyBorder="1" applyAlignment="1" applyProtection="1">
      <alignment horizontal="right"/>
      <protection hidden="1"/>
    </xf>
    <xf numFmtId="167" fontId="103" fillId="0" borderId="35" xfId="8" applyFont="1" applyFill="1" applyBorder="1" applyAlignment="1" applyProtection="1">
      <alignment horizontal="right"/>
      <protection hidden="1"/>
    </xf>
    <xf numFmtId="10" fontId="103" fillId="0" borderId="35" xfId="16" applyNumberFormat="1" applyFont="1" applyFill="1" applyBorder="1" applyAlignment="1" applyProtection="1">
      <alignment horizontal="right"/>
      <protection hidden="1"/>
    </xf>
    <xf numFmtId="10" fontId="103" fillId="64" borderId="35" xfId="16" applyNumberFormat="1" applyFont="1" applyFill="1" applyBorder="1" applyAlignment="1" applyProtection="1">
      <alignment horizontal="right"/>
      <protection hidden="1"/>
    </xf>
    <xf numFmtId="0" fontId="103" fillId="0" borderId="38" xfId="13" applyFont="1" applyBorder="1" applyProtection="1">
      <protection hidden="1"/>
    </xf>
    <xf numFmtId="169" fontId="104" fillId="0" borderId="38" xfId="13" applyNumberFormat="1" applyFont="1" applyBorder="1" applyProtection="1">
      <protection hidden="1"/>
    </xf>
    <xf numFmtId="169" fontId="103" fillId="0" borderId="35" xfId="13" applyNumberFormat="1" applyFont="1" applyBorder="1" applyAlignment="1" applyProtection="1">
      <alignment horizontal="right"/>
      <protection hidden="1"/>
    </xf>
    <xf numFmtId="0" fontId="104" fillId="0" borderId="40" xfId="0" applyFont="1" applyBorder="1" applyAlignment="1">
      <alignment horizontal="right"/>
    </xf>
    <xf numFmtId="0" fontId="89" fillId="0" borderId="36" xfId="13" applyFont="1" applyBorder="1" applyProtection="1">
      <protection hidden="1"/>
    </xf>
    <xf numFmtId="169" fontId="102"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85" fillId="64" borderId="37" xfId="13" applyFont="1" applyFill="1" applyBorder="1" applyProtection="1">
      <protection hidden="1"/>
    </xf>
    <xf numFmtId="2" fontId="121" fillId="63" borderId="36" xfId="13" applyNumberFormat="1" applyFont="1" applyFill="1" applyBorder="1" applyAlignment="1" applyProtection="1">
      <alignment horizontal="left" vertical="center" wrapText="1"/>
      <protection hidden="1"/>
    </xf>
    <xf numFmtId="175" fontId="87" fillId="0" borderId="40" xfId="0" applyNumberFormat="1" applyFont="1" applyBorder="1" applyAlignment="1">
      <alignment horizontal="center" vertical="center"/>
    </xf>
    <xf numFmtId="166" fontId="142" fillId="64" borderId="37" xfId="18" applyFont="1" applyFill="1" applyBorder="1" applyAlignment="1" applyProtection="1">
      <alignment horizontal="center"/>
      <protection hidden="1"/>
    </xf>
    <xf numFmtId="166" fontId="132" fillId="0" borderId="37" xfId="18" applyFont="1" applyBorder="1" applyAlignment="1">
      <alignment horizontal="center"/>
    </xf>
    <xf numFmtId="0" fontId="113" fillId="64" borderId="37" xfId="10" applyFont="1" applyFill="1" applyBorder="1"/>
    <xf numFmtId="0" fontId="114"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44" fontId="142" fillId="35" borderId="37" xfId="66" applyFont="1" applyFill="1" applyBorder="1" applyAlignment="1" applyProtection="1">
      <protection locked="0"/>
    </xf>
    <xf numFmtId="167" fontId="132" fillId="0" borderId="37" xfId="8" applyFont="1" applyBorder="1"/>
    <xf numFmtId="0" fontId="126" fillId="64" borderId="37" xfId="10" applyFont="1" applyFill="1" applyBorder="1"/>
    <xf numFmtId="0" fontId="121" fillId="63" borderId="36" xfId="9" applyFont="1" applyFill="1" applyBorder="1" applyAlignment="1" applyProtection="1">
      <alignment horizontal="left" vertical="center"/>
      <protection hidden="1"/>
    </xf>
    <xf numFmtId="0" fontId="122" fillId="63" borderId="38" xfId="10" applyFont="1" applyFill="1" applyBorder="1"/>
    <xf numFmtId="0" fontId="127" fillId="63" borderId="38" xfId="10" applyFont="1" applyFill="1" applyBorder="1"/>
    <xf numFmtId="0" fontId="127" fillId="63" borderId="35" xfId="10" applyFont="1" applyFill="1" applyBorder="1"/>
    <xf numFmtId="0" fontId="78" fillId="0" borderId="36" xfId="9" applyFont="1" applyBorder="1" applyAlignment="1" applyProtection="1">
      <alignment horizontal="left"/>
      <protection hidden="1"/>
    </xf>
    <xf numFmtId="0" fontId="78" fillId="0" borderId="35" xfId="9" applyFont="1" applyBorder="1" applyAlignment="1" applyProtection="1">
      <alignment horizontal="left"/>
      <protection hidden="1"/>
    </xf>
    <xf numFmtId="0" fontId="78"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8" fillId="0" borderId="37" xfId="10" applyFont="1" applyBorder="1"/>
    <xf numFmtId="179" fontId="149" fillId="64" borderId="37" xfId="10" applyNumberFormat="1" applyFont="1" applyFill="1" applyBorder="1"/>
    <xf numFmtId="0" fontId="78" fillId="64" borderId="37" xfId="10" applyFont="1" applyFill="1" applyBorder="1"/>
    <xf numFmtId="0" fontId="91" fillId="63" borderId="38" xfId="10" applyFont="1" applyFill="1" applyBorder="1"/>
    <xf numFmtId="0" fontId="91" fillId="63" borderId="35" xfId="10" applyFont="1" applyFill="1" applyBorder="1"/>
    <xf numFmtId="0" fontId="78" fillId="0" borderId="36" xfId="9" applyFont="1" applyBorder="1" applyAlignment="1" applyProtection="1">
      <alignment horizontal="left" vertical="top"/>
      <protection hidden="1"/>
    </xf>
    <xf numFmtId="0" fontId="78" fillId="0" borderId="38" xfId="9" applyFont="1" applyBorder="1" applyAlignment="1" applyProtection="1">
      <alignment horizontal="left" vertical="top"/>
      <protection hidden="1"/>
    </xf>
    <xf numFmtId="0" fontId="78" fillId="0" borderId="35" xfId="9" applyFont="1" applyBorder="1" applyAlignment="1" applyProtection="1">
      <alignment horizontal="center" vertical="top"/>
      <protection hidden="1"/>
    </xf>
    <xf numFmtId="0" fontId="78" fillId="0" borderId="37" xfId="9" applyFont="1" applyBorder="1" applyAlignment="1" applyProtection="1">
      <alignment horizontal="center"/>
      <protection hidden="1"/>
    </xf>
    <xf numFmtId="0" fontId="78" fillId="64" borderId="38" xfId="10" applyFont="1" applyFill="1" applyBorder="1"/>
    <xf numFmtId="0" fontId="78" fillId="64" borderId="36" xfId="10" applyFont="1" applyFill="1" applyBorder="1"/>
    <xf numFmtId="0" fontId="78" fillId="0" borderId="38" xfId="10" applyFont="1" applyBorder="1"/>
    <xf numFmtId="0" fontId="78" fillId="0" borderId="37" xfId="9" applyFont="1" applyBorder="1" applyAlignment="1" applyProtection="1">
      <alignment horizontal="left" vertical="center"/>
      <protection hidden="1"/>
    </xf>
    <xf numFmtId="0" fontId="78" fillId="0" borderId="36" xfId="9" applyFont="1" applyBorder="1" applyAlignment="1" applyProtection="1">
      <alignment horizontal="left" vertical="center"/>
      <protection hidden="1"/>
    </xf>
    <xf numFmtId="0" fontId="78" fillId="0" borderId="37" xfId="9" applyFont="1" applyBorder="1" applyAlignment="1" applyProtection="1">
      <alignment horizontal="left" wrapText="1"/>
      <protection hidden="1"/>
    </xf>
    <xf numFmtId="0" fontId="78" fillId="0" borderId="35" xfId="9" applyFont="1" applyBorder="1" applyAlignment="1" applyProtection="1">
      <alignment horizontal="left" wrapText="1"/>
      <protection hidden="1"/>
    </xf>
    <xf numFmtId="0" fontId="78" fillId="0" borderId="37" xfId="9" applyFont="1" applyBorder="1" applyAlignment="1" applyProtection="1">
      <alignment horizontal="right"/>
      <protection hidden="1"/>
    </xf>
    <xf numFmtId="0" fontId="126" fillId="64" borderId="37" xfId="13" applyFont="1" applyFill="1" applyBorder="1" applyProtection="1">
      <protection hidden="1"/>
    </xf>
    <xf numFmtId="173" fontId="114" fillId="63" borderId="32" xfId="8" applyNumberFormat="1" applyFont="1" applyFill="1" applyBorder="1" applyAlignment="1">
      <alignment vertical="top" wrapText="1"/>
    </xf>
    <xf numFmtId="0" fontId="78" fillId="0" borderId="37" xfId="103" applyFont="1" applyBorder="1" applyAlignment="1">
      <alignment vertical="top" wrapText="1"/>
    </xf>
    <xf numFmtId="44" fontId="35" fillId="65" borderId="37" xfId="66" applyFont="1" applyFill="1" applyBorder="1" applyAlignment="1" applyProtection="1">
      <protection locked="0"/>
    </xf>
    <xf numFmtId="0" fontId="78" fillId="0" borderId="37" xfId="103" applyFont="1" applyBorder="1" applyAlignment="1">
      <alignment vertical="top"/>
    </xf>
    <xf numFmtId="2" fontId="114" fillId="63" borderId="32" xfId="84" applyNumberFormat="1" applyFont="1" applyFill="1" applyBorder="1" applyAlignment="1">
      <alignment horizontal="left" vertical="top" wrapText="1"/>
    </xf>
    <xf numFmtId="2" fontId="114" fillId="63" borderId="32" xfId="84" applyNumberFormat="1" applyFont="1" applyFill="1" applyBorder="1" applyAlignment="1">
      <alignment vertical="top" wrapText="1"/>
    </xf>
    <xf numFmtId="2" fontId="78" fillId="0" borderId="37" xfId="84" applyNumberFormat="1" applyFont="1" applyBorder="1"/>
    <xf numFmtId="2" fontId="80" fillId="2" borderId="36" xfId="84" applyNumberFormat="1" applyFont="1" applyFill="1" applyBorder="1" applyAlignment="1">
      <alignment vertical="top" wrapText="1"/>
    </xf>
    <xf numFmtId="2" fontId="80" fillId="2" borderId="35" xfId="84" applyNumberFormat="1" applyFont="1" applyFill="1" applyBorder="1" applyAlignment="1">
      <alignment vertical="top" wrapText="1"/>
    </xf>
    <xf numFmtId="2" fontId="80" fillId="2" borderId="38" xfId="84" applyNumberFormat="1" applyFont="1" applyFill="1" applyBorder="1" applyAlignment="1">
      <alignment vertical="top" wrapText="1"/>
    </xf>
    <xf numFmtId="3" fontId="132" fillId="2" borderId="38" xfId="8" applyNumberFormat="1" applyFont="1" applyFill="1" applyBorder="1" applyAlignment="1">
      <alignment horizontal="center" vertical="top" wrapText="1"/>
    </xf>
    <xf numFmtId="2" fontId="132" fillId="2" borderId="35" xfId="84" applyNumberFormat="1" applyFont="1" applyFill="1" applyBorder="1" applyAlignment="1">
      <alignment vertical="top" wrapText="1"/>
    </xf>
    <xf numFmtId="180" fontId="132" fillId="2" borderId="36" xfId="84" applyNumberFormat="1" applyFont="1" applyFill="1" applyBorder="1" applyAlignment="1">
      <alignment vertical="top" wrapText="1"/>
    </xf>
    <xf numFmtId="2" fontId="132" fillId="2" borderId="38" xfId="84" applyNumberFormat="1" applyFont="1" applyFill="1" applyBorder="1" applyAlignment="1">
      <alignment vertical="top" wrapText="1"/>
    </xf>
    <xf numFmtId="180" fontId="132" fillId="2" borderId="35" xfId="84" applyNumberFormat="1" applyFont="1" applyFill="1" applyBorder="1" applyAlignment="1">
      <alignment vertical="top" wrapText="1"/>
    </xf>
    <xf numFmtId="3" fontId="78" fillId="0" borderId="37" xfId="8" applyNumberFormat="1" applyFont="1" applyFill="1" applyBorder="1" applyAlignment="1">
      <alignment horizontal="center" vertical="top" wrapText="1"/>
    </xf>
    <xf numFmtId="166" fontId="78" fillId="0" borderId="37" xfId="18" applyFont="1" applyBorder="1" applyAlignment="1">
      <alignment horizontal="center" vertical="top" wrapText="1"/>
    </xf>
    <xf numFmtId="44" fontId="78" fillId="0" borderId="37" xfId="66" applyFont="1" applyBorder="1" applyAlignment="1">
      <alignment vertical="top" wrapText="1"/>
    </xf>
    <xf numFmtId="49" fontId="78" fillId="0" borderId="37" xfId="103" applyNumberFormat="1" applyFont="1" applyBorder="1" applyAlignment="1">
      <alignment horizontal="center" vertical="top" wrapText="1"/>
    </xf>
    <xf numFmtId="4" fontId="142" fillId="64" borderId="37" xfId="62" applyNumberFormat="1" applyFont="1" applyFill="1" applyBorder="1" applyAlignment="1" applyProtection="1">
      <alignment horizontal="center"/>
      <protection hidden="1"/>
    </xf>
    <xf numFmtId="0" fontId="84" fillId="2" borderId="37" xfId="0" applyFont="1" applyFill="1" applyBorder="1"/>
    <xf numFmtId="0" fontId="35" fillId="2" borderId="37" xfId="0" applyFont="1" applyFill="1" applyBorder="1" applyAlignment="1">
      <alignment horizontal="center"/>
    </xf>
    <xf numFmtId="2" fontId="78" fillId="2" borderId="37" xfId="0" applyNumberFormat="1" applyFont="1" applyFill="1" applyBorder="1"/>
    <xf numFmtId="0" fontId="78" fillId="2" borderId="37" xfId="0" applyFont="1" applyFill="1" applyBorder="1"/>
    <xf numFmtId="2" fontId="35" fillId="2" borderId="37" xfId="0" applyNumberFormat="1" applyFont="1" applyFill="1" applyBorder="1" applyAlignment="1">
      <alignment horizontal="right"/>
    </xf>
    <xf numFmtId="1" fontId="134" fillId="2" borderId="37" xfId="0" applyNumberFormat="1" applyFont="1" applyFill="1" applyBorder="1" applyAlignment="1">
      <alignment horizontal="center"/>
    </xf>
    <xf numFmtId="1" fontId="138" fillId="2" borderId="37" xfId="0" applyNumberFormat="1" applyFont="1" applyFill="1" applyBorder="1" applyAlignment="1">
      <alignment horizontal="center"/>
    </xf>
    <xf numFmtId="0" fontId="78" fillId="2" borderId="4" xfId="0" applyFont="1" applyFill="1" applyBorder="1"/>
    <xf numFmtId="0" fontId="78" fillId="2" borderId="32" xfId="0" applyFont="1" applyFill="1" applyBorder="1"/>
    <xf numFmtId="0" fontId="78" fillId="2" borderId="35" xfId="0" applyFont="1" applyFill="1" applyBorder="1"/>
    <xf numFmtId="167" fontId="35" fillId="2" borderId="37" xfId="8" applyFont="1" applyFill="1" applyBorder="1"/>
    <xf numFmtId="166" fontId="35" fillId="2" borderId="37" xfId="18" applyFont="1" applyFill="1" applyBorder="1"/>
    <xf numFmtId="44" fontId="68" fillId="2" borderId="0" xfId="0" applyNumberFormat="1" applyFont="1" applyFill="1"/>
    <xf numFmtId="1" fontId="78" fillId="2" borderId="37" xfId="0" applyNumberFormat="1" applyFont="1" applyFill="1" applyBorder="1" applyAlignment="1">
      <alignment horizontal="center"/>
    </xf>
    <xf numFmtId="174" fontId="35" fillId="2" borderId="37" xfId="0" applyNumberFormat="1" applyFont="1" applyFill="1" applyBorder="1" applyAlignment="1">
      <alignment horizontal="center"/>
    </xf>
    <xf numFmtId="0" fontId="68" fillId="2" borderId="0" xfId="0" applyFont="1" applyFill="1"/>
    <xf numFmtId="0" fontId="78" fillId="2" borderId="0" xfId="0" applyFont="1" applyFill="1"/>
    <xf numFmtId="174" fontId="35" fillId="2" borderId="4" xfId="0" applyNumberFormat="1" applyFont="1" applyFill="1" applyBorder="1" applyAlignment="1">
      <alignment horizontal="center"/>
    </xf>
    <xf numFmtId="1" fontId="78" fillId="2" borderId="4" xfId="0" applyNumberFormat="1" applyFont="1" applyFill="1" applyBorder="1" applyAlignment="1">
      <alignment horizontal="center"/>
    </xf>
    <xf numFmtId="173" fontId="132" fillId="2" borderId="37" xfId="8" applyNumberFormat="1" applyFont="1" applyFill="1" applyBorder="1" applyAlignment="1">
      <alignment horizontal="center"/>
    </xf>
    <xf numFmtId="0" fontId="82" fillId="2" borderId="0" xfId="103" applyFont="1" applyFill="1" applyAlignment="1">
      <alignment horizontal="center" wrapText="1"/>
    </xf>
    <xf numFmtId="2" fontId="150" fillId="2" borderId="0" xfId="12" applyNumberFormat="1" applyFont="1" applyFill="1"/>
    <xf numFmtId="2" fontId="75" fillId="2" borderId="0" xfId="12" applyNumberFormat="1" applyFont="1" applyFill="1"/>
    <xf numFmtId="167" fontId="78" fillId="0" borderId="32" xfId="8" applyFont="1" applyBorder="1"/>
    <xf numFmtId="167" fontId="78" fillId="0" borderId="4" xfId="8" applyFont="1" applyBorder="1"/>
    <xf numFmtId="2" fontId="114" fillId="63" borderId="36" xfId="0" applyNumberFormat="1" applyFont="1" applyFill="1" applyBorder="1" applyAlignment="1">
      <alignment horizontal="center" vertical="center" wrapText="1"/>
    </xf>
    <xf numFmtId="2" fontId="114" fillId="63" borderId="38" xfId="0" applyNumberFormat="1" applyFont="1" applyFill="1" applyBorder="1" applyAlignment="1">
      <alignment horizontal="center" vertical="center" wrapText="1"/>
    </xf>
    <xf numFmtId="2" fontId="114" fillId="63" borderId="35" xfId="0" applyNumberFormat="1" applyFont="1" applyFill="1" applyBorder="1" applyAlignment="1">
      <alignment horizontal="center" vertical="center" wrapText="1"/>
    </xf>
    <xf numFmtId="0" fontId="82" fillId="2" borderId="0" xfId="0" applyFont="1" applyFill="1" applyAlignment="1">
      <alignment horizontal="center"/>
    </xf>
    <xf numFmtId="167" fontId="116" fillId="63" borderId="33" xfId="8" applyFont="1" applyFill="1" applyBorder="1" applyAlignment="1">
      <alignment horizontal="center" vertical="top" wrapText="1"/>
    </xf>
    <xf numFmtId="167" fontId="116" fillId="63" borderId="34" xfId="8" applyFont="1" applyFill="1" applyBorder="1" applyAlignment="1">
      <alignment horizontal="center" vertical="top" wrapText="1"/>
    </xf>
    <xf numFmtId="0" fontId="78" fillId="0" borderId="0" xfId="0" applyFont="1" applyAlignment="1">
      <alignment horizontal="center"/>
    </xf>
    <xf numFmtId="2" fontId="68" fillId="2" borderId="0" xfId="13" applyNumberFormat="1" applyFont="1" applyFill="1" applyAlignment="1" applyProtection="1">
      <alignment horizontal="center" vertical="center"/>
      <protection hidden="1"/>
    </xf>
    <xf numFmtId="49" fontId="114" fillId="63" borderId="36" xfId="63" applyNumberFormat="1" applyFont="1" applyFill="1" applyBorder="1" applyAlignment="1">
      <alignment horizontal="left" vertical="top" wrapText="1"/>
    </xf>
    <xf numFmtId="49" fontId="114" fillId="62" borderId="38" xfId="63" applyNumberFormat="1" applyFont="1" applyFill="1" applyBorder="1" applyAlignment="1">
      <alignment horizontal="left" vertical="top" wrapText="1"/>
    </xf>
    <xf numFmtId="49" fontId="114" fillId="62" borderId="35" xfId="63" applyNumberFormat="1" applyFont="1" applyFill="1" applyBorder="1" applyAlignment="1">
      <alignment horizontal="left" vertical="top" wrapText="1"/>
    </xf>
    <xf numFmtId="0" fontId="78" fillId="0" borderId="36" xfId="0" applyFont="1" applyBorder="1" applyAlignment="1">
      <alignment horizontal="left"/>
    </xf>
    <xf numFmtId="0" fontId="78" fillId="0" borderId="35" xfId="0" applyFont="1" applyBorder="1" applyAlignment="1">
      <alignment horizontal="left"/>
    </xf>
    <xf numFmtId="0" fontId="80" fillId="0" borderId="36" xfId="13" applyFont="1" applyBorder="1" applyAlignment="1" applyProtection="1">
      <alignment horizontal="left" vertical="center"/>
      <protection hidden="1"/>
    </xf>
    <xf numFmtId="0" fontId="80" fillId="0" borderId="35" xfId="13" applyFont="1" applyBorder="1" applyAlignment="1" applyProtection="1">
      <alignment horizontal="left" vertical="center"/>
      <protection hidden="1"/>
    </xf>
    <xf numFmtId="2" fontId="123" fillId="63" borderId="37" xfId="13" applyNumberFormat="1" applyFont="1" applyFill="1" applyBorder="1" applyAlignment="1" applyProtection="1">
      <alignment horizontal="center" vertical="center" wrapText="1"/>
      <protection hidden="1"/>
    </xf>
    <xf numFmtId="2" fontId="123" fillId="62" borderId="37" xfId="13" applyNumberFormat="1" applyFont="1" applyFill="1" applyBorder="1" applyAlignment="1" applyProtection="1">
      <alignment horizontal="center" vertical="center" wrapText="1"/>
      <protection hidden="1"/>
    </xf>
    <xf numFmtId="2" fontId="123" fillId="63" borderId="36" xfId="3" applyNumberFormat="1" applyFont="1" applyFill="1" applyBorder="1" applyAlignment="1" applyProtection="1">
      <alignment horizontal="center" vertical="center" wrapText="1"/>
      <protection hidden="1"/>
    </xf>
    <xf numFmtId="0" fontId="114" fillId="62" borderId="35" xfId="0" applyFont="1" applyFill="1" applyBorder="1" applyAlignment="1">
      <alignment horizontal="center" vertical="center" wrapText="1"/>
    </xf>
    <xf numFmtId="0" fontId="78" fillId="0" borderId="0" xfId="0" applyFont="1" applyAlignment="1">
      <alignment horizontal="left" vertical="top" wrapText="1"/>
    </xf>
    <xf numFmtId="2" fontId="123" fillId="63" borderId="36" xfId="13" applyNumberFormat="1" applyFont="1" applyFill="1" applyBorder="1" applyAlignment="1" applyProtection="1">
      <alignment horizontal="center" vertical="center" wrapText="1"/>
      <protection hidden="1"/>
    </xf>
    <xf numFmtId="2" fontId="123" fillId="62" borderId="38" xfId="13" applyNumberFormat="1" applyFont="1" applyFill="1" applyBorder="1" applyAlignment="1" applyProtection="1">
      <alignment horizontal="center" vertical="center" wrapText="1"/>
      <protection hidden="1"/>
    </xf>
    <xf numFmtId="2" fontId="123" fillId="62" borderId="35" xfId="13" applyNumberFormat="1" applyFont="1" applyFill="1" applyBorder="1" applyAlignment="1" applyProtection="1">
      <alignment horizontal="center" vertical="center" wrapText="1"/>
      <protection hidden="1"/>
    </xf>
    <xf numFmtId="2" fontId="123" fillId="63" borderId="38" xfId="13" applyNumberFormat="1" applyFont="1" applyFill="1" applyBorder="1" applyAlignment="1" applyProtection="1">
      <alignment horizontal="center" vertical="center" wrapText="1"/>
      <protection hidden="1"/>
    </xf>
    <xf numFmtId="2" fontId="123" fillId="63" borderId="35" xfId="13" applyNumberFormat="1" applyFont="1" applyFill="1" applyBorder="1" applyAlignment="1" applyProtection="1">
      <alignment horizontal="center" vertical="center" wrapText="1"/>
      <protection hidden="1"/>
    </xf>
    <xf numFmtId="0" fontId="78" fillId="0" borderId="36" xfId="9" applyFont="1" applyBorder="1" applyAlignment="1" applyProtection="1">
      <alignment horizontal="center"/>
      <protection hidden="1"/>
    </xf>
    <xf numFmtId="0" fontId="78" fillId="0" borderId="38" xfId="9" applyFont="1" applyBorder="1" applyAlignment="1" applyProtection="1">
      <alignment horizontal="center"/>
      <protection hidden="1"/>
    </xf>
    <xf numFmtId="0" fontId="78" fillId="0" borderId="35" xfId="9" applyFont="1" applyBorder="1" applyAlignment="1" applyProtection="1">
      <alignment horizontal="center"/>
      <protection hidden="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76</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115500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ysClr val="windowText" lastClr="000000"/>
              </a:solidFill>
              <a:effectLst/>
              <a:latin typeface="Georgia" panose="02040502050405020303" pitchFamily="18" charset="0"/>
              <a:ea typeface="+mn-ea"/>
              <a:cs typeface="+mn-cs"/>
            </a:rPr>
            <a:t>Algemeen</a:t>
          </a:r>
        </a:p>
        <a:p>
          <a:pPr marL="0" lvl="0" indent="0"/>
          <a:r>
            <a:rPr lang="nl-NL" sz="1200" b="0">
              <a:solidFill>
                <a:sysClr val="windowText" lastClr="000000"/>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ysClr val="windowText" lastClr="000000"/>
            </a:solidFill>
            <a:effectLst/>
            <a:latin typeface="Georgia" panose="02040502050405020303" pitchFamily="18" charset="0"/>
            <a:ea typeface="+mn-ea"/>
            <a:cs typeface="+mn-cs"/>
          </a:endParaRPr>
        </a:p>
        <a:p>
          <a:pPr lvl="0"/>
          <a:r>
            <a:rPr lang="nl-NL" sz="1200" b="0">
              <a:solidFill>
                <a:sysClr val="windowText" lastClr="000000"/>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Prijsniveau</a:t>
          </a:r>
        </a:p>
        <a:p>
          <a:r>
            <a:rPr lang="nl-NL" sz="1200" b="0">
              <a:solidFill>
                <a:sysClr val="windowText" lastClr="000000"/>
              </a:solidFill>
              <a:effectLst/>
              <a:latin typeface="Georgia" panose="02040502050405020303" pitchFamily="18" charset="0"/>
              <a:ea typeface="+mn-ea"/>
              <a:cs typeface="+mn-cs"/>
            </a:rPr>
            <a:t>Het loon- en prijspeil van </a:t>
          </a:r>
          <a:r>
            <a:rPr lang="nl-NL" sz="1200" b="0">
              <a:solidFill>
                <a:srgbClr val="FF0000"/>
              </a:solidFill>
              <a:effectLst/>
              <a:latin typeface="Georgia" panose="02040502050405020303" pitchFamily="18" charset="0"/>
              <a:ea typeface="+mn-ea"/>
              <a:cs typeface="+mn-cs"/>
            </a:rPr>
            <a:t>1 juli 2025</a:t>
          </a:r>
          <a:r>
            <a:rPr lang="nl-NL" sz="1200" b="0" baseline="0">
              <a:solidFill>
                <a:srgbClr val="FF0000"/>
              </a:solidFill>
              <a:effectLst/>
              <a:latin typeface="Georgia" panose="02040502050405020303" pitchFamily="18" charset="0"/>
              <a:ea typeface="+mn-ea"/>
              <a:cs typeface="+mn-cs"/>
            </a:rPr>
            <a:t> </a:t>
          </a:r>
          <a:r>
            <a:rPr lang="nl-NL" sz="1200" b="0">
              <a:solidFill>
                <a:sysClr val="windowText" lastClr="000000"/>
              </a:solidFill>
              <a:effectLst/>
              <a:latin typeface="Georgia" panose="02040502050405020303" pitchFamily="18" charset="0"/>
              <a:ea typeface="+mn-ea"/>
              <a:cs typeface="+mn-cs"/>
            </a:rPr>
            <a:t>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Ruimtestaat</a:t>
          </a:r>
        </a:p>
        <a:p>
          <a:r>
            <a:rPr lang="nl-NL" sz="1200" b="0">
              <a:solidFill>
                <a:sysClr val="windowText" lastClr="000000"/>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Contractjaarprijs</a:t>
          </a:r>
        </a:p>
        <a:p>
          <a:r>
            <a:rPr lang="nl-NL" sz="1200" b="0">
              <a:solidFill>
                <a:sysClr val="windowText" lastClr="000000"/>
              </a:solidFill>
              <a:effectLst/>
              <a:latin typeface="Georgia" panose="02040502050405020303" pitchFamily="18" charset="0"/>
              <a:ea typeface="+mn-ea"/>
              <a:cs typeface="+mn-cs"/>
            </a:rPr>
            <a:t>De contractjaarprijs is opgebouwd uit alle componenten die zijn opgenomen in het calculatiemodel met 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 </a:t>
          </a:r>
          <a:endParaRPr lang="nl-NL" sz="1200" b="1">
            <a:solidFill>
              <a:sysClr val="windowText" lastClr="000000"/>
            </a:solidFill>
            <a:effectLst/>
            <a:latin typeface="Georgia" panose="02040502050405020303" pitchFamily="18" charset="0"/>
            <a:ea typeface="+mn-ea"/>
            <a:cs typeface="+mn-cs"/>
          </a:endParaRPr>
        </a:p>
        <a:p>
          <a:r>
            <a:rPr lang="nl-NL" sz="1200" b="0">
              <a:solidFill>
                <a:sysClr val="windowText" lastClr="000000"/>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solidFill>
              <a:sysClr val="windowText" lastClr="000000"/>
            </a:solidFill>
            <a:effectLst/>
            <a:latin typeface="Georgia" panose="02040502050405020303" pitchFamily="18" charset="0"/>
          </a:endParaRPr>
        </a:p>
        <a:p>
          <a:endParaRPr lang="nl-NL" sz="1200" b="1">
            <a:solidFill>
              <a:sysClr val="windowText" lastClr="000000"/>
            </a:solidFill>
            <a:effectLst/>
            <a:latin typeface="Georgia" panose="02040502050405020303" pitchFamily="18" charset="0"/>
            <a:ea typeface="+mn-ea"/>
            <a:cs typeface="+mn-cs"/>
          </a:endParaRPr>
        </a:p>
        <a:p>
          <a:pPr lvl="0"/>
          <a:r>
            <a:rPr lang="nl-NL" sz="1200" b="1">
              <a:solidFill>
                <a:sysClr val="windowText" lastClr="000000"/>
              </a:solidFill>
              <a:effectLst/>
              <a:latin typeface="Georgia" panose="02040502050405020303" pitchFamily="18" charset="0"/>
              <a:ea typeface="+mn-ea"/>
              <a:cs typeface="+mn-cs"/>
            </a:rPr>
            <a:t>Uurtarieven</a:t>
          </a:r>
        </a:p>
        <a:p>
          <a:pPr marL="0" indent="0"/>
          <a:r>
            <a:rPr lang="nl-NL" sz="1200" b="0">
              <a:solidFill>
                <a:sysClr val="windowText" lastClr="000000"/>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pPr marL="0" indent="0"/>
          <a:r>
            <a:rPr lang="nl-NL" sz="12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suppletiekosten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tabSelected="1" workbookViewId="0">
      <selection activeCell="F5" sqref="F5"/>
    </sheetView>
  </sheetViews>
  <sheetFormatPr defaultRowHeight="12.6"/>
  <cols>
    <col min="1" max="1" width="27.6640625" customWidth="1"/>
  </cols>
  <sheetData>
    <row r="1" spans="1:13" ht="18.600000000000001">
      <c r="A1" s="191" t="s">
        <v>0</v>
      </c>
      <c r="B1" s="38" t="str">
        <f>'2-Kosten totaal'!B3</f>
        <v>RSG Enkhuizen</v>
      </c>
    </row>
    <row r="2" spans="1:13" ht="18.600000000000001">
      <c r="A2" s="191" t="s">
        <v>1</v>
      </c>
      <c r="B2" s="38" t="str">
        <f ca="1">MID(CELL("bestandsnaam",$B$11),SEARCH("]",CELL("bestandsnaam",$B$11),1)+1,256)</f>
        <v>1-Uitgangspunten</v>
      </c>
    </row>
    <row r="3" spans="1:13" ht="18.600000000000001">
      <c r="A3" s="191" t="s">
        <v>2</v>
      </c>
      <c r="B3" s="38" t="str">
        <f>'2-Kosten totaal'!B5</f>
        <v>Enkhuizen</v>
      </c>
    </row>
    <row r="4" spans="1:13" ht="18.600000000000001">
      <c r="A4" s="191" t="s">
        <v>3</v>
      </c>
      <c r="B4" s="38" t="str">
        <f>'2-Kosten totaal'!B6</f>
        <v>TN481900</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pageSetUpPr fitToPage="1"/>
  </sheetPr>
  <dimension ref="A1:Z20"/>
  <sheetViews>
    <sheetView showGridLines="0" topLeftCell="B1" zoomScaleNormal="100" zoomScaleSheetLayoutView="50" zoomScalePageLayoutView="50" workbookViewId="0">
      <selection activeCell="I8" sqref="I8"/>
    </sheetView>
  </sheetViews>
  <sheetFormatPr defaultColWidth="13.6640625" defaultRowHeight="13.2"/>
  <cols>
    <col min="1" max="1" width="46.109375" style="183" customWidth="1"/>
    <col min="2" max="2" width="36.33203125" style="184" bestFit="1" customWidth="1"/>
    <col min="3" max="3" width="27.5546875" style="184" customWidth="1"/>
    <col min="4" max="4" width="12.109375" style="183" customWidth="1"/>
    <col min="5" max="5" width="32.5546875" style="185" customWidth="1"/>
    <col min="6" max="6" width="35.77734375" style="186" customWidth="1"/>
    <col min="7" max="7" width="13.6640625" style="185" customWidth="1"/>
    <col min="8" max="8" width="15.88671875" style="185" customWidth="1"/>
    <col min="9" max="247" width="13.6640625" style="29"/>
    <col min="248" max="248" width="22.109375" style="29" customWidth="1"/>
    <col min="249" max="255" width="13.6640625" style="29" customWidth="1"/>
    <col min="256" max="256" width="15.88671875" style="29" customWidth="1"/>
    <col min="257" max="257" width="16.5546875" style="29" bestFit="1" customWidth="1"/>
    <col min="258" max="258" width="13.6640625" style="29" customWidth="1"/>
    <col min="259" max="259" width="17.109375" style="29" bestFit="1" customWidth="1"/>
    <col min="260" max="260" width="4" style="29" customWidth="1"/>
    <col min="261" max="261" width="13.6640625" style="29" customWidth="1"/>
    <col min="262" max="503" width="13.6640625" style="29"/>
    <col min="504" max="504" width="22.109375" style="29" customWidth="1"/>
    <col min="505" max="511" width="13.6640625" style="29" customWidth="1"/>
    <col min="512" max="512" width="15.88671875" style="29" customWidth="1"/>
    <col min="513" max="513" width="16.5546875" style="29" bestFit="1" customWidth="1"/>
    <col min="514" max="514" width="13.6640625" style="29" customWidth="1"/>
    <col min="515" max="515" width="17.109375" style="29" bestFit="1" customWidth="1"/>
    <col min="516" max="516" width="4" style="29" customWidth="1"/>
    <col min="517" max="517" width="13.6640625" style="29" customWidth="1"/>
    <col min="518" max="759" width="13.6640625" style="29"/>
    <col min="760" max="760" width="22.109375" style="29" customWidth="1"/>
    <col min="761" max="767" width="13.6640625" style="29" customWidth="1"/>
    <col min="768" max="768" width="15.88671875" style="29" customWidth="1"/>
    <col min="769" max="769" width="16.5546875" style="29" bestFit="1" customWidth="1"/>
    <col min="770" max="770" width="13.6640625" style="29" customWidth="1"/>
    <col min="771" max="771" width="17.109375" style="29" bestFit="1" customWidth="1"/>
    <col min="772" max="772" width="4" style="29" customWidth="1"/>
    <col min="773" max="773" width="13.6640625" style="29" customWidth="1"/>
    <col min="774" max="1015" width="13.6640625" style="29"/>
    <col min="1016" max="1016" width="22.109375" style="29" customWidth="1"/>
    <col min="1017" max="1023" width="13.6640625" style="29" customWidth="1"/>
    <col min="1024" max="1024" width="15.88671875" style="29" customWidth="1"/>
    <col min="1025" max="1025" width="16.5546875" style="29" bestFit="1" customWidth="1"/>
    <col min="1026" max="1026" width="13.6640625" style="29" customWidth="1"/>
    <col min="1027" max="1027" width="17.109375" style="29" bestFit="1" customWidth="1"/>
    <col min="1028" max="1028" width="4" style="29" customWidth="1"/>
    <col min="1029" max="1029" width="13.6640625" style="29" customWidth="1"/>
    <col min="1030" max="1271" width="13.6640625" style="29"/>
    <col min="1272" max="1272" width="22.109375" style="29" customWidth="1"/>
    <col min="1273" max="1279" width="13.6640625" style="29" customWidth="1"/>
    <col min="1280" max="1280" width="15.88671875" style="29" customWidth="1"/>
    <col min="1281" max="1281" width="16.5546875" style="29" bestFit="1" customWidth="1"/>
    <col min="1282" max="1282" width="13.6640625" style="29" customWidth="1"/>
    <col min="1283" max="1283" width="17.109375" style="29" bestFit="1" customWidth="1"/>
    <col min="1284" max="1284" width="4" style="29" customWidth="1"/>
    <col min="1285" max="1285" width="13.6640625" style="29" customWidth="1"/>
    <col min="1286" max="1527" width="13.6640625" style="29"/>
    <col min="1528" max="1528" width="22.109375" style="29" customWidth="1"/>
    <col min="1529" max="1535" width="13.6640625" style="29" customWidth="1"/>
    <col min="1536" max="1536" width="15.88671875" style="29" customWidth="1"/>
    <col min="1537" max="1537" width="16.5546875" style="29" bestFit="1" customWidth="1"/>
    <col min="1538" max="1538" width="13.6640625" style="29" customWidth="1"/>
    <col min="1539" max="1539" width="17.109375" style="29" bestFit="1" customWidth="1"/>
    <col min="1540" max="1540" width="4" style="29" customWidth="1"/>
    <col min="1541" max="1541" width="13.6640625" style="29" customWidth="1"/>
    <col min="1542" max="1783" width="13.6640625" style="29"/>
    <col min="1784" max="1784" width="22.109375" style="29" customWidth="1"/>
    <col min="1785" max="1791" width="13.6640625" style="29" customWidth="1"/>
    <col min="1792" max="1792" width="15.88671875" style="29" customWidth="1"/>
    <col min="1793" max="1793" width="16.5546875" style="29" bestFit="1" customWidth="1"/>
    <col min="1794" max="1794" width="13.6640625" style="29" customWidth="1"/>
    <col min="1795" max="1795" width="17.109375" style="29" bestFit="1" customWidth="1"/>
    <col min="1796" max="1796" width="4" style="29" customWidth="1"/>
    <col min="1797" max="1797" width="13.6640625" style="29" customWidth="1"/>
    <col min="1798" max="2039" width="13.6640625" style="29"/>
    <col min="2040" max="2040" width="22.109375" style="29" customWidth="1"/>
    <col min="2041" max="2047" width="13.6640625" style="29" customWidth="1"/>
    <col min="2048" max="2048" width="15.88671875" style="29" customWidth="1"/>
    <col min="2049" max="2049" width="16.5546875" style="29" bestFit="1" customWidth="1"/>
    <col min="2050" max="2050" width="13.6640625" style="29" customWidth="1"/>
    <col min="2051" max="2051" width="17.109375" style="29" bestFit="1" customWidth="1"/>
    <col min="2052" max="2052" width="4" style="29" customWidth="1"/>
    <col min="2053" max="2053" width="13.6640625" style="29" customWidth="1"/>
    <col min="2054" max="2295" width="13.6640625" style="29"/>
    <col min="2296" max="2296" width="22.109375" style="29" customWidth="1"/>
    <col min="2297" max="2303" width="13.6640625" style="29" customWidth="1"/>
    <col min="2304" max="2304" width="15.88671875" style="29" customWidth="1"/>
    <col min="2305" max="2305" width="16.5546875" style="29" bestFit="1" customWidth="1"/>
    <col min="2306" max="2306" width="13.6640625" style="29" customWidth="1"/>
    <col min="2307" max="2307" width="17.109375" style="29" bestFit="1" customWidth="1"/>
    <col min="2308" max="2308" width="4" style="29" customWidth="1"/>
    <col min="2309" max="2309" width="13.6640625" style="29" customWidth="1"/>
    <col min="2310" max="2551" width="13.6640625" style="29"/>
    <col min="2552" max="2552" width="22.109375" style="29" customWidth="1"/>
    <col min="2553" max="2559" width="13.6640625" style="29" customWidth="1"/>
    <col min="2560" max="2560" width="15.88671875" style="29" customWidth="1"/>
    <col min="2561" max="2561" width="16.5546875" style="29" bestFit="1" customWidth="1"/>
    <col min="2562" max="2562" width="13.6640625" style="29" customWidth="1"/>
    <col min="2563" max="2563" width="17.109375" style="29" bestFit="1" customWidth="1"/>
    <col min="2564" max="2564" width="4" style="29" customWidth="1"/>
    <col min="2565" max="2565" width="13.6640625" style="29" customWidth="1"/>
    <col min="2566" max="2807" width="13.6640625" style="29"/>
    <col min="2808" max="2808" width="22.109375" style="29" customWidth="1"/>
    <col min="2809" max="2815" width="13.6640625" style="29" customWidth="1"/>
    <col min="2816" max="2816" width="15.88671875" style="29" customWidth="1"/>
    <col min="2817" max="2817" width="16.5546875" style="29" bestFit="1" customWidth="1"/>
    <col min="2818" max="2818" width="13.6640625" style="29" customWidth="1"/>
    <col min="2819" max="2819" width="17.109375" style="29" bestFit="1" customWidth="1"/>
    <col min="2820" max="2820" width="4" style="29" customWidth="1"/>
    <col min="2821" max="2821" width="13.6640625" style="29" customWidth="1"/>
    <col min="2822" max="3063" width="13.6640625" style="29"/>
    <col min="3064" max="3064" width="22.109375" style="29" customWidth="1"/>
    <col min="3065" max="3071" width="13.6640625" style="29" customWidth="1"/>
    <col min="3072" max="3072" width="15.88671875" style="29" customWidth="1"/>
    <col min="3073" max="3073" width="16.5546875" style="29" bestFit="1" customWidth="1"/>
    <col min="3074" max="3074" width="13.6640625" style="29" customWidth="1"/>
    <col min="3075" max="3075" width="17.109375" style="29" bestFit="1" customWidth="1"/>
    <col min="3076" max="3076" width="4" style="29" customWidth="1"/>
    <col min="3077" max="3077" width="13.6640625" style="29" customWidth="1"/>
    <col min="3078" max="3319" width="13.6640625" style="29"/>
    <col min="3320" max="3320" width="22.109375" style="29" customWidth="1"/>
    <col min="3321" max="3327" width="13.6640625" style="29" customWidth="1"/>
    <col min="3328" max="3328" width="15.88671875" style="29" customWidth="1"/>
    <col min="3329" max="3329" width="16.5546875" style="29" bestFit="1" customWidth="1"/>
    <col min="3330" max="3330" width="13.6640625" style="29" customWidth="1"/>
    <col min="3331" max="3331" width="17.109375" style="29" bestFit="1" customWidth="1"/>
    <col min="3332" max="3332" width="4" style="29" customWidth="1"/>
    <col min="3333" max="3333" width="13.6640625" style="29" customWidth="1"/>
    <col min="3334" max="3575" width="13.6640625" style="29"/>
    <col min="3576" max="3576" width="22.109375" style="29" customWidth="1"/>
    <col min="3577" max="3583" width="13.6640625" style="29" customWidth="1"/>
    <col min="3584" max="3584" width="15.88671875" style="29" customWidth="1"/>
    <col min="3585" max="3585" width="16.5546875" style="29" bestFit="1" customWidth="1"/>
    <col min="3586" max="3586" width="13.6640625" style="29" customWidth="1"/>
    <col min="3587" max="3587" width="17.109375" style="29" bestFit="1" customWidth="1"/>
    <col min="3588" max="3588" width="4" style="29" customWidth="1"/>
    <col min="3589" max="3589" width="13.6640625" style="29" customWidth="1"/>
    <col min="3590" max="3831" width="13.6640625" style="29"/>
    <col min="3832" max="3832" width="22.109375" style="29" customWidth="1"/>
    <col min="3833" max="3839" width="13.6640625" style="29" customWidth="1"/>
    <col min="3840" max="3840" width="15.88671875" style="29" customWidth="1"/>
    <col min="3841" max="3841" width="16.5546875" style="29" bestFit="1" customWidth="1"/>
    <col min="3842" max="3842" width="13.6640625" style="29" customWidth="1"/>
    <col min="3843" max="3843" width="17.109375" style="29" bestFit="1" customWidth="1"/>
    <col min="3844" max="3844" width="4" style="29" customWidth="1"/>
    <col min="3845" max="3845" width="13.6640625" style="29" customWidth="1"/>
    <col min="3846" max="4087" width="13.6640625" style="29"/>
    <col min="4088" max="4088" width="22.109375" style="29" customWidth="1"/>
    <col min="4089" max="4095" width="13.6640625" style="29" customWidth="1"/>
    <col min="4096" max="4096" width="15.88671875" style="29" customWidth="1"/>
    <col min="4097" max="4097" width="16.5546875" style="29" bestFit="1" customWidth="1"/>
    <col min="4098" max="4098" width="13.6640625" style="29" customWidth="1"/>
    <col min="4099" max="4099" width="17.109375" style="29" bestFit="1" customWidth="1"/>
    <col min="4100" max="4100" width="4" style="29" customWidth="1"/>
    <col min="4101" max="4101" width="13.6640625" style="29" customWidth="1"/>
    <col min="4102" max="4343" width="13.6640625" style="29"/>
    <col min="4344" max="4344" width="22.109375" style="29" customWidth="1"/>
    <col min="4345" max="4351" width="13.6640625" style="29" customWidth="1"/>
    <col min="4352" max="4352" width="15.88671875" style="29" customWidth="1"/>
    <col min="4353" max="4353" width="16.5546875" style="29" bestFit="1" customWidth="1"/>
    <col min="4354" max="4354" width="13.6640625" style="29" customWidth="1"/>
    <col min="4355" max="4355" width="17.109375" style="29" bestFit="1" customWidth="1"/>
    <col min="4356" max="4356" width="4" style="29" customWidth="1"/>
    <col min="4357" max="4357" width="13.6640625" style="29" customWidth="1"/>
    <col min="4358" max="4599" width="13.6640625" style="29"/>
    <col min="4600" max="4600" width="22.109375" style="29" customWidth="1"/>
    <col min="4601" max="4607" width="13.6640625" style="29" customWidth="1"/>
    <col min="4608" max="4608" width="15.88671875" style="29" customWidth="1"/>
    <col min="4609" max="4609" width="16.5546875" style="29" bestFit="1" customWidth="1"/>
    <col min="4610" max="4610" width="13.6640625" style="29" customWidth="1"/>
    <col min="4611" max="4611" width="17.109375" style="29" bestFit="1" customWidth="1"/>
    <col min="4612" max="4612" width="4" style="29" customWidth="1"/>
    <col min="4613" max="4613" width="13.6640625" style="29" customWidth="1"/>
    <col min="4614" max="4855" width="13.6640625" style="29"/>
    <col min="4856" max="4856" width="22.109375" style="29" customWidth="1"/>
    <col min="4857" max="4863" width="13.6640625" style="29" customWidth="1"/>
    <col min="4864" max="4864" width="15.88671875" style="29" customWidth="1"/>
    <col min="4865" max="4865" width="16.5546875" style="29" bestFit="1" customWidth="1"/>
    <col min="4866" max="4866" width="13.6640625" style="29" customWidth="1"/>
    <col min="4867" max="4867" width="17.109375" style="29" bestFit="1" customWidth="1"/>
    <col min="4868" max="4868" width="4" style="29" customWidth="1"/>
    <col min="4869" max="4869" width="13.6640625" style="29" customWidth="1"/>
    <col min="4870" max="5111" width="13.6640625" style="29"/>
    <col min="5112" max="5112" width="22.109375" style="29" customWidth="1"/>
    <col min="5113" max="5119" width="13.6640625" style="29" customWidth="1"/>
    <col min="5120" max="5120" width="15.88671875" style="29" customWidth="1"/>
    <col min="5121" max="5121" width="16.5546875" style="29" bestFit="1" customWidth="1"/>
    <col min="5122" max="5122" width="13.6640625" style="29" customWidth="1"/>
    <col min="5123" max="5123" width="17.109375" style="29" bestFit="1" customWidth="1"/>
    <col min="5124" max="5124" width="4" style="29" customWidth="1"/>
    <col min="5125" max="5125" width="13.6640625" style="29" customWidth="1"/>
    <col min="5126" max="5367" width="13.6640625" style="29"/>
    <col min="5368" max="5368" width="22.109375" style="29" customWidth="1"/>
    <col min="5369" max="5375" width="13.6640625" style="29" customWidth="1"/>
    <col min="5376" max="5376" width="15.88671875" style="29" customWidth="1"/>
    <col min="5377" max="5377" width="16.5546875" style="29" bestFit="1" customWidth="1"/>
    <col min="5378" max="5378" width="13.6640625" style="29" customWidth="1"/>
    <col min="5379" max="5379" width="17.109375" style="29" bestFit="1" customWidth="1"/>
    <col min="5380" max="5380" width="4" style="29" customWidth="1"/>
    <col min="5381" max="5381" width="13.6640625" style="29" customWidth="1"/>
    <col min="5382" max="5623" width="13.6640625" style="29"/>
    <col min="5624" max="5624" width="22.109375" style="29" customWidth="1"/>
    <col min="5625" max="5631" width="13.6640625" style="29" customWidth="1"/>
    <col min="5632" max="5632" width="15.88671875" style="29" customWidth="1"/>
    <col min="5633" max="5633" width="16.5546875" style="29" bestFit="1" customWidth="1"/>
    <col min="5634" max="5634" width="13.6640625" style="29" customWidth="1"/>
    <col min="5635" max="5635" width="17.109375" style="29" bestFit="1" customWidth="1"/>
    <col min="5636" max="5636" width="4" style="29" customWidth="1"/>
    <col min="5637" max="5637" width="13.6640625" style="29" customWidth="1"/>
    <col min="5638" max="5879" width="13.6640625" style="29"/>
    <col min="5880" max="5880" width="22.109375" style="29" customWidth="1"/>
    <col min="5881" max="5887" width="13.6640625" style="29" customWidth="1"/>
    <col min="5888" max="5888" width="15.88671875" style="29" customWidth="1"/>
    <col min="5889" max="5889" width="16.5546875" style="29" bestFit="1" customWidth="1"/>
    <col min="5890" max="5890" width="13.6640625" style="29" customWidth="1"/>
    <col min="5891" max="5891" width="17.109375" style="29" bestFit="1" customWidth="1"/>
    <col min="5892" max="5892" width="4" style="29" customWidth="1"/>
    <col min="5893" max="5893" width="13.6640625" style="29" customWidth="1"/>
    <col min="5894" max="6135" width="13.6640625" style="29"/>
    <col min="6136" max="6136" width="22.109375" style="29" customWidth="1"/>
    <col min="6137" max="6143" width="13.6640625" style="29" customWidth="1"/>
    <col min="6144" max="6144" width="15.88671875" style="29" customWidth="1"/>
    <col min="6145" max="6145" width="16.5546875" style="29" bestFit="1" customWidth="1"/>
    <col min="6146" max="6146" width="13.6640625" style="29" customWidth="1"/>
    <col min="6147" max="6147" width="17.109375" style="29" bestFit="1" customWidth="1"/>
    <col min="6148" max="6148" width="4" style="29" customWidth="1"/>
    <col min="6149" max="6149" width="13.6640625" style="29" customWidth="1"/>
    <col min="6150" max="6391" width="13.6640625" style="29"/>
    <col min="6392" max="6392" width="22.109375" style="29" customWidth="1"/>
    <col min="6393" max="6399" width="13.6640625" style="29" customWidth="1"/>
    <col min="6400" max="6400" width="15.88671875" style="29" customWidth="1"/>
    <col min="6401" max="6401" width="16.5546875" style="29" bestFit="1" customWidth="1"/>
    <col min="6402" max="6402" width="13.6640625" style="29" customWidth="1"/>
    <col min="6403" max="6403" width="17.109375" style="29" bestFit="1" customWidth="1"/>
    <col min="6404" max="6404" width="4" style="29" customWidth="1"/>
    <col min="6405" max="6405" width="13.6640625" style="29" customWidth="1"/>
    <col min="6406" max="6647" width="13.6640625" style="29"/>
    <col min="6648" max="6648" width="22.109375" style="29" customWidth="1"/>
    <col min="6649" max="6655" width="13.6640625" style="29" customWidth="1"/>
    <col min="6656" max="6656" width="15.88671875" style="29" customWidth="1"/>
    <col min="6657" max="6657" width="16.5546875" style="29" bestFit="1" customWidth="1"/>
    <col min="6658" max="6658" width="13.6640625" style="29" customWidth="1"/>
    <col min="6659" max="6659" width="17.109375" style="29" bestFit="1" customWidth="1"/>
    <col min="6660" max="6660" width="4" style="29" customWidth="1"/>
    <col min="6661" max="6661" width="13.6640625" style="29" customWidth="1"/>
    <col min="6662" max="6903" width="13.6640625" style="29"/>
    <col min="6904" max="6904" width="22.109375" style="29" customWidth="1"/>
    <col min="6905" max="6911" width="13.6640625" style="29" customWidth="1"/>
    <col min="6912" max="6912" width="15.88671875" style="29" customWidth="1"/>
    <col min="6913" max="6913" width="16.5546875" style="29" bestFit="1" customWidth="1"/>
    <col min="6914" max="6914" width="13.6640625" style="29" customWidth="1"/>
    <col min="6915" max="6915" width="17.109375" style="29" bestFit="1" customWidth="1"/>
    <col min="6916" max="6916" width="4" style="29" customWidth="1"/>
    <col min="6917" max="6917" width="13.6640625" style="29" customWidth="1"/>
    <col min="6918" max="7159" width="13.6640625" style="29"/>
    <col min="7160" max="7160" width="22.109375" style="29" customWidth="1"/>
    <col min="7161" max="7167" width="13.6640625" style="29" customWidth="1"/>
    <col min="7168" max="7168" width="15.88671875" style="29" customWidth="1"/>
    <col min="7169" max="7169" width="16.5546875" style="29" bestFit="1" customWidth="1"/>
    <col min="7170" max="7170" width="13.6640625" style="29" customWidth="1"/>
    <col min="7171" max="7171" width="17.109375" style="29" bestFit="1" customWidth="1"/>
    <col min="7172" max="7172" width="4" style="29" customWidth="1"/>
    <col min="7173" max="7173" width="13.6640625" style="29" customWidth="1"/>
    <col min="7174" max="7415" width="13.6640625" style="29"/>
    <col min="7416" max="7416" width="22.109375" style="29" customWidth="1"/>
    <col min="7417" max="7423" width="13.6640625" style="29" customWidth="1"/>
    <col min="7424" max="7424" width="15.88671875" style="29" customWidth="1"/>
    <col min="7425" max="7425" width="16.5546875" style="29" bestFit="1" customWidth="1"/>
    <col min="7426" max="7426" width="13.6640625" style="29" customWidth="1"/>
    <col min="7427" max="7427" width="17.109375" style="29" bestFit="1" customWidth="1"/>
    <col min="7428" max="7428" width="4" style="29" customWidth="1"/>
    <col min="7429" max="7429" width="13.6640625" style="29" customWidth="1"/>
    <col min="7430" max="7671" width="13.6640625" style="29"/>
    <col min="7672" max="7672" width="22.109375" style="29" customWidth="1"/>
    <col min="7673" max="7679" width="13.6640625" style="29" customWidth="1"/>
    <col min="7680" max="7680" width="15.88671875" style="29" customWidth="1"/>
    <col min="7681" max="7681" width="16.5546875" style="29" bestFit="1" customWidth="1"/>
    <col min="7682" max="7682" width="13.6640625" style="29" customWidth="1"/>
    <col min="7683" max="7683" width="17.109375" style="29" bestFit="1" customWidth="1"/>
    <col min="7684" max="7684" width="4" style="29" customWidth="1"/>
    <col min="7685" max="7685" width="13.6640625" style="29" customWidth="1"/>
    <col min="7686" max="7927" width="13.6640625" style="29"/>
    <col min="7928" max="7928" width="22.109375" style="29" customWidth="1"/>
    <col min="7929" max="7935" width="13.6640625" style="29" customWidth="1"/>
    <col min="7936" max="7936" width="15.88671875" style="29" customWidth="1"/>
    <col min="7937" max="7937" width="16.5546875" style="29" bestFit="1" customWidth="1"/>
    <col min="7938" max="7938" width="13.6640625" style="29" customWidth="1"/>
    <col min="7939" max="7939" width="17.109375" style="29" bestFit="1" customWidth="1"/>
    <col min="7940" max="7940" width="4" style="29" customWidth="1"/>
    <col min="7941" max="7941" width="13.6640625" style="29" customWidth="1"/>
    <col min="7942" max="8183" width="13.6640625" style="29"/>
    <col min="8184" max="8184" width="22.109375" style="29" customWidth="1"/>
    <col min="8185" max="8191" width="13.6640625" style="29" customWidth="1"/>
    <col min="8192" max="8192" width="15.88671875" style="29" customWidth="1"/>
    <col min="8193" max="8193" width="16.5546875" style="29" bestFit="1" customWidth="1"/>
    <col min="8194" max="8194" width="13.6640625" style="29" customWidth="1"/>
    <col min="8195" max="8195" width="17.109375" style="29" bestFit="1" customWidth="1"/>
    <col min="8196" max="8196" width="4" style="29" customWidth="1"/>
    <col min="8197" max="8197" width="13.6640625" style="29" customWidth="1"/>
    <col min="8198" max="8439" width="13.6640625" style="29"/>
    <col min="8440" max="8440" width="22.109375" style="29" customWidth="1"/>
    <col min="8441" max="8447" width="13.6640625" style="29" customWidth="1"/>
    <col min="8448" max="8448" width="15.88671875" style="29" customWidth="1"/>
    <col min="8449" max="8449" width="16.5546875" style="29" bestFit="1" customWidth="1"/>
    <col min="8450" max="8450" width="13.6640625" style="29" customWidth="1"/>
    <col min="8451" max="8451" width="17.109375" style="29" bestFit="1" customWidth="1"/>
    <col min="8452" max="8452" width="4" style="29" customWidth="1"/>
    <col min="8453" max="8453" width="13.6640625" style="29" customWidth="1"/>
    <col min="8454" max="8695" width="13.6640625" style="29"/>
    <col min="8696" max="8696" width="22.109375" style="29" customWidth="1"/>
    <col min="8697" max="8703" width="13.6640625" style="29" customWidth="1"/>
    <col min="8704" max="8704" width="15.88671875" style="29" customWidth="1"/>
    <col min="8705" max="8705" width="16.5546875" style="29" bestFit="1" customWidth="1"/>
    <col min="8706" max="8706" width="13.6640625" style="29" customWidth="1"/>
    <col min="8707" max="8707" width="17.109375" style="29" bestFit="1" customWidth="1"/>
    <col min="8708" max="8708" width="4" style="29" customWidth="1"/>
    <col min="8709" max="8709" width="13.6640625" style="29" customWidth="1"/>
    <col min="8710" max="8951" width="13.6640625" style="29"/>
    <col min="8952" max="8952" width="22.109375" style="29" customWidth="1"/>
    <col min="8953" max="8959" width="13.6640625" style="29" customWidth="1"/>
    <col min="8960" max="8960" width="15.88671875" style="29" customWidth="1"/>
    <col min="8961" max="8961" width="16.5546875" style="29" bestFit="1" customWidth="1"/>
    <col min="8962" max="8962" width="13.6640625" style="29" customWidth="1"/>
    <col min="8963" max="8963" width="17.109375" style="29" bestFit="1" customWidth="1"/>
    <col min="8964" max="8964" width="4" style="29" customWidth="1"/>
    <col min="8965" max="8965" width="13.6640625" style="29" customWidth="1"/>
    <col min="8966" max="9207" width="13.6640625" style="29"/>
    <col min="9208" max="9208" width="22.109375" style="29" customWidth="1"/>
    <col min="9209" max="9215" width="13.6640625" style="29" customWidth="1"/>
    <col min="9216" max="9216" width="15.88671875" style="29" customWidth="1"/>
    <col min="9217" max="9217" width="16.5546875" style="29" bestFit="1" customWidth="1"/>
    <col min="9218" max="9218" width="13.6640625" style="29" customWidth="1"/>
    <col min="9219" max="9219" width="17.109375" style="29" bestFit="1" customWidth="1"/>
    <col min="9220" max="9220" width="4" style="29" customWidth="1"/>
    <col min="9221" max="9221" width="13.6640625" style="29" customWidth="1"/>
    <col min="9222" max="9463" width="13.6640625" style="29"/>
    <col min="9464" max="9464" width="22.109375" style="29" customWidth="1"/>
    <col min="9465" max="9471" width="13.6640625" style="29" customWidth="1"/>
    <col min="9472" max="9472" width="15.88671875" style="29" customWidth="1"/>
    <col min="9473" max="9473" width="16.5546875" style="29" bestFit="1" customWidth="1"/>
    <col min="9474" max="9474" width="13.6640625" style="29" customWidth="1"/>
    <col min="9475" max="9475" width="17.109375" style="29" bestFit="1" customWidth="1"/>
    <col min="9476" max="9476" width="4" style="29" customWidth="1"/>
    <col min="9477" max="9477" width="13.6640625" style="29" customWidth="1"/>
    <col min="9478" max="9719" width="13.6640625" style="29"/>
    <col min="9720" max="9720" width="22.109375" style="29" customWidth="1"/>
    <col min="9721" max="9727" width="13.6640625" style="29" customWidth="1"/>
    <col min="9728" max="9728" width="15.88671875" style="29" customWidth="1"/>
    <col min="9729" max="9729" width="16.5546875" style="29" bestFit="1" customWidth="1"/>
    <col min="9730" max="9730" width="13.6640625" style="29" customWidth="1"/>
    <col min="9731" max="9731" width="17.109375" style="29" bestFit="1" customWidth="1"/>
    <col min="9732" max="9732" width="4" style="29" customWidth="1"/>
    <col min="9733" max="9733" width="13.6640625" style="29" customWidth="1"/>
    <col min="9734" max="9975" width="13.6640625" style="29"/>
    <col min="9976" max="9976" width="22.109375" style="29" customWidth="1"/>
    <col min="9977" max="9983" width="13.6640625" style="29" customWidth="1"/>
    <col min="9984" max="9984" width="15.88671875" style="29" customWidth="1"/>
    <col min="9985" max="9985" width="16.5546875" style="29" bestFit="1" customWidth="1"/>
    <col min="9986" max="9986" width="13.6640625" style="29" customWidth="1"/>
    <col min="9987" max="9987" width="17.109375" style="29" bestFit="1" customWidth="1"/>
    <col min="9988" max="9988" width="4" style="29" customWidth="1"/>
    <col min="9989" max="9989" width="13.6640625" style="29" customWidth="1"/>
    <col min="9990" max="10231" width="13.6640625" style="29"/>
    <col min="10232" max="10232" width="22.109375" style="29" customWidth="1"/>
    <col min="10233" max="10239" width="13.6640625" style="29" customWidth="1"/>
    <col min="10240" max="10240" width="15.88671875" style="29" customWidth="1"/>
    <col min="10241" max="10241" width="16.5546875" style="29" bestFit="1" customWidth="1"/>
    <col min="10242" max="10242" width="13.6640625" style="29" customWidth="1"/>
    <col min="10243" max="10243" width="17.109375" style="29" bestFit="1" customWidth="1"/>
    <col min="10244" max="10244" width="4" style="29" customWidth="1"/>
    <col min="10245" max="10245" width="13.6640625" style="29" customWidth="1"/>
    <col min="10246" max="10487" width="13.6640625" style="29"/>
    <col min="10488" max="10488" width="22.109375" style="29" customWidth="1"/>
    <col min="10489" max="10495" width="13.6640625" style="29" customWidth="1"/>
    <col min="10496" max="10496" width="15.88671875" style="29" customWidth="1"/>
    <col min="10497" max="10497" width="16.5546875" style="29" bestFit="1" customWidth="1"/>
    <col min="10498" max="10498" width="13.6640625" style="29" customWidth="1"/>
    <col min="10499" max="10499" width="17.109375" style="29" bestFit="1" customWidth="1"/>
    <col min="10500" max="10500" width="4" style="29" customWidth="1"/>
    <col min="10501" max="10501" width="13.6640625" style="29" customWidth="1"/>
    <col min="10502" max="10743" width="13.6640625" style="29"/>
    <col min="10744" max="10744" width="22.109375" style="29" customWidth="1"/>
    <col min="10745" max="10751" width="13.6640625" style="29" customWidth="1"/>
    <col min="10752" max="10752" width="15.88671875" style="29" customWidth="1"/>
    <col min="10753" max="10753" width="16.5546875" style="29" bestFit="1" customWidth="1"/>
    <col min="10754" max="10754" width="13.6640625" style="29" customWidth="1"/>
    <col min="10755" max="10755" width="17.109375" style="29" bestFit="1" customWidth="1"/>
    <col min="10756" max="10756" width="4" style="29" customWidth="1"/>
    <col min="10757" max="10757" width="13.6640625" style="29" customWidth="1"/>
    <col min="10758" max="10999" width="13.6640625" style="29"/>
    <col min="11000" max="11000" width="22.109375" style="29" customWidth="1"/>
    <col min="11001" max="11007" width="13.6640625" style="29" customWidth="1"/>
    <col min="11008" max="11008" width="15.88671875" style="29" customWidth="1"/>
    <col min="11009" max="11009" width="16.5546875" style="29" bestFit="1" customWidth="1"/>
    <col min="11010" max="11010" width="13.6640625" style="29" customWidth="1"/>
    <col min="11011" max="11011" width="17.109375" style="29" bestFit="1" customWidth="1"/>
    <col min="11012" max="11012" width="4" style="29" customWidth="1"/>
    <col min="11013" max="11013" width="13.6640625" style="29" customWidth="1"/>
    <col min="11014" max="11255" width="13.6640625" style="29"/>
    <col min="11256" max="11256" width="22.109375" style="29" customWidth="1"/>
    <col min="11257" max="11263" width="13.6640625" style="29" customWidth="1"/>
    <col min="11264" max="11264" width="15.88671875" style="29" customWidth="1"/>
    <col min="11265" max="11265" width="16.5546875" style="29" bestFit="1" customWidth="1"/>
    <col min="11266" max="11266" width="13.6640625" style="29" customWidth="1"/>
    <col min="11267" max="11267" width="17.109375" style="29" bestFit="1" customWidth="1"/>
    <col min="11268" max="11268" width="4" style="29" customWidth="1"/>
    <col min="11269" max="11269" width="13.6640625" style="29" customWidth="1"/>
    <col min="11270" max="11511" width="13.6640625" style="29"/>
    <col min="11512" max="11512" width="22.109375" style="29" customWidth="1"/>
    <col min="11513" max="11519" width="13.6640625" style="29" customWidth="1"/>
    <col min="11520" max="11520" width="15.88671875" style="29" customWidth="1"/>
    <col min="11521" max="11521" width="16.5546875" style="29" bestFit="1" customWidth="1"/>
    <col min="11522" max="11522" width="13.6640625" style="29" customWidth="1"/>
    <col min="11523" max="11523" width="17.109375" style="29" bestFit="1" customWidth="1"/>
    <col min="11524" max="11524" width="4" style="29" customWidth="1"/>
    <col min="11525" max="11525" width="13.6640625" style="29" customWidth="1"/>
    <col min="11526" max="11767" width="13.6640625" style="29"/>
    <col min="11768" max="11768" width="22.109375" style="29" customWidth="1"/>
    <col min="11769" max="11775" width="13.6640625" style="29" customWidth="1"/>
    <col min="11776" max="11776" width="15.88671875" style="29" customWidth="1"/>
    <col min="11777" max="11777" width="16.5546875" style="29" bestFit="1" customWidth="1"/>
    <col min="11778" max="11778" width="13.6640625" style="29" customWidth="1"/>
    <col min="11779" max="11779" width="17.109375" style="29" bestFit="1" customWidth="1"/>
    <col min="11780" max="11780" width="4" style="29" customWidth="1"/>
    <col min="11781" max="11781" width="13.6640625" style="29" customWidth="1"/>
    <col min="11782" max="12023" width="13.6640625" style="29"/>
    <col min="12024" max="12024" width="22.109375" style="29" customWidth="1"/>
    <col min="12025" max="12031" width="13.6640625" style="29" customWidth="1"/>
    <col min="12032" max="12032" width="15.88671875" style="29" customWidth="1"/>
    <col min="12033" max="12033" width="16.5546875" style="29" bestFit="1" customWidth="1"/>
    <col min="12034" max="12034" width="13.6640625" style="29" customWidth="1"/>
    <col min="12035" max="12035" width="17.109375" style="29" bestFit="1" customWidth="1"/>
    <col min="12036" max="12036" width="4" style="29" customWidth="1"/>
    <col min="12037" max="12037" width="13.6640625" style="29" customWidth="1"/>
    <col min="12038" max="12279" width="13.6640625" style="29"/>
    <col min="12280" max="12280" width="22.109375" style="29" customWidth="1"/>
    <col min="12281" max="12287" width="13.6640625" style="29" customWidth="1"/>
    <col min="12288" max="12288" width="15.88671875" style="29" customWidth="1"/>
    <col min="12289" max="12289" width="16.5546875" style="29" bestFit="1" customWidth="1"/>
    <col min="12290" max="12290" width="13.6640625" style="29" customWidth="1"/>
    <col min="12291" max="12291" width="17.109375" style="29" bestFit="1" customWidth="1"/>
    <col min="12292" max="12292" width="4" style="29" customWidth="1"/>
    <col min="12293" max="12293" width="13.6640625" style="29" customWidth="1"/>
    <col min="12294" max="12535" width="13.6640625" style="29"/>
    <col min="12536" max="12536" width="22.109375" style="29" customWidth="1"/>
    <col min="12537" max="12543" width="13.6640625" style="29" customWidth="1"/>
    <col min="12544" max="12544" width="15.88671875" style="29" customWidth="1"/>
    <col min="12545" max="12545" width="16.5546875" style="29" bestFit="1" customWidth="1"/>
    <col min="12546" max="12546" width="13.6640625" style="29" customWidth="1"/>
    <col min="12547" max="12547" width="17.109375" style="29" bestFit="1" customWidth="1"/>
    <col min="12548" max="12548" width="4" style="29" customWidth="1"/>
    <col min="12549" max="12549" width="13.6640625" style="29" customWidth="1"/>
    <col min="12550" max="12791" width="13.6640625" style="29"/>
    <col min="12792" max="12792" width="22.109375" style="29" customWidth="1"/>
    <col min="12793" max="12799" width="13.6640625" style="29" customWidth="1"/>
    <col min="12800" max="12800" width="15.88671875" style="29" customWidth="1"/>
    <col min="12801" max="12801" width="16.5546875" style="29" bestFit="1" customWidth="1"/>
    <col min="12802" max="12802" width="13.6640625" style="29" customWidth="1"/>
    <col min="12803" max="12803" width="17.109375" style="29" bestFit="1" customWidth="1"/>
    <col min="12804" max="12804" width="4" style="29" customWidth="1"/>
    <col min="12805" max="12805" width="13.6640625" style="29" customWidth="1"/>
    <col min="12806" max="13047" width="13.6640625" style="29"/>
    <col min="13048" max="13048" width="22.109375" style="29" customWidth="1"/>
    <col min="13049" max="13055" width="13.6640625" style="29" customWidth="1"/>
    <col min="13056" max="13056" width="15.88671875" style="29" customWidth="1"/>
    <col min="13057" max="13057" width="16.5546875" style="29" bestFit="1" customWidth="1"/>
    <col min="13058" max="13058" width="13.6640625" style="29" customWidth="1"/>
    <col min="13059" max="13059" width="17.109375" style="29" bestFit="1" customWidth="1"/>
    <col min="13060" max="13060" width="4" style="29" customWidth="1"/>
    <col min="13061" max="13061" width="13.6640625" style="29" customWidth="1"/>
    <col min="13062" max="13303" width="13.6640625" style="29"/>
    <col min="13304" max="13304" width="22.109375" style="29" customWidth="1"/>
    <col min="13305" max="13311" width="13.6640625" style="29" customWidth="1"/>
    <col min="13312" max="13312" width="15.88671875" style="29" customWidth="1"/>
    <col min="13313" max="13313" width="16.5546875" style="29" bestFit="1" customWidth="1"/>
    <col min="13314" max="13314" width="13.6640625" style="29" customWidth="1"/>
    <col min="13315" max="13315" width="17.109375" style="29" bestFit="1" customWidth="1"/>
    <col min="13316" max="13316" width="4" style="29" customWidth="1"/>
    <col min="13317" max="13317" width="13.6640625" style="29" customWidth="1"/>
    <col min="13318" max="13559" width="13.6640625" style="29"/>
    <col min="13560" max="13560" width="22.109375" style="29" customWidth="1"/>
    <col min="13561" max="13567" width="13.6640625" style="29" customWidth="1"/>
    <col min="13568" max="13568" width="15.88671875" style="29" customWidth="1"/>
    <col min="13569" max="13569" width="16.5546875" style="29" bestFit="1" customWidth="1"/>
    <col min="13570" max="13570" width="13.6640625" style="29" customWidth="1"/>
    <col min="13571" max="13571" width="17.109375" style="29" bestFit="1" customWidth="1"/>
    <col min="13572" max="13572" width="4" style="29" customWidth="1"/>
    <col min="13573" max="13573" width="13.6640625" style="29" customWidth="1"/>
    <col min="13574" max="13815" width="13.6640625" style="29"/>
    <col min="13816" max="13816" width="22.109375" style="29" customWidth="1"/>
    <col min="13817" max="13823" width="13.6640625" style="29" customWidth="1"/>
    <col min="13824" max="13824" width="15.88671875" style="29" customWidth="1"/>
    <col min="13825" max="13825" width="16.5546875" style="29" bestFit="1" customWidth="1"/>
    <col min="13826" max="13826" width="13.6640625" style="29" customWidth="1"/>
    <col min="13827" max="13827" width="17.109375" style="29" bestFit="1" customWidth="1"/>
    <col min="13828" max="13828" width="4" style="29" customWidth="1"/>
    <col min="13829" max="13829" width="13.6640625" style="29" customWidth="1"/>
    <col min="13830" max="14071" width="13.6640625" style="29"/>
    <col min="14072" max="14072" width="22.109375" style="29" customWidth="1"/>
    <col min="14073" max="14079" width="13.6640625" style="29" customWidth="1"/>
    <col min="14080" max="14080" width="15.88671875" style="29" customWidth="1"/>
    <col min="14081" max="14081" width="16.5546875" style="29" bestFit="1" customWidth="1"/>
    <col min="14082" max="14082" width="13.6640625" style="29" customWidth="1"/>
    <col min="14083" max="14083" width="17.109375" style="29" bestFit="1" customWidth="1"/>
    <col min="14084" max="14084" width="4" style="29" customWidth="1"/>
    <col min="14085" max="14085" width="13.6640625" style="29" customWidth="1"/>
    <col min="14086" max="14327" width="13.6640625" style="29"/>
    <col min="14328" max="14328" width="22.109375" style="29" customWidth="1"/>
    <col min="14329" max="14335" width="13.6640625" style="29" customWidth="1"/>
    <col min="14336" max="14336" width="15.88671875" style="29" customWidth="1"/>
    <col min="14337" max="14337" width="16.5546875" style="29" bestFit="1" customWidth="1"/>
    <col min="14338" max="14338" width="13.6640625" style="29" customWidth="1"/>
    <col min="14339" max="14339" width="17.109375" style="29" bestFit="1" customWidth="1"/>
    <col min="14340" max="14340" width="4" style="29" customWidth="1"/>
    <col min="14341" max="14341" width="13.6640625" style="29" customWidth="1"/>
    <col min="14342" max="14583" width="13.6640625" style="29"/>
    <col min="14584" max="14584" width="22.109375" style="29" customWidth="1"/>
    <col min="14585" max="14591" width="13.6640625" style="29" customWidth="1"/>
    <col min="14592" max="14592" width="15.88671875" style="29" customWidth="1"/>
    <col min="14593" max="14593" width="16.5546875" style="29" bestFit="1" customWidth="1"/>
    <col min="14594" max="14594" width="13.6640625" style="29" customWidth="1"/>
    <col min="14595" max="14595" width="17.109375" style="29" bestFit="1" customWidth="1"/>
    <col min="14596" max="14596" width="4" style="29" customWidth="1"/>
    <col min="14597" max="14597" width="13.6640625" style="29" customWidth="1"/>
    <col min="14598" max="14839" width="13.6640625" style="29"/>
    <col min="14840" max="14840" width="22.109375" style="29" customWidth="1"/>
    <col min="14841" max="14847" width="13.6640625" style="29" customWidth="1"/>
    <col min="14848" max="14848" width="15.88671875" style="29" customWidth="1"/>
    <col min="14849" max="14849" width="16.5546875" style="29" bestFit="1" customWidth="1"/>
    <col min="14850" max="14850" width="13.6640625" style="29" customWidth="1"/>
    <col min="14851" max="14851" width="17.109375" style="29" bestFit="1" customWidth="1"/>
    <col min="14852" max="14852" width="4" style="29" customWidth="1"/>
    <col min="14853" max="14853" width="13.6640625" style="29" customWidth="1"/>
    <col min="14854" max="15095" width="13.6640625" style="29"/>
    <col min="15096" max="15096" width="22.109375" style="29" customWidth="1"/>
    <col min="15097" max="15103" width="13.6640625" style="29" customWidth="1"/>
    <col min="15104" max="15104" width="15.88671875" style="29" customWidth="1"/>
    <col min="15105" max="15105" width="16.5546875" style="29" bestFit="1" customWidth="1"/>
    <col min="15106" max="15106" width="13.6640625" style="29" customWidth="1"/>
    <col min="15107" max="15107" width="17.109375" style="29" bestFit="1" customWidth="1"/>
    <col min="15108" max="15108" width="4" style="29" customWidth="1"/>
    <col min="15109" max="15109" width="13.6640625" style="29" customWidth="1"/>
    <col min="15110" max="15351" width="13.6640625" style="29"/>
    <col min="15352" max="15352" width="22.109375" style="29" customWidth="1"/>
    <col min="15353" max="15359" width="13.6640625" style="29" customWidth="1"/>
    <col min="15360" max="15360" width="15.88671875" style="29" customWidth="1"/>
    <col min="15361" max="15361" width="16.5546875" style="29" bestFit="1" customWidth="1"/>
    <col min="15362" max="15362" width="13.6640625" style="29" customWidth="1"/>
    <col min="15363" max="15363" width="17.109375" style="29" bestFit="1" customWidth="1"/>
    <col min="15364" max="15364" width="4" style="29" customWidth="1"/>
    <col min="15365" max="15365" width="13.6640625" style="29" customWidth="1"/>
    <col min="15366" max="15607" width="13.6640625" style="29"/>
    <col min="15608" max="15608" width="22.109375" style="29" customWidth="1"/>
    <col min="15609" max="15615" width="13.6640625" style="29" customWidth="1"/>
    <col min="15616" max="15616" width="15.88671875" style="29" customWidth="1"/>
    <col min="15617" max="15617" width="16.5546875" style="29" bestFit="1" customWidth="1"/>
    <col min="15618" max="15618" width="13.6640625" style="29" customWidth="1"/>
    <col min="15619" max="15619" width="17.109375" style="29" bestFit="1" customWidth="1"/>
    <col min="15620" max="15620" width="4" style="29" customWidth="1"/>
    <col min="15621" max="15621" width="13.6640625" style="29" customWidth="1"/>
    <col min="15622" max="15863" width="13.6640625" style="29"/>
    <col min="15864" max="15864" width="22.109375" style="29" customWidth="1"/>
    <col min="15865" max="15871" width="13.6640625" style="29" customWidth="1"/>
    <col min="15872" max="15872" width="15.88671875" style="29" customWidth="1"/>
    <col min="15873" max="15873" width="16.5546875" style="29" bestFit="1" customWidth="1"/>
    <col min="15874" max="15874" width="13.6640625" style="29" customWidth="1"/>
    <col min="15875" max="15875" width="17.109375" style="29" bestFit="1" customWidth="1"/>
    <col min="15876" max="15876" width="4" style="29" customWidth="1"/>
    <col min="15877" max="15877" width="13.6640625" style="29" customWidth="1"/>
    <col min="15878" max="16119" width="13.6640625" style="29"/>
    <col min="16120" max="16120" width="22.109375" style="29" customWidth="1"/>
    <col min="16121" max="16127" width="13.6640625" style="29" customWidth="1"/>
    <col min="16128" max="16128" width="15.88671875" style="29" customWidth="1"/>
    <col min="16129" max="16129" width="16.5546875" style="29" bestFit="1" customWidth="1"/>
    <col min="16130" max="16130" width="13.6640625" style="29" customWidth="1"/>
    <col min="16131" max="16131" width="17.109375" style="29" bestFit="1" customWidth="1"/>
    <col min="16132" max="16132" width="4" style="29" customWidth="1"/>
    <col min="16133" max="16133" width="13.6640625" style="29" customWidth="1"/>
    <col min="16134" max="16384" width="13.6640625" style="29"/>
  </cols>
  <sheetData>
    <row r="1" spans="1:26" s="23" customFormat="1" ht="16.2">
      <c r="A1" s="454" t="s">
        <v>4</v>
      </c>
      <c r="B1" s="176"/>
      <c r="C1" s="176"/>
      <c r="D1" s="98"/>
      <c r="E1" s="98"/>
      <c r="F1" s="177"/>
      <c r="G1" s="98"/>
      <c r="H1" s="98"/>
    </row>
    <row r="2" spans="1:26" s="23" customFormat="1" ht="16.2">
      <c r="A2" s="213"/>
      <c r="B2" s="176"/>
      <c r="C2" s="176"/>
      <c r="D2" s="178"/>
      <c r="E2" s="455" t="s">
        <v>214</v>
      </c>
      <c r="F2" s="455" t="s">
        <v>413</v>
      </c>
      <c r="G2" s="178"/>
      <c r="H2" s="98"/>
    </row>
    <row r="3" spans="1:26" s="23" customFormat="1" ht="18.600000000000001">
      <c r="A3" s="207" t="str">
        <f>'2-Kosten totaal'!A3</f>
        <v>Naam opdrachtgever</v>
      </c>
      <c r="B3" s="160" t="str">
        <f>'2-Kosten totaal'!B3</f>
        <v>RSG Enkhuizen</v>
      </c>
      <c r="C3" s="160"/>
      <c r="D3" s="178"/>
      <c r="E3" s="456" t="s">
        <v>215</v>
      </c>
      <c r="F3" s="457"/>
      <c r="G3" s="178"/>
      <c r="H3" s="98"/>
    </row>
    <row r="4" spans="1:26" s="23" customFormat="1" ht="18.600000000000001">
      <c r="A4" s="207" t="str">
        <f>'2-Kosten totaal'!A4</f>
        <v>Calculatie onderdeel</v>
      </c>
      <c r="B4" s="160" t="str">
        <f ca="1">MID(CELL("bestandsnaam",$C$9),SEARCH("]",CELL("bestandsnaam",$C$9),1)+1,256)</f>
        <v>10-Vloeronderhoud</v>
      </c>
      <c r="C4" s="160"/>
      <c r="D4" s="178"/>
      <c r="E4" s="456" t="s">
        <v>216</v>
      </c>
      <c r="F4" s="457"/>
      <c r="G4" s="178"/>
      <c r="H4" s="98"/>
    </row>
    <row r="5" spans="1:26" s="23" customFormat="1" ht="26.4">
      <c r="A5" s="207" t="str">
        <f>'2-Kosten totaal'!A5</f>
        <v>Gebouw/plaats</v>
      </c>
      <c r="B5" s="160" t="str">
        <f>'2-Kosten totaal'!B5</f>
        <v>Enkhuizen</v>
      </c>
      <c r="C5" s="160"/>
      <c r="D5" s="178"/>
      <c r="E5" s="456" t="s">
        <v>418</v>
      </c>
      <c r="F5" s="457"/>
      <c r="G5" s="178"/>
      <c r="H5" s="179"/>
      <c r="J5" s="25"/>
      <c r="K5" s="24"/>
      <c r="L5" s="25"/>
      <c r="M5" s="25"/>
      <c r="N5" s="24"/>
      <c r="O5" s="26"/>
      <c r="P5" s="25"/>
      <c r="Q5" s="24"/>
      <c r="R5" s="25"/>
      <c r="S5" s="25"/>
      <c r="T5" s="24"/>
      <c r="U5" s="25"/>
      <c r="V5" s="25"/>
      <c r="W5" s="24"/>
      <c r="X5" s="25"/>
      <c r="Y5" s="25"/>
      <c r="Z5" s="24"/>
    </row>
    <row r="6" spans="1:26" s="23" customFormat="1" ht="18.600000000000001">
      <c r="A6" s="207" t="str">
        <f>'2-Kosten totaal'!A6</f>
        <v>Referentie nummer</v>
      </c>
      <c r="B6" s="160" t="str">
        <f>'2-Kosten totaal'!B6</f>
        <v>TN481900</v>
      </c>
      <c r="C6" s="160"/>
      <c r="D6" s="178"/>
      <c r="E6" s="456" t="s">
        <v>422</v>
      </c>
      <c r="F6" s="457"/>
      <c r="G6" s="178"/>
      <c r="H6" s="179"/>
      <c r="J6" s="27"/>
      <c r="K6" s="28"/>
      <c r="L6" s="25"/>
      <c r="M6" s="27"/>
      <c r="N6" s="28"/>
      <c r="O6" s="26"/>
      <c r="P6" s="27"/>
      <c r="Q6" s="28"/>
      <c r="R6" s="25"/>
      <c r="S6" s="27"/>
      <c r="T6" s="28"/>
      <c r="U6" s="25"/>
      <c r="V6" s="27"/>
      <c r="W6" s="28"/>
      <c r="X6" s="25"/>
      <c r="Y6" s="27"/>
      <c r="Z6" s="28"/>
    </row>
    <row r="7" spans="1:26" s="23" customFormat="1" ht="18.600000000000001">
      <c r="A7" s="207" t="str">
        <f>'2-Kosten totaal'!A7</f>
        <v>Naam dienstverlener</v>
      </c>
      <c r="B7" s="160">
        <f>'2-Kosten totaal'!B7</f>
        <v>0</v>
      </c>
      <c r="C7" s="122"/>
      <c r="D7" s="178"/>
      <c r="E7" s="178"/>
      <c r="F7" s="178"/>
      <c r="G7" s="178"/>
      <c r="H7" s="179"/>
    </row>
    <row r="8" spans="1:26" s="23" customFormat="1" ht="18.600000000000001">
      <c r="A8" s="207" t="str">
        <f>'2-Kosten totaal'!A8</f>
        <v>Prijspeil</v>
      </c>
      <c r="B8" s="281">
        <f>'2-Kosten totaal'!B8</f>
        <v>45839</v>
      </c>
      <c r="C8" s="47"/>
      <c r="D8" s="178"/>
      <c r="E8" s="178"/>
      <c r="F8" s="178"/>
      <c r="G8" s="178"/>
      <c r="H8" s="179"/>
    </row>
    <row r="9" spans="1:26" s="23" customFormat="1" ht="17.25" customHeight="1">
      <c r="A9" s="178"/>
      <c r="B9" s="178"/>
      <c r="C9" s="178"/>
      <c r="D9" s="178"/>
      <c r="E9" s="178"/>
      <c r="F9" s="178"/>
      <c r="G9" s="178"/>
      <c r="H9" s="179"/>
    </row>
    <row r="10" spans="1:26" s="23" customFormat="1" ht="17.25" customHeight="1">
      <c r="A10" s="178"/>
      <c r="B10" s="178"/>
      <c r="C10" s="178"/>
      <c r="D10" s="178"/>
      <c r="E10" s="178"/>
      <c r="F10" s="178"/>
      <c r="G10" s="178"/>
      <c r="H10" s="179"/>
    </row>
    <row r="11" spans="1:26" s="23" customFormat="1" ht="15.6">
      <c r="A11" s="180"/>
      <c r="B11" s="178"/>
      <c r="C11" s="178"/>
      <c r="D11" s="181"/>
      <c r="E11" s="178"/>
      <c r="F11" s="182"/>
      <c r="G11" s="181"/>
      <c r="H11" s="179"/>
    </row>
    <row r="12" spans="1:26" s="30" customFormat="1" ht="43.5" customHeight="1">
      <c r="A12" s="459" t="s">
        <v>15</v>
      </c>
      <c r="B12" s="460" t="s">
        <v>217</v>
      </c>
      <c r="C12" s="460" t="s">
        <v>214</v>
      </c>
      <c r="D12" s="455" t="s">
        <v>209</v>
      </c>
      <c r="E12" s="460" t="s">
        <v>210</v>
      </c>
      <c r="F12" s="460" t="s">
        <v>211</v>
      </c>
      <c r="G12" s="460" t="s">
        <v>212</v>
      </c>
      <c r="H12" s="460" t="s">
        <v>213</v>
      </c>
    </row>
    <row r="13" spans="1:26">
      <c r="A13" s="461" t="s">
        <v>218</v>
      </c>
      <c r="B13" s="456" t="s">
        <v>359</v>
      </c>
      <c r="C13" s="456" t="s">
        <v>215</v>
      </c>
      <c r="D13" s="470">
        <f>SUMIFS('4-Basis ruimtestaat'!I:I,'4-Basis ruimtestaat'!H:H,B13,'4-Basis ruimtestaat'!B:B,'10-Vloeronderhoud'!A13)</f>
        <v>4175</v>
      </c>
      <c r="E13" s="471">
        <f t="shared" ref="E13:E15" si="0">VLOOKUP(C13,$E$3:$F$10,2,FALSE)</f>
        <v>0</v>
      </c>
      <c r="F13" s="472">
        <f>(D13*E13)</f>
        <v>0</v>
      </c>
      <c r="G13" s="473" t="s">
        <v>246</v>
      </c>
      <c r="H13" s="472">
        <f>G13*F13</f>
        <v>0</v>
      </c>
    </row>
    <row r="14" spans="1:26">
      <c r="A14" s="461" t="s">
        <v>218</v>
      </c>
      <c r="B14" s="456" t="s">
        <v>359</v>
      </c>
      <c r="C14" s="456" t="s">
        <v>216</v>
      </c>
      <c r="D14" s="470">
        <f>SUMIFS('4-Basis ruimtestaat'!I:I,'4-Basis ruimtestaat'!H:H,B14,'4-Basis ruimtestaat'!B:B,'10-Vloeronderhoud'!A14)</f>
        <v>4175</v>
      </c>
      <c r="E14" s="471">
        <f t="shared" si="0"/>
        <v>0</v>
      </c>
      <c r="F14" s="472">
        <f t="shared" ref="F14:F15" si="1">(D14*E14)</f>
        <v>0</v>
      </c>
      <c r="G14" s="473" t="s">
        <v>371</v>
      </c>
      <c r="H14" s="472">
        <f>G14*F14</f>
        <v>0</v>
      </c>
    </row>
    <row r="15" spans="1:26" ht="26.4">
      <c r="A15" s="461" t="s">
        <v>218</v>
      </c>
      <c r="B15" s="458" t="s">
        <v>357</v>
      </c>
      <c r="C15" s="456" t="s">
        <v>418</v>
      </c>
      <c r="D15" s="470">
        <f>SUMIFS('4-Basis ruimtestaat'!I:I,'4-Basis ruimtestaat'!H:H,B15,'4-Basis ruimtestaat'!B:B,'10-Vloeronderhoud'!A15)</f>
        <v>1446</v>
      </c>
      <c r="E15" s="471">
        <f t="shared" si="0"/>
        <v>0</v>
      </c>
      <c r="F15" s="472">
        <f t="shared" si="1"/>
        <v>0</v>
      </c>
      <c r="G15" s="473" t="s">
        <v>371</v>
      </c>
      <c r="H15" s="472">
        <f>G15*F15</f>
        <v>0</v>
      </c>
    </row>
    <row r="16" spans="1:26">
      <c r="B16" s="183"/>
      <c r="C16" s="183"/>
      <c r="D16" s="282"/>
      <c r="E16" s="282"/>
      <c r="F16" s="282"/>
      <c r="G16" s="282"/>
      <c r="H16" s="282"/>
    </row>
    <row r="17" spans="1:8">
      <c r="A17" s="462" t="s">
        <v>21</v>
      </c>
      <c r="B17" s="463"/>
      <c r="C17" s="464"/>
      <c r="D17" s="465">
        <f>SUM(D13:D15)</f>
        <v>9796</v>
      </c>
      <c r="E17" s="466"/>
      <c r="F17" s="467"/>
      <c r="G17" s="468"/>
      <c r="H17" s="469">
        <f>SUM(H13:H16)</f>
        <v>0</v>
      </c>
    </row>
    <row r="18" spans="1:8">
      <c r="A18" s="495"/>
      <c r="B18" s="495"/>
      <c r="C18" s="495"/>
    </row>
    <row r="19" spans="1:8">
      <c r="A19" s="495"/>
      <c r="B19" s="495"/>
      <c r="C19" s="495"/>
    </row>
    <row r="20" spans="1:8">
      <c r="A20" s="495"/>
    </row>
  </sheetData>
  <autoFilter ref="A12:Z15" xr:uid="{00000000-0009-0000-0000-00000A000000}"/>
  <phoneticPr fontId="73" type="noConversion"/>
  <dataValidations count="1">
    <dataValidation type="list" allowBlank="1" showInputMessage="1" showErrorMessage="1" sqref="C13"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22"/>
  <sheetViews>
    <sheetView showGridLines="0" showZeros="0" zoomScale="70" zoomScaleNormal="70" workbookViewId="0">
      <selection activeCell="H33" sqref="H33"/>
    </sheetView>
  </sheetViews>
  <sheetFormatPr defaultColWidth="8.6640625" defaultRowHeight="14.1" customHeight="1"/>
  <cols>
    <col min="1" max="1" width="30.109375" style="39" bestFit="1" customWidth="1"/>
    <col min="2" max="2" width="24.33203125" style="39" bestFit="1" customWidth="1"/>
    <col min="3" max="3" width="16.88671875" style="39" bestFit="1" customWidth="1"/>
    <col min="4" max="4" width="16.88671875" style="40" bestFit="1" customWidth="1"/>
    <col min="5" max="5" width="25.5546875" style="40" bestFit="1" customWidth="1"/>
    <col min="6" max="6" width="16.21875" style="40" bestFit="1" customWidth="1"/>
    <col min="7" max="7" width="13.88671875" style="40" bestFit="1" customWidth="1"/>
    <col min="8" max="8" width="14" style="40" bestFit="1" customWidth="1"/>
    <col min="9" max="9" width="16.6640625" style="40" bestFit="1" customWidth="1"/>
    <col min="10" max="10" width="13.21875" style="40" customWidth="1"/>
    <col min="11" max="11" width="14.88671875" style="40" bestFit="1" customWidth="1"/>
    <col min="12" max="12" width="19.44140625" style="40" customWidth="1"/>
    <col min="13" max="13" width="19.77734375" style="40" customWidth="1"/>
    <col min="14" max="14" width="13.6640625" style="40" customWidth="1"/>
    <col min="15" max="15" width="11.77734375" style="40" customWidth="1"/>
    <col min="16" max="16" width="17.33203125" style="40" customWidth="1"/>
    <col min="17" max="17" width="16.5546875" style="40" customWidth="1"/>
    <col min="18" max="18" width="18.88671875" style="40" bestFit="1" customWidth="1"/>
    <col min="19" max="22" width="13.6640625" style="40" customWidth="1"/>
    <col min="23" max="27" width="13.33203125" style="40" customWidth="1"/>
    <col min="28" max="28" width="14.6640625" style="40" customWidth="1"/>
    <col min="29" max="32" width="13.33203125" style="40" customWidth="1"/>
    <col min="33" max="16384" width="8.6640625" style="39"/>
  </cols>
  <sheetData>
    <row r="1" spans="1:32" ht="14.1" customHeight="1">
      <c r="A1" s="284" t="s">
        <v>4</v>
      </c>
      <c r="E1" s="41"/>
      <c r="G1" s="41"/>
      <c r="J1" s="230" t="s">
        <v>5</v>
      </c>
      <c r="K1" s="231"/>
      <c r="L1" s="231"/>
      <c r="M1" s="231"/>
      <c r="N1" s="231"/>
      <c r="O1" s="232"/>
      <c r="P1" s="215" t="e">
        <f>I21</f>
        <v>#DIV/0!</v>
      </c>
    </row>
    <row r="2" spans="1:32" ht="14.1" customHeight="1">
      <c r="E2" s="41"/>
      <c r="G2" s="41"/>
      <c r="J2" s="43" t="s">
        <v>6</v>
      </c>
      <c r="K2" s="44"/>
      <c r="L2" s="44"/>
      <c r="M2" s="44"/>
      <c r="N2" s="44"/>
      <c r="O2" s="45">
        <v>0.21</v>
      </c>
      <c r="P2" s="216" t="e">
        <f>O2*P1</f>
        <v>#DIV/0!</v>
      </c>
    </row>
    <row r="3" spans="1:32" ht="14.1" customHeight="1">
      <c r="A3" s="37" t="s">
        <v>0</v>
      </c>
      <c r="B3" s="38" t="s">
        <v>218</v>
      </c>
      <c r="C3" s="497"/>
      <c r="D3" s="41"/>
      <c r="E3" s="41"/>
      <c r="G3" s="41"/>
      <c r="H3" s="41"/>
      <c r="I3" s="41"/>
      <c r="J3" s="43" t="s">
        <v>7</v>
      </c>
      <c r="K3" s="44"/>
      <c r="L3" s="44"/>
      <c r="M3" s="44"/>
      <c r="N3" s="44"/>
      <c r="O3" s="44"/>
      <c r="P3" s="217" t="e">
        <f>P1+P2</f>
        <v>#DIV/0!</v>
      </c>
      <c r="AE3" s="41"/>
      <c r="AF3" s="41"/>
    </row>
    <row r="4" spans="1:32" ht="14.1" customHeight="1">
      <c r="A4" s="37" t="s">
        <v>1</v>
      </c>
      <c r="B4" s="46" t="str">
        <f ca="1">MID(CELL("bestandsnaam",$B$13),SEARCH("]",CELL("bestandsnaam",$B$13),1)+1,256)</f>
        <v>2-Kosten totaal</v>
      </c>
      <c r="C4" s="38"/>
      <c r="D4" s="41"/>
      <c r="E4" s="228" t="s">
        <v>8</v>
      </c>
      <c r="F4" s="229"/>
      <c r="G4" s="41"/>
      <c r="H4" s="41"/>
      <c r="I4" s="41"/>
      <c r="J4" s="44"/>
      <c r="K4" s="44"/>
      <c r="L4" s="44"/>
      <c r="M4" s="44"/>
      <c r="N4" s="44"/>
      <c r="O4" s="44"/>
      <c r="P4" s="44"/>
      <c r="Q4" s="234" t="s">
        <v>417</v>
      </c>
      <c r="AE4" s="41"/>
      <c r="AF4" s="41"/>
    </row>
    <row r="5" spans="1:32" ht="14.1" customHeight="1">
      <c r="A5" s="37" t="s">
        <v>2</v>
      </c>
      <c r="B5" s="38" t="s">
        <v>219</v>
      </c>
      <c r="C5" s="497"/>
      <c r="D5" s="41"/>
      <c r="E5" s="218"/>
      <c r="F5" s="42" t="s">
        <v>9</v>
      </c>
      <c r="G5" s="41"/>
      <c r="H5" s="41"/>
      <c r="I5" s="41"/>
      <c r="J5" s="233" t="s">
        <v>10</v>
      </c>
      <c r="K5" s="234"/>
      <c r="L5" s="234"/>
      <c r="M5" s="234"/>
      <c r="N5" s="234"/>
      <c r="O5" s="234"/>
      <c r="P5" s="219">
        <v>190000</v>
      </c>
      <c r="Q5" s="219">
        <f>P5*121%</f>
        <v>229900</v>
      </c>
      <c r="AE5" s="41"/>
      <c r="AF5" s="41"/>
    </row>
    <row r="6" spans="1:32" ht="14.1" customHeight="1">
      <c r="A6" s="37" t="s">
        <v>3</v>
      </c>
      <c r="B6" s="496" t="s">
        <v>414</v>
      </c>
      <c r="C6" s="497"/>
      <c r="D6" s="41"/>
      <c r="E6" s="41"/>
      <c r="F6" s="41"/>
      <c r="G6" s="41"/>
      <c r="H6" s="41"/>
      <c r="I6" s="41"/>
      <c r="J6" s="233" t="s">
        <v>11</v>
      </c>
      <c r="K6" s="234"/>
      <c r="L6" s="234"/>
      <c r="M6" s="234"/>
      <c r="N6" s="234"/>
      <c r="O6" s="234"/>
      <c r="P6" s="219">
        <v>160000</v>
      </c>
      <c r="Q6" s="219">
        <f>P6*121%</f>
        <v>193600</v>
      </c>
      <c r="AE6" s="41"/>
      <c r="AF6" s="41"/>
    </row>
    <row r="7" spans="1:32" ht="14.1" customHeight="1">
      <c r="A7" s="37" t="s">
        <v>12</v>
      </c>
      <c r="B7" s="189"/>
      <c r="C7" s="497"/>
      <c r="D7" s="41"/>
      <c r="E7" s="41"/>
      <c r="F7" s="41"/>
      <c r="G7" s="41"/>
      <c r="H7" s="41"/>
      <c r="I7" s="41"/>
      <c r="J7" s="41"/>
      <c r="K7" s="41"/>
      <c r="P7" s="41"/>
      <c r="Q7" s="41"/>
      <c r="R7" s="48"/>
      <c r="U7" s="41"/>
      <c r="V7" s="39"/>
      <c r="W7" s="39"/>
      <c r="X7" s="39"/>
      <c r="AE7" s="41"/>
      <c r="AF7" s="41"/>
    </row>
    <row r="8" spans="1:32" ht="14.1" customHeight="1">
      <c r="A8" s="37" t="s">
        <v>13</v>
      </c>
      <c r="B8" s="47">
        <v>45839</v>
      </c>
      <c r="C8" s="37"/>
      <c r="D8" s="41"/>
      <c r="E8" s="41"/>
      <c r="F8" s="41"/>
      <c r="G8" s="41"/>
      <c r="H8" s="41"/>
      <c r="I8" s="41"/>
      <c r="J8" s="41"/>
      <c r="K8" s="41"/>
      <c r="L8" s="41"/>
      <c r="M8" s="41"/>
      <c r="N8" s="41"/>
      <c r="O8" s="41"/>
      <c r="P8" s="41"/>
      <c r="Q8" s="41"/>
      <c r="R8" s="48"/>
      <c r="S8" s="48"/>
      <c r="T8" s="48"/>
      <c r="U8" s="48"/>
      <c r="V8" s="48"/>
      <c r="W8" s="41"/>
      <c r="X8" s="41"/>
      <c r="Y8" s="39"/>
      <c r="Z8" s="39"/>
      <c r="AA8" s="39"/>
      <c r="AB8" s="39"/>
      <c r="AC8" s="39"/>
      <c r="AD8" s="39"/>
      <c r="AE8" s="39"/>
      <c r="AF8" s="39"/>
    </row>
    <row r="9" spans="1:32" ht="14.1" customHeight="1">
      <c r="A9" s="37" t="s">
        <v>14</v>
      </c>
      <c r="B9" s="49" t="s">
        <v>421</v>
      </c>
      <c r="C9" s="37"/>
      <c r="D9" s="41"/>
      <c r="E9" s="41"/>
      <c r="F9" s="41"/>
      <c r="G9" s="41"/>
      <c r="H9" s="41"/>
      <c r="I9" s="41"/>
      <c r="M9" s="41"/>
      <c r="N9" s="39"/>
      <c r="O9" s="39"/>
      <c r="P9" s="39"/>
      <c r="Q9" s="39"/>
      <c r="R9" s="39"/>
      <c r="S9" s="39"/>
      <c r="T9" s="39"/>
      <c r="U9" s="39"/>
      <c r="V9" s="39"/>
      <c r="W9" s="41"/>
      <c r="X9" s="41"/>
      <c r="Y9" s="39"/>
      <c r="Z9" s="39"/>
      <c r="AA9" s="39"/>
      <c r="AB9" s="39"/>
      <c r="AC9" s="39"/>
      <c r="AD9" s="39"/>
      <c r="AE9" s="39"/>
      <c r="AF9" s="39"/>
    </row>
    <row r="10" spans="1:32" ht="14.1" customHeight="1">
      <c r="A10" s="37"/>
      <c r="B10" s="37"/>
      <c r="C10" s="37"/>
      <c r="D10" s="41"/>
      <c r="E10" s="41"/>
      <c r="F10" s="41"/>
      <c r="G10" s="41"/>
      <c r="H10" s="41"/>
      <c r="I10" s="41"/>
      <c r="J10" s="41"/>
      <c r="K10" s="41"/>
      <c r="L10" s="41"/>
      <c r="M10" s="41"/>
      <c r="N10" s="41"/>
      <c r="O10" s="41"/>
      <c r="P10" s="41"/>
      <c r="Q10" s="41"/>
      <c r="R10" s="41"/>
      <c r="S10" s="41"/>
      <c r="T10" s="41"/>
      <c r="U10" s="41"/>
      <c r="V10" s="41"/>
      <c r="W10" s="41"/>
      <c r="X10" s="41"/>
      <c r="Y10" s="39"/>
      <c r="Z10" s="39"/>
      <c r="AA10" s="39"/>
      <c r="AB10" s="39"/>
      <c r="AC10" s="39"/>
      <c r="AD10" s="39"/>
      <c r="AE10" s="39"/>
      <c r="AF10" s="39"/>
    </row>
    <row r="11" spans="1:32" ht="14.1" customHeight="1">
      <c r="A11" s="37"/>
      <c r="B11" s="37"/>
      <c r="C11" s="37"/>
      <c r="D11" s="41"/>
      <c r="E11" s="41"/>
      <c r="F11" s="41"/>
      <c r="G11" s="41"/>
      <c r="H11" s="41"/>
      <c r="I11" s="41"/>
      <c r="J11" s="41"/>
      <c r="K11" s="41"/>
      <c r="L11" s="41"/>
      <c r="M11" s="41"/>
      <c r="N11" s="41"/>
      <c r="O11" s="41"/>
      <c r="P11" s="41"/>
      <c r="Q11" s="41"/>
      <c r="R11" s="41"/>
      <c r="S11" s="41"/>
      <c r="T11" s="41"/>
      <c r="U11" s="41"/>
      <c r="V11" s="41"/>
      <c r="W11" s="41"/>
      <c r="X11" s="41"/>
      <c r="Y11" s="39"/>
      <c r="Z11" s="39"/>
      <c r="AA11" s="39"/>
      <c r="AB11" s="39"/>
      <c r="AC11" s="39"/>
      <c r="AD11" s="39"/>
      <c r="AE11" s="39"/>
      <c r="AF11" s="39"/>
    </row>
    <row r="12" spans="1:32" ht="15.6">
      <c r="C12" s="47"/>
      <c r="R12" s="41"/>
      <c r="S12" s="41"/>
      <c r="T12" s="41"/>
      <c r="U12" s="41"/>
      <c r="V12" s="41"/>
      <c r="W12" s="41"/>
      <c r="X12" s="41"/>
      <c r="Y12" s="39"/>
      <c r="Z12" s="39"/>
      <c r="AA12" s="39"/>
      <c r="AB12" s="39"/>
      <c r="AC12" s="39"/>
      <c r="AD12" s="39"/>
      <c r="AE12" s="39"/>
      <c r="AF12" s="39"/>
    </row>
    <row r="13" spans="1:32" ht="18" customHeight="1">
      <c r="A13" s="50"/>
      <c r="B13" s="50"/>
      <c r="C13" s="50"/>
      <c r="D13" s="41"/>
      <c r="E13" s="41"/>
      <c r="F13" s="41"/>
      <c r="G13" s="41"/>
      <c r="H13" s="41"/>
      <c r="I13" s="41"/>
      <c r="J13" s="41"/>
      <c r="K13" s="41"/>
      <c r="L13" s="41"/>
      <c r="M13" s="41"/>
      <c r="N13" s="41"/>
      <c r="O13" s="41"/>
      <c r="P13" s="41"/>
      <c r="Q13" s="41"/>
      <c r="R13" s="41"/>
      <c r="S13" s="41"/>
      <c r="T13" s="39"/>
      <c r="U13" s="39"/>
      <c r="V13" s="39"/>
      <c r="W13" s="39"/>
      <c r="X13" s="39"/>
      <c r="Y13" s="39"/>
      <c r="Z13" s="39"/>
      <c r="AA13" s="39"/>
      <c r="AB13" s="39"/>
      <c r="AC13" s="39"/>
      <c r="AD13" s="39"/>
      <c r="AE13" s="39"/>
      <c r="AF13" s="39"/>
    </row>
    <row r="14" spans="1:32" ht="64.5" customHeight="1">
      <c r="A14" s="285"/>
      <c r="B14" s="235" t="s">
        <v>16</v>
      </c>
      <c r="C14" s="235" t="s">
        <v>17</v>
      </c>
      <c r="D14" s="236" t="s">
        <v>18</v>
      </c>
      <c r="E14" s="236" t="s">
        <v>372</v>
      </c>
      <c r="F14" s="237" t="s">
        <v>19</v>
      </c>
      <c r="G14" s="237" t="s">
        <v>373</v>
      </c>
      <c r="H14" s="237" t="s">
        <v>20</v>
      </c>
      <c r="I14" s="237" t="s">
        <v>20</v>
      </c>
      <c r="J14" s="39"/>
      <c r="K14" s="39"/>
      <c r="L14" s="39"/>
      <c r="M14" s="39"/>
      <c r="N14" s="39"/>
      <c r="O14" s="39"/>
      <c r="P14" s="39"/>
      <c r="Q14" s="39"/>
      <c r="R14" s="39"/>
      <c r="S14" s="39"/>
      <c r="T14" s="39"/>
      <c r="U14" s="39"/>
      <c r="V14" s="39"/>
      <c r="W14" s="39"/>
      <c r="X14" s="39"/>
      <c r="Y14" s="39"/>
      <c r="Z14" s="39"/>
      <c r="AA14" s="39"/>
      <c r="AB14" s="39"/>
      <c r="AC14" s="39"/>
      <c r="AD14" s="39"/>
      <c r="AE14" s="39"/>
      <c r="AF14" s="39"/>
    </row>
    <row r="15" spans="1:32" s="51" customFormat="1" ht="15" customHeight="1">
      <c r="A15" s="286" t="s">
        <v>218</v>
      </c>
      <c r="B15" s="287">
        <f>SUMIF('4-Basis ruimtestaat'!B:B,'2-Kosten totaal'!A15,'4-Basis ruimtestaat'!I:I)</f>
        <v>10142.1</v>
      </c>
      <c r="C15" s="220">
        <v>1</v>
      </c>
      <c r="D15" s="221">
        <f>_xlfn.MAXIFS('4-Basis ruimtestaat'!K:K,'4-Basis ruimtestaat'!B:B,'2-Kosten totaal'!A15)</f>
        <v>200</v>
      </c>
      <c r="E15" s="221">
        <f>_xlfn.MAXIFS('4-Basis ruimtestaat'!L:L,'4-Basis ruimtestaat'!B:B,'2-Kosten totaal'!A15)</f>
        <v>200</v>
      </c>
      <c r="F15" s="222" t="e">
        <f>SUMIF('4-Basis ruimtestaat'!B:B,'2-Kosten totaal'!A15,'4-Basis ruimtestaat'!M:M)</f>
        <v>#DIV/0!</v>
      </c>
      <c r="G15" s="222" t="e">
        <f>SUMIF('4-Basis ruimtestaat'!B:B,'2-Kosten totaal'!A15,'4-Basis ruimtestaat'!N:N)</f>
        <v>#DIV/0!</v>
      </c>
      <c r="H15" s="222" t="e">
        <f>F15*$E$5</f>
        <v>#DIV/0!</v>
      </c>
      <c r="I15" s="222" t="e">
        <f>G15*$E$5</f>
        <v>#DIV/0!</v>
      </c>
    </row>
    <row r="16" spans="1:32" s="54" customFormat="1" ht="15" customHeight="1">
      <c r="A16" s="290" t="s">
        <v>21</v>
      </c>
      <c r="B16" s="221">
        <f>SUM(B15:B15)</f>
        <v>10142.1</v>
      </c>
      <c r="C16" s="223"/>
      <c r="D16" s="224"/>
      <c r="E16" s="224"/>
      <c r="F16" s="291" t="e">
        <f>SUM(F15:F15)</f>
        <v>#DIV/0!</v>
      </c>
      <c r="G16" s="291" t="e">
        <f>SUM(G15:G15)</f>
        <v>#DIV/0!</v>
      </c>
      <c r="H16" s="291" t="e">
        <f>SUM(H15:H15)</f>
        <v>#DIV/0!</v>
      </c>
      <c r="I16" s="291" t="e">
        <f>SUM(I15:I15)</f>
        <v>#DIV/0!</v>
      </c>
    </row>
    <row r="17" spans="1:32" s="51" customFormat="1" ht="14.1" customHeight="1">
      <c r="AB17" s="39"/>
    </row>
    <row r="18" spans="1:32" ht="61.2" customHeight="1">
      <c r="A18" s="238"/>
      <c r="B18" s="239" t="s">
        <v>374</v>
      </c>
      <c r="C18" s="239" t="s">
        <v>375</v>
      </c>
      <c r="D18" s="239" t="s">
        <v>22</v>
      </c>
      <c r="E18" s="239" t="s">
        <v>23</v>
      </c>
      <c r="F18" s="239" t="s">
        <v>376</v>
      </c>
      <c r="G18" s="237" t="s">
        <v>24</v>
      </c>
      <c r="H18" s="239" t="s">
        <v>25</v>
      </c>
      <c r="I18" s="239" t="s">
        <v>26</v>
      </c>
      <c r="J18" s="239" t="s">
        <v>27</v>
      </c>
      <c r="L18" s="239" t="s">
        <v>420</v>
      </c>
      <c r="M18" s="239" t="s">
        <v>419</v>
      </c>
      <c r="V18" s="51"/>
      <c r="W18" s="39"/>
      <c r="X18" s="39"/>
      <c r="Y18" s="39"/>
      <c r="Z18" s="39"/>
      <c r="AA18" s="39"/>
      <c r="AB18" s="39"/>
      <c r="AC18" s="39"/>
      <c r="AD18" s="39"/>
      <c r="AE18" s="39"/>
      <c r="AF18" s="39"/>
    </row>
    <row r="19" spans="1:32" s="51" customFormat="1" ht="15" customHeight="1">
      <c r="A19" s="288" t="str">
        <f>A15</f>
        <v>RSG Enkhuizen</v>
      </c>
      <c r="B19" s="52" t="e">
        <f>(F15)*'6-Opbouw uurtarief productie'!$E$47</f>
        <v>#DIV/0!</v>
      </c>
      <c r="C19" s="52" t="e">
        <f>(G15)*'6-Opbouw uurtarief productie'!$E$47</f>
        <v>#DIV/0!</v>
      </c>
      <c r="D19" s="53" t="e">
        <f>SUM(B19:C19)</f>
        <v>#DIV/0!</v>
      </c>
      <c r="E19" s="53" t="e">
        <f>H15*'7-Opbouw uurtarief toezicht'!$E$47</f>
        <v>#DIV/0!</v>
      </c>
      <c r="F19" s="53" t="e">
        <f>I15*'7-Opbouw uurtarief toezicht'!$E$47</f>
        <v>#DIV/0!</v>
      </c>
      <c r="G19" s="226" t="e">
        <f>SUM(E19:F19)</f>
        <v>#DIV/0!</v>
      </c>
      <c r="H19" s="292">
        <f>SUMIF('8-Additionele kosten'!A:A,'2-Kosten totaal'!A19,'8-Additionele kosten'!H:H)</f>
        <v>0</v>
      </c>
      <c r="I19" s="292" t="e">
        <f>D19+G19+H19</f>
        <v>#DIV/0!</v>
      </c>
      <c r="J19" s="292" t="e">
        <f>I19/12</f>
        <v>#DIV/0!</v>
      </c>
      <c r="K19" s="40"/>
      <c r="L19" s="227">
        <f>SUMIF('10-Vloeronderhoud'!A:A,'2-Kosten totaal'!A19,'10-Vloeronderhoud'!H:H)</f>
        <v>0</v>
      </c>
      <c r="M19" s="498"/>
      <c r="N19" s="40"/>
      <c r="O19" s="40"/>
    </row>
    <row r="20" spans="1:32" s="51" customFormat="1" ht="15" customHeight="1">
      <c r="A20" s="288" t="s">
        <v>416</v>
      </c>
      <c r="B20" s="52"/>
      <c r="C20" s="52"/>
      <c r="D20" s="53"/>
      <c r="E20" s="53"/>
      <c r="F20" s="53"/>
      <c r="G20" s="226"/>
      <c r="H20" s="292" t="e">
        <f>SUMIF('8-Additionele kosten'!A:A,'2-Kosten totaal'!A20,'8-Additionele kosten'!H:H)</f>
        <v>#DIV/0!</v>
      </c>
      <c r="I20" s="292" t="e">
        <f>D20+G20+L20+H20</f>
        <v>#DIV/0!</v>
      </c>
      <c r="J20" s="292" t="e">
        <f>I20/12</f>
        <v>#DIV/0!</v>
      </c>
      <c r="K20" s="40"/>
      <c r="L20" s="227"/>
      <c r="M20" s="499"/>
      <c r="N20" s="40"/>
      <c r="O20" s="40"/>
    </row>
    <row r="21" spans="1:32" s="54" customFormat="1" ht="15" customHeight="1">
      <c r="A21" s="290" t="s">
        <v>21</v>
      </c>
      <c r="B21" s="293" t="e">
        <f>SUM(B19:B20)</f>
        <v>#DIV/0!</v>
      </c>
      <c r="C21" s="293" t="e">
        <f t="shared" ref="C21:H21" si="0">SUM(C19:C20)</f>
        <v>#DIV/0!</v>
      </c>
      <c r="D21" s="293" t="e">
        <f t="shared" si="0"/>
        <v>#DIV/0!</v>
      </c>
      <c r="E21" s="293" t="e">
        <f t="shared" si="0"/>
        <v>#DIV/0!</v>
      </c>
      <c r="F21" s="293" t="e">
        <f t="shared" si="0"/>
        <v>#DIV/0!</v>
      </c>
      <c r="G21" s="293" t="e">
        <f t="shared" si="0"/>
        <v>#DIV/0!</v>
      </c>
      <c r="H21" s="293" t="e">
        <f t="shared" si="0"/>
        <v>#DIV/0!</v>
      </c>
      <c r="I21" s="293" t="e">
        <f>SUM(I19:I20)</f>
        <v>#DIV/0!</v>
      </c>
      <c r="J21" s="293" t="e">
        <f>SUM(J19:J20)</f>
        <v>#DIV/0!</v>
      </c>
      <c r="L21" s="293">
        <f>SUM(L19:L20)</f>
        <v>0</v>
      </c>
      <c r="M21" s="293">
        <f>L21*121%</f>
        <v>0</v>
      </c>
      <c r="R21" s="51"/>
      <c r="S21" s="51"/>
      <c r="T21" s="51"/>
      <c r="U21" s="51"/>
      <c r="V21" s="51"/>
    </row>
    <row r="22" spans="1:32" ht="14.1" customHeight="1">
      <c r="AB22" s="51"/>
      <c r="AC22" s="51"/>
      <c r="AD22" s="51"/>
      <c r="AE22" s="51"/>
      <c r="AF22" s="51"/>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2"/>
  <sheetViews>
    <sheetView showGridLines="0" zoomScale="85" zoomScaleNormal="85" workbookViewId="0">
      <pane ySplit="9" topLeftCell="A10" activePane="bottomLeft" state="frozen"/>
      <selection activeCell="F5" sqref="F5"/>
      <selection pane="bottomLeft" activeCell="F5" sqref="F5"/>
    </sheetView>
  </sheetViews>
  <sheetFormatPr defaultColWidth="9.109375" defaultRowHeight="13.2"/>
  <cols>
    <col min="1" max="1" width="29.6640625" style="55" customWidth="1"/>
    <col min="2" max="2" width="9.109375" style="55" customWidth="1"/>
    <col min="3" max="4" width="9.109375" style="55"/>
    <col min="5" max="5" width="9.109375" style="55" customWidth="1"/>
    <col min="6" max="6" width="11.88671875" style="55" customWidth="1"/>
    <col min="7" max="7" width="5.44140625" style="55" bestFit="1" customWidth="1"/>
    <col min="8" max="8" width="9.33203125" style="55" bestFit="1" customWidth="1"/>
    <col min="9" max="9" width="2.109375" style="55" customWidth="1"/>
    <col min="10" max="10" width="9.109375" style="56"/>
    <col min="11" max="11" width="10.109375" style="55" customWidth="1"/>
    <col min="12" max="12" width="11.6640625" style="55" customWidth="1"/>
    <col min="13" max="13" width="11" style="55" customWidth="1"/>
    <col min="14" max="14" width="3" style="55" customWidth="1"/>
    <col min="15" max="15" width="9.109375" style="56"/>
    <col min="16" max="16" width="9.109375" style="2"/>
    <col min="17" max="17" width="30.44140625" style="2" customWidth="1"/>
    <col min="18" max="16384" width="9.109375" style="2"/>
  </cols>
  <sheetData>
    <row r="1" spans="1:15" ht="16.2">
      <c r="A1" s="294" t="s">
        <v>4</v>
      </c>
    </row>
    <row r="2" spans="1:15" ht="16.2">
      <c r="A2" s="195"/>
      <c r="K2" s="503"/>
      <c r="L2" s="503"/>
      <c r="M2" s="503"/>
    </row>
    <row r="3" spans="1:15" ht="18.600000000000001">
      <c r="A3" s="191" t="str">
        <f>'2-Kosten totaal'!A3</f>
        <v>Naam opdrachtgever</v>
      </c>
      <c r="B3" s="46" t="str">
        <f>'2-Kosten totaal'!B3</f>
        <v>RSG Enkhuizen</v>
      </c>
      <c r="C3" s="57"/>
      <c r="K3" s="503"/>
      <c r="L3" s="503"/>
      <c r="M3" s="503"/>
    </row>
    <row r="4" spans="1:15" ht="18.600000000000001">
      <c r="A4" s="191" t="str">
        <f>'2-Kosten totaal'!A4</f>
        <v>Calculatie onderdeel</v>
      </c>
      <c r="B4" s="46" t="str">
        <f ca="1">MID(CELL("bestandsnaam",$B$7),SEARCH("]",CELL("bestandsnaam",$B$7),1)+1,256)</f>
        <v>3-Productie normen</v>
      </c>
      <c r="C4" s="46"/>
      <c r="K4" s="503"/>
      <c r="L4" s="503"/>
      <c r="M4" s="503"/>
    </row>
    <row r="5" spans="1:15" ht="18.600000000000001">
      <c r="A5" s="191" t="str">
        <f>'2-Kosten totaal'!A5</f>
        <v>Gebouw/plaats</v>
      </c>
      <c r="B5" s="46" t="str">
        <f>'2-Kosten totaal'!B5</f>
        <v>Enkhuizen</v>
      </c>
      <c r="C5" s="46"/>
    </row>
    <row r="6" spans="1:15" ht="18.600000000000001">
      <c r="A6" s="191" t="str">
        <f>'2-Kosten totaal'!A6</f>
        <v>Referentie nummer</v>
      </c>
      <c r="B6" s="46" t="str">
        <f>'2-Kosten totaal'!B6</f>
        <v>TN481900</v>
      </c>
      <c r="C6" s="46"/>
      <c r="E6" s="295" t="s">
        <v>28</v>
      </c>
      <c r="F6" s="296"/>
      <c r="G6" s="297" t="e">
        <f>SUM('4-Basis ruimtestaat'!T:T)/SUM('4-Basis ruimtestaat'!M:N)</f>
        <v>#DIV/0!</v>
      </c>
      <c r="H6" s="298" t="s">
        <v>29</v>
      </c>
    </row>
    <row r="7" spans="1:15">
      <c r="A7" s="58"/>
      <c r="B7" s="59"/>
      <c r="C7" s="59"/>
      <c r="D7" s="60"/>
      <c r="E7" s="61"/>
      <c r="F7" s="61"/>
      <c r="G7" s="62"/>
      <c r="H7" s="63"/>
      <c r="I7" s="64"/>
      <c r="K7" s="65"/>
      <c r="L7" s="65"/>
      <c r="M7" s="64"/>
      <c r="N7" s="64"/>
      <c r="O7" s="66"/>
    </row>
    <row r="8" spans="1:15" ht="27.75" customHeight="1">
      <c r="A8" s="299" t="s">
        <v>30</v>
      </c>
      <c r="B8" s="300">
        <v>2</v>
      </c>
      <c r="C8" s="300">
        <v>4</v>
      </c>
      <c r="D8" s="300">
        <v>10</v>
      </c>
      <c r="E8" s="300">
        <v>40</v>
      </c>
      <c r="F8" s="300">
        <v>80</v>
      </c>
      <c r="G8" s="300">
        <v>120</v>
      </c>
      <c r="H8" s="300">
        <v>200</v>
      </c>
      <c r="I8" s="64"/>
      <c r="J8" s="193"/>
      <c r="K8" s="301"/>
      <c r="L8" s="65"/>
      <c r="M8" s="64"/>
      <c r="N8" s="194"/>
      <c r="O8" s="66"/>
    </row>
    <row r="9" spans="1:15" ht="60.6" customHeight="1">
      <c r="A9" s="302" t="s">
        <v>31</v>
      </c>
      <c r="B9" s="500" t="s">
        <v>32</v>
      </c>
      <c r="C9" s="501"/>
      <c r="D9" s="501"/>
      <c r="E9" s="501"/>
      <c r="F9" s="501"/>
      <c r="G9" s="501"/>
      <c r="H9" s="502"/>
      <c r="I9" s="64"/>
      <c r="J9" s="303" t="s">
        <v>33</v>
      </c>
      <c r="K9" s="304" t="s">
        <v>34</v>
      </c>
      <c r="L9" s="65"/>
      <c r="M9" s="64"/>
      <c r="N9" s="194"/>
      <c r="O9" s="303" t="s">
        <v>35</v>
      </c>
    </row>
    <row r="10" spans="1:15">
      <c r="A10" s="305" t="s">
        <v>36</v>
      </c>
      <c r="B10" s="494"/>
      <c r="C10" s="494"/>
      <c r="D10" s="494"/>
      <c r="E10" s="494"/>
      <c r="F10" s="494"/>
      <c r="G10" s="306"/>
      <c r="H10" s="494"/>
      <c r="I10" s="240"/>
      <c r="J10" s="307">
        <f>SUMIF('4-Basis ruimtestaat'!G:G,'3-Productie normen'!A10,'4-Basis ruimtestaat'!I:I)</f>
        <v>832.58</v>
      </c>
      <c r="K10" s="68"/>
      <c r="L10" s="65"/>
      <c r="M10" s="64"/>
      <c r="N10" s="64"/>
      <c r="O10" s="308" t="s">
        <v>37</v>
      </c>
    </row>
    <row r="11" spans="1:15">
      <c r="A11" s="305" t="s">
        <v>223</v>
      </c>
      <c r="B11" s="494"/>
      <c r="C11" s="494"/>
      <c r="D11" s="494"/>
      <c r="E11" s="494"/>
      <c r="F11" s="494"/>
      <c r="G11" s="494"/>
      <c r="H11" s="306"/>
      <c r="I11" s="240"/>
      <c r="J11" s="307">
        <f>SUMIF('4-Basis ruimtestaat'!G:G,'3-Productie normen'!A11,'4-Basis ruimtestaat'!I:I)</f>
        <v>1073</v>
      </c>
      <c r="L11" s="65"/>
      <c r="M11" s="64"/>
      <c r="N11" s="64"/>
      <c r="O11" s="308" t="s">
        <v>41</v>
      </c>
    </row>
    <row r="12" spans="1:15">
      <c r="A12" s="305" t="s">
        <v>44</v>
      </c>
      <c r="B12" s="494"/>
      <c r="C12" s="494"/>
      <c r="D12" s="494"/>
      <c r="E12" s="494"/>
      <c r="F12" s="494"/>
      <c r="G12" s="494"/>
      <c r="H12" s="306"/>
      <c r="I12" s="240"/>
      <c r="J12" s="307">
        <f>SUMIF('4-Basis ruimtestaat'!G:G,'3-Productie normen'!A12,'4-Basis ruimtestaat'!I:I)</f>
        <v>25</v>
      </c>
      <c r="L12" s="65"/>
      <c r="M12" s="64"/>
      <c r="O12" s="308" t="s">
        <v>41</v>
      </c>
    </row>
    <row r="13" spans="1:15">
      <c r="A13" s="305" t="s">
        <v>40</v>
      </c>
      <c r="B13" s="494"/>
      <c r="C13" s="494"/>
      <c r="D13" s="494"/>
      <c r="E13" s="494"/>
      <c r="F13" s="306"/>
      <c r="G13" s="494"/>
      <c r="H13" s="306"/>
      <c r="I13" s="240"/>
      <c r="J13" s="307">
        <f>SUMIF('4-Basis ruimtestaat'!G:G,'3-Productie normen'!A13,'4-Basis ruimtestaat'!I:I)</f>
        <v>2019.5</v>
      </c>
      <c r="L13" s="65"/>
      <c r="M13" s="64"/>
      <c r="O13" s="308" t="s">
        <v>41</v>
      </c>
    </row>
    <row r="14" spans="1:15">
      <c r="A14" s="305" t="s">
        <v>42</v>
      </c>
      <c r="B14" s="494"/>
      <c r="C14" s="494"/>
      <c r="D14" s="494"/>
      <c r="E14" s="494"/>
      <c r="F14" s="494"/>
      <c r="G14" s="494"/>
      <c r="H14" s="306"/>
      <c r="I14" s="240"/>
      <c r="J14" s="307">
        <f>SUMIF('4-Basis ruimtestaat'!G:G,'3-Productie normen'!A14,'4-Basis ruimtestaat'!I:I)</f>
        <v>50</v>
      </c>
      <c r="L14" s="65"/>
      <c r="M14" s="64"/>
      <c r="O14" s="308" t="s">
        <v>39</v>
      </c>
    </row>
    <row r="15" spans="1:15">
      <c r="A15" s="305" t="s">
        <v>224</v>
      </c>
      <c r="B15" s="494"/>
      <c r="C15" s="494"/>
      <c r="D15" s="494"/>
      <c r="E15" s="494"/>
      <c r="F15" s="494"/>
      <c r="G15" s="306"/>
      <c r="H15" s="306"/>
      <c r="I15" s="240"/>
      <c r="J15" s="307">
        <f>SUMIF('4-Basis ruimtestaat'!G:G,'3-Productie normen'!A15,'4-Basis ruimtestaat'!I:I)</f>
        <v>3324.02</v>
      </c>
      <c r="O15" s="308" t="s">
        <v>230</v>
      </c>
    </row>
    <row r="16" spans="1:15">
      <c r="A16" s="305" t="s">
        <v>45</v>
      </c>
      <c r="B16" s="494"/>
      <c r="C16" s="494"/>
      <c r="D16" s="494"/>
      <c r="E16" s="494"/>
      <c r="F16" s="494"/>
      <c r="G16" s="494"/>
      <c r="H16" s="306"/>
      <c r="I16" s="240"/>
      <c r="J16" s="307">
        <f>SUMIF('4-Basis ruimtestaat'!G:G,'3-Productie normen'!A16,'4-Basis ruimtestaat'!I:I)</f>
        <v>2</v>
      </c>
      <c r="O16" s="308" t="s">
        <v>41</v>
      </c>
    </row>
    <row r="17" spans="1:15">
      <c r="A17" s="305" t="s">
        <v>225</v>
      </c>
      <c r="B17" s="494"/>
      <c r="C17" s="494"/>
      <c r="D17" s="494"/>
      <c r="E17" s="494"/>
      <c r="F17" s="494"/>
      <c r="G17" s="306"/>
      <c r="H17" s="494"/>
      <c r="I17" s="240"/>
      <c r="J17" s="307">
        <f>SUMIF('4-Basis ruimtestaat'!G:G,'3-Productie normen'!A17,'4-Basis ruimtestaat'!I:I)</f>
        <v>150</v>
      </c>
      <c r="O17" s="308" t="s">
        <v>41</v>
      </c>
    </row>
    <row r="18" spans="1:15">
      <c r="A18" s="305" t="s">
        <v>226</v>
      </c>
      <c r="B18" s="494"/>
      <c r="C18" s="494"/>
      <c r="D18" s="494"/>
      <c r="E18" s="494"/>
      <c r="F18" s="494"/>
      <c r="G18" s="494"/>
      <c r="H18" s="494"/>
      <c r="I18" s="240"/>
      <c r="J18" s="307">
        <f>SUMIF('4-Basis ruimtestaat'!G:G,'3-Productie normen'!A18,'4-Basis ruimtestaat'!I:I)</f>
        <v>51</v>
      </c>
      <c r="O18" s="308" t="s">
        <v>41</v>
      </c>
    </row>
    <row r="19" spans="1:15">
      <c r="A19" s="309" t="s">
        <v>227</v>
      </c>
      <c r="B19" s="494"/>
      <c r="C19" s="494"/>
      <c r="D19" s="494"/>
      <c r="E19" s="494"/>
      <c r="F19" s="494"/>
      <c r="G19" s="494"/>
      <c r="H19" s="306"/>
      <c r="I19" s="240"/>
      <c r="J19" s="307">
        <f>SUMIF('4-Basis ruimtestaat'!G:G,'3-Productie normen'!A19,'4-Basis ruimtestaat'!I:I)</f>
        <v>794</v>
      </c>
      <c r="O19" s="308" t="s">
        <v>230</v>
      </c>
    </row>
    <row r="20" spans="1:15">
      <c r="A20" s="309" t="s">
        <v>38</v>
      </c>
      <c r="B20" s="494"/>
      <c r="C20" s="494"/>
      <c r="D20" s="494"/>
      <c r="E20" s="494"/>
      <c r="F20" s="494"/>
      <c r="G20" s="494"/>
      <c r="H20" s="306"/>
      <c r="I20" s="240"/>
      <c r="J20" s="307">
        <f>SUMIF('4-Basis ruimtestaat'!G:G,'3-Productie normen'!A20,'4-Basis ruimtestaat'!I:I)</f>
        <v>210</v>
      </c>
      <c r="M20" s="69"/>
      <c r="O20" s="308" t="s">
        <v>39</v>
      </c>
    </row>
    <row r="21" spans="1:15">
      <c r="A21" s="309" t="s">
        <v>228</v>
      </c>
      <c r="B21" s="494"/>
      <c r="C21" s="494"/>
      <c r="D21" s="306"/>
      <c r="E21" s="494"/>
      <c r="F21" s="494"/>
      <c r="G21" s="494"/>
      <c r="H21" s="306"/>
      <c r="I21" s="240"/>
      <c r="J21" s="307">
        <f>SUMIF('4-Basis ruimtestaat'!G:G,'3-Productie normen'!A21,'4-Basis ruimtestaat'!I:I)</f>
        <v>287</v>
      </c>
      <c r="M21" s="69"/>
      <c r="O21" s="308" t="s">
        <v>41</v>
      </c>
    </row>
    <row r="22" spans="1:15">
      <c r="A22" s="309" t="s">
        <v>229</v>
      </c>
      <c r="B22" s="494"/>
      <c r="C22" s="494"/>
      <c r="D22" s="494"/>
      <c r="E22" s="306"/>
      <c r="F22" s="494"/>
      <c r="G22" s="494"/>
      <c r="H22" s="306"/>
      <c r="I22" s="240"/>
      <c r="J22" s="307">
        <f>SUMIF('4-Basis ruimtestaat'!G:G,'3-Productie normen'!A22,'4-Basis ruimtestaat'!I:I)</f>
        <v>145</v>
      </c>
      <c r="M22" s="69"/>
      <c r="O22" s="308" t="s">
        <v>41</v>
      </c>
    </row>
    <row r="23" spans="1:15">
      <c r="A23" s="309" t="s">
        <v>43</v>
      </c>
      <c r="B23" s="494"/>
      <c r="C23" s="494"/>
      <c r="D23" s="494"/>
      <c r="E23" s="494"/>
      <c r="F23" s="494"/>
      <c r="G23" s="306"/>
      <c r="H23" s="494"/>
      <c r="I23" s="240"/>
      <c r="J23" s="307">
        <f>SUMIF('4-Basis ruimtestaat'!G:G,'3-Productie normen'!A23,'4-Basis ruimtestaat'!I:I)</f>
        <v>55</v>
      </c>
      <c r="M23" s="64"/>
      <c r="O23" s="308" t="s">
        <v>37</v>
      </c>
    </row>
    <row r="24" spans="1:15">
      <c r="A24" s="309" t="s">
        <v>367</v>
      </c>
      <c r="B24" s="494"/>
      <c r="C24" s="494"/>
      <c r="D24" s="494"/>
      <c r="E24" s="494"/>
      <c r="F24" s="494"/>
      <c r="G24" s="306"/>
      <c r="H24" s="306"/>
      <c r="I24" s="240"/>
      <c r="J24" s="307">
        <f>SUMIF('4-Basis ruimtestaat'!G:G,'3-Productie normen'!A24,'4-Basis ruimtestaat'!I:I)</f>
        <v>1124</v>
      </c>
      <c r="M24" s="64"/>
      <c r="O24" s="308" t="s">
        <v>41</v>
      </c>
    </row>
    <row r="25" spans="1:15">
      <c r="A25" s="309"/>
      <c r="B25" s="494"/>
      <c r="C25" s="494"/>
      <c r="D25" s="494"/>
      <c r="E25" s="494"/>
      <c r="F25" s="494"/>
      <c r="G25" s="494"/>
      <c r="H25" s="494"/>
      <c r="I25" s="240"/>
      <c r="J25" s="307">
        <f>SUMIF('4-Basis ruimtestaat'!G:G,'3-Productie normen'!A25,'4-Basis ruimtestaat'!I:I)</f>
        <v>0</v>
      </c>
      <c r="M25" s="64"/>
      <c r="O25" s="308"/>
    </row>
    <row r="26" spans="1:15">
      <c r="A26" s="309"/>
      <c r="B26" s="494"/>
      <c r="C26" s="494"/>
      <c r="D26" s="494"/>
      <c r="E26" s="494"/>
      <c r="F26" s="494"/>
      <c r="G26" s="494"/>
      <c r="H26" s="494"/>
      <c r="I26" s="240"/>
      <c r="J26" s="307">
        <f>SUMIF('4-Basis ruimtestaat'!G:G,'3-Productie normen'!A26,'4-Basis ruimtestaat'!I:I)</f>
        <v>0</v>
      </c>
      <c r="M26" s="64"/>
      <c r="O26" s="308"/>
    </row>
    <row r="27" spans="1:15">
      <c r="A27" s="309"/>
      <c r="B27" s="494"/>
      <c r="C27" s="494"/>
      <c r="D27" s="494"/>
      <c r="E27" s="494"/>
      <c r="F27" s="494"/>
      <c r="G27" s="494"/>
      <c r="H27" s="494"/>
      <c r="I27" s="240"/>
      <c r="J27" s="307">
        <f>SUMIF('4-Basis ruimtestaat'!G:G,'3-Productie normen'!A27,'4-Basis ruimtestaat'!I:I)</f>
        <v>0</v>
      </c>
      <c r="M27" s="64"/>
      <c r="O27" s="308"/>
    </row>
    <row r="28" spans="1:15">
      <c r="A28" s="309"/>
      <c r="B28" s="494"/>
      <c r="C28" s="494"/>
      <c r="D28" s="494"/>
      <c r="E28" s="494"/>
      <c r="F28" s="494"/>
      <c r="G28" s="494"/>
      <c r="H28" s="494"/>
      <c r="I28" s="240"/>
      <c r="J28" s="307">
        <f>SUMIF('4-Basis ruimtestaat'!G:G,'3-Productie normen'!A28,'4-Basis ruimtestaat'!I:I)</f>
        <v>0</v>
      </c>
      <c r="M28" s="64"/>
      <c r="O28" s="308"/>
    </row>
    <row r="29" spans="1:15">
      <c r="A29" s="309" t="s">
        <v>46</v>
      </c>
      <c r="B29" s="310"/>
      <c r="C29" s="310"/>
      <c r="D29" s="310"/>
      <c r="E29" s="310"/>
      <c r="F29" s="310"/>
      <c r="G29" s="310"/>
      <c r="H29" s="311"/>
      <c r="I29" s="240"/>
      <c r="J29" s="307">
        <f>SUMIF('4-Basis ruimtestaat'!G:G,'3-Productie normen'!A29,'4-Basis ruimtestaat'!I:I)</f>
        <v>0</v>
      </c>
      <c r="M29" s="64"/>
      <c r="O29" s="308"/>
    </row>
    <row r="30" spans="1:15">
      <c r="A30" s="309"/>
      <c r="B30" s="312"/>
      <c r="C30" s="312"/>
      <c r="D30" s="312"/>
      <c r="E30" s="312"/>
      <c r="F30" s="312"/>
      <c r="G30" s="312"/>
      <c r="H30" s="313"/>
      <c r="I30" s="240"/>
      <c r="J30" s="307"/>
      <c r="M30" s="64"/>
      <c r="N30" s="67"/>
      <c r="O30" s="308"/>
    </row>
    <row r="31" spans="1:15">
      <c r="A31" s="314" t="s">
        <v>21</v>
      </c>
      <c r="B31" s="315"/>
      <c r="C31" s="315"/>
      <c r="D31" s="315"/>
      <c r="E31" s="315"/>
      <c r="F31" s="315"/>
      <c r="G31" s="315"/>
      <c r="H31" s="316"/>
      <c r="I31" s="241"/>
      <c r="J31" s="317">
        <f>SUM(J10:J30)</f>
        <v>10142.1</v>
      </c>
      <c r="M31" s="64"/>
      <c r="N31" s="64"/>
      <c r="O31" s="318"/>
    </row>
    <row r="32" spans="1:15">
      <c r="J32" s="55"/>
      <c r="M32" s="64"/>
      <c r="N32" s="64"/>
      <c r="O32" s="55"/>
    </row>
    <row r="33" spans="1:13" ht="16.2">
      <c r="A33" s="319" t="s">
        <v>47</v>
      </c>
      <c r="B33" s="320">
        <v>2</v>
      </c>
      <c r="C33" s="320">
        <v>3</v>
      </c>
      <c r="D33" s="320">
        <v>4</v>
      </c>
      <c r="E33" s="320">
        <v>5</v>
      </c>
      <c r="F33" s="320">
        <v>6</v>
      </c>
      <c r="G33" s="320">
        <v>7</v>
      </c>
      <c r="H33" s="320">
        <v>8</v>
      </c>
      <c r="I33" s="64"/>
      <c r="M33" s="64"/>
    </row>
    <row r="35" spans="1:13">
      <c r="A35" s="187" t="s">
        <v>48</v>
      </c>
      <c r="B35" s="187" t="s">
        <v>49</v>
      </c>
      <c r="C35" s="188" t="s">
        <v>50</v>
      </c>
    </row>
    <row r="36" spans="1:13">
      <c r="A36" s="70" t="s">
        <v>51</v>
      </c>
      <c r="B36" s="71">
        <v>2</v>
      </c>
      <c r="C36" s="196">
        <v>2</v>
      </c>
    </row>
    <row r="37" spans="1:13">
      <c r="A37" s="70" t="s">
        <v>52</v>
      </c>
      <c r="B37" s="71">
        <v>4</v>
      </c>
      <c r="C37" s="196">
        <v>3</v>
      </c>
    </row>
    <row r="38" spans="1:13">
      <c r="A38" s="70" t="s">
        <v>368</v>
      </c>
      <c r="B38" s="71">
        <v>10</v>
      </c>
      <c r="C38" s="196">
        <v>4</v>
      </c>
    </row>
    <row r="39" spans="1:13">
      <c r="A39" s="70" t="s">
        <v>221</v>
      </c>
      <c r="B39" s="71">
        <v>40</v>
      </c>
      <c r="C39" s="196">
        <v>5</v>
      </c>
    </row>
    <row r="40" spans="1:13">
      <c r="A40" s="70" t="s">
        <v>222</v>
      </c>
      <c r="B40" s="71">
        <v>80</v>
      </c>
      <c r="C40" s="196">
        <v>6</v>
      </c>
    </row>
    <row r="41" spans="1:13">
      <c r="A41" s="70" t="s">
        <v>231</v>
      </c>
      <c r="B41" s="72">
        <v>120</v>
      </c>
      <c r="C41" s="196">
        <v>7</v>
      </c>
    </row>
    <row r="42" spans="1:13">
      <c r="A42" s="70" t="s">
        <v>220</v>
      </c>
      <c r="B42" s="72">
        <v>200</v>
      </c>
      <c r="C42" s="196">
        <v>8</v>
      </c>
    </row>
  </sheetData>
  <mergeCells count="2">
    <mergeCell ref="B9:H9"/>
    <mergeCell ref="K2:M4"/>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74"/>
  <sheetViews>
    <sheetView showGridLines="0" showZeros="0" zoomScale="70" zoomScaleNormal="70" zoomScalePageLayoutView="75" workbookViewId="0">
      <pane xSplit="1" ySplit="9" topLeftCell="B10" activePane="bottomRight" state="frozen"/>
      <selection activeCell="F5" sqref="F5"/>
      <selection pane="topRight" activeCell="F5" sqref="F5"/>
      <selection pane="bottomLeft" activeCell="F5" sqref="F5"/>
      <selection pane="bottomRight" activeCell="F22" sqref="F22"/>
    </sheetView>
  </sheetViews>
  <sheetFormatPr defaultColWidth="8.6640625" defaultRowHeight="14.1" customHeight="1"/>
  <cols>
    <col min="1" max="1" width="5" style="55" bestFit="1" customWidth="1"/>
    <col min="2" max="2" width="27.88671875" style="55" bestFit="1" customWidth="1"/>
    <col min="3" max="3" width="21.6640625" style="55" bestFit="1" customWidth="1"/>
    <col min="4" max="4" width="14.33203125" style="55" customWidth="1"/>
    <col min="5" max="5" width="19.77734375" style="243" bestFit="1" customWidth="1"/>
    <col min="6" max="6" width="35.44140625" style="55" bestFit="1" customWidth="1"/>
    <col min="7" max="7" width="26" style="55" bestFit="1" customWidth="1"/>
    <col min="8" max="8" width="38.21875" style="55" customWidth="1"/>
    <col min="9" max="9" width="8.5546875" style="55" customWidth="1"/>
    <col min="10" max="10" width="16.109375" style="73" bestFit="1" customWidth="1"/>
    <col min="11" max="11" width="11.88671875" style="96" bestFit="1" customWidth="1"/>
    <col min="12" max="12" width="15.5546875" style="96" bestFit="1" customWidth="1"/>
    <col min="13" max="13" width="16.88671875" style="55" bestFit="1" customWidth="1"/>
    <col min="14" max="14" width="20.5546875" style="55" bestFit="1" customWidth="1"/>
    <col min="15" max="15" width="15.77734375" style="55" bestFit="1" customWidth="1"/>
    <col min="16" max="16" width="23.88671875" style="55" bestFit="1" customWidth="1"/>
    <col min="17" max="17" width="11" style="55" bestFit="1" customWidth="1"/>
    <col min="18" max="18" width="36.77734375" style="55" bestFit="1" customWidth="1"/>
    <col min="19" max="19" width="3" style="55" customWidth="1"/>
    <col min="20" max="20" width="12.88671875" style="55" bestFit="1" customWidth="1"/>
    <col min="21" max="21" width="15.5546875" style="2" bestFit="1" customWidth="1"/>
    <col min="22" max="16384" width="8.6640625" style="2"/>
  </cols>
  <sheetData>
    <row r="1" spans="1:20" ht="13.2">
      <c r="F1" s="503"/>
      <c r="G1" s="503"/>
      <c r="K1" s="55"/>
      <c r="L1" s="56"/>
    </row>
    <row r="2" spans="1:20" ht="16.2">
      <c r="A2" s="74">
        <v>2</v>
      </c>
      <c r="B2" s="197"/>
      <c r="C2" s="75"/>
      <c r="D2" s="76"/>
      <c r="E2" s="244"/>
      <c r="F2" s="503"/>
      <c r="G2" s="503"/>
      <c r="H2" s="506"/>
      <c r="I2" s="506"/>
      <c r="J2" s="80"/>
      <c r="K2" s="81"/>
      <c r="L2" s="81"/>
      <c r="M2" s="78"/>
      <c r="N2" s="78"/>
      <c r="O2" s="82"/>
      <c r="P2" s="82"/>
      <c r="Q2" s="77"/>
      <c r="R2" s="77"/>
    </row>
    <row r="3" spans="1:20" ht="18.600000000000001">
      <c r="A3" s="74">
        <v>3</v>
      </c>
      <c r="B3" s="191" t="str">
        <f>'2-Kosten totaal'!A3</f>
        <v>Naam opdrachtgever</v>
      </c>
      <c r="C3" s="46" t="str">
        <f>'2-Kosten totaal'!B3</f>
        <v>RSG Enkhuizen</v>
      </c>
      <c r="E3" s="245"/>
      <c r="F3" s="503"/>
      <c r="G3" s="503"/>
      <c r="H3" s="503"/>
      <c r="I3" s="503"/>
      <c r="J3" s="55"/>
      <c r="K3" s="55"/>
      <c r="L3" s="55"/>
      <c r="N3" s="78"/>
      <c r="O3" s="82"/>
      <c r="P3" s="82"/>
      <c r="Q3" s="77"/>
      <c r="R3" s="77"/>
    </row>
    <row r="4" spans="1:20" ht="18.600000000000001">
      <c r="A4" s="74">
        <v>4</v>
      </c>
      <c r="B4" s="191" t="str">
        <f>'2-Kosten totaal'!A4</f>
        <v>Calculatie onderdeel</v>
      </c>
      <c r="C4" s="46" t="str">
        <f ca="1">MID(CELL("bestandsnaam",$D$9),SEARCH("]",CELL("bestandsnaam",$D$9),1)+1,256)</f>
        <v>4-Basis ruimtestaat</v>
      </c>
      <c r="E4" s="246"/>
      <c r="F4" s="503"/>
      <c r="G4" s="503"/>
      <c r="H4" s="503"/>
      <c r="I4" s="503"/>
      <c r="J4" s="55"/>
      <c r="K4" s="55"/>
      <c r="L4" s="55"/>
      <c r="N4" s="78"/>
      <c r="O4" s="82"/>
      <c r="P4" s="82"/>
      <c r="Q4" s="77"/>
      <c r="R4" s="77"/>
    </row>
    <row r="5" spans="1:20" ht="18.600000000000001">
      <c r="A5" s="74">
        <v>5</v>
      </c>
      <c r="B5" s="191" t="str">
        <f>'2-Kosten totaal'!A5</f>
        <v>Gebouw/plaats</v>
      </c>
      <c r="C5" s="46" t="str">
        <f>'2-Kosten totaal'!B5</f>
        <v>Enkhuizen</v>
      </c>
      <c r="E5" s="245"/>
      <c r="F5" s="503"/>
      <c r="G5" s="503"/>
      <c r="H5" s="503"/>
      <c r="I5" s="503"/>
      <c r="J5" s="55"/>
      <c r="K5" s="55"/>
      <c r="L5" s="55"/>
      <c r="N5" s="78"/>
      <c r="O5" s="82"/>
      <c r="P5" s="82"/>
      <c r="Q5" s="77"/>
      <c r="R5" s="77"/>
    </row>
    <row r="6" spans="1:20" ht="18.600000000000001">
      <c r="A6" s="74">
        <v>6</v>
      </c>
      <c r="B6" s="191" t="str">
        <f>'2-Kosten totaal'!A6</f>
        <v>Referentie nummer</v>
      </c>
      <c r="C6" s="46" t="str">
        <f>'2-Kosten totaal'!B6</f>
        <v>TN481900</v>
      </c>
      <c r="E6" s="245"/>
      <c r="F6" s="503"/>
      <c r="G6" s="503"/>
      <c r="H6" s="503"/>
      <c r="I6" s="503"/>
      <c r="J6" s="80"/>
      <c r="K6" s="81"/>
      <c r="L6" s="81"/>
      <c r="M6" s="78"/>
      <c r="N6" s="78"/>
      <c r="O6" s="82"/>
      <c r="P6" s="504" t="s">
        <v>53</v>
      </c>
      <c r="Q6" s="77"/>
      <c r="R6" s="77"/>
    </row>
    <row r="7" spans="1:20" ht="18.600000000000001">
      <c r="A7" s="74">
        <v>7</v>
      </c>
      <c r="B7" s="191" t="str">
        <f>'2-Kosten totaal'!A7</f>
        <v>Naam dienstverlener</v>
      </c>
      <c r="C7" s="46">
        <f>'2-Kosten totaal'!B7</f>
        <v>0</v>
      </c>
      <c r="E7" s="245"/>
      <c r="F7" s="503"/>
      <c r="G7" s="503"/>
      <c r="H7" s="503"/>
      <c r="I7" s="503"/>
      <c r="J7" s="80"/>
      <c r="K7" s="81"/>
      <c r="L7" s="81"/>
      <c r="M7" s="78"/>
      <c r="N7" s="78"/>
      <c r="O7" s="82"/>
      <c r="P7" s="505"/>
      <c r="Q7" s="77"/>
      <c r="R7" s="77"/>
    </row>
    <row r="8" spans="1:20" ht="14.1" customHeight="1">
      <c r="A8" s="74">
        <v>8</v>
      </c>
      <c r="B8" s="77"/>
      <c r="C8" s="77"/>
      <c r="D8" s="76"/>
      <c r="E8" s="244"/>
      <c r="F8" s="89"/>
      <c r="G8" s="89"/>
      <c r="I8" s="79"/>
      <c r="J8" s="80"/>
      <c r="K8" s="81"/>
      <c r="L8" s="81"/>
      <c r="M8" s="78"/>
      <c r="N8" s="78"/>
      <c r="O8" s="78"/>
      <c r="P8" s="321">
        <f>'3-Productie normen'!K8</f>
        <v>0</v>
      </c>
      <c r="Q8" s="77"/>
      <c r="R8" s="77"/>
    </row>
    <row r="9" spans="1:20" ht="44.1" customHeight="1">
      <c r="A9" s="74">
        <v>9</v>
      </c>
      <c r="B9" s="214" t="s">
        <v>54</v>
      </c>
      <c r="C9" s="214" t="s">
        <v>55</v>
      </c>
      <c r="D9" s="214" t="s">
        <v>56</v>
      </c>
      <c r="E9" s="214" t="s">
        <v>57</v>
      </c>
      <c r="F9" s="214" t="s">
        <v>58</v>
      </c>
      <c r="G9" s="214" t="s">
        <v>59</v>
      </c>
      <c r="H9" s="322" t="s">
        <v>60</v>
      </c>
      <c r="I9" s="323" t="s">
        <v>61</v>
      </c>
      <c r="J9" s="324" t="s">
        <v>62</v>
      </c>
      <c r="K9" s="192" t="s">
        <v>63</v>
      </c>
      <c r="L9" s="192" t="s">
        <v>64</v>
      </c>
      <c r="M9" s="324" t="s">
        <v>65</v>
      </c>
      <c r="N9" s="324" t="s">
        <v>66</v>
      </c>
      <c r="O9" s="324" t="s">
        <v>67</v>
      </c>
      <c r="P9" s="324" t="s">
        <v>34</v>
      </c>
      <c r="Q9" s="198" t="s">
        <v>68</v>
      </c>
      <c r="R9" s="198" t="s">
        <v>69</v>
      </c>
      <c r="S9" s="199"/>
      <c r="T9" s="198" t="s">
        <v>70</v>
      </c>
    </row>
    <row r="10" spans="1:20" s="13" customFormat="1" ht="14.1" customHeight="1">
      <c r="A10" s="74">
        <v>10</v>
      </c>
      <c r="B10" s="477" t="s">
        <v>218</v>
      </c>
      <c r="C10" s="477" t="s">
        <v>232</v>
      </c>
      <c r="D10" s="488" t="s">
        <v>234</v>
      </c>
      <c r="E10" s="489" t="s">
        <v>235</v>
      </c>
      <c r="F10" s="477" t="s">
        <v>236</v>
      </c>
      <c r="G10" s="477" t="s">
        <v>229</v>
      </c>
      <c r="H10" s="478" t="s">
        <v>356</v>
      </c>
      <c r="I10" s="479">
        <v>12</v>
      </c>
      <c r="J10" s="480">
        <f t="shared" ref="J10:J43" si="0">SUM(K10:L10)</f>
        <v>200</v>
      </c>
      <c r="K10" s="481">
        <v>200</v>
      </c>
      <c r="L10" s="250"/>
      <c r="M10" s="249" t="e">
        <f t="shared" ref="M10:M43" si="1">IF(K10="nio",0,IF(K10&gt;0,K10*I10/O10,0))</f>
        <v>#DIV/0!</v>
      </c>
      <c r="N10" s="249">
        <f t="shared" ref="N10:N43" si="2">IF(L10&gt;0,L10*I10/P10,0)</f>
        <v>0</v>
      </c>
      <c r="O10" s="329">
        <f>IF(K10="nio",0,IF(K10&gt;0,VLOOKUP(G10,'3-Productie normen'!A:L,VLOOKUP(K10,'3-Productie normen'!$B$36:$C$42,2,FALSE),FALSE)))/VLOOKUP(B10,'2-Kosten totaal'!$A$14:$C$16,3,FALSE)</f>
        <v>0</v>
      </c>
      <c r="P10" s="329">
        <f t="shared" ref="P10:P43" si="3">IF(L10&gt;0,O10*$P$8,0)</f>
        <v>0</v>
      </c>
      <c r="Q10" s="330" t="str">
        <f>VLOOKUP(G10,'3-Productie normen'!A:O,15,FALSE)</f>
        <v>V</v>
      </c>
      <c r="R10" s="330"/>
      <c r="S10" s="55"/>
      <c r="T10" s="331">
        <f t="shared" ref="T10:T43" si="4">J10*I10</f>
        <v>2400</v>
      </c>
    </row>
    <row r="11" spans="1:20" ht="14.1" customHeight="1">
      <c r="A11" s="74">
        <v>11</v>
      </c>
      <c r="B11" s="477" t="s">
        <v>218</v>
      </c>
      <c r="C11" s="477" t="s">
        <v>232</v>
      </c>
      <c r="D11" s="488" t="s">
        <v>234</v>
      </c>
      <c r="E11" s="489">
        <v>3</v>
      </c>
      <c r="F11" s="477" t="s">
        <v>237</v>
      </c>
      <c r="G11" s="477" t="s">
        <v>224</v>
      </c>
      <c r="H11" s="478" t="s">
        <v>360</v>
      </c>
      <c r="I11" s="327">
        <v>56</v>
      </c>
      <c r="J11" s="328">
        <f t="shared" si="0"/>
        <v>200</v>
      </c>
      <c r="K11" s="250">
        <v>200</v>
      </c>
      <c r="L11" s="250"/>
      <c r="M11" s="249" t="e">
        <f t="shared" si="1"/>
        <v>#DIV/0!</v>
      </c>
      <c r="N11" s="249">
        <f t="shared" si="2"/>
        <v>0</v>
      </c>
      <c r="O11" s="329">
        <f>IF(K11="nio",0,IF(K11&gt;0,VLOOKUP(G11,'3-Productie normen'!A:L,VLOOKUP(K11,'3-Productie normen'!$B$36:$C$42,2,FALSE),FALSE)))/VLOOKUP(B11,'2-Kosten totaal'!$A$14:$C$16,3,FALSE)</f>
        <v>0</v>
      </c>
      <c r="P11" s="329">
        <f t="shared" si="3"/>
        <v>0</v>
      </c>
      <c r="Q11" s="330" t="str">
        <f>VLOOKUP(G11,'3-Productie normen'!A:O,15,FALSE)</f>
        <v>L</v>
      </c>
      <c r="R11" s="330"/>
      <c r="T11" s="331">
        <f t="shared" si="4"/>
        <v>11200</v>
      </c>
    </row>
    <row r="12" spans="1:20" ht="14.1" customHeight="1">
      <c r="A12" s="74">
        <v>12</v>
      </c>
      <c r="B12" s="477" t="s">
        <v>218</v>
      </c>
      <c r="C12" s="477" t="s">
        <v>232</v>
      </c>
      <c r="D12" s="488" t="s">
        <v>234</v>
      </c>
      <c r="E12" s="489">
        <v>4</v>
      </c>
      <c r="F12" s="477" t="s">
        <v>237</v>
      </c>
      <c r="G12" s="477" t="s">
        <v>224</v>
      </c>
      <c r="H12" s="478" t="s">
        <v>360</v>
      </c>
      <c r="I12" s="327">
        <v>55</v>
      </c>
      <c r="J12" s="328">
        <f t="shared" si="0"/>
        <v>200</v>
      </c>
      <c r="K12" s="250">
        <v>200</v>
      </c>
      <c r="L12" s="250"/>
      <c r="M12" s="249" t="e">
        <f t="shared" si="1"/>
        <v>#DIV/0!</v>
      </c>
      <c r="N12" s="249">
        <f t="shared" si="2"/>
        <v>0</v>
      </c>
      <c r="O12" s="329">
        <f>IF(K12="nio",0,IF(K12&gt;0,VLOOKUP(G12,'3-Productie normen'!A:L,VLOOKUP(K12,'3-Productie normen'!$B$36:$C$42,2,FALSE),FALSE)))/VLOOKUP(B12,'2-Kosten totaal'!$A$14:$C$16,3,FALSE)</f>
        <v>0</v>
      </c>
      <c r="P12" s="329">
        <f t="shared" si="3"/>
        <v>0</v>
      </c>
      <c r="Q12" s="330" t="str">
        <f>VLOOKUP(G12,'3-Productie normen'!A:O,15,FALSE)</f>
        <v>L</v>
      </c>
      <c r="R12" s="330"/>
      <c r="T12" s="331">
        <f t="shared" si="4"/>
        <v>11000</v>
      </c>
    </row>
    <row r="13" spans="1:20" ht="14.1" customHeight="1">
      <c r="A13" s="74">
        <v>13</v>
      </c>
      <c r="B13" s="477" t="s">
        <v>218</v>
      </c>
      <c r="C13" s="477" t="s">
        <v>232</v>
      </c>
      <c r="D13" s="488" t="s">
        <v>234</v>
      </c>
      <c r="E13" s="489">
        <v>5</v>
      </c>
      <c r="F13" s="478" t="s">
        <v>383</v>
      </c>
      <c r="G13" s="477" t="s">
        <v>36</v>
      </c>
      <c r="H13" s="478" t="s">
        <v>360</v>
      </c>
      <c r="I13" s="327">
        <v>25</v>
      </c>
      <c r="J13" s="328">
        <f t="shared" si="0"/>
        <v>120</v>
      </c>
      <c r="K13" s="250">
        <v>120</v>
      </c>
      <c r="L13" s="250"/>
      <c r="M13" s="249" t="e">
        <f t="shared" si="1"/>
        <v>#DIV/0!</v>
      </c>
      <c r="N13" s="249">
        <f t="shared" si="2"/>
        <v>0</v>
      </c>
      <c r="O13" s="329">
        <f>IF(K13="nio",0,IF(K13&gt;0,VLOOKUP(G13,'3-Productie normen'!A:L,VLOOKUP(K13,'3-Productie normen'!$B$36:$C$42,2,FALSE),FALSE)))/VLOOKUP(B13,'2-Kosten totaal'!$A$14:$C$16,3,FALSE)</f>
        <v>0</v>
      </c>
      <c r="P13" s="329">
        <f t="shared" si="3"/>
        <v>0</v>
      </c>
      <c r="Q13" s="330" t="str">
        <f>VLOOKUP(G13,'3-Productie normen'!A:O,15,FALSE)</f>
        <v>B</v>
      </c>
      <c r="R13" s="330"/>
      <c r="T13" s="331">
        <f t="shared" si="4"/>
        <v>3000</v>
      </c>
    </row>
    <row r="14" spans="1:20" ht="14.1" customHeight="1">
      <c r="A14" s="74">
        <v>14</v>
      </c>
      <c r="B14" s="477" t="s">
        <v>218</v>
      </c>
      <c r="C14" s="477" t="s">
        <v>232</v>
      </c>
      <c r="D14" s="488" t="s">
        <v>234</v>
      </c>
      <c r="E14" s="492">
        <v>6</v>
      </c>
      <c r="F14" s="482" t="s">
        <v>237</v>
      </c>
      <c r="G14" s="477" t="s">
        <v>224</v>
      </c>
      <c r="H14" s="478" t="s">
        <v>360</v>
      </c>
      <c r="I14" s="327">
        <f>80-I15</f>
        <v>54.019999999999996</v>
      </c>
      <c r="J14" s="328">
        <f t="shared" si="0"/>
        <v>200</v>
      </c>
      <c r="K14" s="250">
        <v>200</v>
      </c>
      <c r="L14" s="250"/>
      <c r="M14" s="249" t="e">
        <f t="shared" si="1"/>
        <v>#DIV/0!</v>
      </c>
      <c r="N14" s="249">
        <f t="shared" si="2"/>
        <v>0</v>
      </c>
      <c r="O14" s="329">
        <f>IF(K14="nio",0,IF(K14&gt;0,VLOOKUP(G14,'3-Productie normen'!A:L,VLOOKUP(K14,'3-Productie normen'!$B$36:$C$42,2,FALSE),FALSE)))/VLOOKUP(B14,'2-Kosten totaal'!$A$14:$C$16,3,FALSE)</f>
        <v>0</v>
      </c>
      <c r="P14" s="329">
        <f t="shared" si="3"/>
        <v>0</v>
      </c>
      <c r="Q14" s="330" t="str">
        <f>VLOOKUP(G14,'3-Productie normen'!A:O,15,FALSE)</f>
        <v>L</v>
      </c>
      <c r="R14" s="330"/>
      <c r="T14" s="331">
        <f t="shared" si="4"/>
        <v>10804</v>
      </c>
    </row>
    <row r="15" spans="1:20" ht="14.1" customHeight="1">
      <c r="A15" s="74">
        <v>15</v>
      </c>
      <c r="B15" s="477" t="s">
        <v>218</v>
      </c>
      <c r="C15" s="477" t="s">
        <v>232</v>
      </c>
      <c r="D15" s="488" t="s">
        <v>234</v>
      </c>
      <c r="E15" s="492" t="s">
        <v>380</v>
      </c>
      <c r="F15" s="482" t="s">
        <v>382</v>
      </c>
      <c r="G15" s="477" t="s">
        <v>36</v>
      </c>
      <c r="H15" s="478" t="s">
        <v>360</v>
      </c>
      <c r="I15" s="327">
        <v>25.98</v>
      </c>
      <c r="J15" s="328">
        <f t="shared" si="0"/>
        <v>120</v>
      </c>
      <c r="K15" s="250">
        <v>120</v>
      </c>
      <c r="L15" s="250"/>
      <c r="M15" s="249" t="e">
        <f t="shared" ref="M15" si="5">IF(K15="nio",0,IF(K15&gt;0,K15*I15/O15,0))</f>
        <v>#DIV/0!</v>
      </c>
      <c r="N15" s="249">
        <f t="shared" ref="N15" si="6">IF(L15&gt;0,L15*I15/P15,0)</f>
        <v>0</v>
      </c>
      <c r="O15" s="329">
        <f>IF(K15="nio",0,IF(K15&gt;0,VLOOKUP(G15,'3-Productie normen'!A:L,VLOOKUP(K15,'3-Productie normen'!$B$36:$C$42,2,FALSE),FALSE)))/VLOOKUP(B15,'2-Kosten totaal'!$A$14:$C$16,3,FALSE)</f>
        <v>0</v>
      </c>
      <c r="P15" s="329">
        <f t="shared" ref="P15" si="7">IF(L15&gt;0,O15*$P$8,0)</f>
        <v>0</v>
      </c>
      <c r="Q15" s="330" t="str">
        <f>VLOOKUP(G15,'3-Productie normen'!A:O,15,FALSE)</f>
        <v>B</v>
      </c>
      <c r="R15" s="330"/>
      <c r="T15" s="331">
        <f t="shared" si="4"/>
        <v>3117.6</v>
      </c>
    </row>
    <row r="16" spans="1:20" ht="14.1" customHeight="1">
      <c r="A16" s="74">
        <v>16</v>
      </c>
      <c r="B16" s="477" t="s">
        <v>218</v>
      </c>
      <c r="C16" s="477" t="s">
        <v>232</v>
      </c>
      <c r="D16" s="488" t="s">
        <v>234</v>
      </c>
      <c r="E16" s="489" t="s">
        <v>238</v>
      </c>
      <c r="F16" s="477" t="s">
        <v>239</v>
      </c>
      <c r="G16" s="477" t="s">
        <v>38</v>
      </c>
      <c r="H16" s="478" t="s">
        <v>358</v>
      </c>
      <c r="I16" s="479">
        <v>5</v>
      </c>
      <c r="J16" s="480">
        <f t="shared" si="0"/>
        <v>400</v>
      </c>
      <c r="K16" s="481">
        <v>200</v>
      </c>
      <c r="L16" s="250">
        <v>200</v>
      </c>
      <c r="M16" s="249" t="e">
        <f t="shared" si="1"/>
        <v>#DIV/0!</v>
      </c>
      <c r="N16" s="249" t="e">
        <f t="shared" si="2"/>
        <v>#DIV/0!</v>
      </c>
      <c r="O16" s="329">
        <f>IF(K16="nio",0,IF(K16&gt;0,VLOOKUP(G16,'3-Productie normen'!A:L,VLOOKUP(K16,'3-Productie normen'!$B$36:$C$42,2,FALSE),FALSE)))/VLOOKUP(B16,'2-Kosten totaal'!$A$14:$C$16,3,FALSE)</f>
        <v>0</v>
      </c>
      <c r="P16" s="329">
        <f t="shared" si="3"/>
        <v>0</v>
      </c>
      <c r="Q16" s="330" t="str">
        <f>VLOOKUP(G16,'3-Productie normen'!A:O,15,FALSE)</f>
        <v>S</v>
      </c>
      <c r="R16" s="330"/>
      <c r="T16" s="331">
        <f t="shared" si="4"/>
        <v>2000</v>
      </c>
    </row>
    <row r="17" spans="1:20" ht="14.1" customHeight="1">
      <c r="A17" s="74">
        <v>17</v>
      </c>
      <c r="B17" s="477" t="s">
        <v>218</v>
      </c>
      <c r="C17" s="477" t="s">
        <v>232</v>
      </c>
      <c r="D17" s="488" t="s">
        <v>234</v>
      </c>
      <c r="E17" s="489" t="s">
        <v>240</v>
      </c>
      <c r="F17" s="477" t="s">
        <v>241</v>
      </c>
      <c r="G17" s="477" t="s">
        <v>38</v>
      </c>
      <c r="H17" s="478" t="s">
        <v>358</v>
      </c>
      <c r="I17" s="479">
        <v>5</v>
      </c>
      <c r="J17" s="480">
        <f t="shared" si="0"/>
        <v>400</v>
      </c>
      <c r="K17" s="481">
        <v>200</v>
      </c>
      <c r="L17" s="250">
        <v>200</v>
      </c>
      <c r="M17" s="249" t="e">
        <f t="shared" si="1"/>
        <v>#DIV/0!</v>
      </c>
      <c r="N17" s="249" t="e">
        <f t="shared" si="2"/>
        <v>#DIV/0!</v>
      </c>
      <c r="O17" s="329">
        <f>IF(K17="nio",0,IF(K17&gt;0,VLOOKUP(G17,'3-Productie normen'!A:L,VLOOKUP(K17,'3-Productie normen'!$B$36:$C$42,2,FALSE),FALSE)))/VLOOKUP(B17,'2-Kosten totaal'!$A$14:$C$16,3,FALSE)</f>
        <v>0</v>
      </c>
      <c r="P17" s="329">
        <f t="shared" si="3"/>
        <v>0</v>
      </c>
      <c r="Q17" s="330" t="str">
        <f>VLOOKUP(G17,'3-Productie normen'!A:O,15,FALSE)</f>
        <v>S</v>
      </c>
      <c r="R17" s="330"/>
      <c r="T17" s="331">
        <f t="shared" si="4"/>
        <v>2000</v>
      </c>
    </row>
    <row r="18" spans="1:20" ht="14.1" customHeight="1">
      <c r="A18" s="74">
        <v>18</v>
      </c>
      <c r="B18" s="477" t="s">
        <v>218</v>
      </c>
      <c r="C18" s="477" t="s">
        <v>232</v>
      </c>
      <c r="D18" s="488" t="s">
        <v>234</v>
      </c>
      <c r="E18" s="489" t="s">
        <v>242</v>
      </c>
      <c r="F18" s="477" t="s">
        <v>243</v>
      </c>
      <c r="G18" s="477" t="s">
        <v>40</v>
      </c>
      <c r="H18" s="478" t="s">
        <v>359</v>
      </c>
      <c r="I18" s="479">
        <v>102</v>
      </c>
      <c r="J18" s="480">
        <f t="shared" si="0"/>
        <v>200</v>
      </c>
      <c r="K18" s="481">
        <v>200</v>
      </c>
      <c r="L18" s="250"/>
      <c r="M18" s="249" t="e">
        <f t="shared" si="1"/>
        <v>#DIV/0!</v>
      </c>
      <c r="N18" s="249">
        <f t="shared" si="2"/>
        <v>0</v>
      </c>
      <c r="O18" s="329">
        <f>IF(K18="nio",0,IF(K18&gt;0,VLOOKUP(G18,'3-Productie normen'!A:L,VLOOKUP(K18,'3-Productie normen'!$B$36:$C$42,2,FALSE),FALSE)))/VLOOKUP(B18,'2-Kosten totaal'!$A$14:$C$16,3,FALSE)</f>
        <v>0</v>
      </c>
      <c r="P18" s="329">
        <f t="shared" si="3"/>
        <v>0</v>
      </c>
      <c r="Q18" s="330" t="str">
        <f>VLOOKUP(G18,'3-Productie normen'!A:O,15,FALSE)</f>
        <v>V</v>
      </c>
      <c r="R18" s="330"/>
      <c r="T18" s="331">
        <f t="shared" si="4"/>
        <v>20400</v>
      </c>
    </row>
    <row r="19" spans="1:20" ht="14.1" customHeight="1">
      <c r="A19" s="74">
        <v>19</v>
      </c>
      <c r="B19" s="477" t="s">
        <v>218</v>
      </c>
      <c r="C19" s="477" t="s">
        <v>232</v>
      </c>
      <c r="D19" s="488" t="s">
        <v>234</v>
      </c>
      <c r="E19" s="489">
        <v>8</v>
      </c>
      <c r="F19" s="478" t="s">
        <v>389</v>
      </c>
      <c r="G19" s="477" t="s">
        <v>36</v>
      </c>
      <c r="H19" s="478" t="s">
        <v>359</v>
      </c>
      <c r="I19" s="327">
        <v>42</v>
      </c>
      <c r="J19" s="328">
        <f t="shared" si="0"/>
        <v>120</v>
      </c>
      <c r="K19" s="250">
        <v>120</v>
      </c>
      <c r="L19" s="250"/>
      <c r="M19" s="249" t="e">
        <f t="shared" si="1"/>
        <v>#DIV/0!</v>
      </c>
      <c r="N19" s="249">
        <f t="shared" si="2"/>
        <v>0</v>
      </c>
      <c r="O19" s="329">
        <f>IF(K19="nio",0,IF(K19&gt;0,VLOOKUP(G19,'3-Productie normen'!A:L,VLOOKUP(K19,'3-Productie normen'!$B$36:$C$42,2,FALSE),FALSE)))/VLOOKUP(B19,'2-Kosten totaal'!$A$14:$C$16,3,FALSE)</f>
        <v>0</v>
      </c>
      <c r="P19" s="329">
        <f t="shared" si="3"/>
        <v>0</v>
      </c>
      <c r="Q19" s="330" t="str">
        <f>VLOOKUP(G19,'3-Productie normen'!A:O,15,FALSE)</f>
        <v>B</v>
      </c>
      <c r="R19" s="330"/>
      <c r="T19" s="331">
        <f t="shared" si="4"/>
        <v>5040</v>
      </c>
    </row>
    <row r="20" spans="1:20" ht="14.1" customHeight="1">
      <c r="A20" s="74">
        <v>20</v>
      </c>
      <c r="B20" s="477" t="s">
        <v>218</v>
      </c>
      <c r="C20" s="477" t="s">
        <v>232</v>
      </c>
      <c r="D20" s="488" t="s">
        <v>234</v>
      </c>
      <c r="E20" s="492">
        <v>9</v>
      </c>
      <c r="F20" s="482" t="s">
        <v>237</v>
      </c>
      <c r="G20" s="477" t="s">
        <v>224</v>
      </c>
      <c r="H20" s="478" t="s">
        <v>359</v>
      </c>
      <c r="I20" s="327">
        <v>50</v>
      </c>
      <c r="J20" s="328">
        <f t="shared" si="0"/>
        <v>200</v>
      </c>
      <c r="K20" s="250">
        <v>200</v>
      </c>
      <c r="L20" s="250"/>
      <c r="M20" s="249" t="e">
        <f t="shared" si="1"/>
        <v>#DIV/0!</v>
      </c>
      <c r="N20" s="249">
        <f t="shared" si="2"/>
        <v>0</v>
      </c>
      <c r="O20" s="329">
        <f>IF(K20="nio",0,IF(K20&gt;0,VLOOKUP(G20,'3-Productie normen'!A:L,VLOOKUP(K20,'3-Productie normen'!$B$36:$C$42,2,FALSE),FALSE)))/VLOOKUP(B20,'2-Kosten totaal'!$A$14:$C$16,3,FALSE)</f>
        <v>0</v>
      </c>
      <c r="P20" s="329">
        <f t="shared" si="3"/>
        <v>0</v>
      </c>
      <c r="Q20" s="330" t="str">
        <f>VLOOKUP(G20,'3-Productie normen'!A:O,15,FALSE)</f>
        <v>L</v>
      </c>
      <c r="R20" s="330"/>
      <c r="T20" s="331">
        <f t="shared" si="4"/>
        <v>10000</v>
      </c>
    </row>
    <row r="21" spans="1:20" ht="14.1" customHeight="1">
      <c r="A21" s="74">
        <v>21</v>
      </c>
      <c r="B21" s="477" t="s">
        <v>218</v>
      </c>
      <c r="C21" s="477" t="s">
        <v>232</v>
      </c>
      <c r="D21" s="488" t="s">
        <v>234</v>
      </c>
      <c r="E21" s="489">
        <v>10</v>
      </c>
      <c r="F21" s="477" t="s">
        <v>237</v>
      </c>
      <c r="G21" s="477" t="s">
        <v>224</v>
      </c>
      <c r="H21" s="478" t="s">
        <v>359</v>
      </c>
      <c r="I21" s="327">
        <v>25</v>
      </c>
      <c r="J21" s="328">
        <f t="shared" si="0"/>
        <v>200</v>
      </c>
      <c r="K21" s="250">
        <v>200</v>
      </c>
      <c r="L21" s="250"/>
      <c r="M21" s="249" t="e">
        <f t="shared" si="1"/>
        <v>#DIV/0!</v>
      </c>
      <c r="N21" s="249">
        <f t="shared" si="2"/>
        <v>0</v>
      </c>
      <c r="O21" s="329">
        <f>IF(K21="nio",0,IF(K21&gt;0,VLOOKUP(G21,'3-Productie normen'!A:L,VLOOKUP(K21,'3-Productie normen'!$B$36:$C$42,2,FALSE),FALSE)))/VLOOKUP(B21,'2-Kosten totaal'!$A$14:$C$16,3,FALSE)</f>
        <v>0</v>
      </c>
      <c r="P21" s="329">
        <f t="shared" si="3"/>
        <v>0</v>
      </c>
      <c r="Q21" s="330" t="str">
        <f>VLOOKUP(G21,'3-Productie normen'!A:O,15,FALSE)</f>
        <v>L</v>
      </c>
      <c r="R21" s="330"/>
      <c r="T21" s="331">
        <f t="shared" si="4"/>
        <v>5000</v>
      </c>
    </row>
    <row r="22" spans="1:20" ht="14.1" customHeight="1">
      <c r="A22" s="74">
        <v>22</v>
      </c>
      <c r="B22" s="477" t="s">
        <v>218</v>
      </c>
      <c r="C22" s="477" t="s">
        <v>232</v>
      </c>
      <c r="D22" s="488" t="s">
        <v>234</v>
      </c>
      <c r="E22" s="489" t="s">
        <v>244</v>
      </c>
      <c r="F22" s="477" t="s">
        <v>384</v>
      </c>
      <c r="G22" s="477" t="s">
        <v>36</v>
      </c>
      <c r="H22" s="478" t="s">
        <v>360</v>
      </c>
      <c r="I22" s="479">
        <v>24</v>
      </c>
      <c r="J22" s="480">
        <f t="shared" si="0"/>
        <v>120</v>
      </c>
      <c r="K22" s="250">
        <v>120</v>
      </c>
      <c r="L22" s="250"/>
      <c r="M22" s="249" t="e">
        <f t="shared" si="1"/>
        <v>#DIV/0!</v>
      </c>
      <c r="N22" s="249">
        <f t="shared" si="2"/>
        <v>0</v>
      </c>
      <c r="O22" s="329">
        <f>IF(K22="nio",0,IF(K22&gt;0,VLOOKUP(G22,'3-Productie normen'!A:L,VLOOKUP(K22,'3-Productie normen'!$B$36:$C$42,2,FALSE),FALSE)))/VLOOKUP(B22,'2-Kosten totaal'!$A$14:$C$16,3,FALSE)</f>
        <v>0</v>
      </c>
      <c r="P22" s="329">
        <f t="shared" si="3"/>
        <v>0</v>
      </c>
      <c r="Q22" s="330" t="str">
        <f>VLOOKUP(G22,'3-Productie normen'!A:O,15,FALSE)</f>
        <v>B</v>
      </c>
      <c r="R22" s="330"/>
      <c r="T22" s="331">
        <f t="shared" si="4"/>
        <v>2880</v>
      </c>
    </row>
    <row r="23" spans="1:20" ht="14.1" customHeight="1">
      <c r="A23" s="74">
        <v>23</v>
      </c>
      <c r="B23" s="477" t="s">
        <v>218</v>
      </c>
      <c r="C23" s="477" t="s">
        <v>232</v>
      </c>
      <c r="D23" s="488" t="s">
        <v>234</v>
      </c>
      <c r="E23" s="489">
        <v>12</v>
      </c>
      <c r="F23" s="477" t="s">
        <v>245</v>
      </c>
      <c r="G23" s="477" t="s">
        <v>367</v>
      </c>
      <c r="H23" s="478" t="s">
        <v>360</v>
      </c>
      <c r="I23" s="327">
        <v>181</v>
      </c>
      <c r="J23" s="328">
        <f t="shared" si="0"/>
        <v>200</v>
      </c>
      <c r="K23" s="250">
        <v>200</v>
      </c>
      <c r="L23" s="250"/>
      <c r="M23" s="249" t="e">
        <f t="shared" si="1"/>
        <v>#DIV/0!</v>
      </c>
      <c r="N23" s="249">
        <f t="shared" si="2"/>
        <v>0</v>
      </c>
      <c r="O23" s="329">
        <f>IF(K23="nio",0,IF(K23&gt;0,VLOOKUP(G23,'3-Productie normen'!A:L,VLOOKUP(K23,'3-Productie normen'!$B$36:$C$42,2,FALSE),FALSE)))/VLOOKUP(B23,'2-Kosten totaal'!$A$14:$C$16,3,FALSE)</f>
        <v>0</v>
      </c>
      <c r="P23" s="329">
        <f t="shared" si="3"/>
        <v>0</v>
      </c>
      <c r="Q23" s="330" t="str">
        <f>VLOOKUP(G23,'3-Productie normen'!A:O,15,FALSE)</f>
        <v>V</v>
      </c>
      <c r="R23" s="330"/>
      <c r="T23" s="331">
        <f t="shared" si="4"/>
        <v>36200</v>
      </c>
    </row>
    <row r="24" spans="1:20" ht="14.1" customHeight="1">
      <c r="A24" s="74">
        <v>24</v>
      </c>
      <c r="B24" s="477" t="s">
        <v>218</v>
      </c>
      <c r="C24" s="477" t="s">
        <v>232</v>
      </c>
      <c r="D24" s="488" t="s">
        <v>234</v>
      </c>
      <c r="E24" s="489" t="s">
        <v>246</v>
      </c>
      <c r="F24" s="478" t="s">
        <v>385</v>
      </c>
      <c r="G24" s="478" t="s">
        <v>36</v>
      </c>
      <c r="H24" s="478" t="s">
        <v>360</v>
      </c>
      <c r="I24" s="479">
        <v>25</v>
      </c>
      <c r="J24" s="480">
        <f t="shared" si="0"/>
        <v>120</v>
      </c>
      <c r="K24" s="250">
        <v>120</v>
      </c>
      <c r="L24" s="250"/>
      <c r="M24" s="249" t="e">
        <f t="shared" si="1"/>
        <v>#DIV/0!</v>
      </c>
      <c r="N24" s="249">
        <f t="shared" si="2"/>
        <v>0</v>
      </c>
      <c r="O24" s="329">
        <f>IF(K24="nio",0,IF(K24&gt;0,VLOOKUP(G24,'3-Productie normen'!A:L,VLOOKUP(K24,'3-Productie normen'!$B$36:$C$42,2,FALSE),FALSE)))/VLOOKUP(B24,'2-Kosten totaal'!$A$14:$C$16,3,FALSE)</f>
        <v>0</v>
      </c>
      <c r="P24" s="329">
        <f t="shared" si="3"/>
        <v>0</v>
      </c>
      <c r="Q24" s="330" t="str">
        <f>VLOOKUP(G24,'3-Productie normen'!A:O,15,FALSE)</f>
        <v>B</v>
      </c>
      <c r="R24" s="330"/>
      <c r="T24" s="331">
        <f t="shared" si="4"/>
        <v>3000</v>
      </c>
    </row>
    <row r="25" spans="1:20" ht="14.1" customHeight="1">
      <c r="A25" s="74">
        <v>25</v>
      </c>
      <c r="B25" s="477" t="s">
        <v>218</v>
      </c>
      <c r="C25" s="477" t="s">
        <v>232</v>
      </c>
      <c r="D25" s="488" t="s">
        <v>234</v>
      </c>
      <c r="E25" s="492" t="s">
        <v>247</v>
      </c>
      <c r="F25" s="482" t="s">
        <v>248</v>
      </c>
      <c r="G25" s="305" t="s">
        <v>229</v>
      </c>
      <c r="H25" s="478" t="s">
        <v>356</v>
      </c>
      <c r="I25" s="479">
        <v>5</v>
      </c>
      <c r="J25" s="480">
        <f t="shared" si="0"/>
        <v>40</v>
      </c>
      <c r="K25" s="481">
        <v>40</v>
      </c>
      <c r="L25" s="250"/>
      <c r="M25" s="249" t="e">
        <f t="shared" si="1"/>
        <v>#DIV/0!</v>
      </c>
      <c r="N25" s="249">
        <f t="shared" si="2"/>
        <v>0</v>
      </c>
      <c r="O25" s="329">
        <f>IF(K25="nio",0,IF(K25&gt;0,VLOOKUP(G25,'3-Productie normen'!A:L,VLOOKUP(K25,'3-Productie normen'!$B$36:$C$42,2,FALSE),FALSE)))/VLOOKUP(B25,'2-Kosten totaal'!$A$14:$C$16,3,FALSE)</f>
        <v>0</v>
      </c>
      <c r="P25" s="329">
        <f t="shared" si="3"/>
        <v>0</v>
      </c>
      <c r="Q25" s="330" t="str">
        <f>VLOOKUP(G25,'3-Productie normen'!A:O,15,FALSE)</f>
        <v>V</v>
      </c>
      <c r="R25" s="330"/>
      <c r="T25" s="331">
        <f t="shared" si="4"/>
        <v>200</v>
      </c>
    </row>
    <row r="26" spans="1:20" ht="14.1" customHeight="1">
      <c r="A26" s="74">
        <v>26</v>
      </c>
      <c r="B26" s="477" t="s">
        <v>218</v>
      </c>
      <c r="C26" s="477" t="s">
        <v>232</v>
      </c>
      <c r="D26" s="488" t="s">
        <v>234</v>
      </c>
      <c r="E26" s="489" t="s">
        <v>249</v>
      </c>
      <c r="F26" s="477" t="s">
        <v>377</v>
      </c>
      <c r="G26" s="477" t="s">
        <v>40</v>
      </c>
      <c r="H26" s="478" t="s">
        <v>359</v>
      </c>
      <c r="I26" s="479">
        <v>8</v>
      </c>
      <c r="J26" s="480">
        <f t="shared" si="0"/>
        <v>80</v>
      </c>
      <c r="K26" s="481">
        <v>80</v>
      </c>
      <c r="L26" s="250"/>
      <c r="M26" s="249" t="e">
        <f t="shared" si="1"/>
        <v>#DIV/0!</v>
      </c>
      <c r="N26" s="249">
        <f t="shared" si="2"/>
        <v>0</v>
      </c>
      <c r="O26" s="329">
        <f>IF(K26="nio",0,IF(K26&gt;0,VLOOKUP(G26,'3-Productie normen'!A:L,VLOOKUP(K26,'3-Productie normen'!$B$36:$C$42,2,FALSE),FALSE)))/VLOOKUP(B26,'2-Kosten totaal'!$A$14:$C$16,3,FALSE)</f>
        <v>0</v>
      </c>
      <c r="P26" s="329">
        <f t="shared" si="3"/>
        <v>0</v>
      </c>
      <c r="Q26" s="330" t="str">
        <f>VLOOKUP(G26,'3-Productie normen'!A:O,15,FALSE)</f>
        <v>V</v>
      </c>
      <c r="R26" s="330"/>
      <c r="T26" s="331">
        <f t="shared" si="4"/>
        <v>640</v>
      </c>
    </row>
    <row r="27" spans="1:20" ht="14.1" customHeight="1">
      <c r="A27" s="74">
        <v>27</v>
      </c>
      <c r="B27" s="286" t="s">
        <v>218</v>
      </c>
      <c r="C27" s="286" t="s">
        <v>232</v>
      </c>
      <c r="D27" s="325" t="s">
        <v>234</v>
      </c>
      <c r="E27" s="326" t="s">
        <v>386</v>
      </c>
      <c r="F27" s="477" t="s">
        <v>387</v>
      </c>
      <c r="G27" s="477" t="s">
        <v>224</v>
      </c>
      <c r="H27" s="478" t="s">
        <v>360</v>
      </c>
      <c r="I27" s="479">
        <v>49</v>
      </c>
      <c r="J27" s="480">
        <f t="shared" si="0"/>
        <v>200</v>
      </c>
      <c r="K27" s="481">
        <v>200</v>
      </c>
      <c r="L27" s="250"/>
      <c r="M27" s="249" t="e">
        <f t="shared" ref="M27" si="8">IF(K27="nio",0,IF(K27&gt;0,K27*I27/O27,0))</f>
        <v>#DIV/0!</v>
      </c>
      <c r="N27" s="249">
        <f t="shared" ref="N27" si="9">IF(L27&gt;0,L27*I27/P27,0)</f>
        <v>0</v>
      </c>
      <c r="O27" s="329">
        <f>IF(K27="nio",0,IF(K27&gt;0,VLOOKUP(G27,'3-Productie normen'!A:L,VLOOKUP(K27,'3-Productie normen'!$B$36:$C$42,2,FALSE),FALSE)))/VLOOKUP(B27,'2-Kosten totaal'!$A$14:$C$16,3,FALSE)</f>
        <v>0</v>
      </c>
      <c r="P27" s="329">
        <f t="shared" ref="P27" si="10">IF(L27&gt;0,O27*$P$8,0)</f>
        <v>0</v>
      </c>
      <c r="Q27" s="330" t="str">
        <f>VLOOKUP(G27,'3-Productie normen'!A:O,15,FALSE)</f>
        <v>L</v>
      </c>
      <c r="R27" s="330"/>
      <c r="T27" s="331">
        <f t="shared" si="4"/>
        <v>9800</v>
      </c>
    </row>
    <row r="28" spans="1:20" ht="14.1" customHeight="1">
      <c r="A28" s="74">
        <v>28</v>
      </c>
      <c r="B28" s="286" t="s">
        <v>218</v>
      </c>
      <c r="C28" s="286" t="s">
        <v>232</v>
      </c>
      <c r="D28" s="325" t="s">
        <v>234</v>
      </c>
      <c r="E28" s="326" t="s">
        <v>250</v>
      </c>
      <c r="F28" s="286" t="s">
        <v>388</v>
      </c>
      <c r="G28" s="286" t="s">
        <v>36</v>
      </c>
      <c r="H28" s="70" t="s">
        <v>360</v>
      </c>
      <c r="I28" s="327">
        <v>25</v>
      </c>
      <c r="J28" s="328">
        <f t="shared" si="0"/>
        <v>120</v>
      </c>
      <c r="K28" s="250">
        <v>120</v>
      </c>
      <c r="L28" s="250"/>
      <c r="M28" s="249" t="e">
        <f t="shared" si="1"/>
        <v>#DIV/0!</v>
      </c>
      <c r="N28" s="249">
        <f t="shared" si="2"/>
        <v>0</v>
      </c>
      <c r="O28" s="329">
        <f>IF(K28="nio",0,IF(K28&gt;0,VLOOKUP(G28,'3-Productie normen'!A:L,VLOOKUP(K28,'3-Productie normen'!$B$36:$C$42,2,FALSE),FALSE)))/VLOOKUP(B28,'2-Kosten totaal'!$A$14:$C$16,3,FALSE)</f>
        <v>0</v>
      </c>
      <c r="P28" s="329">
        <f t="shared" si="3"/>
        <v>0</v>
      </c>
      <c r="Q28" s="330" t="str">
        <f>VLOOKUP(G28,'3-Productie normen'!A:O,15,FALSE)</f>
        <v>B</v>
      </c>
      <c r="R28" s="330"/>
      <c r="T28" s="331">
        <f t="shared" si="4"/>
        <v>3000</v>
      </c>
    </row>
    <row r="29" spans="1:20" ht="14.1" customHeight="1">
      <c r="A29" s="74">
        <v>29</v>
      </c>
      <c r="B29" s="286" t="s">
        <v>218</v>
      </c>
      <c r="C29" s="286" t="s">
        <v>232</v>
      </c>
      <c r="D29" s="325" t="s">
        <v>234</v>
      </c>
      <c r="E29" s="326" t="s">
        <v>251</v>
      </c>
      <c r="F29" s="286" t="s">
        <v>252</v>
      </c>
      <c r="G29" s="286" t="s">
        <v>224</v>
      </c>
      <c r="H29" s="70" t="s">
        <v>360</v>
      </c>
      <c r="I29" s="327">
        <v>49</v>
      </c>
      <c r="J29" s="328">
        <f t="shared" si="0"/>
        <v>200</v>
      </c>
      <c r="K29" s="250">
        <v>200</v>
      </c>
      <c r="L29" s="250"/>
      <c r="M29" s="249" t="e">
        <f t="shared" si="1"/>
        <v>#DIV/0!</v>
      </c>
      <c r="N29" s="249">
        <f t="shared" si="2"/>
        <v>0</v>
      </c>
      <c r="O29" s="329">
        <f>IF(K29="nio",0,IF(K29&gt;0,VLOOKUP(G29,'3-Productie normen'!A:L,VLOOKUP(K29,'3-Productie normen'!$B$36:$C$42,2,FALSE),FALSE)))/VLOOKUP(B29,'2-Kosten totaal'!$A$14:$C$16,3,FALSE)</f>
        <v>0</v>
      </c>
      <c r="P29" s="329">
        <f t="shared" si="3"/>
        <v>0</v>
      </c>
      <c r="Q29" s="330" t="str">
        <f>VLOOKUP(G29,'3-Productie normen'!A:O,15,FALSE)</f>
        <v>L</v>
      </c>
      <c r="R29" s="330"/>
      <c r="T29" s="331">
        <f t="shared" si="4"/>
        <v>9800</v>
      </c>
    </row>
    <row r="30" spans="1:20" ht="14.1" customHeight="1">
      <c r="A30" s="74">
        <v>30</v>
      </c>
      <c r="B30" s="286" t="s">
        <v>218</v>
      </c>
      <c r="C30" s="286" t="s">
        <v>232</v>
      </c>
      <c r="D30" s="325" t="s">
        <v>234</v>
      </c>
      <c r="E30" s="326">
        <v>13</v>
      </c>
      <c r="F30" s="70" t="s">
        <v>252</v>
      </c>
      <c r="G30" s="70" t="s">
        <v>224</v>
      </c>
      <c r="H30" s="70" t="s">
        <v>360</v>
      </c>
      <c r="I30" s="327">
        <v>48</v>
      </c>
      <c r="J30" s="328">
        <f t="shared" si="0"/>
        <v>200</v>
      </c>
      <c r="K30" s="250">
        <v>200</v>
      </c>
      <c r="L30" s="250"/>
      <c r="M30" s="249" t="e">
        <f t="shared" si="1"/>
        <v>#DIV/0!</v>
      </c>
      <c r="N30" s="249">
        <f t="shared" si="2"/>
        <v>0</v>
      </c>
      <c r="O30" s="329">
        <f>IF(K30="nio",0,IF(K30&gt;0,VLOOKUP(G30,'3-Productie normen'!A:L,VLOOKUP(K30,'3-Productie normen'!$B$36:$C$42,2,FALSE),FALSE)))/VLOOKUP(B30,'2-Kosten totaal'!$A$14:$C$16,3,FALSE)</f>
        <v>0</v>
      </c>
      <c r="P30" s="329">
        <f t="shared" si="3"/>
        <v>0</v>
      </c>
      <c r="Q30" s="330" t="str">
        <f>VLOOKUP(G30,'3-Productie normen'!A:O,15,FALSE)</f>
        <v>L</v>
      </c>
      <c r="R30" s="330"/>
      <c r="T30" s="331">
        <f t="shared" si="4"/>
        <v>9600</v>
      </c>
    </row>
    <row r="31" spans="1:20" ht="14.1" customHeight="1">
      <c r="A31" s="74">
        <v>31</v>
      </c>
      <c r="B31" s="286" t="s">
        <v>218</v>
      </c>
      <c r="C31" s="286" t="s">
        <v>232</v>
      </c>
      <c r="D31" s="325" t="s">
        <v>234</v>
      </c>
      <c r="E31" s="247">
        <v>14</v>
      </c>
      <c r="F31" s="83" t="s">
        <v>237</v>
      </c>
      <c r="G31" s="286" t="s">
        <v>224</v>
      </c>
      <c r="H31" s="70" t="s">
        <v>359</v>
      </c>
      <c r="I31" s="327">
        <v>50</v>
      </c>
      <c r="J31" s="328">
        <f t="shared" si="0"/>
        <v>200</v>
      </c>
      <c r="K31" s="250">
        <v>200</v>
      </c>
      <c r="L31" s="250"/>
      <c r="M31" s="249" t="e">
        <f t="shared" si="1"/>
        <v>#DIV/0!</v>
      </c>
      <c r="N31" s="249">
        <f t="shared" si="2"/>
        <v>0</v>
      </c>
      <c r="O31" s="329">
        <f>IF(K31="nio",0,IF(K31&gt;0,VLOOKUP(G31,'3-Productie normen'!A:L,VLOOKUP(K31,'3-Productie normen'!$B$36:$C$42,2,FALSE),FALSE)))/VLOOKUP(B31,'2-Kosten totaal'!$A$14:$C$16,3,FALSE)</f>
        <v>0</v>
      </c>
      <c r="P31" s="329">
        <f t="shared" si="3"/>
        <v>0</v>
      </c>
      <c r="Q31" s="330" t="str">
        <f>VLOOKUP(G31,'3-Productie normen'!A:O,15,FALSE)</f>
        <v>L</v>
      </c>
      <c r="R31" s="330"/>
      <c r="T31" s="331">
        <f t="shared" si="4"/>
        <v>10000</v>
      </c>
    </row>
    <row r="32" spans="1:20" ht="14.1" customHeight="1">
      <c r="A32" s="74">
        <v>32</v>
      </c>
      <c r="B32" s="286" t="s">
        <v>218</v>
      </c>
      <c r="C32" s="286" t="s">
        <v>232</v>
      </c>
      <c r="D32" s="325" t="s">
        <v>234</v>
      </c>
      <c r="E32" s="326">
        <v>15</v>
      </c>
      <c r="F32" s="70" t="s">
        <v>237</v>
      </c>
      <c r="G32" s="286" t="s">
        <v>224</v>
      </c>
      <c r="H32" s="70" t="s">
        <v>359</v>
      </c>
      <c r="I32" s="327">
        <v>50</v>
      </c>
      <c r="J32" s="328">
        <f t="shared" si="0"/>
        <v>200</v>
      </c>
      <c r="K32" s="250">
        <v>200</v>
      </c>
      <c r="L32" s="250"/>
      <c r="M32" s="249" t="e">
        <f t="shared" si="1"/>
        <v>#DIV/0!</v>
      </c>
      <c r="N32" s="249">
        <f t="shared" si="2"/>
        <v>0</v>
      </c>
      <c r="O32" s="329">
        <f>IF(K32="nio",0,IF(K32&gt;0,VLOOKUP(G32,'3-Productie normen'!A:L,VLOOKUP(K32,'3-Productie normen'!$B$36:$C$42,2,FALSE),FALSE)))/VLOOKUP(B32,'2-Kosten totaal'!$A$14:$C$16,3,FALSE)</f>
        <v>0</v>
      </c>
      <c r="P32" s="329">
        <f t="shared" si="3"/>
        <v>0</v>
      </c>
      <c r="Q32" s="330" t="str">
        <f>VLOOKUP(G32,'3-Productie normen'!A:O,15,FALSE)</f>
        <v>L</v>
      </c>
      <c r="R32" s="330"/>
      <c r="T32" s="331">
        <f t="shared" si="4"/>
        <v>10000</v>
      </c>
    </row>
    <row r="33" spans="1:20" ht="14.1" customHeight="1">
      <c r="A33" s="74">
        <v>33</v>
      </c>
      <c r="B33" s="286" t="s">
        <v>218</v>
      </c>
      <c r="C33" s="286" t="s">
        <v>232</v>
      </c>
      <c r="D33" s="84" t="s">
        <v>234</v>
      </c>
      <c r="E33" s="247">
        <v>16</v>
      </c>
      <c r="F33" s="83" t="s">
        <v>237</v>
      </c>
      <c r="G33" s="286" t="s">
        <v>224</v>
      </c>
      <c r="H33" s="70" t="s">
        <v>359</v>
      </c>
      <c r="I33" s="327">
        <v>50</v>
      </c>
      <c r="J33" s="328">
        <f t="shared" si="0"/>
        <v>200</v>
      </c>
      <c r="K33" s="250">
        <v>200</v>
      </c>
      <c r="L33" s="250"/>
      <c r="M33" s="249" t="e">
        <f t="shared" si="1"/>
        <v>#DIV/0!</v>
      </c>
      <c r="N33" s="249">
        <f t="shared" si="2"/>
        <v>0</v>
      </c>
      <c r="O33" s="329">
        <f>IF(K33="nio",0,IF(K33&gt;0,VLOOKUP(G33,'3-Productie normen'!A:L,VLOOKUP(K33,'3-Productie normen'!$B$36:$C$42,2,FALSE),FALSE)))/VLOOKUP(B33,'2-Kosten totaal'!$A$14:$C$16,3,FALSE)</f>
        <v>0</v>
      </c>
      <c r="P33" s="329">
        <f t="shared" si="3"/>
        <v>0</v>
      </c>
      <c r="Q33" s="330" t="str">
        <f>VLOOKUP(G33,'3-Productie normen'!A:O,15,FALSE)</f>
        <v>L</v>
      </c>
      <c r="R33" s="330"/>
      <c r="T33" s="331">
        <f t="shared" si="4"/>
        <v>10000</v>
      </c>
    </row>
    <row r="34" spans="1:20" ht="14.1" customHeight="1">
      <c r="A34" s="74">
        <v>34</v>
      </c>
      <c r="B34" s="286" t="s">
        <v>218</v>
      </c>
      <c r="C34" s="286" t="s">
        <v>232</v>
      </c>
      <c r="D34" s="325" t="s">
        <v>234</v>
      </c>
      <c r="E34" s="326">
        <v>17</v>
      </c>
      <c r="F34" s="70" t="s">
        <v>237</v>
      </c>
      <c r="G34" s="286" t="s">
        <v>224</v>
      </c>
      <c r="H34" s="70" t="s">
        <v>359</v>
      </c>
      <c r="I34" s="327">
        <v>50</v>
      </c>
      <c r="J34" s="328">
        <f t="shared" si="0"/>
        <v>200</v>
      </c>
      <c r="K34" s="250">
        <v>200</v>
      </c>
      <c r="L34" s="250"/>
      <c r="M34" s="249" t="e">
        <f t="shared" si="1"/>
        <v>#DIV/0!</v>
      </c>
      <c r="N34" s="249">
        <f t="shared" si="2"/>
        <v>0</v>
      </c>
      <c r="O34" s="329">
        <f>IF(K34="nio",0,IF(K34&gt;0,VLOOKUP(G34,'3-Productie normen'!A:L,VLOOKUP(K34,'3-Productie normen'!$B$36:$C$42,2,FALSE),FALSE)))/VLOOKUP(B34,'2-Kosten totaal'!$A$14:$C$16,3,FALSE)</f>
        <v>0</v>
      </c>
      <c r="P34" s="329">
        <f t="shared" si="3"/>
        <v>0</v>
      </c>
      <c r="Q34" s="330" t="str">
        <f>VLOOKUP(G34,'3-Productie normen'!A:O,15,FALSE)</f>
        <v>L</v>
      </c>
      <c r="R34" s="330"/>
      <c r="T34" s="331">
        <f t="shared" si="4"/>
        <v>10000</v>
      </c>
    </row>
    <row r="35" spans="1:20" ht="14.1" customHeight="1">
      <c r="A35" s="74">
        <v>35</v>
      </c>
      <c r="B35" s="286" t="s">
        <v>218</v>
      </c>
      <c r="C35" s="286" t="s">
        <v>232</v>
      </c>
      <c r="D35" s="325" t="s">
        <v>234</v>
      </c>
      <c r="E35" s="326">
        <v>36</v>
      </c>
      <c r="F35" s="70" t="s">
        <v>253</v>
      </c>
      <c r="G35" s="70" t="s">
        <v>44</v>
      </c>
      <c r="H35" s="70" t="s">
        <v>361</v>
      </c>
      <c r="I35" s="327">
        <v>7</v>
      </c>
      <c r="J35" s="328">
        <f t="shared" si="0"/>
        <v>200</v>
      </c>
      <c r="K35" s="250">
        <v>200</v>
      </c>
      <c r="L35" s="250"/>
      <c r="M35" s="249" t="e">
        <f t="shared" si="1"/>
        <v>#DIV/0!</v>
      </c>
      <c r="N35" s="249">
        <f t="shared" si="2"/>
        <v>0</v>
      </c>
      <c r="O35" s="329">
        <f>IF(K35="nio",0,IF(K35&gt;0,VLOOKUP(G35,'3-Productie normen'!A:L,VLOOKUP(K35,'3-Productie normen'!$B$36:$C$42,2,FALSE),FALSE)))/VLOOKUP(B35,'2-Kosten totaal'!$A$14:$C$16,3,FALSE)</f>
        <v>0</v>
      </c>
      <c r="P35" s="329">
        <f t="shared" si="3"/>
        <v>0</v>
      </c>
      <c r="Q35" s="330" t="str">
        <f>VLOOKUP(G35,'3-Productie normen'!A:O,15,FALSE)</f>
        <v>V</v>
      </c>
      <c r="R35" s="330"/>
      <c r="T35" s="331">
        <f t="shared" si="4"/>
        <v>1400</v>
      </c>
    </row>
    <row r="36" spans="1:20" ht="14.1" customHeight="1">
      <c r="A36" s="74">
        <v>36</v>
      </c>
      <c r="B36" s="286" t="s">
        <v>218</v>
      </c>
      <c r="C36" s="286" t="s">
        <v>232</v>
      </c>
      <c r="D36" s="325" t="s">
        <v>234</v>
      </c>
      <c r="E36" s="326">
        <v>37</v>
      </c>
      <c r="F36" s="478" t="s">
        <v>254</v>
      </c>
      <c r="G36" s="478" t="s">
        <v>36</v>
      </c>
      <c r="H36" s="478" t="s">
        <v>359</v>
      </c>
      <c r="I36" s="479">
        <v>23</v>
      </c>
      <c r="J36" s="480">
        <f t="shared" si="0"/>
        <v>120</v>
      </c>
      <c r="K36" s="250">
        <v>120</v>
      </c>
      <c r="L36" s="250"/>
      <c r="M36" s="249" t="e">
        <f t="shared" si="1"/>
        <v>#DIV/0!</v>
      </c>
      <c r="N36" s="249">
        <f t="shared" si="2"/>
        <v>0</v>
      </c>
      <c r="O36" s="329">
        <f>IF(K36="nio",0,IF(K36&gt;0,VLOOKUP(G36,'3-Productie normen'!A:L,VLOOKUP(K36,'3-Productie normen'!$B$36:$C$42,2,FALSE),FALSE)))/VLOOKUP(B36,'2-Kosten totaal'!$A$14:$C$16,3,FALSE)</f>
        <v>0</v>
      </c>
      <c r="P36" s="329">
        <f t="shared" si="3"/>
        <v>0</v>
      </c>
      <c r="Q36" s="330" t="str">
        <f>VLOOKUP(G36,'3-Productie normen'!A:O,15,FALSE)</f>
        <v>B</v>
      </c>
      <c r="R36" s="330"/>
      <c r="T36" s="331">
        <f t="shared" si="4"/>
        <v>2760</v>
      </c>
    </row>
    <row r="37" spans="1:20" ht="14.1" customHeight="1">
      <c r="A37" s="74">
        <v>37</v>
      </c>
      <c r="B37" s="286" t="s">
        <v>218</v>
      </c>
      <c r="C37" s="286" t="s">
        <v>232</v>
      </c>
      <c r="D37" s="325" t="s">
        <v>234</v>
      </c>
      <c r="E37" s="326">
        <v>20</v>
      </c>
      <c r="F37" s="70" t="s">
        <v>255</v>
      </c>
      <c r="G37" s="83" t="s">
        <v>224</v>
      </c>
      <c r="H37" s="478" t="s">
        <v>360</v>
      </c>
      <c r="I37" s="327">
        <v>118</v>
      </c>
      <c r="J37" s="328">
        <f t="shared" si="0"/>
        <v>200</v>
      </c>
      <c r="K37" s="250">
        <v>200</v>
      </c>
      <c r="L37" s="250"/>
      <c r="M37" s="249" t="e">
        <f t="shared" si="1"/>
        <v>#DIV/0!</v>
      </c>
      <c r="N37" s="249">
        <f t="shared" si="2"/>
        <v>0</v>
      </c>
      <c r="O37" s="329">
        <f>IF(K37="nio",0,IF(K37&gt;0,VLOOKUP(G37,'3-Productie normen'!A:L,VLOOKUP(K37,'3-Productie normen'!$B$36:$C$42,2,FALSE),FALSE)))/VLOOKUP(B37,'2-Kosten totaal'!$A$14:$C$16,3,FALSE)</f>
        <v>0</v>
      </c>
      <c r="P37" s="329">
        <f t="shared" si="3"/>
        <v>0</v>
      </c>
      <c r="Q37" s="330" t="str">
        <f>VLOOKUP(G37,'3-Productie normen'!A:O,15,FALSE)</f>
        <v>L</v>
      </c>
      <c r="R37" s="330"/>
      <c r="T37" s="331">
        <f t="shared" si="4"/>
        <v>23600</v>
      </c>
    </row>
    <row r="38" spans="1:20" ht="14.1" customHeight="1">
      <c r="A38" s="74">
        <v>38</v>
      </c>
      <c r="B38" s="286" t="s">
        <v>218</v>
      </c>
      <c r="C38" s="286" t="s">
        <v>232</v>
      </c>
      <c r="D38" s="325" t="s">
        <v>234</v>
      </c>
      <c r="E38" s="326" t="s">
        <v>256</v>
      </c>
      <c r="F38" s="478" t="s">
        <v>377</v>
      </c>
      <c r="G38" s="478" t="s">
        <v>40</v>
      </c>
      <c r="H38" s="478" t="s">
        <v>359</v>
      </c>
      <c r="I38" s="479">
        <v>8</v>
      </c>
      <c r="J38" s="480">
        <f t="shared" si="0"/>
        <v>80</v>
      </c>
      <c r="K38" s="481">
        <v>80</v>
      </c>
      <c r="L38" s="250"/>
      <c r="M38" s="249" t="e">
        <f t="shared" si="1"/>
        <v>#DIV/0!</v>
      </c>
      <c r="N38" s="249">
        <f t="shared" si="2"/>
        <v>0</v>
      </c>
      <c r="O38" s="329">
        <f>IF(K38="nio",0,IF(K38&gt;0,VLOOKUP(G38,'3-Productie normen'!A:L,VLOOKUP(K38,'3-Productie normen'!$B$36:$C$42,2,FALSE),FALSE)))/VLOOKUP(B38,'2-Kosten totaal'!$A$14:$C$16,3,FALSE)</f>
        <v>0</v>
      </c>
      <c r="P38" s="329">
        <f t="shared" si="3"/>
        <v>0</v>
      </c>
      <c r="Q38" s="330" t="str">
        <f>VLOOKUP(G38,'3-Productie normen'!A:O,15,FALSE)</f>
        <v>V</v>
      </c>
      <c r="R38" s="330"/>
      <c r="T38" s="331">
        <f t="shared" si="4"/>
        <v>640</v>
      </c>
    </row>
    <row r="39" spans="1:20" ht="14.1" customHeight="1">
      <c r="A39" s="74">
        <v>39</v>
      </c>
      <c r="B39" s="286" t="s">
        <v>218</v>
      </c>
      <c r="C39" s="286" t="s">
        <v>232</v>
      </c>
      <c r="D39" s="325" t="s">
        <v>234</v>
      </c>
      <c r="E39" s="326">
        <v>22</v>
      </c>
      <c r="F39" s="70" t="s">
        <v>252</v>
      </c>
      <c r="G39" s="70" t="s">
        <v>224</v>
      </c>
      <c r="H39" s="70" t="s">
        <v>360</v>
      </c>
      <c r="I39" s="327">
        <v>55</v>
      </c>
      <c r="J39" s="328">
        <f t="shared" si="0"/>
        <v>200</v>
      </c>
      <c r="K39" s="250">
        <v>200</v>
      </c>
      <c r="L39" s="250"/>
      <c r="M39" s="249" t="e">
        <f t="shared" si="1"/>
        <v>#DIV/0!</v>
      </c>
      <c r="N39" s="249">
        <f t="shared" si="2"/>
        <v>0</v>
      </c>
      <c r="O39" s="329">
        <f>IF(K39="nio",0,IF(K39&gt;0,VLOOKUP(G39,'3-Productie normen'!A:L,VLOOKUP(K39,'3-Productie normen'!$B$36:$C$42,2,FALSE),FALSE)))/VLOOKUP(B39,'2-Kosten totaal'!$A$14:$C$16,3,FALSE)</f>
        <v>0</v>
      </c>
      <c r="P39" s="329">
        <f t="shared" si="3"/>
        <v>0</v>
      </c>
      <c r="Q39" s="330" t="str">
        <f>VLOOKUP(G39,'3-Productie normen'!A:O,15,FALSE)</f>
        <v>L</v>
      </c>
      <c r="R39" s="330"/>
      <c r="T39" s="331">
        <f t="shared" si="4"/>
        <v>11000</v>
      </c>
    </row>
    <row r="40" spans="1:20" ht="14.1" customHeight="1">
      <c r="A40" s="74">
        <v>40</v>
      </c>
      <c r="B40" s="286" t="s">
        <v>218</v>
      </c>
      <c r="C40" s="286" t="s">
        <v>232</v>
      </c>
      <c r="D40" s="325" t="s">
        <v>234</v>
      </c>
      <c r="E40" s="326">
        <v>23</v>
      </c>
      <c r="F40" s="70" t="s">
        <v>252</v>
      </c>
      <c r="G40" s="70" t="s">
        <v>224</v>
      </c>
      <c r="H40" s="70" t="s">
        <v>360</v>
      </c>
      <c r="I40" s="327">
        <v>55</v>
      </c>
      <c r="J40" s="328">
        <f t="shared" si="0"/>
        <v>200</v>
      </c>
      <c r="K40" s="250">
        <v>200</v>
      </c>
      <c r="L40" s="250"/>
      <c r="M40" s="249" t="e">
        <f t="shared" si="1"/>
        <v>#DIV/0!</v>
      </c>
      <c r="N40" s="249">
        <f t="shared" si="2"/>
        <v>0</v>
      </c>
      <c r="O40" s="329">
        <f>IF(K40="nio",0,IF(K40&gt;0,VLOOKUP(G40,'3-Productie normen'!A:L,VLOOKUP(K40,'3-Productie normen'!$B$36:$C$42,2,FALSE),FALSE)))/VLOOKUP(B40,'2-Kosten totaal'!$A$14:$C$16,3,FALSE)</f>
        <v>0</v>
      </c>
      <c r="P40" s="329">
        <f t="shared" si="3"/>
        <v>0</v>
      </c>
      <c r="Q40" s="330" t="str">
        <f>VLOOKUP(G40,'3-Productie normen'!A:O,15,FALSE)</f>
        <v>L</v>
      </c>
      <c r="R40" s="330"/>
      <c r="T40" s="331">
        <f t="shared" si="4"/>
        <v>11000</v>
      </c>
    </row>
    <row r="41" spans="1:20" ht="14.1" customHeight="1">
      <c r="A41" s="74">
        <v>41</v>
      </c>
      <c r="B41" s="286" t="s">
        <v>218</v>
      </c>
      <c r="C41" s="286" t="s">
        <v>232</v>
      </c>
      <c r="D41" s="325" t="s">
        <v>234</v>
      </c>
      <c r="E41" s="326">
        <v>24</v>
      </c>
      <c r="F41" s="70" t="s">
        <v>252</v>
      </c>
      <c r="G41" s="70" t="s">
        <v>224</v>
      </c>
      <c r="H41" s="70" t="s">
        <v>360</v>
      </c>
      <c r="I41" s="327">
        <v>55</v>
      </c>
      <c r="J41" s="328">
        <f t="shared" si="0"/>
        <v>200</v>
      </c>
      <c r="K41" s="250">
        <v>200</v>
      </c>
      <c r="L41" s="250"/>
      <c r="M41" s="249" t="e">
        <f t="shared" si="1"/>
        <v>#DIV/0!</v>
      </c>
      <c r="N41" s="249">
        <f t="shared" si="2"/>
        <v>0</v>
      </c>
      <c r="O41" s="329">
        <f>IF(K41="nio",0,IF(K41&gt;0,VLOOKUP(G41,'3-Productie normen'!A:L,VLOOKUP(K41,'3-Productie normen'!$B$36:$C$42,2,FALSE),FALSE)))/VLOOKUP(B41,'2-Kosten totaal'!$A$14:$C$16,3,FALSE)</f>
        <v>0</v>
      </c>
      <c r="P41" s="329">
        <f t="shared" si="3"/>
        <v>0</v>
      </c>
      <c r="Q41" s="330" t="str">
        <f>VLOOKUP(G41,'3-Productie normen'!A:O,15,FALSE)</f>
        <v>L</v>
      </c>
      <c r="R41" s="330"/>
      <c r="T41" s="331">
        <f t="shared" si="4"/>
        <v>11000</v>
      </c>
    </row>
    <row r="42" spans="1:20" ht="14.1" customHeight="1">
      <c r="A42" s="74">
        <v>42</v>
      </c>
      <c r="B42" s="286" t="s">
        <v>218</v>
      </c>
      <c r="C42" s="286" t="s">
        <v>232</v>
      </c>
      <c r="D42" s="325" t="s">
        <v>234</v>
      </c>
      <c r="E42" s="326" t="s">
        <v>257</v>
      </c>
      <c r="F42" s="478" t="s">
        <v>258</v>
      </c>
      <c r="G42" s="478" t="s">
        <v>229</v>
      </c>
      <c r="H42" s="478" t="s">
        <v>356</v>
      </c>
      <c r="I42" s="479">
        <v>5</v>
      </c>
      <c r="J42" s="480">
        <f t="shared" si="0"/>
        <v>40</v>
      </c>
      <c r="K42" s="481">
        <v>40</v>
      </c>
      <c r="L42" s="250"/>
      <c r="M42" s="249" t="e">
        <f t="shared" si="1"/>
        <v>#DIV/0!</v>
      </c>
      <c r="N42" s="249">
        <f t="shared" si="2"/>
        <v>0</v>
      </c>
      <c r="O42" s="329">
        <f>IF(K42="nio",0,IF(K42&gt;0,VLOOKUP(G42,'3-Productie normen'!A:L,VLOOKUP(K42,'3-Productie normen'!$B$36:$C$42,2,FALSE),FALSE)))/VLOOKUP(B42,'2-Kosten totaal'!$A$14:$C$16,3,FALSE)</f>
        <v>0</v>
      </c>
      <c r="P42" s="329">
        <f t="shared" si="3"/>
        <v>0</v>
      </c>
      <c r="Q42" s="330" t="str">
        <f>VLOOKUP(G42,'3-Productie normen'!A:O,15,FALSE)</f>
        <v>V</v>
      </c>
      <c r="R42" s="330"/>
      <c r="T42" s="331">
        <f t="shared" si="4"/>
        <v>200</v>
      </c>
    </row>
    <row r="43" spans="1:20" ht="14.1" customHeight="1">
      <c r="A43" s="74">
        <v>43</v>
      </c>
      <c r="B43" s="286" t="s">
        <v>218</v>
      </c>
      <c r="C43" s="286" t="s">
        <v>232</v>
      </c>
      <c r="D43" s="325" t="s">
        <v>234</v>
      </c>
      <c r="E43" s="326">
        <v>25</v>
      </c>
      <c r="F43" s="70" t="s">
        <v>252</v>
      </c>
      <c r="G43" s="70" t="s">
        <v>224</v>
      </c>
      <c r="H43" s="70" t="s">
        <v>360</v>
      </c>
      <c r="I43" s="327">
        <v>55</v>
      </c>
      <c r="J43" s="328">
        <f t="shared" si="0"/>
        <v>200</v>
      </c>
      <c r="K43" s="250">
        <v>200</v>
      </c>
      <c r="L43" s="250"/>
      <c r="M43" s="249" t="e">
        <f t="shared" si="1"/>
        <v>#DIV/0!</v>
      </c>
      <c r="N43" s="249">
        <f t="shared" si="2"/>
        <v>0</v>
      </c>
      <c r="O43" s="329">
        <f>IF(K43="nio",0,IF(K43&gt;0,VLOOKUP(G43,'3-Productie normen'!A:L,VLOOKUP(K43,'3-Productie normen'!$B$36:$C$42,2,FALSE),FALSE)))/VLOOKUP(B43,'2-Kosten totaal'!$A$14:$C$16,3,FALSE)</f>
        <v>0</v>
      </c>
      <c r="P43" s="329">
        <f t="shared" si="3"/>
        <v>0</v>
      </c>
      <c r="Q43" s="330" t="str">
        <f>VLOOKUP(G43,'3-Productie normen'!A:O,15,FALSE)</f>
        <v>L</v>
      </c>
      <c r="R43" s="330"/>
      <c r="T43" s="331">
        <f t="shared" si="4"/>
        <v>11000</v>
      </c>
    </row>
    <row r="44" spans="1:20" ht="14.1" customHeight="1">
      <c r="A44" s="74">
        <v>44</v>
      </c>
      <c r="B44" s="286" t="s">
        <v>218</v>
      </c>
      <c r="C44" s="286" t="s">
        <v>232</v>
      </c>
      <c r="D44" s="325" t="s">
        <v>234</v>
      </c>
      <c r="E44" s="326">
        <v>26</v>
      </c>
      <c r="F44" s="70" t="s">
        <v>252</v>
      </c>
      <c r="G44" s="70" t="s">
        <v>224</v>
      </c>
      <c r="H44" s="70" t="s">
        <v>360</v>
      </c>
      <c r="I44" s="327">
        <v>55</v>
      </c>
      <c r="J44" s="328">
        <f t="shared" ref="J44:J75" si="11">SUM(K44:L44)</f>
        <v>200</v>
      </c>
      <c r="K44" s="250">
        <v>200</v>
      </c>
      <c r="L44" s="250"/>
      <c r="M44" s="249" t="e">
        <f t="shared" ref="M44:M75" si="12">IF(K44="nio",0,IF(K44&gt;0,K44*I44/O44,0))</f>
        <v>#DIV/0!</v>
      </c>
      <c r="N44" s="249">
        <f t="shared" ref="N44:N75" si="13">IF(L44&gt;0,L44*I44/P44,0)</f>
        <v>0</v>
      </c>
      <c r="O44" s="329">
        <f>IF(K44="nio",0,IF(K44&gt;0,VLOOKUP(G44,'3-Productie normen'!A:L,VLOOKUP(K44,'3-Productie normen'!$B$36:$C$42,2,FALSE),FALSE)))/VLOOKUP(B44,'2-Kosten totaal'!$A$14:$C$16,3,FALSE)</f>
        <v>0</v>
      </c>
      <c r="P44" s="329">
        <f t="shared" ref="P44:P75" si="14">IF(L44&gt;0,O44*$P$8,0)</f>
        <v>0</v>
      </c>
      <c r="Q44" s="330" t="str">
        <f>VLOOKUP(G44,'3-Productie normen'!A:O,15,FALSE)</f>
        <v>L</v>
      </c>
      <c r="R44" s="330"/>
      <c r="T44" s="331">
        <f t="shared" ref="T44:T75" si="15">J44*I44</f>
        <v>11000</v>
      </c>
    </row>
    <row r="45" spans="1:20" ht="14.1" customHeight="1">
      <c r="A45" s="74">
        <v>45</v>
      </c>
      <c r="B45" s="286" t="s">
        <v>218</v>
      </c>
      <c r="C45" s="286" t="s">
        <v>232</v>
      </c>
      <c r="D45" s="325" t="s">
        <v>234</v>
      </c>
      <c r="E45" s="326">
        <v>27</v>
      </c>
      <c r="F45" s="70" t="s">
        <v>252</v>
      </c>
      <c r="G45" s="70" t="s">
        <v>224</v>
      </c>
      <c r="H45" s="70" t="s">
        <v>360</v>
      </c>
      <c r="I45" s="327">
        <v>55</v>
      </c>
      <c r="J45" s="328">
        <f t="shared" si="11"/>
        <v>200</v>
      </c>
      <c r="K45" s="250">
        <v>200</v>
      </c>
      <c r="L45" s="250"/>
      <c r="M45" s="249" t="e">
        <f t="shared" si="12"/>
        <v>#DIV/0!</v>
      </c>
      <c r="N45" s="249">
        <f t="shared" si="13"/>
        <v>0</v>
      </c>
      <c r="O45" s="329">
        <f>IF(K45="nio",0,IF(K45&gt;0,VLOOKUP(G45,'3-Productie normen'!A:L,VLOOKUP(K45,'3-Productie normen'!$B$36:$C$42,2,FALSE),FALSE)))/VLOOKUP(B45,'2-Kosten totaal'!$A$14:$C$16,3,FALSE)</f>
        <v>0</v>
      </c>
      <c r="P45" s="329">
        <f t="shared" si="14"/>
        <v>0</v>
      </c>
      <c r="Q45" s="330" t="str">
        <f>VLOOKUP(G45,'3-Productie normen'!A:O,15,FALSE)</f>
        <v>L</v>
      </c>
      <c r="R45" s="330"/>
      <c r="T45" s="331">
        <f t="shared" si="15"/>
        <v>11000</v>
      </c>
    </row>
    <row r="46" spans="1:20" ht="14.1" customHeight="1">
      <c r="A46" s="74">
        <v>46</v>
      </c>
      <c r="B46" s="286" t="s">
        <v>218</v>
      </c>
      <c r="C46" s="286" t="s">
        <v>232</v>
      </c>
      <c r="D46" s="325" t="s">
        <v>234</v>
      </c>
      <c r="E46" s="326">
        <v>38</v>
      </c>
      <c r="F46" s="70" t="s">
        <v>259</v>
      </c>
      <c r="G46" s="70" t="s">
        <v>223</v>
      </c>
      <c r="H46" s="70" t="s">
        <v>359</v>
      </c>
      <c r="I46" s="327">
        <v>315</v>
      </c>
      <c r="J46" s="328">
        <f t="shared" si="11"/>
        <v>200</v>
      </c>
      <c r="K46" s="250">
        <v>200</v>
      </c>
      <c r="L46" s="250"/>
      <c r="M46" s="249" t="e">
        <f t="shared" si="12"/>
        <v>#DIV/0!</v>
      </c>
      <c r="N46" s="249">
        <f t="shared" si="13"/>
        <v>0</v>
      </c>
      <c r="O46" s="329">
        <f>IF(K46="nio",0,IF(K46&gt;0,VLOOKUP(G46,'3-Productie normen'!A:L,VLOOKUP(K46,'3-Productie normen'!$B$36:$C$42,2,FALSE),FALSE)))/VLOOKUP(B46,'2-Kosten totaal'!$A$14:$C$16,3,FALSE)</f>
        <v>0</v>
      </c>
      <c r="P46" s="329">
        <f t="shared" si="14"/>
        <v>0</v>
      </c>
      <c r="Q46" s="330" t="str">
        <f>VLOOKUP(G46,'3-Productie normen'!A:O,15,FALSE)</f>
        <v>V</v>
      </c>
      <c r="R46" s="330"/>
      <c r="T46" s="331">
        <f t="shared" si="15"/>
        <v>63000</v>
      </c>
    </row>
    <row r="47" spans="1:20" ht="14.1" customHeight="1">
      <c r="A47" s="74">
        <v>47</v>
      </c>
      <c r="B47" s="286" t="s">
        <v>218</v>
      </c>
      <c r="C47" s="286" t="s">
        <v>232</v>
      </c>
      <c r="D47" s="325" t="s">
        <v>234</v>
      </c>
      <c r="E47" s="326" t="s">
        <v>260</v>
      </c>
      <c r="F47" s="477" t="s">
        <v>243</v>
      </c>
      <c r="G47" s="477" t="s">
        <v>40</v>
      </c>
      <c r="H47" s="478" t="s">
        <v>359</v>
      </c>
      <c r="I47" s="479">
        <v>170</v>
      </c>
      <c r="J47" s="480">
        <f t="shared" si="11"/>
        <v>200</v>
      </c>
      <c r="K47" s="481">
        <v>200</v>
      </c>
      <c r="L47" s="250"/>
      <c r="M47" s="249" t="e">
        <f t="shared" si="12"/>
        <v>#DIV/0!</v>
      </c>
      <c r="N47" s="249">
        <f t="shared" si="13"/>
        <v>0</v>
      </c>
      <c r="O47" s="329">
        <f>IF(K47="nio",0,IF(K47&gt;0,VLOOKUP(G47,'3-Productie normen'!A:L,VLOOKUP(K47,'3-Productie normen'!$B$36:$C$42,2,FALSE),FALSE)))/VLOOKUP(B47,'2-Kosten totaal'!$A$14:$C$16,3,FALSE)</f>
        <v>0</v>
      </c>
      <c r="P47" s="329">
        <f t="shared" si="14"/>
        <v>0</v>
      </c>
      <c r="Q47" s="330" t="str">
        <f>VLOOKUP(G47,'3-Productie normen'!A:O,15,FALSE)</f>
        <v>V</v>
      </c>
      <c r="R47" s="330"/>
      <c r="T47" s="331">
        <f t="shared" si="15"/>
        <v>34000</v>
      </c>
    </row>
    <row r="48" spans="1:20" ht="14.1" customHeight="1">
      <c r="A48" s="74">
        <v>48</v>
      </c>
      <c r="B48" s="286" t="s">
        <v>218</v>
      </c>
      <c r="C48" s="286" t="s">
        <v>232</v>
      </c>
      <c r="D48" s="325" t="s">
        <v>234</v>
      </c>
      <c r="E48" s="326" t="s">
        <v>261</v>
      </c>
      <c r="F48" s="477" t="s">
        <v>262</v>
      </c>
      <c r="G48" s="477" t="s">
        <v>229</v>
      </c>
      <c r="H48" s="478" t="s">
        <v>362</v>
      </c>
      <c r="I48" s="479">
        <v>11</v>
      </c>
      <c r="J48" s="480">
        <f t="shared" si="11"/>
        <v>200</v>
      </c>
      <c r="K48" s="481">
        <v>200</v>
      </c>
      <c r="L48" s="250"/>
      <c r="M48" s="249" t="e">
        <f t="shared" si="12"/>
        <v>#DIV/0!</v>
      </c>
      <c r="N48" s="249">
        <f t="shared" si="13"/>
        <v>0</v>
      </c>
      <c r="O48" s="329">
        <f>IF(K48="nio",0,IF(K48&gt;0,VLOOKUP(G48,'3-Productie normen'!A:L,VLOOKUP(K48,'3-Productie normen'!$B$36:$C$42,2,FALSE),FALSE)))/VLOOKUP(B48,'2-Kosten totaal'!$A$14:$C$16,3,FALSE)</f>
        <v>0</v>
      </c>
      <c r="P48" s="329">
        <f t="shared" si="14"/>
        <v>0</v>
      </c>
      <c r="Q48" s="330" t="str">
        <f>VLOOKUP(G48,'3-Productie normen'!A:O,15,FALSE)</f>
        <v>V</v>
      </c>
      <c r="R48" s="330"/>
      <c r="T48" s="331">
        <f t="shared" si="15"/>
        <v>2200</v>
      </c>
    </row>
    <row r="49" spans="1:20" ht="14.1" customHeight="1">
      <c r="A49" s="74">
        <v>49</v>
      </c>
      <c r="B49" s="286" t="s">
        <v>218</v>
      </c>
      <c r="C49" s="286" t="s">
        <v>232</v>
      </c>
      <c r="D49" s="325" t="s">
        <v>234</v>
      </c>
      <c r="E49" s="326" t="s">
        <v>263</v>
      </c>
      <c r="F49" s="477" t="s">
        <v>243</v>
      </c>
      <c r="G49" s="477" t="s">
        <v>40</v>
      </c>
      <c r="H49" s="478" t="s">
        <v>359</v>
      </c>
      <c r="I49" s="479">
        <v>61</v>
      </c>
      <c r="J49" s="480">
        <f t="shared" si="11"/>
        <v>200</v>
      </c>
      <c r="K49" s="481">
        <v>200</v>
      </c>
      <c r="L49" s="250"/>
      <c r="M49" s="249" t="e">
        <f t="shared" si="12"/>
        <v>#DIV/0!</v>
      </c>
      <c r="N49" s="249">
        <f t="shared" si="13"/>
        <v>0</v>
      </c>
      <c r="O49" s="329">
        <f>IF(K49="nio",0,IF(K49&gt;0,VLOOKUP(G49,'3-Productie normen'!A:L,VLOOKUP(K49,'3-Productie normen'!$B$36:$C$42,2,FALSE),FALSE)))/VLOOKUP(B49,'2-Kosten totaal'!$A$14:$C$16,3,FALSE)</f>
        <v>0</v>
      </c>
      <c r="P49" s="329">
        <f t="shared" si="14"/>
        <v>0</v>
      </c>
      <c r="Q49" s="330" t="str">
        <f>VLOOKUP(G49,'3-Productie normen'!A:O,15,FALSE)</f>
        <v>V</v>
      </c>
      <c r="R49" s="330"/>
      <c r="T49" s="331">
        <f t="shared" si="15"/>
        <v>12200</v>
      </c>
    </row>
    <row r="50" spans="1:20" ht="14.1" customHeight="1">
      <c r="A50" s="74">
        <v>50</v>
      </c>
      <c r="B50" s="286" t="s">
        <v>218</v>
      </c>
      <c r="C50" s="286" t="s">
        <v>232</v>
      </c>
      <c r="D50" s="325" t="s">
        <v>234</v>
      </c>
      <c r="E50" s="326">
        <v>34</v>
      </c>
      <c r="F50" s="478" t="s">
        <v>241</v>
      </c>
      <c r="G50" s="478" t="s">
        <v>38</v>
      </c>
      <c r="H50" s="478" t="s">
        <v>358</v>
      </c>
      <c r="I50" s="479">
        <v>16</v>
      </c>
      <c r="J50" s="480">
        <f t="shared" si="11"/>
        <v>400</v>
      </c>
      <c r="K50" s="481">
        <v>200</v>
      </c>
      <c r="L50" s="250">
        <v>200</v>
      </c>
      <c r="M50" s="249" t="e">
        <f t="shared" si="12"/>
        <v>#DIV/0!</v>
      </c>
      <c r="N50" s="249" t="e">
        <f t="shared" si="13"/>
        <v>#DIV/0!</v>
      </c>
      <c r="O50" s="329">
        <f>IF(K50="nio",0,IF(K50&gt;0,VLOOKUP(G50,'3-Productie normen'!A:L,VLOOKUP(K50,'3-Productie normen'!$B$36:$C$42,2,FALSE),FALSE)))/VLOOKUP(B50,'2-Kosten totaal'!$A$14:$C$16,3,FALSE)</f>
        <v>0</v>
      </c>
      <c r="P50" s="329">
        <f t="shared" si="14"/>
        <v>0</v>
      </c>
      <c r="Q50" s="330" t="str">
        <f>VLOOKUP(G50,'3-Productie normen'!A:O,15,FALSE)</f>
        <v>S</v>
      </c>
      <c r="R50" s="330"/>
      <c r="T50" s="331">
        <f t="shared" si="15"/>
        <v>6400</v>
      </c>
    </row>
    <row r="51" spans="1:20" ht="14.1" customHeight="1">
      <c r="A51" s="74">
        <v>51</v>
      </c>
      <c r="B51" s="286" t="s">
        <v>218</v>
      </c>
      <c r="C51" s="286" t="s">
        <v>232</v>
      </c>
      <c r="D51" s="325" t="s">
        <v>234</v>
      </c>
      <c r="E51" s="326">
        <v>35</v>
      </c>
      <c r="F51" s="478" t="s">
        <v>239</v>
      </c>
      <c r="G51" s="478" t="s">
        <v>38</v>
      </c>
      <c r="H51" s="478" t="s">
        <v>358</v>
      </c>
      <c r="I51" s="479">
        <v>18</v>
      </c>
      <c r="J51" s="480">
        <f t="shared" si="11"/>
        <v>400</v>
      </c>
      <c r="K51" s="481">
        <v>200</v>
      </c>
      <c r="L51" s="250">
        <v>200</v>
      </c>
      <c r="M51" s="249" t="e">
        <f t="shared" si="12"/>
        <v>#DIV/0!</v>
      </c>
      <c r="N51" s="249" t="e">
        <f t="shared" si="13"/>
        <v>#DIV/0!</v>
      </c>
      <c r="O51" s="329">
        <f>IF(K51="nio",0,IF(K51&gt;0,VLOOKUP(G51,'3-Productie normen'!A:L,VLOOKUP(K51,'3-Productie normen'!$B$36:$C$42,2,FALSE),FALSE)))/VLOOKUP(B51,'2-Kosten totaal'!$A$14:$C$16,3,FALSE)</f>
        <v>0</v>
      </c>
      <c r="P51" s="329">
        <f t="shared" si="14"/>
        <v>0</v>
      </c>
      <c r="Q51" s="330" t="str">
        <f>VLOOKUP(G51,'3-Productie normen'!A:O,15,FALSE)</f>
        <v>S</v>
      </c>
      <c r="R51" s="330"/>
      <c r="T51" s="331">
        <f t="shared" si="15"/>
        <v>7200</v>
      </c>
    </row>
    <row r="52" spans="1:20" ht="14.1" customHeight="1">
      <c r="A52" s="74">
        <v>52</v>
      </c>
      <c r="B52" s="286" t="s">
        <v>218</v>
      </c>
      <c r="C52" s="286" t="s">
        <v>232</v>
      </c>
      <c r="D52" s="325" t="s">
        <v>234</v>
      </c>
      <c r="E52" s="326">
        <v>30</v>
      </c>
      <c r="F52" s="478" t="s">
        <v>389</v>
      </c>
      <c r="G52" s="478" t="s">
        <v>36</v>
      </c>
      <c r="H52" s="478" t="s">
        <v>357</v>
      </c>
      <c r="I52" s="479">
        <v>24</v>
      </c>
      <c r="J52" s="480">
        <f t="shared" si="11"/>
        <v>120</v>
      </c>
      <c r="K52" s="250">
        <v>120</v>
      </c>
      <c r="L52" s="250"/>
      <c r="M52" s="249" t="e">
        <f t="shared" si="12"/>
        <v>#DIV/0!</v>
      </c>
      <c r="N52" s="249">
        <f t="shared" si="13"/>
        <v>0</v>
      </c>
      <c r="O52" s="329">
        <f>IF(K52="nio",0,IF(K52&gt;0,VLOOKUP(G52,'3-Productie normen'!A:L,VLOOKUP(K52,'3-Productie normen'!$B$36:$C$42,2,FALSE),FALSE)))/VLOOKUP(B52,'2-Kosten totaal'!$A$14:$C$16,3,FALSE)</f>
        <v>0</v>
      </c>
      <c r="P52" s="329">
        <f t="shared" si="14"/>
        <v>0</v>
      </c>
      <c r="Q52" s="330" t="str">
        <f>VLOOKUP(G52,'3-Productie normen'!A:O,15,FALSE)</f>
        <v>B</v>
      </c>
      <c r="R52" s="330"/>
      <c r="T52" s="331">
        <f t="shared" si="15"/>
        <v>2880</v>
      </c>
    </row>
    <row r="53" spans="1:20" ht="14.1" customHeight="1">
      <c r="A53" s="74">
        <v>53</v>
      </c>
      <c r="B53" s="286" t="s">
        <v>218</v>
      </c>
      <c r="C53" s="286" t="s">
        <v>232</v>
      </c>
      <c r="D53" s="325" t="s">
        <v>234</v>
      </c>
      <c r="E53" s="326">
        <v>31</v>
      </c>
      <c r="F53" s="478" t="s">
        <v>389</v>
      </c>
      <c r="G53" s="478" t="s">
        <v>36</v>
      </c>
      <c r="H53" s="478" t="s">
        <v>357</v>
      </c>
      <c r="I53" s="479">
        <v>19</v>
      </c>
      <c r="J53" s="480">
        <f t="shared" si="11"/>
        <v>120</v>
      </c>
      <c r="K53" s="250">
        <v>120</v>
      </c>
      <c r="L53" s="250"/>
      <c r="M53" s="249" t="e">
        <f t="shared" si="12"/>
        <v>#DIV/0!</v>
      </c>
      <c r="N53" s="249">
        <f t="shared" si="13"/>
        <v>0</v>
      </c>
      <c r="O53" s="329">
        <f>IF(K53="nio",0,IF(K53&gt;0,VLOOKUP(G53,'3-Productie normen'!A:L,VLOOKUP(K53,'3-Productie normen'!$B$36:$C$42,2,FALSE),FALSE)))/VLOOKUP(B53,'2-Kosten totaal'!$A$14:$C$16,3,FALSE)</f>
        <v>0</v>
      </c>
      <c r="P53" s="329">
        <f t="shared" si="14"/>
        <v>0</v>
      </c>
      <c r="Q53" s="330" t="str">
        <f>VLOOKUP(G53,'3-Productie normen'!A:O,15,FALSE)</f>
        <v>B</v>
      </c>
      <c r="R53" s="330"/>
      <c r="T53" s="331">
        <f t="shared" si="15"/>
        <v>2280</v>
      </c>
    </row>
    <row r="54" spans="1:20" ht="14.1" customHeight="1">
      <c r="A54" s="74">
        <v>54</v>
      </c>
      <c r="B54" s="286" t="s">
        <v>218</v>
      </c>
      <c r="C54" s="286" t="s">
        <v>232</v>
      </c>
      <c r="D54" s="325" t="s">
        <v>234</v>
      </c>
      <c r="E54" s="326">
        <v>32</v>
      </c>
      <c r="F54" s="483" t="s">
        <v>389</v>
      </c>
      <c r="G54" s="483" t="s">
        <v>36</v>
      </c>
      <c r="H54" s="478" t="s">
        <v>357</v>
      </c>
      <c r="I54" s="479">
        <v>20</v>
      </c>
      <c r="J54" s="480">
        <f t="shared" si="11"/>
        <v>120</v>
      </c>
      <c r="K54" s="250">
        <v>120</v>
      </c>
      <c r="L54" s="250"/>
      <c r="M54" s="249" t="e">
        <f t="shared" si="12"/>
        <v>#DIV/0!</v>
      </c>
      <c r="N54" s="249">
        <f t="shared" si="13"/>
        <v>0</v>
      </c>
      <c r="O54" s="329">
        <f>IF(K54="nio",0,IF(K54&gt;0,VLOOKUP(G54,'3-Productie normen'!A:L,VLOOKUP(K54,'3-Productie normen'!$B$36:$C$42,2,FALSE),FALSE)))/VLOOKUP(B54,'2-Kosten totaal'!$A$14:$C$16,3,FALSE)</f>
        <v>0</v>
      </c>
      <c r="P54" s="329">
        <f t="shared" si="14"/>
        <v>0</v>
      </c>
      <c r="Q54" s="330" t="str">
        <f>VLOOKUP(G54,'3-Productie normen'!A:O,15,FALSE)</f>
        <v>B</v>
      </c>
      <c r="R54" s="330"/>
      <c r="T54" s="331">
        <f t="shared" si="15"/>
        <v>2400</v>
      </c>
    </row>
    <row r="55" spans="1:20" ht="14.1" customHeight="1">
      <c r="A55" s="74">
        <v>55</v>
      </c>
      <c r="B55" s="286" t="s">
        <v>218</v>
      </c>
      <c r="C55" s="286" t="s">
        <v>232</v>
      </c>
      <c r="D55" s="325" t="s">
        <v>234</v>
      </c>
      <c r="E55" s="326" t="s">
        <v>265</v>
      </c>
      <c r="F55" s="478" t="s">
        <v>243</v>
      </c>
      <c r="G55" s="478" t="s">
        <v>40</v>
      </c>
      <c r="H55" s="478" t="s">
        <v>359</v>
      </c>
      <c r="I55" s="479">
        <v>98</v>
      </c>
      <c r="J55" s="480">
        <f t="shared" si="11"/>
        <v>200</v>
      </c>
      <c r="K55" s="481">
        <v>200</v>
      </c>
      <c r="L55" s="250"/>
      <c r="M55" s="249" t="e">
        <f t="shared" si="12"/>
        <v>#DIV/0!</v>
      </c>
      <c r="N55" s="249">
        <f t="shared" si="13"/>
        <v>0</v>
      </c>
      <c r="O55" s="329">
        <f>IF(K55="nio",0,IF(K55&gt;0,VLOOKUP(G55,'3-Productie normen'!A:L,VLOOKUP(K55,'3-Productie normen'!$B$36:$C$42,2,FALSE),FALSE)))/VLOOKUP(B55,'2-Kosten totaal'!$A$14:$C$16,3,FALSE)</f>
        <v>0</v>
      </c>
      <c r="P55" s="329">
        <f t="shared" si="14"/>
        <v>0</v>
      </c>
      <c r="Q55" s="330" t="str">
        <f>VLOOKUP(G55,'3-Productie normen'!A:O,15,FALSE)</f>
        <v>V</v>
      </c>
      <c r="R55" s="330"/>
      <c r="T55" s="331">
        <f t="shared" si="15"/>
        <v>19600</v>
      </c>
    </row>
    <row r="56" spans="1:20" ht="14.1" customHeight="1">
      <c r="A56" s="74">
        <v>56</v>
      </c>
      <c r="B56" s="286" t="s">
        <v>218</v>
      </c>
      <c r="C56" s="286" t="s">
        <v>232</v>
      </c>
      <c r="D56" s="84" t="s">
        <v>234</v>
      </c>
      <c r="E56" s="247">
        <v>40</v>
      </c>
      <c r="F56" s="482" t="s">
        <v>266</v>
      </c>
      <c r="G56" s="482" t="s">
        <v>225</v>
      </c>
      <c r="H56" s="478" t="s">
        <v>359</v>
      </c>
      <c r="I56" s="479">
        <v>150</v>
      </c>
      <c r="J56" s="480">
        <f t="shared" si="11"/>
        <v>120</v>
      </c>
      <c r="K56" s="481">
        <v>120</v>
      </c>
      <c r="L56" s="250"/>
      <c r="M56" s="249" t="e">
        <f t="shared" si="12"/>
        <v>#DIV/0!</v>
      </c>
      <c r="N56" s="249">
        <f t="shared" si="13"/>
        <v>0</v>
      </c>
      <c r="O56" s="329">
        <f>IF(K56="nio",0,IF(K56&gt;0,VLOOKUP(G56,'3-Productie normen'!A:L,VLOOKUP(K56,'3-Productie normen'!$B$36:$C$42,2,FALSE),FALSE)))/VLOOKUP(B56,'2-Kosten totaal'!$A$14:$C$16,3,FALSE)</f>
        <v>0</v>
      </c>
      <c r="P56" s="329">
        <f t="shared" si="14"/>
        <v>0</v>
      </c>
      <c r="Q56" s="330" t="str">
        <f>VLOOKUP(G56,'3-Productie normen'!A:O,15,FALSE)</f>
        <v>V</v>
      </c>
      <c r="R56" s="330"/>
      <c r="T56" s="331">
        <f t="shared" si="15"/>
        <v>18000</v>
      </c>
    </row>
    <row r="57" spans="1:20" ht="14.1" customHeight="1">
      <c r="A57" s="74">
        <v>57</v>
      </c>
      <c r="B57" s="286" t="s">
        <v>218</v>
      </c>
      <c r="C57" s="286" t="s">
        <v>232</v>
      </c>
      <c r="D57" s="325" t="s">
        <v>234</v>
      </c>
      <c r="E57" s="326">
        <v>41</v>
      </c>
      <c r="F57" s="70" t="s">
        <v>267</v>
      </c>
      <c r="G57" s="70" t="s">
        <v>223</v>
      </c>
      <c r="H57" s="70" t="s">
        <v>359</v>
      </c>
      <c r="I57" s="327">
        <v>202</v>
      </c>
      <c r="J57" s="328">
        <f t="shared" si="11"/>
        <v>200</v>
      </c>
      <c r="K57" s="250">
        <v>200</v>
      </c>
      <c r="L57" s="250"/>
      <c r="M57" s="249" t="e">
        <f t="shared" si="12"/>
        <v>#DIV/0!</v>
      </c>
      <c r="N57" s="249">
        <f t="shared" si="13"/>
        <v>0</v>
      </c>
      <c r="O57" s="329">
        <f>IF(K57="nio",0,IF(K57&gt;0,VLOOKUP(G57,'3-Productie normen'!A:L,VLOOKUP(K57,'3-Productie normen'!$B$36:$C$42,2,FALSE),FALSE)))/VLOOKUP(B57,'2-Kosten totaal'!$A$14:$C$16,3,FALSE)</f>
        <v>0</v>
      </c>
      <c r="P57" s="329">
        <f t="shared" si="14"/>
        <v>0</v>
      </c>
      <c r="Q57" s="330" t="str">
        <f>VLOOKUP(G57,'3-Productie normen'!A:O,15,FALSE)</f>
        <v>V</v>
      </c>
      <c r="R57" s="330"/>
      <c r="T57" s="331">
        <f t="shared" si="15"/>
        <v>40400</v>
      </c>
    </row>
    <row r="58" spans="1:20" ht="14.1" customHeight="1">
      <c r="A58" s="74">
        <v>58</v>
      </c>
      <c r="B58" s="286" t="s">
        <v>218</v>
      </c>
      <c r="C58" s="286" t="s">
        <v>232</v>
      </c>
      <c r="D58" s="325" t="s">
        <v>234</v>
      </c>
      <c r="E58" s="326">
        <v>42</v>
      </c>
      <c r="F58" s="478" t="s">
        <v>268</v>
      </c>
      <c r="G58" s="478" t="s">
        <v>36</v>
      </c>
      <c r="H58" s="478" t="s">
        <v>357</v>
      </c>
      <c r="I58" s="479">
        <v>16</v>
      </c>
      <c r="J58" s="480">
        <f t="shared" si="11"/>
        <v>120</v>
      </c>
      <c r="K58" s="250">
        <v>120</v>
      </c>
      <c r="L58" s="250"/>
      <c r="M58" s="249" t="e">
        <f t="shared" si="12"/>
        <v>#DIV/0!</v>
      </c>
      <c r="N58" s="249">
        <f t="shared" si="13"/>
        <v>0</v>
      </c>
      <c r="O58" s="329">
        <f>IF(K58="nio",0,IF(K58&gt;0,VLOOKUP(G58,'3-Productie normen'!A:L,VLOOKUP(K58,'3-Productie normen'!$B$36:$C$42,2,FALSE),FALSE)))/VLOOKUP(B58,'2-Kosten totaal'!$A$14:$C$16,3,FALSE)</f>
        <v>0</v>
      </c>
      <c r="P58" s="329">
        <f t="shared" si="14"/>
        <v>0</v>
      </c>
      <c r="Q58" s="330" t="str">
        <f>VLOOKUP(G58,'3-Productie normen'!A:O,15,FALSE)</f>
        <v>B</v>
      </c>
      <c r="R58" s="330"/>
      <c r="T58" s="331">
        <f t="shared" si="15"/>
        <v>1920</v>
      </c>
    </row>
    <row r="59" spans="1:20" ht="14.1" customHeight="1">
      <c r="A59" s="74">
        <v>59</v>
      </c>
      <c r="B59" s="286" t="s">
        <v>218</v>
      </c>
      <c r="C59" s="286" t="s">
        <v>232</v>
      </c>
      <c r="D59" s="325" t="s">
        <v>234</v>
      </c>
      <c r="E59" s="326" t="s">
        <v>269</v>
      </c>
      <c r="F59" s="478" t="s">
        <v>270</v>
      </c>
      <c r="G59" s="478" t="s">
        <v>229</v>
      </c>
      <c r="H59" s="478" t="s">
        <v>362</v>
      </c>
      <c r="I59" s="479">
        <v>11</v>
      </c>
      <c r="J59" s="480">
        <f t="shared" si="11"/>
        <v>200</v>
      </c>
      <c r="K59" s="481">
        <v>200</v>
      </c>
      <c r="L59" s="250"/>
      <c r="M59" s="249" t="e">
        <f t="shared" si="12"/>
        <v>#DIV/0!</v>
      </c>
      <c r="N59" s="249">
        <f t="shared" si="13"/>
        <v>0</v>
      </c>
      <c r="O59" s="329">
        <f>IF(K59="nio",0,IF(K59&gt;0,VLOOKUP(G59,'3-Productie normen'!A:L,VLOOKUP(K59,'3-Productie normen'!$B$36:$C$42,2,FALSE),FALSE)))/VLOOKUP(B59,'2-Kosten totaal'!$A$14:$C$16,3,FALSE)</f>
        <v>0</v>
      </c>
      <c r="P59" s="329">
        <f t="shared" si="14"/>
        <v>0</v>
      </c>
      <c r="Q59" s="330" t="str">
        <f>VLOOKUP(G59,'3-Productie normen'!A:O,15,FALSE)</f>
        <v>V</v>
      </c>
      <c r="R59" s="330"/>
      <c r="T59" s="331">
        <f t="shared" si="15"/>
        <v>2200</v>
      </c>
    </row>
    <row r="60" spans="1:20" ht="14.1" customHeight="1">
      <c r="A60" s="74">
        <v>60</v>
      </c>
      <c r="B60" s="286" t="s">
        <v>218</v>
      </c>
      <c r="C60" s="286" t="s">
        <v>232</v>
      </c>
      <c r="D60" s="325" t="s">
        <v>234</v>
      </c>
      <c r="E60" s="326">
        <v>44</v>
      </c>
      <c r="F60" s="70" t="s">
        <v>237</v>
      </c>
      <c r="G60" s="83" t="s">
        <v>224</v>
      </c>
      <c r="H60" s="70" t="s">
        <v>359</v>
      </c>
      <c r="I60" s="327">
        <v>27</v>
      </c>
      <c r="J60" s="328">
        <f t="shared" si="11"/>
        <v>200</v>
      </c>
      <c r="K60" s="250">
        <v>200</v>
      </c>
      <c r="L60" s="250"/>
      <c r="M60" s="249" t="e">
        <f t="shared" si="12"/>
        <v>#DIV/0!</v>
      </c>
      <c r="N60" s="249">
        <f t="shared" si="13"/>
        <v>0</v>
      </c>
      <c r="O60" s="329">
        <f>IF(K60="nio",0,IF(K60&gt;0,VLOOKUP(G60,'3-Productie normen'!A:L,VLOOKUP(K60,'3-Productie normen'!$B$36:$C$42,2,FALSE),FALSE)))/VLOOKUP(B60,'2-Kosten totaal'!$A$14:$C$16,3,FALSE)</f>
        <v>0</v>
      </c>
      <c r="P60" s="329">
        <f t="shared" si="14"/>
        <v>0</v>
      </c>
      <c r="Q60" s="330" t="str">
        <f>VLOOKUP(G60,'3-Productie normen'!A:O,15,FALSE)</f>
        <v>L</v>
      </c>
      <c r="R60" s="330"/>
      <c r="T60" s="331">
        <f t="shared" si="15"/>
        <v>5400</v>
      </c>
    </row>
    <row r="61" spans="1:20" ht="14.1" customHeight="1">
      <c r="A61" s="74">
        <v>61</v>
      </c>
      <c r="B61" s="286" t="s">
        <v>218</v>
      </c>
      <c r="C61" s="286" t="s">
        <v>232</v>
      </c>
      <c r="D61" s="325" t="s">
        <v>234</v>
      </c>
      <c r="E61" s="326">
        <v>45</v>
      </c>
      <c r="F61" s="70" t="s">
        <v>237</v>
      </c>
      <c r="G61" s="83" t="s">
        <v>224</v>
      </c>
      <c r="H61" s="70" t="s">
        <v>359</v>
      </c>
      <c r="I61" s="327">
        <v>55</v>
      </c>
      <c r="J61" s="328">
        <f t="shared" si="11"/>
        <v>200</v>
      </c>
      <c r="K61" s="250">
        <v>200</v>
      </c>
      <c r="L61" s="250"/>
      <c r="M61" s="249" t="e">
        <f t="shared" si="12"/>
        <v>#DIV/0!</v>
      </c>
      <c r="N61" s="249">
        <f t="shared" si="13"/>
        <v>0</v>
      </c>
      <c r="O61" s="329">
        <f>IF(K61="nio",0,IF(K61&gt;0,VLOOKUP(G61,'3-Productie normen'!A:L,VLOOKUP(K61,'3-Productie normen'!$B$36:$C$42,2,FALSE),FALSE)))/VLOOKUP(B61,'2-Kosten totaal'!$A$14:$C$16,3,FALSE)</f>
        <v>0</v>
      </c>
      <c r="P61" s="329">
        <f t="shared" si="14"/>
        <v>0</v>
      </c>
      <c r="Q61" s="330" t="str">
        <f>VLOOKUP(G61,'3-Productie normen'!A:O,15,FALSE)</f>
        <v>L</v>
      </c>
      <c r="R61" s="330"/>
      <c r="T61" s="331">
        <f t="shared" si="15"/>
        <v>11000</v>
      </c>
    </row>
    <row r="62" spans="1:20" ht="14.1" customHeight="1">
      <c r="A62" s="74">
        <v>62</v>
      </c>
      <c r="B62" s="286" t="s">
        <v>218</v>
      </c>
      <c r="C62" s="286" t="s">
        <v>232</v>
      </c>
      <c r="D62" s="325" t="s">
        <v>234</v>
      </c>
      <c r="E62" s="326">
        <v>46</v>
      </c>
      <c r="F62" s="70" t="s">
        <v>237</v>
      </c>
      <c r="G62" s="83" t="s">
        <v>224</v>
      </c>
      <c r="H62" s="70" t="s">
        <v>359</v>
      </c>
      <c r="I62" s="327">
        <v>55</v>
      </c>
      <c r="J62" s="328">
        <f t="shared" si="11"/>
        <v>200</v>
      </c>
      <c r="K62" s="250">
        <v>200</v>
      </c>
      <c r="L62" s="250"/>
      <c r="M62" s="249" t="e">
        <f t="shared" si="12"/>
        <v>#DIV/0!</v>
      </c>
      <c r="N62" s="249">
        <f t="shared" si="13"/>
        <v>0</v>
      </c>
      <c r="O62" s="329">
        <f>IF(K62="nio",0,IF(K62&gt;0,VLOOKUP(G62,'3-Productie normen'!A:L,VLOOKUP(K62,'3-Productie normen'!$B$36:$C$42,2,FALSE),FALSE)))/VLOOKUP(B62,'2-Kosten totaal'!$A$14:$C$16,3,FALSE)</f>
        <v>0</v>
      </c>
      <c r="P62" s="329">
        <f t="shared" si="14"/>
        <v>0</v>
      </c>
      <c r="Q62" s="330" t="str">
        <f>VLOOKUP(G62,'3-Productie normen'!A:O,15,FALSE)</f>
        <v>L</v>
      </c>
      <c r="R62" s="330"/>
      <c r="T62" s="331">
        <f t="shared" si="15"/>
        <v>11000</v>
      </c>
    </row>
    <row r="63" spans="1:20" ht="14.1" customHeight="1">
      <c r="A63" s="74">
        <v>63</v>
      </c>
      <c r="B63" s="286" t="s">
        <v>218</v>
      </c>
      <c r="C63" s="286" t="s">
        <v>232</v>
      </c>
      <c r="D63" s="325" t="s">
        <v>234</v>
      </c>
      <c r="E63" s="326">
        <v>47</v>
      </c>
      <c r="F63" s="70" t="s">
        <v>237</v>
      </c>
      <c r="G63" s="83" t="s">
        <v>224</v>
      </c>
      <c r="H63" s="70" t="s">
        <v>359</v>
      </c>
      <c r="I63" s="327">
        <v>55</v>
      </c>
      <c r="J63" s="328">
        <f t="shared" si="11"/>
        <v>200</v>
      </c>
      <c r="K63" s="250">
        <v>200</v>
      </c>
      <c r="L63" s="250"/>
      <c r="M63" s="249" t="e">
        <f t="shared" si="12"/>
        <v>#DIV/0!</v>
      </c>
      <c r="N63" s="249">
        <f t="shared" si="13"/>
        <v>0</v>
      </c>
      <c r="O63" s="329">
        <f>IF(K63="nio",0,IF(K63&gt;0,VLOOKUP(G63,'3-Productie normen'!A:L,VLOOKUP(K63,'3-Productie normen'!$B$36:$C$42,2,FALSE),FALSE)))/VLOOKUP(B63,'2-Kosten totaal'!$A$14:$C$16,3,FALSE)</f>
        <v>0</v>
      </c>
      <c r="P63" s="329">
        <f t="shared" si="14"/>
        <v>0</v>
      </c>
      <c r="Q63" s="330" t="str">
        <f>VLOOKUP(G63,'3-Productie normen'!A:O,15,FALSE)</f>
        <v>L</v>
      </c>
      <c r="R63" s="330"/>
      <c r="T63" s="331">
        <f t="shared" si="15"/>
        <v>11000</v>
      </c>
    </row>
    <row r="64" spans="1:20" ht="14.1" customHeight="1">
      <c r="A64" s="74">
        <v>64</v>
      </c>
      <c r="B64" s="286" t="s">
        <v>218</v>
      </c>
      <c r="C64" s="286" t="s">
        <v>232</v>
      </c>
      <c r="D64" s="325" t="s">
        <v>234</v>
      </c>
      <c r="E64" s="326" t="s">
        <v>271</v>
      </c>
      <c r="F64" s="478" t="s">
        <v>243</v>
      </c>
      <c r="G64" s="478" t="s">
        <v>40</v>
      </c>
      <c r="H64" s="478" t="s">
        <v>359</v>
      </c>
      <c r="I64" s="479">
        <v>154</v>
      </c>
      <c r="J64" s="480">
        <f t="shared" si="11"/>
        <v>200</v>
      </c>
      <c r="K64" s="481">
        <v>200</v>
      </c>
      <c r="L64" s="250"/>
      <c r="M64" s="249" t="e">
        <f t="shared" si="12"/>
        <v>#DIV/0!</v>
      </c>
      <c r="N64" s="249">
        <f t="shared" si="13"/>
        <v>0</v>
      </c>
      <c r="O64" s="329">
        <f>IF(K64="nio",0,IF(K64&gt;0,VLOOKUP(G64,'3-Productie normen'!A:L,VLOOKUP(K64,'3-Productie normen'!$B$36:$C$42,2,FALSE),FALSE)))/VLOOKUP(B64,'2-Kosten totaal'!$A$14:$C$16,3,FALSE)</f>
        <v>0</v>
      </c>
      <c r="P64" s="329">
        <f t="shared" si="14"/>
        <v>0</v>
      </c>
      <c r="Q64" s="330" t="str">
        <f>VLOOKUP(G64,'3-Productie normen'!A:O,15,FALSE)</f>
        <v>V</v>
      </c>
      <c r="R64" s="330"/>
      <c r="T64" s="331">
        <f t="shared" si="15"/>
        <v>30800</v>
      </c>
    </row>
    <row r="65" spans="1:20" ht="14.1" customHeight="1">
      <c r="A65" s="74">
        <v>65</v>
      </c>
      <c r="B65" s="286" t="s">
        <v>218</v>
      </c>
      <c r="C65" s="286" t="s">
        <v>232</v>
      </c>
      <c r="D65" s="325" t="s">
        <v>234</v>
      </c>
      <c r="E65" s="326">
        <v>50</v>
      </c>
      <c r="F65" s="478" t="s">
        <v>389</v>
      </c>
      <c r="G65" s="478" t="s">
        <v>36</v>
      </c>
      <c r="H65" s="478" t="s">
        <v>357</v>
      </c>
      <c r="I65" s="479">
        <v>11</v>
      </c>
      <c r="J65" s="480">
        <f t="shared" si="11"/>
        <v>120</v>
      </c>
      <c r="K65" s="250">
        <v>120</v>
      </c>
      <c r="L65" s="250"/>
      <c r="M65" s="249" t="e">
        <f t="shared" si="12"/>
        <v>#DIV/0!</v>
      </c>
      <c r="N65" s="249">
        <f t="shared" si="13"/>
        <v>0</v>
      </c>
      <c r="O65" s="329">
        <f>IF(K65="nio",0,IF(K65&gt;0,VLOOKUP(G65,'3-Productie normen'!A:L,VLOOKUP(K65,'3-Productie normen'!$B$36:$C$42,2,FALSE),FALSE)))/VLOOKUP(B65,'2-Kosten totaal'!$A$14:$C$16,3,FALSE)</f>
        <v>0</v>
      </c>
      <c r="P65" s="329">
        <f t="shared" si="14"/>
        <v>0</v>
      </c>
      <c r="Q65" s="330" t="str">
        <f>VLOOKUP(G65,'3-Productie normen'!A:O,15,FALSE)</f>
        <v>B</v>
      </c>
      <c r="R65" s="330"/>
      <c r="T65" s="331">
        <f t="shared" si="15"/>
        <v>1320</v>
      </c>
    </row>
    <row r="66" spans="1:20" ht="14.1" customHeight="1">
      <c r="A66" s="74">
        <v>66</v>
      </c>
      <c r="B66" s="477" t="s">
        <v>218</v>
      </c>
      <c r="C66" s="477" t="s">
        <v>232</v>
      </c>
      <c r="D66" s="488" t="s">
        <v>234</v>
      </c>
      <c r="E66" s="489">
        <v>51</v>
      </c>
      <c r="F66" s="478" t="s">
        <v>378</v>
      </c>
      <c r="G66" s="478" t="s">
        <v>36</v>
      </c>
      <c r="H66" s="478" t="s">
        <v>357</v>
      </c>
      <c r="I66" s="479">
        <v>5</v>
      </c>
      <c r="J66" s="480">
        <f t="shared" si="11"/>
        <v>120</v>
      </c>
      <c r="K66" s="250">
        <v>120</v>
      </c>
      <c r="L66" s="250"/>
      <c r="M66" s="249" t="e">
        <f t="shared" si="12"/>
        <v>#DIV/0!</v>
      </c>
      <c r="N66" s="249">
        <f t="shared" si="13"/>
        <v>0</v>
      </c>
      <c r="O66" s="329">
        <f>IF(K66="nio",0,IF(K66&gt;0,VLOOKUP(G66,'3-Productie normen'!A:L,VLOOKUP(K66,'3-Productie normen'!$B$36:$C$42,2,FALSE),FALSE)))/VLOOKUP(B66,'2-Kosten totaal'!$A$14:$C$16,3,FALSE)</f>
        <v>0</v>
      </c>
      <c r="P66" s="329">
        <f t="shared" si="14"/>
        <v>0</v>
      </c>
      <c r="Q66" s="330" t="str">
        <f>VLOOKUP(G66,'3-Productie normen'!A:O,15,FALSE)</f>
        <v>B</v>
      </c>
      <c r="R66" s="330"/>
      <c r="T66" s="331">
        <f t="shared" si="15"/>
        <v>600</v>
      </c>
    </row>
    <row r="67" spans="1:20" ht="14.1" customHeight="1">
      <c r="A67" s="74">
        <v>67</v>
      </c>
      <c r="B67" s="286" t="s">
        <v>218</v>
      </c>
      <c r="C67" s="286" t="s">
        <v>232</v>
      </c>
      <c r="D67" s="325" t="s">
        <v>234</v>
      </c>
      <c r="E67" s="326">
        <v>52</v>
      </c>
      <c r="F67" s="478" t="s">
        <v>272</v>
      </c>
      <c r="G67" s="478" t="s">
        <v>38</v>
      </c>
      <c r="H67" s="478" t="s">
        <v>358</v>
      </c>
      <c r="I67" s="479">
        <v>3</v>
      </c>
      <c r="J67" s="480">
        <f t="shared" si="11"/>
        <v>400</v>
      </c>
      <c r="K67" s="481">
        <v>200</v>
      </c>
      <c r="L67" s="250">
        <v>200</v>
      </c>
      <c r="M67" s="249" t="e">
        <f t="shared" si="12"/>
        <v>#DIV/0!</v>
      </c>
      <c r="N67" s="249" t="e">
        <f t="shared" si="13"/>
        <v>#DIV/0!</v>
      </c>
      <c r="O67" s="329">
        <f>IF(K67="nio",0,IF(K67&gt;0,VLOOKUP(G67,'3-Productie normen'!A:L,VLOOKUP(K67,'3-Productie normen'!$B$36:$C$42,2,FALSE),FALSE)))/VLOOKUP(B67,'2-Kosten totaal'!$A$14:$C$16,3,FALSE)</f>
        <v>0</v>
      </c>
      <c r="P67" s="329">
        <f t="shared" si="14"/>
        <v>0</v>
      </c>
      <c r="Q67" s="330" t="str">
        <f>VLOOKUP(G67,'3-Productie normen'!A:O,15,FALSE)</f>
        <v>S</v>
      </c>
      <c r="R67" s="330"/>
      <c r="T67" s="331">
        <f t="shared" si="15"/>
        <v>1200</v>
      </c>
    </row>
    <row r="68" spans="1:20" ht="14.1" customHeight="1">
      <c r="A68" s="74">
        <v>68</v>
      </c>
      <c r="B68" s="286" t="s">
        <v>218</v>
      </c>
      <c r="C68" s="286" t="s">
        <v>232</v>
      </c>
      <c r="D68" s="325" t="s">
        <v>234</v>
      </c>
      <c r="E68" s="326">
        <v>53</v>
      </c>
      <c r="F68" s="478" t="s">
        <v>241</v>
      </c>
      <c r="G68" s="478" t="s">
        <v>38</v>
      </c>
      <c r="H68" s="478" t="s">
        <v>358</v>
      </c>
      <c r="I68" s="479">
        <v>21</v>
      </c>
      <c r="J68" s="480">
        <f t="shared" si="11"/>
        <v>400</v>
      </c>
      <c r="K68" s="481">
        <v>200</v>
      </c>
      <c r="L68" s="250">
        <v>200</v>
      </c>
      <c r="M68" s="249" t="e">
        <f t="shared" si="12"/>
        <v>#DIV/0!</v>
      </c>
      <c r="N68" s="249" t="e">
        <f t="shared" si="13"/>
        <v>#DIV/0!</v>
      </c>
      <c r="O68" s="329">
        <f>IF(K68="nio",0,IF(K68&gt;0,VLOOKUP(G68,'3-Productie normen'!A:L,VLOOKUP(K68,'3-Productie normen'!$B$36:$C$42,2,FALSE),FALSE)))/VLOOKUP(B68,'2-Kosten totaal'!$A$14:$C$16,3,FALSE)</f>
        <v>0</v>
      </c>
      <c r="P68" s="329">
        <f t="shared" si="14"/>
        <v>0</v>
      </c>
      <c r="Q68" s="330" t="str">
        <f>VLOOKUP(G68,'3-Productie normen'!A:O,15,FALSE)</f>
        <v>S</v>
      </c>
      <c r="R68" s="330"/>
      <c r="T68" s="331">
        <f t="shared" si="15"/>
        <v>8400</v>
      </c>
    </row>
    <row r="69" spans="1:20" ht="14.1" customHeight="1">
      <c r="A69" s="74">
        <v>69</v>
      </c>
      <c r="B69" s="286" t="s">
        <v>218</v>
      </c>
      <c r="C69" s="286" t="s">
        <v>232</v>
      </c>
      <c r="D69" s="325" t="s">
        <v>234</v>
      </c>
      <c r="E69" s="326">
        <v>54</v>
      </c>
      <c r="F69" s="478" t="s">
        <v>239</v>
      </c>
      <c r="G69" s="478" t="s">
        <v>38</v>
      </c>
      <c r="H69" s="478" t="s">
        <v>358</v>
      </c>
      <c r="I69" s="479">
        <v>15</v>
      </c>
      <c r="J69" s="480">
        <f t="shared" si="11"/>
        <v>400</v>
      </c>
      <c r="K69" s="481">
        <v>200</v>
      </c>
      <c r="L69" s="250">
        <v>200</v>
      </c>
      <c r="M69" s="249" t="e">
        <f t="shared" si="12"/>
        <v>#DIV/0!</v>
      </c>
      <c r="N69" s="249" t="e">
        <f t="shared" si="13"/>
        <v>#DIV/0!</v>
      </c>
      <c r="O69" s="329">
        <f>IF(K69="nio",0,IF(K69&gt;0,VLOOKUP(G69,'3-Productie normen'!A:L,VLOOKUP(K69,'3-Productie normen'!$B$36:$C$42,2,FALSE),FALSE)))/VLOOKUP(B69,'2-Kosten totaal'!$A$14:$C$16,3,FALSE)</f>
        <v>0</v>
      </c>
      <c r="P69" s="329">
        <f t="shared" si="14"/>
        <v>0</v>
      </c>
      <c r="Q69" s="330" t="str">
        <f>VLOOKUP(G69,'3-Productie normen'!A:O,15,FALSE)</f>
        <v>S</v>
      </c>
      <c r="R69" s="330"/>
      <c r="T69" s="331">
        <f t="shared" si="15"/>
        <v>6000</v>
      </c>
    </row>
    <row r="70" spans="1:20" ht="14.1" customHeight="1">
      <c r="A70" s="74">
        <v>70</v>
      </c>
      <c r="B70" s="286" t="s">
        <v>218</v>
      </c>
      <c r="C70" s="286" t="s">
        <v>232</v>
      </c>
      <c r="D70" s="325" t="s">
        <v>234</v>
      </c>
      <c r="E70" s="326" t="s">
        <v>273</v>
      </c>
      <c r="F70" s="478" t="s">
        <v>274</v>
      </c>
      <c r="G70" s="478" t="s">
        <v>229</v>
      </c>
      <c r="H70" s="478" t="s">
        <v>358</v>
      </c>
      <c r="I70" s="479">
        <v>25</v>
      </c>
      <c r="J70" s="480">
        <f t="shared" si="11"/>
        <v>200</v>
      </c>
      <c r="K70" s="481">
        <v>200</v>
      </c>
      <c r="L70" s="250"/>
      <c r="M70" s="249" t="e">
        <f t="shared" si="12"/>
        <v>#DIV/0!</v>
      </c>
      <c r="N70" s="249">
        <f t="shared" si="13"/>
        <v>0</v>
      </c>
      <c r="O70" s="329">
        <f>IF(K70="nio",0,IF(K70&gt;0,VLOOKUP(G70,'3-Productie normen'!A:L,VLOOKUP(K70,'3-Productie normen'!$B$36:$C$42,2,FALSE),FALSE)))/VLOOKUP(B70,'2-Kosten totaal'!$A$14:$C$16,3,FALSE)</f>
        <v>0</v>
      </c>
      <c r="P70" s="329">
        <f t="shared" si="14"/>
        <v>0</v>
      </c>
      <c r="Q70" s="330" t="str">
        <f>VLOOKUP(G70,'3-Productie normen'!A:O,15,FALSE)</f>
        <v>V</v>
      </c>
      <c r="R70" s="330"/>
      <c r="T70" s="331">
        <f t="shared" si="15"/>
        <v>5000</v>
      </c>
    </row>
    <row r="71" spans="1:20" ht="14.1" customHeight="1">
      <c r="A71" s="74">
        <v>71</v>
      </c>
      <c r="B71" s="286" t="s">
        <v>218</v>
      </c>
      <c r="C71" s="286" t="s">
        <v>232</v>
      </c>
      <c r="D71" s="325" t="s">
        <v>234</v>
      </c>
      <c r="E71" s="326" t="s">
        <v>275</v>
      </c>
      <c r="F71" s="478" t="s">
        <v>243</v>
      </c>
      <c r="G71" s="478" t="s">
        <v>40</v>
      </c>
      <c r="H71" s="478" t="s">
        <v>359</v>
      </c>
      <c r="I71" s="479">
        <v>154</v>
      </c>
      <c r="J71" s="480">
        <f t="shared" si="11"/>
        <v>200</v>
      </c>
      <c r="K71" s="481">
        <v>200</v>
      </c>
      <c r="L71" s="250"/>
      <c r="M71" s="249" t="e">
        <f t="shared" si="12"/>
        <v>#DIV/0!</v>
      </c>
      <c r="N71" s="249">
        <f t="shared" si="13"/>
        <v>0</v>
      </c>
      <c r="O71" s="329">
        <f>IF(K71="nio",0,IF(K71&gt;0,VLOOKUP(G71,'3-Productie normen'!A:L,VLOOKUP(K71,'3-Productie normen'!$B$36:$C$42,2,FALSE),FALSE)))/VLOOKUP(B71,'2-Kosten totaal'!$A$14:$C$16,3,FALSE)</f>
        <v>0</v>
      </c>
      <c r="P71" s="329">
        <f t="shared" si="14"/>
        <v>0</v>
      </c>
      <c r="Q71" s="330" t="str">
        <f>VLOOKUP(G71,'3-Productie normen'!A:O,15,FALSE)</f>
        <v>V</v>
      </c>
      <c r="R71" s="330"/>
      <c r="T71" s="331">
        <f t="shared" si="15"/>
        <v>30800</v>
      </c>
    </row>
    <row r="72" spans="1:20" ht="14.1" customHeight="1">
      <c r="A72" s="74">
        <v>72</v>
      </c>
      <c r="B72" s="286" t="s">
        <v>218</v>
      </c>
      <c r="C72" s="286" t="s">
        <v>232</v>
      </c>
      <c r="D72" s="325" t="s">
        <v>234</v>
      </c>
      <c r="E72" s="326">
        <v>60</v>
      </c>
      <c r="F72" s="70" t="s">
        <v>276</v>
      </c>
      <c r="G72" s="70" t="s">
        <v>227</v>
      </c>
      <c r="H72" s="70" t="s">
        <v>363</v>
      </c>
      <c r="I72" s="327">
        <v>114</v>
      </c>
      <c r="J72" s="328">
        <f t="shared" si="11"/>
        <v>200</v>
      </c>
      <c r="K72" s="250">
        <v>200</v>
      </c>
      <c r="L72" s="250"/>
      <c r="M72" s="249" t="e">
        <f t="shared" si="12"/>
        <v>#DIV/0!</v>
      </c>
      <c r="N72" s="249">
        <f t="shared" si="13"/>
        <v>0</v>
      </c>
      <c r="O72" s="329">
        <f>IF(K72="nio",0,IF(K72&gt;0,VLOOKUP(G72,'3-Productie normen'!A:L,VLOOKUP(K72,'3-Productie normen'!$B$36:$C$42,2,FALSE),FALSE)))/VLOOKUP(B72,'2-Kosten totaal'!$A$14:$C$16,3,FALSE)</f>
        <v>0</v>
      </c>
      <c r="P72" s="329">
        <f t="shared" si="14"/>
        <v>0</v>
      </c>
      <c r="Q72" s="330" t="str">
        <f>VLOOKUP(G72,'3-Productie normen'!A:O,15,FALSE)</f>
        <v>L</v>
      </c>
      <c r="R72" s="330"/>
      <c r="T72" s="331">
        <f t="shared" si="15"/>
        <v>22800</v>
      </c>
    </row>
    <row r="73" spans="1:20" ht="14.1" customHeight="1">
      <c r="A73" s="74">
        <v>73</v>
      </c>
      <c r="B73" s="286" t="s">
        <v>218</v>
      </c>
      <c r="C73" s="286" t="s">
        <v>232</v>
      </c>
      <c r="D73" s="325" t="s">
        <v>234</v>
      </c>
      <c r="E73" s="326">
        <v>63</v>
      </c>
      <c r="F73" s="70" t="s">
        <v>277</v>
      </c>
      <c r="G73" s="70" t="s">
        <v>227</v>
      </c>
      <c r="H73" s="70" t="s">
        <v>363</v>
      </c>
      <c r="I73" s="327">
        <v>328</v>
      </c>
      <c r="J73" s="328">
        <f t="shared" si="11"/>
        <v>200</v>
      </c>
      <c r="K73" s="250">
        <v>200</v>
      </c>
      <c r="L73" s="250"/>
      <c r="M73" s="249" t="e">
        <f t="shared" si="12"/>
        <v>#DIV/0!</v>
      </c>
      <c r="N73" s="249">
        <f t="shared" si="13"/>
        <v>0</v>
      </c>
      <c r="O73" s="329">
        <f>IF(K73="nio",0,IF(K73&gt;0,VLOOKUP(G73,'3-Productie normen'!A:L,VLOOKUP(K73,'3-Productie normen'!$B$36:$C$42,2,FALSE),FALSE)))/VLOOKUP(B73,'2-Kosten totaal'!$A$14:$C$16,3,FALSE)</f>
        <v>0</v>
      </c>
      <c r="P73" s="329">
        <f t="shared" si="14"/>
        <v>0</v>
      </c>
      <c r="Q73" s="330" t="str">
        <f>VLOOKUP(G73,'3-Productie normen'!A:O,15,FALSE)</f>
        <v>L</v>
      </c>
      <c r="R73" s="330"/>
      <c r="T73" s="331">
        <f t="shared" si="15"/>
        <v>65600</v>
      </c>
    </row>
    <row r="74" spans="1:20" ht="14.1" customHeight="1">
      <c r="A74" s="74">
        <v>74</v>
      </c>
      <c r="B74" s="286" t="s">
        <v>218</v>
      </c>
      <c r="C74" s="286" t="s">
        <v>232</v>
      </c>
      <c r="D74" s="325" t="s">
        <v>234</v>
      </c>
      <c r="E74" s="326">
        <v>64</v>
      </c>
      <c r="F74" s="70" t="s">
        <v>278</v>
      </c>
      <c r="G74" s="70" t="s">
        <v>36</v>
      </c>
      <c r="H74" s="70" t="s">
        <v>363</v>
      </c>
      <c r="I74" s="327">
        <v>12</v>
      </c>
      <c r="J74" s="328">
        <f t="shared" si="11"/>
        <v>120</v>
      </c>
      <c r="K74" s="250">
        <v>120</v>
      </c>
      <c r="L74" s="250"/>
      <c r="M74" s="249" t="e">
        <f t="shared" si="12"/>
        <v>#DIV/0!</v>
      </c>
      <c r="N74" s="249">
        <f t="shared" si="13"/>
        <v>0</v>
      </c>
      <c r="O74" s="329">
        <f>IF(K74="nio",0,IF(K74&gt;0,VLOOKUP(G74,'3-Productie normen'!A:L,VLOOKUP(K74,'3-Productie normen'!$B$36:$C$42,2,FALSE),FALSE)))/VLOOKUP(B74,'2-Kosten totaal'!$A$14:$C$16,3,FALSE)</f>
        <v>0</v>
      </c>
      <c r="P74" s="329">
        <f t="shared" si="14"/>
        <v>0</v>
      </c>
      <c r="Q74" s="330" t="str">
        <f>VLOOKUP(G74,'3-Productie normen'!A:O,15,FALSE)</f>
        <v>B</v>
      </c>
      <c r="R74" s="330"/>
      <c r="T74" s="331">
        <f t="shared" si="15"/>
        <v>1440</v>
      </c>
    </row>
    <row r="75" spans="1:20" ht="14.1" customHeight="1">
      <c r="A75" s="74">
        <v>75</v>
      </c>
      <c r="B75" s="286" t="s">
        <v>218</v>
      </c>
      <c r="C75" s="286" t="s">
        <v>232</v>
      </c>
      <c r="D75" s="325" t="s">
        <v>234</v>
      </c>
      <c r="E75" s="326" t="s">
        <v>279</v>
      </c>
      <c r="F75" s="478" t="s">
        <v>280</v>
      </c>
      <c r="G75" s="478" t="s">
        <v>229</v>
      </c>
      <c r="H75" s="478" t="s">
        <v>362</v>
      </c>
      <c r="I75" s="479">
        <v>6</v>
      </c>
      <c r="J75" s="480">
        <f t="shared" si="11"/>
        <v>40</v>
      </c>
      <c r="K75" s="481">
        <v>40</v>
      </c>
      <c r="L75" s="250"/>
      <c r="M75" s="249" t="e">
        <f t="shared" si="12"/>
        <v>#DIV/0!</v>
      </c>
      <c r="N75" s="249">
        <f t="shared" si="13"/>
        <v>0</v>
      </c>
      <c r="O75" s="329">
        <f>IF(K75="nio",0,IF(K75&gt;0,VLOOKUP(G75,'3-Productie normen'!A:L,VLOOKUP(K75,'3-Productie normen'!$B$36:$C$42,2,FALSE),FALSE)))/VLOOKUP(B75,'2-Kosten totaal'!$A$14:$C$16,3,FALSE)</f>
        <v>0</v>
      </c>
      <c r="P75" s="329">
        <f t="shared" si="14"/>
        <v>0</v>
      </c>
      <c r="Q75" s="330" t="str">
        <f>VLOOKUP(G75,'3-Productie normen'!A:O,15,FALSE)</f>
        <v>V</v>
      </c>
      <c r="R75" s="330"/>
      <c r="T75" s="331">
        <f t="shared" si="15"/>
        <v>240</v>
      </c>
    </row>
    <row r="76" spans="1:20" ht="14.1" customHeight="1">
      <c r="A76" s="74">
        <v>76</v>
      </c>
      <c r="B76" s="286" t="s">
        <v>218</v>
      </c>
      <c r="C76" s="286" t="s">
        <v>232</v>
      </c>
      <c r="D76" s="325" t="s">
        <v>234</v>
      </c>
      <c r="E76" s="326" t="s">
        <v>281</v>
      </c>
      <c r="F76" s="478" t="s">
        <v>377</v>
      </c>
      <c r="G76" s="478" t="s">
        <v>40</v>
      </c>
      <c r="H76" s="478" t="s">
        <v>359</v>
      </c>
      <c r="I76" s="479">
        <v>6</v>
      </c>
      <c r="J76" s="480">
        <f t="shared" ref="J76:J105" si="16">SUM(K76:L76)</f>
        <v>80</v>
      </c>
      <c r="K76" s="481">
        <v>80</v>
      </c>
      <c r="L76" s="250"/>
      <c r="M76" s="249" t="e">
        <f t="shared" ref="M76:M105" si="17">IF(K76="nio",0,IF(K76&gt;0,K76*I76/O76,0))</f>
        <v>#DIV/0!</v>
      </c>
      <c r="N76" s="249">
        <f t="shared" ref="N76:N105" si="18">IF(L76&gt;0,L76*I76/P76,0)</f>
        <v>0</v>
      </c>
      <c r="O76" s="329">
        <f>IF(K76="nio",0,IF(K76&gt;0,VLOOKUP(G76,'3-Productie normen'!A:L,VLOOKUP(K76,'3-Productie normen'!$B$36:$C$42,2,FALSE),FALSE)))/VLOOKUP(B76,'2-Kosten totaal'!$A$14:$C$16,3,FALSE)</f>
        <v>0</v>
      </c>
      <c r="P76" s="329">
        <f t="shared" ref="P76:P105" si="19">IF(L76&gt;0,O76*$P$8,0)</f>
        <v>0</v>
      </c>
      <c r="Q76" s="330" t="str">
        <f>VLOOKUP(G76,'3-Productie normen'!A:O,15,FALSE)</f>
        <v>V</v>
      </c>
      <c r="R76" s="330"/>
      <c r="T76" s="331">
        <f t="shared" ref="T76:T105" si="20">J76*I76</f>
        <v>480</v>
      </c>
    </row>
    <row r="77" spans="1:20" ht="14.1" customHeight="1">
      <c r="A77" s="74">
        <v>77</v>
      </c>
      <c r="B77" s="286" t="s">
        <v>218</v>
      </c>
      <c r="C77" s="286" t="s">
        <v>232</v>
      </c>
      <c r="D77" s="325" t="s">
        <v>234</v>
      </c>
      <c r="E77" s="326">
        <v>67</v>
      </c>
      <c r="F77" s="70" t="s">
        <v>411</v>
      </c>
      <c r="G77" s="70" t="s">
        <v>224</v>
      </c>
      <c r="H77" s="70" t="s">
        <v>363</v>
      </c>
      <c r="I77" s="327">
        <v>75</v>
      </c>
      <c r="J77" s="328">
        <f t="shared" si="16"/>
        <v>200</v>
      </c>
      <c r="K77" s="250">
        <v>200</v>
      </c>
      <c r="L77" s="250"/>
      <c r="M77" s="249" t="e">
        <f t="shared" si="17"/>
        <v>#DIV/0!</v>
      </c>
      <c r="N77" s="249">
        <f t="shared" si="18"/>
        <v>0</v>
      </c>
      <c r="O77" s="329">
        <f>IF(K77="nio",0,IF(K77&gt;0,VLOOKUP(G77,'3-Productie normen'!A:L,VLOOKUP(K77,'3-Productie normen'!$B$36:$C$42,2,FALSE),FALSE)))/VLOOKUP(B77,'2-Kosten totaal'!$A$14:$C$16,3,FALSE)</f>
        <v>0</v>
      </c>
      <c r="P77" s="329">
        <f t="shared" si="19"/>
        <v>0</v>
      </c>
      <c r="Q77" s="330" t="str">
        <f>VLOOKUP(G77,'3-Productie normen'!A:O,15,FALSE)</f>
        <v>L</v>
      </c>
      <c r="R77" s="330"/>
      <c r="T77" s="331">
        <f t="shared" si="20"/>
        <v>15000</v>
      </c>
    </row>
    <row r="78" spans="1:20" ht="14.1" customHeight="1">
      <c r="A78" s="74">
        <v>78</v>
      </c>
      <c r="B78" s="286" t="s">
        <v>218</v>
      </c>
      <c r="C78" s="286" t="s">
        <v>232</v>
      </c>
      <c r="D78" s="325" t="s">
        <v>234</v>
      </c>
      <c r="E78" s="326" t="s">
        <v>282</v>
      </c>
      <c r="F78" s="70" t="s">
        <v>243</v>
      </c>
      <c r="G78" s="70" t="s">
        <v>40</v>
      </c>
      <c r="H78" s="70" t="s">
        <v>363</v>
      </c>
      <c r="I78" s="327">
        <v>48</v>
      </c>
      <c r="J78" s="328">
        <f t="shared" si="16"/>
        <v>200</v>
      </c>
      <c r="K78" s="250">
        <v>200</v>
      </c>
      <c r="L78" s="250"/>
      <c r="M78" s="249" t="e">
        <f t="shared" si="17"/>
        <v>#DIV/0!</v>
      </c>
      <c r="N78" s="249">
        <f t="shared" si="18"/>
        <v>0</v>
      </c>
      <c r="O78" s="329">
        <f>IF(K78="nio",0,IF(K78&gt;0,VLOOKUP(G78,'3-Productie normen'!A:L,VLOOKUP(K78,'3-Productie normen'!$B$36:$C$42,2,FALSE),FALSE)))/VLOOKUP(B78,'2-Kosten totaal'!$A$14:$C$16,3,FALSE)</f>
        <v>0</v>
      </c>
      <c r="P78" s="329">
        <f t="shared" si="19"/>
        <v>0</v>
      </c>
      <c r="Q78" s="330" t="str">
        <f>VLOOKUP(G78,'3-Productie normen'!A:O,15,FALSE)</f>
        <v>V</v>
      </c>
      <c r="R78" s="330"/>
      <c r="T78" s="331">
        <f t="shared" si="20"/>
        <v>9600</v>
      </c>
    </row>
    <row r="79" spans="1:20" ht="14.1" customHeight="1">
      <c r="A79" s="74">
        <v>79</v>
      </c>
      <c r="B79" s="286" t="s">
        <v>218</v>
      </c>
      <c r="C79" s="286" t="s">
        <v>232</v>
      </c>
      <c r="D79" s="325" t="s">
        <v>234</v>
      </c>
      <c r="E79" s="326" t="s">
        <v>283</v>
      </c>
      <c r="F79" s="478" t="s">
        <v>284</v>
      </c>
      <c r="G79" s="478" t="s">
        <v>229</v>
      </c>
      <c r="H79" s="478" t="s">
        <v>358</v>
      </c>
      <c r="I79" s="479">
        <v>8</v>
      </c>
      <c r="J79" s="480">
        <f t="shared" si="16"/>
        <v>200</v>
      </c>
      <c r="K79" s="481">
        <v>200</v>
      </c>
      <c r="L79" s="250"/>
      <c r="M79" s="249" t="e">
        <f t="shared" si="17"/>
        <v>#DIV/0!</v>
      </c>
      <c r="N79" s="249">
        <f t="shared" si="18"/>
        <v>0</v>
      </c>
      <c r="O79" s="329">
        <f>IF(K79="nio",0,IF(K79&gt;0,VLOOKUP(G79,'3-Productie normen'!A:L,VLOOKUP(K79,'3-Productie normen'!$B$36:$C$42,2,FALSE),FALSE)))/VLOOKUP(B79,'2-Kosten totaal'!$A$14:$C$16,3,FALSE)</f>
        <v>0</v>
      </c>
      <c r="P79" s="329">
        <f t="shared" si="19"/>
        <v>0</v>
      </c>
      <c r="Q79" s="330" t="str">
        <f>VLOOKUP(G79,'3-Productie normen'!A:O,15,FALSE)</f>
        <v>V</v>
      </c>
      <c r="R79" s="330"/>
      <c r="T79" s="331">
        <f t="shared" si="20"/>
        <v>1600</v>
      </c>
    </row>
    <row r="80" spans="1:20" ht="14.1" customHeight="1">
      <c r="A80" s="74">
        <v>80</v>
      </c>
      <c r="B80" s="286" t="s">
        <v>218</v>
      </c>
      <c r="C80" s="286" t="s">
        <v>232</v>
      </c>
      <c r="D80" s="325" t="s">
        <v>234</v>
      </c>
      <c r="E80" s="326" t="s">
        <v>285</v>
      </c>
      <c r="F80" s="478" t="s">
        <v>286</v>
      </c>
      <c r="G80" s="478" t="s">
        <v>229</v>
      </c>
      <c r="H80" s="478" t="s">
        <v>362</v>
      </c>
      <c r="I80" s="479">
        <v>9</v>
      </c>
      <c r="J80" s="480">
        <f t="shared" si="16"/>
        <v>200</v>
      </c>
      <c r="K80" s="481">
        <v>200</v>
      </c>
      <c r="L80" s="250"/>
      <c r="M80" s="249" t="e">
        <f t="shared" si="17"/>
        <v>#DIV/0!</v>
      </c>
      <c r="N80" s="249">
        <f t="shared" si="18"/>
        <v>0</v>
      </c>
      <c r="O80" s="329">
        <f>IF(K80="nio",0,IF(K80&gt;0,VLOOKUP(G80,'3-Productie normen'!A:L,VLOOKUP(K80,'3-Productie normen'!$B$36:$C$42,2,FALSE),FALSE)))/VLOOKUP(B80,'2-Kosten totaal'!$A$14:$C$16,3,FALSE)</f>
        <v>0</v>
      </c>
      <c r="P80" s="329">
        <f t="shared" si="19"/>
        <v>0</v>
      </c>
      <c r="Q80" s="330" t="str">
        <f>VLOOKUP(G80,'3-Productie normen'!A:O,15,FALSE)</f>
        <v>V</v>
      </c>
      <c r="R80" s="330"/>
      <c r="T80" s="331">
        <f t="shared" si="20"/>
        <v>1800</v>
      </c>
    </row>
    <row r="81" spans="1:20" ht="14.1" customHeight="1">
      <c r="A81" s="74">
        <v>81</v>
      </c>
      <c r="B81" s="286" t="s">
        <v>218</v>
      </c>
      <c r="C81" s="286" t="s">
        <v>232</v>
      </c>
      <c r="D81" s="325" t="s">
        <v>234</v>
      </c>
      <c r="E81" s="326" t="s">
        <v>287</v>
      </c>
      <c r="F81" s="478" t="s">
        <v>288</v>
      </c>
      <c r="G81" s="478" t="s">
        <v>229</v>
      </c>
      <c r="H81" s="478" t="s">
        <v>359</v>
      </c>
      <c r="I81" s="479">
        <v>16</v>
      </c>
      <c r="J81" s="480">
        <f t="shared" si="16"/>
        <v>200</v>
      </c>
      <c r="K81" s="481">
        <v>200</v>
      </c>
      <c r="L81" s="250"/>
      <c r="M81" s="249" t="e">
        <f t="shared" si="17"/>
        <v>#DIV/0!</v>
      </c>
      <c r="N81" s="249">
        <f t="shared" si="18"/>
        <v>0</v>
      </c>
      <c r="O81" s="329">
        <f>IF(K81="nio",0,IF(K81&gt;0,VLOOKUP(G81,'3-Productie normen'!A:L,VLOOKUP(K81,'3-Productie normen'!$B$36:$C$42,2,FALSE),FALSE)))/VLOOKUP(B81,'2-Kosten totaal'!$A$14:$C$16,3,FALSE)</f>
        <v>0</v>
      </c>
      <c r="P81" s="329">
        <f t="shared" si="19"/>
        <v>0</v>
      </c>
      <c r="Q81" s="330" t="str">
        <f>VLOOKUP(G81,'3-Productie normen'!A:O,15,FALSE)</f>
        <v>V</v>
      </c>
      <c r="R81" s="330"/>
      <c r="T81" s="331">
        <f t="shared" si="20"/>
        <v>3200</v>
      </c>
    </row>
    <row r="82" spans="1:20" ht="14.1" customHeight="1">
      <c r="A82" s="74">
        <v>82</v>
      </c>
      <c r="B82" s="286" t="s">
        <v>218</v>
      </c>
      <c r="C82" s="286" t="s">
        <v>232</v>
      </c>
      <c r="D82" s="325" t="s">
        <v>234</v>
      </c>
      <c r="E82" s="326">
        <v>68</v>
      </c>
      <c r="F82" s="70" t="s">
        <v>390</v>
      </c>
      <c r="G82" s="70" t="s">
        <v>227</v>
      </c>
      <c r="H82" s="70" t="s">
        <v>357</v>
      </c>
      <c r="I82" s="327">
        <v>56</v>
      </c>
      <c r="J82" s="328">
        <f t="shared" si="16"/>
        <v>200</v>
      </c>
      <c r="K82" s="250">
        <v>200</v>
      </c>
      <c r="L82" s="250"/>
      <c r="M82" s="249" t="e">
        <f t="shared" si="17"/>
        <v>#DIV/0!</v>
      </c>
      <c r="N82" s="249">
        <f t="shared" si="18"/>
        <v>0</v>
      </c>
      <c r="O82" s="329">
        <f>IF(K82="nio",0,IF(K82&gt;0,VLOOKUP(G82,'3-Productie normen'!A:L,VLOOKUP(K82,'3-Productie normen'!$B$36:$C$42,2,FALSE),FALSE)))/VLOOKUP(B82,'2-Kosten totaal'!$A$14:$C$16,3,FALSE)</f>
        <v>0</v>
      </c>
      <c r="P82" s="329">
        <f t="shared" si="19"/>
        <v>0</v>
      </c>
      <c r="Q82" s="330" t="str">
        <f>VLOOKUP(G82,'3-Productie normen'!A:O,15,FALSE)</f>
        <v>L</v>
      </c>
      <c r="R82" s="330"/>
      <c r="T82" s="331">
        <f t="shared" si="20"/>
        <v>11200</v>
      </c>
    </row>
    <row r="83" spans="1:20" ht="14.1" customHeight="1">
      <c r="A83" s="74">
        <v>83</v>
      </c>
      <c r="B83" s="286" t="s">
        <v>218</v>
      </c>
      <c r="C83" s="286" t="s">
        <v>232</v>
      </c>
      <c r="D83" s="325" t="s">
        <v>234</v>
      </c>
      <c r="E83" s="326" t="s">
        <v>289</v>
      </c>
      <c r="F83" s="70" t="s">
        <v>290</v>
      </c>
      <c r="G83" s="70" t="s">
        <v>227</v>
      </c>
      <c r="H83" s="70" t="s">
        <v>357</v>
      </c>
      <c r="I83" s="327">
        <v>15</v>
      </c>
      <c r="J83" s="328">
        <f t="shared" si="16"/>
        <v>200</v>
      </c>
      <c r="K83" s="250">
        <v>200</v>
      </c>
      <c r="L83" s="250"/>
      <c r="M83" s="249" t="e">
        <f t="shared" si="17"/>
        <v>#DIV/0!</v>
      </c>
      <c r="N83" s="249">
        <f t="shared" si="18"/>
        <v>0</v>
      </c>
      <c r="O83" s="329">
        <f>IF(K83="nio",0,IF(K83&gt;0,VLOOKUP(G83,'3-Productie normen'!A:L,VLOOKUP(K83,'3-Productie normen'!$B$36:$C$42,2,FALSE),FALSE)))/VLOOKUP(B83,'2-Kosten totaal'!$A$14:$C$16,3,FALSE)</f>
        <v>0</v>
      </c>
      <c r="P83" s="329">
        <f t="shared" si="19"/>
        <v>0</v>
      </c>
      <c r="Q83" s="330" t="str">
        <f>VLOOKUP(G83,'3-Productie normen'!A:O,15,FALSE)</f>
        <v>L</v>
      </c>
      <c r="R83" s="330"/>
      <c r="T83" s="331">
        <f t="shared" si="20"/>
        <v>3000</v>
      </c>
    </row>
    <row r="84" spans="1:20" ht="14.1" customHeight="1">
      <c r="A84" s="74">
        <v>84</v>
      </c>
      <c r="B84" s="286" t="s">
        <v>218</v>
      </c>
      <c r="C84" s="286" t="s">
        <v>232</v>
      </c>
      <c r="D84" s="325" t="s">
        <v>234</v>
      </c>
      <c r="E84" s="326" t="s">
        <v>291</v>
      </c>
      <c r="F84" s="70" t="s">
        <v>292</v>
      </c>
      <c r="G84" s="70" t="s">
        <v>227</v>
      </c>
      <c r="H84" s="70" t="s">
        <v>357</v>
      </c>
      <c r="I84" s="327">
        <v>15</v>
      </c>
      <c r="J84" s="328">
        <f t="shared" si="16"/>
        <v>200</v>
      </c>
      <c r="K84" s="250">
        <v>200</v>
      </c>
      <c r="L84" s="250"/>
      <c r="M84" s="249" t="e">
        <f t="shared" si="17"/>
        <v>#DIV/0!</v>
      </c>
      <c r="N84" s="249">
        <f t="shared" si="18"/>
        <v>0</v>
      </c>
      <c r="O84" s="329">
        <f>IF(K84="nio",0,IF(K84&gt;0,VLOOKUP(G84,'3-Productie normen'!A:L,VLOOKUP(K84,'3-Productie normen'!$B$36:$C$42,2,FALSE),FALSE)))/VLOOKUP(B84,'2-Kosten totaal'!$A$14:$C$16,3,FALSE)</f>
        <v>0</v>
      </c>
      <c r="P84" s="329">
        <f t="shared" si="19"/>
        <v>0</v>
      </c>
      <c r="Q84" s="330" t="str">
        <f>VLOOKUP(G84,'3-Productie normen'!A:O,15,FALSE)</f>
        <v>L</v>
      </c>
      <c r="R84" s="330"/>
      <c r="T84" s="331">
        <f t="shared" si="20"/>
        <v>3000</v>
      </c>
    </row>
    <row r="85" spans="1:20" ht="14.1" customHeight="1">
      <c r="A85" s="74">
        <v>85</v>
      </c>
      <c r="B85" s="286" t="s">
        <v>218</v>
      </c>
      <c r="C85" s="286" t="s">
        <v>232</v>
      </c>
      <c r="D85" s="325" t="s">
        <v>234</v>
      </c>
      <c r="E85" s="326" t="s">
        <v>293</v>
      </c>
      <c r="F85" s="70" t="s">
        <v>391</v>
      </c>
      <c r="G85" s="70" t="s">
        <v>227</v>
      </c>
      <c r="H85" s="478" t="s">
        <v>357</v>
      </c>
      <c r="I85" s="479">
        <v>11</v>
      </c>
      <c r="J85" s="480">
        <f t="shared" si="16"/>
        <v>200</v>
      </c>
      <c r="K85" s="250">
        <v>200</v>
      </c>
      <c r="L85" s="250"/>
      <c r="M85" s="249" t="e">
        <f t="shared" si="17"/>
        <v>#DIV/0!</v>
      </c>
      <c r="N85" s="249">
        <f t="shared" si="18"/>
        <v>0</v>
      </c>
      <c r="O85" s="329">
        <f>IF(K85="nio",0,IF(K85&gt;0,VLOOKUP(G85,'3-Productie normen'!A:L,VLOOKUP(K85,'3-Productie normen'!$B$36:$C$42,2,FALSE),FALSE)))/VLOOKUP(B85,'2-Kosten totaal'!$A$14:$C$16,3,FALSE)</f>
        <v>0</v>
      </c>
      <c r="P85" s="329">
        <f t="shared" si="19"/>
        <v>0</v>
      </c>
      <c r="Q85" s="330" t="str">
        <f>VLOOKUP(G85,'3-Productie normen'!A:O,15,FALSE)</f>
        <v>L</v>
      </c>
      <c r="R85" s="330"/>
      <c r="T85" s="331">
        <f t="shared" si="20"/>
        <v>2200</v>
      </c>
    </row>
    <row r="86" spans="1:20" ht="14.1" customHeight="1">
      <c r="A86" s="74">
        <v>86</v>
      </c>
      <c r="B86" s="286" t="s">
        <v>218</v>
      </c>
      <c r="C86" s="286" t="s">
        <v>232</v>
      </c>
      <c r="D86" s="325" t="s">
        <v>234</v>
      </c>
      <c r="E86" s="326">
        <v>70</v>
      </c>
      <c r="F86" s="478" t="s">
        <v>392</v>
      </c>
      <c r="G86" s="491" t="s">
        <v>43</v>
      </c>
      <c r="H86" s="478" t="s">
        <v>360</v>
      </c>
      <c r="I86" s="479">
        <v>55</v>
      </c>
      <c r="J86" s="480">
        <f t="shared" si="16"/>
        <v>120</v>
      </c>
      <c r="K86" s="481">
        <v>120</v>
      </c>
      <c r="L86" s="250"/>
      <c r="M86" s="249" t="e">
        <f t="shared" si="17"/>
        <v>#DIV/0!</v>
      </c>
      <c r="N86" s="249">
        <f t="shared" si="18"/>
        <v>0</v>
      </c>
      <c r="O86" s="329">
        <f>IF(K86="nio",0,IF(K86&gt;0,VLOOKUP(G86,'3-Productie normen'!A:L,VLOOKUP(K86,'3-Productie normen'!$B$36:$C$42,2,FALSE),FALSE)))/VLOOKUP(B86,'2-Kosten totaal'!$A$14:$C$16,3,FALSE)</f>
        <v>0</v>
      </c>
      <c r="P86" s="329">
        <f t="shared" si="19"/>
        <v>0</v>
      </c>
      <c r="Q86" s="330" t="str">
        <f>VLOOKUP(G86,'3-Productie normen'!A:O,15,FALSE)</f>
        <v>B</v>
      </c>
      <c r="R86" s="330"/>
      <c r="T86" s="331">
        <f t="shared" si="20"/>
        <v>6600</v>
      </c>
    </row>
    <row r="87" spans="1:20" ht="14.1" customHeight="1">
      <c r="A87" s="74">
        <v>87</v>
      </c>
      <c r="B87" s="286" t="s">
        <v>218</v>
      </c>
      <c r="C87" s="286" t="s">
        <v>232</v>
      </c>
      <c r="D87" s="325" t="s">
        <v>234</v>
      </c>
      <c r="E87" s="326">
        <v>71</v>
      </c>
      <c r="F87" s="478" t="s">
        <v>264</v>
      </c>
      <c r="G87" s="478" t="s">
        <v>36</v>
      </c>
      <c r="H87" s="478" t="s">
        <v>360</v>
      </c>
      <c r="I87" s="479">
        <v>22</v>
      </c>
      <c r="J87" s="480">
        <f t="shared" si="16"/>
        <v>120</v>
      </c>
      <c r="K87" s="250">
        <v>120</v>
      </c>
      <c r="L87" s="250"/>
      <c r="M87" s="249" t="e">
        <f t="shared" si="17"/>
        <v>#DIV/0!</v>
      </c>
      <c r="N87" s="249">
        <f t="shared" si="18"/>
        <v>0</v>
      </c>
      <c r="O87" s="329">
        <f>IF(K87="nio",0,IF(K87&gt;0,VLOOKUP(G87,'3-Productie normen'!A:L,VLOOKUP(K87,'3-Productie normen'!$B$36:$C$42,2,FALSE),FALSE)))/VLOOKUP(B87,'2-Kosten totaal'!$A$14:$C$16,3,FALSE)</f>
        <v>0</v>
      </c>
      <c r="P87" s="329">
        <f t="shared" si="19"/>
        <v>0</v>
      </c>
      <c r="Q87" s="330" t="str">
        <f>VLOOKUP(G87,'3-Productie normen'!A:O,15,FALSE)</f>
        <v>B</v>
      </c>
      <c r="R87" s="330"/>
      <c r="T87" s="331">
        <f t="shared" si="20"/>
        <v>2640</v>
      </c>
    </row>
    <row r="88" spans="1:20" ht="14.1" customHeight="1">
      <c r="A88" s="74">
        <v>88</v>
      </c>
      <c r="B88" s="286" t="s">
        <v>218</v>
      </c>
      <c r="C88" s="286" t="s">
        <v>232</v>
      </c>
      <c r="D88" s="325" t="s">
        <v>234</v>
      </c>
      <c r="E88" s="326"/>
      <c r="F88" s="478" t="s">
        <v>243</v>
      </c>
      <c r="G88" s="70" t="s">
        <v>40</v>
      </c>
      <c r="H88" s="70" t="s">
        <v>360</v>
      </c>
      <c r="I88" s="327">
        <v>26</v>
      </c>
      <c r="J88" s="328">
        <f t="shared" si="16"/>
        <v>200</v>
      </c>
      <c r="K88" s="250">
        <v>200</v>
      </c>
      <c r="L88" s="250"/>
      <c r="M88" s="249" t="e">
        <f t="shared" si="17"/>
        <v>#DIV/0!</v>
      </c>
      <c r="N88" s="249">
        <f t="shared" si="18"/>
        <v>0</v>
      </c>
      <c r="O88" s="329">
        <f>IF(K88="nio",0,IF(K88&gt;0,VLOOKUP(G88,'3-Productie normen'!A:L,VLOOKUP(K88,'3-Productie normen'!$B$36:$C$42,2,FALSE),FALSE)))/VLOOKUP(B88,'2-Kosten totaal'!$A$14:$C$16,3,FALSE)</f>
        <v>0</v>
      </c>
      <c r="P88" s="329">
        <f t="shared" si="19"/>
        <v>0</v>
      </c>
      <c r="Q88" s="330" t="str">
        <f>VLOOKUP(G88,'3-Productie normen'!A:O,15,FALSE)</f>
        <v>V</v>
      </c>
      <c r="R88" s="330"/>
      <c r="T88" s="331">
        <f t="shared" si="20"/>
        <v>5200</v>
      </c>
    </row>
    <row r="89" spans="1:20" ht="14.1" customHeight="1">
      <c r="A89" s="74">
        <v>89</v>
      </c>
      <c r="B89" s="286" t="s">
        <v>218</v>
      </c>
      <c r="C89" s="286" t="s">
        <v>232</v>
      </c>
      <c r="D89" s="325" t="s">
        <v>234</v>
      </c>
      <c r="E89" s="326">
        <v>79</v>
      </c>
      <c r="F89" s="478" t="s">
        <v>381</v>
      </c>
      <c r="G89" s="55" t="s">
        <v>36</v>
      </c>
      <c r="H89" s="70" t="s">
        <v>360</v>
      </c>
      <c r="I89" s="327">
        <v>12.6</v>
      </c>
      <c r="J89" s="328">
        <f t="shared" si="16"/>
        <v>120</v>
      </c>
      <c r="K89" s="250">
        <v>120</v>
      </c>
      <c r="L89" s="250"/>
      <c r="M89" s="249" t="e">
        <f t="shared" si="17"/>
        <v>#DIV/0!</v>
      </c>
      <c r="N89" s="249">
        <f t="shared" si="18"/>
        <v>0</v>
      </c>
      <c r="O89" s="329">
        <f>IF(K89="nio",0,IF(K89&gt;0,VLOOKUP(G89,'3-Productie normen'!A:L,VLOOKUP(K89,'3-Productie normen'!$B$36:$C$42,2,FALSE),FALSE)))/VLOOKUP(B89,'2-Kosten totaal'!$A$14:$C$16,3,FALSE)</f>
        <v>0</v>
      </c>
      <c r="P89" s="329">
        <f t="shared" si="19"/>
        <v>0</v>
      </c>
      <c r="Q89" s="330" t="str">
        <f>VLOOKUP(G89,'3-Productie normen'!A:O,15,FALSE)</f>
        <v>B</v>
      </c>
      <c r="R89" s="330"/>
      <c r="T89" s="331">
        <f t="shared" si="20"/>
        <v>1512</v>
      </c>
    </row>
    <row r="90" spans="1:20" ht="14.1" customHeight="1">
      <c r="A90" s="74">
        <v>90</v>
      </c>
      <c r="B90" s="286" t="s">
        <v>218</v>
      </c>
      <c r="C90" s="286" t="s">
        <v>232</v>
      </c>
      <c r="D90" s="325" t="s">
        <v>234</v>
      </c>
      <c r="E90" s="326">
        <v>74</v>
      </c>
      <c r="F90" s="478" t="s">
        <v>408</v>
      </c>
      <c r="G90" s="478" t="s">
        <v>36</v>
      </c>
      <c r="H90" s="478" t="s">
        <v>360</v>
      </c>
      <c r="I90" s="479">
        <v>22</v>
      </c>
      <c r="J90" s="480">
        <f t="shared" si="16"/>
        <v>120</v>
      </c>
      <c r="K90" s="250">
        <v>120</v>
      </c>
      <c r="L90" s="250"/>
      <c r="M90" s="249" t="e">
        <f t="shared" si="17"/>
        <v>#DIV/0!</v>
      </c>
      <c r="N90" s="249">
        <f t="shared" si="18"/>
        <v>0</v>
      </c>
      <c r="O90" s="329">
        <f>IF(K90="nio",0,IF(K90&gt;0,VLOOKUP(G90,'3-Productie normen'!A:L,VLOOKUP(K90,'3-Productie normen'!$B$36:$C$42,2,FALSE),FALSE)))/VLOOKUP(B90,'2-Kosten totaal'!$A$14:$C$16,3,FALSE)</f>
        <v>0</v>
      </c>
      <c r="P90" s="329">
        <f t="shared" si="19"/>
        <v>0</v>
      </c>
      <c r="Q90" s="330" t="str">
        <f>VLOOKUP(G90,'3-Productie normen'!A:O,15,FALSE)</f>
        <v>B</v>
      </c>
      <c r="R90" s="330"/>
      <c r="T90" s="331">
        <f t="shared" si="20"/>
        <v>2640</v>
      </c>
    </row>
    <row r="91" spans="1:20" ht="14.1" customHeight="1">
      <c r="A91" s="74">
        <v>91</v>
      </c>
      <c r="B91" s="286" t="s">
        <v>218</v>
      </c>
      <c r="C91" s="286" t="s">
        <v>232</v>
      </c>
      <c r="D91" s="325" t="s">
        <v>234</v>
      </c>
      <c r="E91" s="326">
        <v>75</v>
      </c>
      <c r="F91" s="478" t="s">
        <v>301</v>
      </c>
      <c r="G91" s="478" t="s">
        <v>36</v>
      </c>
      <c r="H91" s="478" t="s">
        <v>360</v>
      </c>
      <c r="I91" s="479">
        <v>21</v>
      </c>
      <c r="J91" s="480">
        <f t="shared" si="16"/>
        <v>120</v>
      </c>
      <c r="K91" s="250">
        <v>120</v>
      </c>
      <c r="L91" s="250"/>
      <c r="M91" s="249" t="e">
        <f t="shared" si="17"/>
        <v>#DIV/0!</v>
      </c>
      <c r="N91" s="249">
        <f t="shared" si="18"/>
        <v>0</v>
      </c>
      <c r="O91" s="329">
        <f>IF(K91="nio",0,IF(K91&gt;0,VLOOKUP(G91,'3-Productie normen'!A:L,VLOOKUP(K91,'3-Productie normen'!$B$36:$C$42,2,FALSE),FALSE)))/VLOOKUP(B91,'2-Kosten totaal'!$A$14:$C$16,3,FALSE)</f>
        <v>0</v>
      </c>
      <c r="P91" s="329">
        <f t="shared" si="19"/>
        <v>0</v>
      </c>
      <c r="Q91" s="330" t="str">
        <f>VLOOKUP(G91,'3-Productie normen'!A:O,15,FALSE)</f>
        <v>B</v>
      </c>
      <c r="R91" s="330"/>
      <c r="T91" s="331">
        <f t="shared" si="20"/>
        <v>2520</v>
      </c>
    </row>
    <row r="92" spans="1:20" ht="14.1" customHeight="1">
      <c r="A92" s="74">
        <v>92</v>
      </c>
      <c r="B92" s="286" t="s">
        <v>218</v>
      </c>
      <c r="C92" s="286" t="s">
        <v>232</v>
      </c>
      <c r="D92" s="325" t="s">
        <v>234</v>
      </c>
      <c r="E92" s="326">
        <v>76</v>
      </c>
      <c r="F92" s="478" t="s">
        <v>409</v>
      </c>
      <c r="G92" s="478" t="s">
        <v>36</v>
      </c>
      <c r="H92" s="478" t="s">
        <v>360</v>
      </c>
      <c r="I92" s="479">
        <v>27</v>
      </c>
      <c r="J92" s="480">
        <f t="shared" si="16"/>
        <v>120</v>
      </c>
      <c r="K92" s="250">
        <v>120</v>
      </c>
      <c r="L92" s="250"/>
      <c r="M92" s="249" t="e">
        <f t="shared" si="17"/>
        <v>#DIV/0!</v>
      </c>
      <c r="N92" s="249">
        <f t="shared" si="18"/>
        <v>0</v>
      </c>
      <c r="O92" s="329">
        <f>IF(K92="nio",0,IF(K92&gt;0,VLOOKUP(G92,'3-Productie normen'!A:L,VLOOKUP(K92,'3-Productie normen'!$B$36:$C$42,2,FALSE),FALSE)))/VLOOKUP(B92,'2-Kosten totaal'!$A$14:$C$16,3,FALSE)</f>
        <v>0</v>
      </c>
      <c r="P92" s="329">
        <f t="shared" si="19"/>
        <v>0</v>
      </c>
      <c r="Q92" s="330" t="str">
        <f>VLOOKUP(G92,'3-Productie normen'!A:O,15,FALSE)</f>
        <v>B</v>
      </c>
      <c r="R92" s="330"/>
      <c r="T92" s="331">
        <f t="shared" si="20"/>
        <v>3240</v>
      </c>
    </row>
    <row r="93" spans="1:20" ht="14.1" customHeight="1">
      <c r="A93" s="74">
        <v>93</v>
      </c>
      <c r="B93" s="286" t="s">
        <v>218</v>
      </c>
      <c r="C93" s="286" t="s">
        <v>232</v>
      </c>
      <c r="D93" s="325" t="s">
        <v>234</v>
      </c>
      <c r="E93" s="326">
        <v>77</v>
      </c>
      <c r="F93" s="478" t="s">
        <v>294</v>
      </c>
      <c r="G93" s="478" t="s">
        <v>36</v>
      </c>
      <c r="H93" s="478" t="s">
        <v>360</v>
      </c>
      <c r="I93" s="479">
        <v>16</v>
      </c>
      <c r="J93" s="480">
        <f t="shared" si="16"/>
        <v>120</v>
      </c>
      <c r="K93" s="250">
        <v>120</v>
      </c>
      <c r="L93" s="250"/>
      <c r="M93" s="249" t="e">
        <f t="shared" si="17"/>
        <v>#DIV/0!</v>
      </c>
      <c r="N93" s="249">
        <f t="shared" si="18"/>
        <v>0</v>
      </c>
      <c r="O93" s="329">
        <f>IF(K93="nio",0,IF(K93&gt;0,VLOOKUP(G93,'3-Productie normen'!A:L,VLOOKUP(K93,'3-Productie normen'!$B$36:$C$42,2,FALSE),FALSE)))/VLOOKUP(B93,'2-Kosten totaal'!$A$14:$C$16,3,FALSE)</f>
        <v>0</v>
      </c>
      <c r="P93" s="329">
        <f t="shared" si="19"/>
        <v>0</v>
      </c>
      <c r="Q93" s="330" t="str">
        <f>VLOOKUP(G93,'3-Productie normen'!A:O,15,FALSE)</f>
        <v>B</v>
      </c>
      <c r="R93" s="330"/>
      <c r="T93" s="331">
        <f t="shared" si="20"/>
        <v>1920</v>
      </c>
    </row>
    <row r="94" spans="1:20" ht="14.1" customHeight="1">
      <c r="A94" s="74">
        <v>94</v>
      </c>
      <c r="B94" s="286" t="s">
        <v>218</v>
      </c>
      <c r="C94" s="286" t="s">
        <v>232</v>
      </c>
      <c r="D94" s="325" t="s">
        <v>234</v>
      </c>
      <c r="E94" s="326">
        <v>78</v>
      </c>
      <c r="F94" s="478" t="s">
        <v>295</v>
      </c>
      <c r="G94" s="478" t="s">
        <v>36</v>
      </c>
      <c r="H94" s="478" t="s">
        <v>360</v>
      </c>
      <c r="I94" s="479">
        <v>38</v>
      </c>
      <c r="J94" s="480">
        <f t="shared" si="16"/>
        <v>120</v>
      </c>
      <c r="K94" s="250">
        <v>120</v>
      </c>
      <c r="L94" s="250"/>
      <c r="M94" s="249" t="e">
        <f t="shared" si="17"/>
        <v>#DIV/0!</v>
      </c>
      <c r="N94" s="249">
        <f t="shared" si="18"/>
        <v>0</v>
      </c>
      <c r="O94" s="329">
        <f>IF(K94="nio",0,IF(K94&gt;0,VLOOKUP(G94,'3-Productie normen'!A:L,VLOOKUP(K94,'3-Productie normen'!$B$36:$C$42,2,FALSE),FALSE)))/VLOOKUP(B94,'2-Kosten totaal'!$A$14:$C$16,3,FALSE)</f>
        <v>0</v>
      </c>
      <c r="P94" s="329">
        <f t="shared" si="19"/>
        <v>0</v>
      </c>
      <c r="Q94" s="330" t="str">
        <f>VLOOKUP(G94,'3-Productie normen'!A:O,15,FALSE)</f>
        <v>B</v>
      </c>
      <c r="R94" s="330"/>
      <c r="T94" s="331">
        <f t="shared" si="20"/>
        <v>4560</v>
      </c>
    </row>
    <row r="95" spans="1:20" ht="14.1" customHeight="1">
      <c r="A95" s="74">
        <v>95</v>
      </c>
      <c r="B95" s="286" t="s">
        <v>218</v>
      </c>
      <c r="C95" s="286" t="s">
        <v>232</v>
      </c>
      <c r="D95" s="325" t="s">
        <v>234</v>
      </c>
      <c r="E95" s="326">
        <v>87</v>
      </c>
      <c r="F95" s="478" t="s">
        <v>296</v>
      </c>
      <c r="G95" s="478" t="s">
        <v>38</v>
      </c>
      <c r="H95" s="478" t="s">
        <v>358</v>
      </c>
      <c r="I95" s="479">
        <v>4</v>
      </c>
      <c r="J95" s="480">
        <f t="shared" si="16"/>
        <v>400</v>
      </c>
      <c r="K95" s="481">
        <v>200</v>
      </c>
      <c r="L95" s="250">
        <v>200</v>
      </c>
      <c r="M95" s="249" t="e">
        <f t="shared" si="17"/>
        <v>#DIV/0!</v>
      </c>
      <c r="N95" s="249" t="e">
        <f t="shared" si="18"/>
        <v>#DIV/0!</v>
      </c>
      <c r="O95" s="329">
        <f>IF(K95="nio",0,IF(K95&gt;0,VLOOKUP(G95,'3-Productie normen'!A:L,VLOOKUP(K95,'3-Productie normen'!$B$36:$C$42,2,FALSE),FALSE)))/VLOOKUP(B95,'2-Kosten totaal'!$A$14:$C$16,3,FALSE)</f>
        <v>0</v>
      </c>
      <c r="P95" s="329">
        <f t="shared" si="19"/>
        <v>0</v>
      </c>
      <c r="Q95" s="330" t="str">
        <f>VLOOKUP(G95,'3-Productie normen'!A:O,15,FALSE)</f>
        <v>S</v>
      </c>
      <c r="R95" s="330"/>
      <c r="T95" s="331">
        <f t="shared" si="20"/>
        <v>1600</v>
      </c>
    </row>
    <row r="96" spans="1:20" ht="14.1" customHeight="1">
      <c r="A96" s="74">
        <v>96</v>
      </c>
      <c r="B96" s="286" t="s">
        <v>218</v>
      </c>
      <c r="C96" s="286" t="s">
        <v>232</v>
      </c>
      <c r="D96" s="325" t="s">
        <v>234</v>
      </c>
      <c r="E96" s="326">
        <v>88</v>
      </c>
      <c r="F96" s="478" t="s">
        <v>297</v>
      </c>
      <c r="G96" s="478" t="s">
        <v>38</v>
      </c>
      <c r="H96" s="478" t="s">
        <v>358</v>
      </c>
      <c r="I96" s="479">
        <v>4</v>
      </c>
      <c r="J96" s="480">
        <f t="shared" si="16"/>
        <v>400</v>
      </c>
      <c r="K96" s="481">
        <v>200</v>
      </c>
      <c r="L96" s="250">
        <v>200</v>
      </c>
      <c r="M96" s="249" t="e">
        <f t="shared" si="17"/>
        <v>#DIV/0!</v>
      </c>
      <c r="N96" s="249" t="e">
        <f t="shared" si="18"/>
        <v>#DIV/0!</v>
      </c>
      <c r="O96" s="329">
        <f>IF(K96="nio",0,IF(K96&gt;0,VLOOKUP(G96,'3-Productie normen'!A:L,VLOOKUP(K96,'3-Productie normen'!$B$36:$C$42,2,FALSE),FALSE)))/VLOOKUP(B96,'2-Kosten totaal'!$A$14:$C$16,3,FALSE)</f>
        <v>0</v>
      </c>
      <c r="P96" s="329">
        <f t="shared" si="19"/>
        <v>0</v>
      </c>
      <c r="Q96" s="330" t="str">
        <f>VLOOKUP(G96,'3-Productie normen'!A:O,15,FALSE)</f>
        <v>S</v>
      </c>
      <c r="R96" s="330"/>
      <c r="T96" s="331">
        <f t="shared" si="20"/>
        <v>1600</v>
      </c>
    </row>
    <row r="97" spans="1:20" ht="14.1" customHeight="1">
      <c r="A97" s="74">
        <v>97</v>
      </c>
      <c r="B97" s="477" t="s">
        <v>218</v>
      </c>
      <c r="C97" s="477" t="s">
        <v>232</v>
      </c>
      <c r="D97" s="488" t="s">
        <v>234</v>
      </c>
      <c r="E97" s="489">
        <v>80</v>
      </c>
      <c r="F97" s="478" t="s">
        <v>389</v>
      </c>
      <c r="G97" s="478" t="s">
        <v>36</v>
      </c>
      <c r="H97" s="478" t="s">
        <v>360</v>
      </c>
      <c r="I97" s="479">
        <v>44</v>
      </c>
      <c r="J97" s="480">
        <f t="shared" si="16"/>
        <v>120</v>
      </c>
      <c r="K97" s="250">
        <v>120</v>
      </c>
      <c r="L97" s="250"/>
      <c r="M97" s="249" t="e">
        <f t="shared" si="17"/>
        <v>#DIV/0!</v>
      </c>
      <c r="N97" s="249">
        <f t="shared" si="18"/>
        <v>0</v>
      </c>
      <c r="O97" s="329">
        <f>IF(K97="nio",0,IF(K97&gt;0,VLOOKUP(G97,'3-Productie normen'!A:L,VLOOKUP(K97,'3-Productie normen'!$B$36:$C$42,2,FALSE),FALSE)))/VLOOKUP(B97,'2-Kosten totaal'!$A$14:$C$16,3,FALSE)</f>
        <v>0</v>
      </c>
      <c r="P97" s="329">
        <f t="shared" si="19"/>
        <v>0</v>
      </c>
      <c r="Q97" s="330" t="str">
        <f>VLOOKUP(G97,'3-Productie normen'!A:O,15,FALSE)</f>
        <v>B</v>
      </c>
      <c r="R97" s="330"/>
      <c r="T97" s="331">
        <f t="shared" si="20"/>
        <v>5280</v>
      </c>
    </row>
    <row r="98" spans="1:20" ht="14.1" customHeight="1">
      <c r="A98" s="74">
        <v>98</v>
      </c>
      <c r="B98" s="286" t="s">
        <v>218</v>
      </c>
      <c r="C98" s="286" t="s">
        <v>232</v>
      </c>
      <c r="D98" s="325" t="s">
        <v>234</v>
      </c>
      <c r="E98" s="326"/>
      <c r="F98" s="478" t="s">
        <v>298</v>
      </c>
      <c r="G98" s="478" t="s">
        <v>229</v>
      </c>
      <c r="H98" s="478" t="s">
        <v>362</v>
      </c>
      <c r="I98" s="479">
        <v>6</v>
      </c>
      <c r="J98" s="480">
        <f t="shared" si="16"/>
        <v>40</v>
      </c>
      <c r="K98" s="481">
        <v>40</v>
      </c>
      <c r="L98" s="250"/>
      <c r="M98" s="249" t="e">
        <f t="shared" si="17"/>
        <v>#DIV/0!</v>
      </c>
      <c r="N98" s="249">
        <f t="shared" si="18"/>
        <v>0</v>
      </c>
      <c r="O98" s="329">
        <f>IF(K98="nio",0,IF(K98&gt;0,VLOOKUP(G98,'3-Productie normen'!A:L,VLOOKUP(K98,'3-Productie normen'!$B$36:$C$42,2,FALSE),FALSE)))/VLOOKUP(B98,'2-Kosten totaal'!$A$14:$C$16,3,FALSE)</f>
        <v>0</v>
      </c>
      <c r="P98" s="329">
        <f t="shared" si="19"/>
        <v>0</v>
      </c>
      <c r="Q98" s="330" t="str">
        <f>VLOOKUP(G98,'3-Productie normen'!A:O,15,FALSE)</f>
        <v>V</v>
      </c>
      <c r="R98" s="330"/>
      <c r="T98" s="331">
        <f t="shared" si="20"/>
        <v>240</v>
      </c>
    </row>
    <row r="99" spans="1:20" ht="14.1" customHeight="1">
      <c r="A99" s="74">
        <v>99</v>
      </c>
      <c r="B99" s="286" t="s">
        <v>218</v>
      </c>
      <c r="C99" s="286" t="s">
        <v>232</v>
      </c>
      <c r="D99" s="325" t="s">
        <v>234</v>
      </c>
      <c r="E99" s="326"/>
      <c r="F99" s="478" t="s">
        <v>299</v>
      </c>
      <c r="G99" s="70" t="s">
        <v>40</v>
      </c>
      <c r="H99" s="70" t="s">
        <v>359</v>
      </c>
      <c r="I99" s="327">
        <v>133</v>
      </c>
      <c r="J99" s="328">
        <f t="shared" si="16"/>
        <v>200</v>
      </c>
      <c r="K99" s="250">
        <v>200</v>
      </c>
      <c r="L99" s="250"/>
      <c r="M99" s="249" t="e">
        <f t="shared" si="17"/>
        <v>#DIV/0!</v>
      </c>
      <c r="N99" s="249">
        <f t="shared" si="18"/>
        <v>0</v>
      </c>
      <c r="O99" s="329">
        <f>IF(K99="nio",0,IF(K99&gt;0,VLOOKUP(G99,'3-Productie normen'!A:L,VLOOKUP(K99,'3-Productie normen'!$B$36:$C$42,2,FALSE),FALSE)))/VLOOKUP(B99,'2-Kosten totaal'!$A$14:$C$16,3,FALSE)</f>
        <v>0</v>
      </c>
      <c r="P99" s="329">
        <f t="shared" si="19"/>
        <v>0</v>
      </c>
      <c r="Q99" s="330" t="str">
        <f>VLOOKUP(G99,'3-Productie normen'!A:O,15,FALSE)</f>
        <v>V</v>
      </c>
      <c r="R99" s="330"/>
      <c r="T99" s="331">
        <f t="shared" si="20"/>
        <v>26600</v>
      </c>
    </row>
    <row r="100" spans="1:20" ht="14.1" customHeight="1">
      <c r="A100" s="74">
        <v>100</v>
      </c>
      <c r="B100" s="286" t="s">
        <v>218</v>
      </c>
      <c r="C100" s="286" t="s">
        <v>232</v>
      </c>
      <c r="D100" s="325" t="s">
        <v>234</v>
      </c>
      <c r="E100" s="326"/>
      <c r="F100" s="478" t="s">
        <v>300</v>
      </c>
      <c r="G100" s="70" t="s">
        <v>45</v>
      </c>
      <c r="H100" s="70" t="s">
        <v>359</v>
      </c>
      <c r="I100" s="327">
        <v>2</v>
      </c>
      <c r="J100" s="328">
        <f t="shared" si="16"/>
        <v>200</v>
      </c>
      <c r="K100" s="250">
        <v>200</v>
      </c>
      <c r="L100" s="250"/>
      <c r="M100" s="249" t="e">
        <f t="shared" si="17"/>
        <v>#DIV/0!</v>
      </c>
      <c r="N100" s="249">
        <f t="shared" si="18"/>
        <v>0</v>
      </c>
      <c r="O100" s="329">
        <f>IF(K100="nio",0,IF(K100&gt;0,VLOOKUP(G100,'3-Productie normen'!A:L,VLOOKUP(K100,'3-Productie normen'!$B$36:$C$42,2,FALSE),FALSE)))/VLOOKUP(B100,'2-Kosten totaal'!$A$14:$C$16,3,FALSE)</f>
        <v>0</v>
      </c>
      <c r="P100" s="329">
        <f t="shared" si="19"/>
        <v>0</v>
      </c>
      <c r="Q100" s="330" t="str">
        <f>VLOOKUP(G100,'3-Productie normen'!A:O,15,FALSE)</f>
        <v>V</v>
      </c>
      <c r="R100" s="330"/>
      <c r="T100" s="331">
        <f t="shared" si="20"/>
        <v>400</v>
      </c>
    </row>
    <row r="101" spans="1:20" ht="14.1" customHeight="1">
      <c r="A101" s="74">
        <v>101</v>
      </c>
      <c r="B101" s="286" t="s">
        <v>218</v>
      </c>
      <c r="C101" s="286" t="s">
        <v>232</v>
      </c>
      <c r="D101" s="325" t="s">
        <v>234</v>
      </c>
      <c r="E101" s="326">
        <v>81</v>
      </c>
      <c r="F101" s="478" t="s">
        <v>410</v>
      </c>
      <c r="G101" s="478" t="s">
        <v>36</v>
      </c>
      <c r="H101" s="478" t="s">
        <v>360</v>
      </c>
      <c r="I101" s="479">
        <v>34</v>
      </c>
      <c r="J101" s="480">
        <f t="shared" si="16"/>
        <v>120</v>
      </c>
      <c r="K101" s="250">
        <v>120</v>
      </c>
      <c r="L101" s="250"/>
      <c r="M101" s="249" t="e">
        <f t="shared" si="17"/>
        <v>#DIV/0!</v>
      </c>
      <c r="N101" s="249">
        <f t="shared" si="18"/>
        <v>0</v>
      </c>
      <c r="O101" s="329">
        <f>IF(K101="nio",0,IF(K101&gt;0,VLOOKUP(G101,'3-Productie normen'!A:L,VLOOKUP(K101,'3-Productie normen'!$B$36:$C$42,2,FALSE),FALSE)))/VLOOKUP(B101,'2-Kosten totaal'!$A$14:$C$16,3,FALSE)</f>
        <v>0</v>
      </c>
      <c r="P101" s="329">
        <f t="shared" si="19"/>
        <v>0</v>
      </c>
      <c r="Q101" s="330" t="str">
        <f>VLOOKUP(G101,'3-Productie normen'!A:O,15,FALSE)</f>
        <v>B</v>
      </c>
      <c r="R101" s="330"/>
      <c r="T101" s="331">
        <f t="shared" si="20"/>
        <v>4080</v>
      </c>
    </row>
    <row r="102" spans="1:20" ht="14.1" customHeight="1">
      <c r="A102" s="74">
        <v>102</v>
      </c>
      <c r="B102" s="286" t="s">
        <v>218</v>
      </c>
      <c r="C102" s="286" t="s">
        <v>232</v>
      </c>
      <c r="D102" s="325" t="s">
        <v>234</v>
      </c>
      <c r="E102" s="326">
        <v>82</v>
      </c>
      <c r="F102" s="478" t="s">
        <v>302</v>
      </c>
      <c r="G102" s="70" t="s">
        <v>367</v>
      </c>
      <c r="H102" s="70" t="s">
        <v>359</v>
      </c>
      <c r="I102" s="327">
        <v>32</v>
      </c>
      <c r="J102" s="328">
        <f t="shared" si="16"/>
        <v>120</v>
      </c>
      <c r="K102" s="250">
        <v>120</v>
      </c>
      <c r="L102" s="250"/>
      <c r="M102" s="249" t="e">
        <f t="shared" si="17"/>
        <v>#DIV/0!</v>
      </c>
      <c r="N102" s="249">
        <f t="shared" si="18"/>
        <v>0</v>
      </c>
      <c r="O102" s="329">
        <f>IF(K102="nio",0,IF(K102&gt;0,VLOOKUP(G102,'3-Productie normen'!A:L,VLOOKUP(K102,'3-Productie normen'!$B$36:$C$42,2,FALSE),FALSE)))/VLOOKUP(B102,'2-Kosten totaal'!$A$14:$C$16,3,FALSE)</f>
        <v>0</v>
      </c>
      <c r="P102" s="329">
        <f t="shared" si="19"/>
        <v>0</v>
      </c>
      <c r="Q102" s="330" t="str">
        <f>VLOOKUP(G102,'3-Productie normen'!A:O,15,FALSE)</f>
        <v>V</v>
      </c>
      <c r="R102" s="330"/>
      <c r="T102" s="331">
        <f t="shared" si="20"/>
        <v>3840</v>
      </c>
    </row>
    <row r="103" spans="1:20" ht="14.1" customHeight="1">
      <c r="A103" s="74">
        <v>103</v>
      </c>
      <c r="B103" s="286" t="s">
        <v>218</v>
      </c>
      <c r="C103" s="286" t="s">
        <v>232</v>
      </c>
      <c r="D103" s="325" t="s">
        <v>234</v>
      </c>
      <c r="E103" s="326">
        <v>90</v>
      </c>
      <c r="F103" s="478" t="s">
        <v>303</v>
      </c>
      <c r="G103" s="70" t="s">
        <v>44</v>
      </c>
      <c r="H103" s="70" t="s">
        <v>357</v>
      </c>
      <c r="I103" s="327">
        <v>18</v>
      </c>
      <c r="J103" s="328">
        <f t="shared" si="16"/>
        <v>200</v>
      </c>
      <c r="K103" s="250">
        <v>200</v>
      </c>
      <c r="L103" s="250"/>
      <c r="M103" s="249" t="e">
        <f t="shared" si="17"/>
        <v>#DIV/0!</v>
      </c>
      <c r="N103" s="249">
        <f t="shared" si="18"/>
        <v>0</v>
      </c>
      <c r="O103" s="329">
        <f>IF(K103="nio",0,IF(K103&gt;0,VLOOKUP(G103,'3-Productie normen'!A:L,VLOOKUP(K103,'3-Productie normen'!$B$36:$C$42,2,FALSE),FALSE)))/VLOOKUP(B103,'2-Kosten totaal'!$A$14:$C$16,3,FALSE)</f>
        <v>0</v>
      </c>
      <c r="P103" s="329">
        <f t="shared" si="19"/>
        <v>0</v>
      </c>
      <c r="Q103" s="330" t="str">
        <f>VLOOKUP(G103,'3-Productie normen'!A:O,15,FALSE)</f>
        <v>V</v>
      </c>
      <c r="R103" s="330"/>
      <c r="T103" s="331">
        <f t="shared" si="20"/>
        <v>3600</v>
      </c>
    </row>
    <row r="104" spans="1:20" ht="14.1" customHeight="1">
      <c r="A104" s="74">
        <v>104</v>
      </c>
      <c r="B104" s="286" t="s">
        <v>218</v>
      </c>
      <c r="C104" s="286" t="s">
        <v>232</v>
      </c>
      <c r="D104" s="325" t="s">
        <v>234</v>
      </c>
      <c r="E104" s="326">
        <v>91</v>
      </c>
      <c r="F104" s="70" t="s">
        <v>304</v>
      </c>
      <c r="G104" s="70" t="s">
        <v>36</v>
      </c>
      <c r="H104" s="70" t="s">
        <v>359</v>
      </c>
      <c r="I104" s="327">
        <v>19</v>
      </c>
      <c r="J104" s="328">
        <f t="shared" si="16"/>
        <v>120</v>
      </c>
      <c r="K104" s="250">
        <v>120</v>
      </c>
      <c r="L104" s="250"/>
      <c r="M104" s="249" t="e">
        <f t="shared" si="17"/>
        <v>#DIV/0!</v>
      </c>
      <c r="N104" s="249">
        <f t="shared" si="18"/>
        <v>0</v>
      </c>
      <c r="O104" s="329">
        <f>IF(K104="nio",0,IF(K104&gt;0,VLOOKUP(G104,'3-Productie normen'!A:L,VLOOKUP(K104,'3-Productie normen'!$B$36:$C$42,2,FALSE),FALSE)))/VLOOKUP(B104,'2-Kosten totaal'!$A$14:$C$16,3,FALSE)</f>
        <v>0</v>
      </c>
      <c r="P104" s="329">
        <f t="shared" si="19"/>
        <v>0</v>
      </c>
      <c r="Q104" s="330" t="str">
        <f>VLOOKUP(G104,'3-Productie normen'!A:O,15,FALSE)</f>
        <v>B</v>
      </c>
      <c r="R104" s="330"/>
      <c r="T104" s="331">
        <f t="shared" si="20"/>
        <v>2280</v>
      </c>
    </row>
    <row r="105" spans="1:20" ht="14.1" customHeight="1">
      <c r="A105" s="74">
        <v>105</v>
      </c>
      <c r="B105" s="286" t="s">
        <v>218</v>
      </c>
      <c r="C105" s="286" t="s">
        <v>232</v>
      </c>
      <c r="D105" s="325" t="s">
        <v>234</v>
      </c>
      <c r="E105" s="326">
        <v>92</v>
      </c>
      <c r="F105" s="70" t="s">
        <v>305</v>
      </c>
      <c r="G105" s="70" t="s">
        <v>40</v>
      </c>
      <c r="H105" s="70" t="s">
        <v>359</v>
      </c>
      <c r="I105" s="327">
        <v>23</v>
      </c>
      <c r="J105" s="328">
        <f t="shared" si="16"/>
        <v>200</v>
      </c>
      <c r="K105" s="250">
        <v>200</v>
      </c>
      <c r="L105" s="250"/>
      <c r="M105" s="249" t="e">
        <f t="shared" si="17"/>
        <v>#DIV/0!</v>
      </c>
      <c r="N105" s="249">
        <f t="shared" si="18"/>
        <v>0</v>
      </c>
      <c r="O105" s="329">
        <f>IF(K105="nio",0,IF(K105&gt;0,VLOOKUP(G105,'3-Productie normen'!A:L,VLOOKUP(K105,'3-Productie normen'!$B$36:$C$42,2,FALSE),FALSE)))/VLOOKUP(B105,'2-Kosten totaal'!$A$14:$C$16,3,FALSE)</f>
        <v>0</v>
      </c>
      <c r="P105" s="329">
        <f t="shared" si="19"/>
        <v>0</v>
      </c>
      <c r="Q105" s="330" t="str">
        <f>VLOOKUP(G105,'3-Productie normen'!A:O,15,FALSE)</f>
        <v>V</v>
      </c>
      <c r="R105" s="330"/>
      <c r="T105" s="331">
        <f t="shared" si="20"/>
        <v>4600</v>
      </c>
    </row>
    <row r="106" spans="1:20" ht="14.1" customHeight="1">
      <c r="A106" s="74">
        <v>106</v>
      </c>
      <c r="B106" s="286" t="s">
        <v>218</v>
      </c>
      <c r="C106" s="286" t="s">
        <v>232</v>
      </c>
      <c r="D106" s="325" t="s">
        <v>234</v>
      </c>
      <c r="E106" s="326" t="s">
        <v>306</v>
      </c>
      <c r="F106" s="70" t="s">
        <v>243</v>
      </c>
      <c r="G106" s="70" t="s">
        <v>40</v>
      </c>
      <c r="H106" s="70" t="s">
        <v>359</v>
      </c>
      <c r="I106" s="327">
        <v>262</v>
      </c>
      <c r="J106" s="328">
        <f t="shared" ref="J106:J145" si="21">SUM(K106:L106)</f>
        <v>200</v>
      </c>
      <c r="K106" s="250">
        <v>200</v>
      </c>
      <c r="L106" s="250"/>
      <c r="M106" s="249" t="e">
        <f t="shared" ref="M106:M145" si="22">IF(K106="nio",0,IF(K106&gt;0,K106*I106/O106,0))</f>
        <v>#DIV/0!</v>
      </c>
      <c r="N106" s="249">
        <f t="shared" ref="N106:N145" si="23">IF(L106&gt;0,L106*I106/P106,0)</f>
        <v>0</v>
      </c>
      <c r="O106" s="329">
        <f>IF(K106="nio",0,IF(K106&gt;0,VLOOKUP(G106,'3-Productie normen'!A:L,VLOOKUP(K106,'3-Productie normen'!$B$36:$C$42,2,FALSE),FALSE)))/VLOOKUP(B106,'2-Kosten totaal'!$A$14:$C$16,3,FALSE)</f>
        <v>0</v>
      </c>
      <c r="P106" s="329">
        <f t="shared" ref="P106:P145" si="24">IF(L106&gt;0,O106*$P$8,0)</f>
        <v>0</v>
      </c>
      <c r="Q106" s="330" t="str">
        <f>VLOOKUP(G106,'3-Productie normen'!A:O,15,FALSE)</f>
        <v>V</v>
      </c>
      <c r="R106" s="330"/>
      <c r="T106" s="331">
        <f t="shared" ref="T106:T145" si="25">J106*I106</f>
        <v>52400</v>
      </c>
    </row>
    <row r="107" spans="1:20" ht="14.1" customHeight="1">
      <c r="A107" s="74">
        <v>107</v>
      </c>
      <c r="B107" s="286" t="s">
        <v>218</v>
      </c>
      <c r="C107" s="286" t="s">
        <v>232</v>
      </c>
      <c r="D107" s="325" t="s">
        <v>234</v>
      </c>
      <c r="E107" s="326" t="s">
        <v>307</v>
      </c>
      <c r="F107" s="70" t="s">
        <v>308</v>
      </c>
      <c r="G107" s="70" t="s">
        <v>223</v>
      </c>
      <c r="H107" s="70" t="s">
        <v>359</v>
      </c>
      <c r="I107" s="327">
        <v>320</v>
      </c>
      <c r="J107" s="328">
        <f t="shared" si="21"/>
        <v>200</v>
      </c>
      <c r="K107" s="250">
        <v>200</v>
      </c>
      <c r="L107" s="250"/>
      <c r="M107" s="249" t="e">
        <f t="shared" si="22"/>
        <v>#DIV/0!</v>
      </c>
      <c r="N107" s="249">
        <f t="shared" si="23"/>
        <v>0</v>
      </c>
      <c r="O107" s="329">
        <f>IF(K107="nio",0,IF(K107&gt;0,VLOOKUP(G107,'3-Productie normen'!A:L,VLOOKUP(K107,'3-Productie normen'!$B$36:$C$42,2,FALSE),FALSE)))/VLOOKUP(B107,'2-Kosten totaal'!$A$14:$C$16,3,FALSE)</f>
        <v>0</v>
      </c>
      <c r="P107" s="329">
        <f t="shared" si="24"/>
        <v>0</v>
      </c>
      <c r="Q107" s="330" t="str">
        <f>VLOOKUP(G107,'3-Productie normen'!A:O,15,FALSE)</f>
        <v>V</v>
      </c>
      <c r="R107" s="330"/>
      <c r="T107" s="331">
        <f t="shared" si="25"/>
        <v>64000</v>
      </c>
    </row>
    <row r="108" spans="1:20" ht="14.1" customHeight="1">
      <c r="A108" s="74">
        <v>108</v>
      </c>
      <c r="B108" s="286" t="s">
        <v>218</v>
      </c>
      <c r="C108" s="286" t="s">
        <v>232</v>
      </c>
      <c r="D108" s="325" t="s">
        <v>234</v>
      </c>
      <c r="E108" s="326" t="s">
        <v>309</v>
      </c>
      <c r="F108" s="70" t="s">
        <v>243</v>
      </c>
      <c r="G108" s="70" t="s">
        <v>40</v>
      </c>
      <c r="H108" s="70" t="s">
        <v>359</v>
      </c>
      <c r="I108" s="327">
        <v>76</v>
      </c>
      <c r="J108" s="328">
        <f t="shared" si="21"/>
        <v>200</v>
      </c>
      <c r="K108" s="250">
        <v>200</v>
      </c>
      <c r="L108" s="250"/>
      <c r="M108" s="249" t="e">
        <f t="shared" si="22"/>
        <v>#DIV/0!</v>
      </c>
      <c r="N108" s="249">
        <f t="shared" si="23"/>
        <v>0</v>
      </c>
      <c r="O108" s="329">
        <f>IF(K108="nio",0,IF(K108&gt;0,VLOOKUP(G108,'3-Productie normen'!A:L,VLOOKUP(K108,'3-Productie normen'!$B$36:$C$42,2,FALSE),FALSE)))/VLOOKUP(B108,'2-Kosten totaal'!$A$14:$C$16,3,FALSE)</f>
        <v>0</v>
      </c>
      <c r="P108" s="329">
        <f t="shared" si="24"/>
        <v>0</v>
      </c>
      <c r="Q108" s="330" t="str">
        <f>VLOOKUP(G108,'3-Productie normen'!A:O,15,FALSE)</f>
        <v>V</v>
      </c>
      <c r="R108" s="330"/>
      <c r="T108" s="331">
        <f t="shared" si="25"/>
        <v>15200</v>
      </c>
    </row>
    <row r="109" spans="1:20" ht="14.1" customHeight="1">
      <c r="A109" s="74">
        <v>109</v>
      </c>
      <c r="B109" s="286" t="s">
        <v>218</v>
      </c>
      <c r="C109" s="286" t="s">
        <v>232</v>
      </c>
      <c r="D109" s="325" t="s">
        <v>234</v>
      </c>
      <c r="E109" s="326">
        <v>100</v>
      </c>
      <c r="F109" s="70" t="s">
        <v>310</v>
      </c>
      <c r="G109" s="70" t="s">
        <v>36</v>
      </c>
      <c r="H109" s="70" t="s">
        <v>357</v>
      </c>
      <c r="I109" s="327">
        <v>15</v>
      </c>
      <c r="J109" s="328">
        <f t="shared" si="21"/>
        <v>120</v>
      </c>
      <c r="K109" s="250">
        <v>120</v>
      </c>
      <c r="L109" s="250"/>
      <c r="M109" s="249" t="e">
        <f t="shared" si="22"/>
        <v>#DIV/0!</v>
      </c>
      <c r="N109" s="249">
        <f t="shared" si="23"/>
        <v>0</v>
      </c>
      <c r="O109" s="329">
        <f>IF(K109="nio",0,IF(K109&gt;0,VLOOKUP(G109,'3-Productie normen'!A:L,VLOOKUP(K109,'3-Productie normen'!$B$36:$C$42,2,FALSE),FALSE)))/VLOOKUP(B109,'2-Kosten totaal'!$A$14:$C$16,3,FALSE)</f>
        <v>0</v>
      </c>
      <c r="P109" s="329">
        <f t="shared" si="24"/>
        <v>0</v>
      </c>
      <c r="Q109" s="330" t="str">
        <f>VLOOKUP(G109,'3-Productie normen'!A:O,15,FALSE)</f>
        <v>B</v>
      </c>
      <c r="R109" s="330"/>
      <c r="T109" s="331">
        <f t="shared" si="25"/>
        <v>1800</v>
      </c>
    </row>
    <row r="110" spans="1:20" ht="14.1" customHeight="1">
      <c r="A110" s="74">
        <v>110</v>
      </c>
      <c r="B110" s="286" t="s">
        <v>218</v>
      </c>
      <c r="C110" s="286" t="s">
        <v>232</v>
      </c>
      <c r="D110" s="325" t="s">
        <v>233</v>
      </c>
      <c r="E110" s="326" t="s">
        <v>311</v>
      </c>
      <c r="F110" s="478" t="s">
        <v>288</v>
      </c>
      <c r="G110" s="478" t="s">
        <v>229</v>
      </c>
      <c r="H110" s="478" t="s">
        <v>356</v>
      </c>
      <c r="I110" s="479">
        <v>4</v>
      </c>
      <c r="J110" s="480">
        <f t="shared" si="21"/>
        <v>40</v>
      </c>
      <c r="K110" s="481">
        <v>40</v>
      </c>
      <c r="L110" s="250"/>
      <c r="M110" s="249" t="e">
        <f t="shared" si="22"/>
        <v>#DIV/0!</v>
      </c>
      <c r="N110" s="249">
        <f t="shared" si="23"/>
        <v>0</v>
      </c>
      <c r="O110" s="329">
        <f>IF(K110="nio",0,IF(K110&gt;0,VLOOKUP(G110,'3-Productie normen'!A:L,VLOOKUP(K110,'3-Productie normen'!$B$36:$C$42,2,FALSE),FALSE)))/VLOOKUP(B110,'2-Kosten totaal'!$A$14:$C$16,3,FALSE)</f>
        <v>0</v>
      </c>
      <c r="P110" s="329">
        <f t="shared" si="24"/>
        <v>0</v>
      </c>
      <c r="Q110" s="330" t="str">
        <f>VLOOKUP(G110,'3-Productie normen'!A:O,15,FALSE)</f>
        <v>V</v>
      </c>
      <c r="R110" s="330"/>
      <c r="T110" s="331">
        <f t="shared" si="25"/>
        <v>160</v>
      </c>
    </row>
    <row r="111" spans="1:20" ht="14.1" customHeight="1">
      <c r="A111" s="74">
        <v>111</v>
      </c>
      <c r="B111" s="286" t="s">
        <v>218</v>
      </c>
      <c r="C111" s="286" t="s">
        <v>232</v>
      </c>
      <c r="D111" s="325" t="s">
        <v>233</v>
      </c>
      <c r="E111" s="326" t="s">
        <v>312</v>
      </c>
      <c r="F111" s="478" t="s">
        <v>313</v>
      </c>
      <c r="G111" s="478" t="s">
        <v>38</v>
      </c>
      <c r="H111" s="478" t="s">
        <v>358</v>
      </c>
      <c r="I111" s="479">
        <v>13</v>
      </c>
      <c r="J111" s="480">
        <f t="shared" si="21"/>
        <v>400</v>
      </c>
      <c r="K111" s="481">
        <v>200</v>
      </c>
      <c r="L111" s="250">
        <v>200</v>
      </c>
      <c r="M111" s="249" t="e">
        <f t="shared" si="22"/>
        <v>#DIV/0!</v>
      </c>
      <c r="N111" s="249" t="e">
        <f t="shared" si="23"/>
        <v>#DIV/0!</v>
      </c>
      <c r="O111" s="329">
        <f>IF(K111="nio",0,IF(K111&gt;0,VLOOKUP(G111,'3-Productie normen'!A:L,VLOOKUP(K111,'3-Productie normen'!$B$36:$C$42,2,FALSE),FALSE)))/VLOOKUP(B111,'2-Kosten totaal'!$A$14:$C$16,3,FALSE)</f>
        <v>0</v>
      </c>
      <c r="P111" s="329">
        <f t="shared" si="24"/>
        <v>0</v>
      </c>
      <c r="Q111" s="330" t="str">
        <f>VLOOKUP(G111,'3-Productie normen'!A:O,15,FALSE)</f>
        <v>S</v>
      </c>
      <c r="R111" s="330"/>
      <c r="T111" s="331">
        <f t="shared" si="25"/>
        <v>5200</v>
      </c>
    </row>
    <row r="112" spans="1:20" ht="14.1" customHeight="1">
      <c r="A112" s="74">
        <v>112</v>
      </c>
      <c r="B112" s="286" t="s">
        <v>218</v>
      </c>
      <c r="C112" s="286" t="s">
        <v>232</v>
      </c>
      <c r="D112" s="325" t="s">
        <v>233</v>
      </c>
      <c r="E112" s="326">
        <v>103</v>
      </c>
      <c r="F112" s="70" t="s">
        <v>237</v>
      </c>
      <c r="G112" s="70" t="s">
        <v>224</v>
      </c>
      <c r="H112" s="70" t="s">
        <v>360</v>
      </c>
      <c r="I112" s="327">
        <v>81</v>
      </c>
      <c r="J112" s="328">
        <f t="shared" si="21"/>
        <v>200</v>
      </c>
      <c r="K112" s="250">
        <v>200</v>
      </c>
      <c r="L112" s="250"/>
      <c r="M112" s="249" t="e">
        <f t="shared" si="22"/>
        <v>#DIV/0!</v>
      </c>
      <c r="N112" s="249">
        <f t="shared" si="23"/>
        <v>0</v>
      </c>
      <c r="O112" s="329">
        <f>IF(K112="nio",0,IF(K112&gt;0,VLOOKUP(G112,'3-Productie normen'!A:L,VLOOKUP(K112,'3-Productie normen'!$B$36:$C$42,2,FALSE),FALSE)))/VLOOKUP(B112,'2-Kosten totaal'!$A$14:$C$16,3,FALSE)</f>
        <v>0</v>
      </c>
      <c r="P112" s="329">
        <f t="shared" si="24"/>
        <v>0</v>
      </c>
      <c r="Q112" s="330" t="str">
        <f>VLOOKUP(G112,'3-Productie normen'!A:O,15,FALSE)</f>
        <v>L</v>
      </c>
      <c r="R112" s="330"/>
      <c r="T112" s="331">
        <f t="shared" si="25"/>
        <v>16200</v>
      </c>
    </row>
    <row r="113" spans="1:20" ht="14.1" customHeight="1">
      <c r="A113" s="74">
        <v>113</v>
      </c>
      <c r="B113" s="286" t="s">
        <v>218</v>
      </c>
      <c r="C113" s="286" t="s">
        <v>232</v>
      </c>
      <c r="D113" s="325" t="s">
        <v>233</v>
      </c>
      <c r="E113" s="326">
        <v>104</v>
      </c>
      <c r="F113" s="70" t="s">
        <v>237</v>
      </c>
      <c r="G113" s="70" t="s">
        <v>224</v>
      </c>
      <c r="H113" s="70" t="s">
        <v>360</v>
      </c>
      <c r="I113" s="327">
        <v>71</v>
      </c>
      <c r="J113" s="328">
        <f t="shared" si="21"/>
        <v>200</v>
      </c>
      <c r="K113" s="250">
        <v>200</v>
      </c>
      <c r="L113" s="250"/>
      <c r="M113" s="249" t="e">
        <f t="shared" si="22"/>
        <v>#DIV/0!</v>
      </c>
      <c r="N113" s="249">
        <f t="shared" si="23"/>
        <v>0</v>
      </c>
      <c r="O113" s="329">
        <f>IF(K113="nio",0,IF(K113&gt;0,VLOOKUP(G113,'3-Productie normen'!A:L,VLOOKUP(K113,'3-Productie normen'!$B$36:$C$42,2,FALSE),FALSE)))/VLOOKUP(B113,'2-Kosten totaal'!$A$14:$C$16,3,FALSE)</f>
        <v>0</v>
      </c>
      <c r="P113" s="329">
        <f t="shared" si="24"/>
        <v>0</v>
      </c>
      <c r="Q113" s="330" t="str">
        <f>VLOOKUP(G113,'3-Productie normen'!A:O,15,FALSE)</f>
        <v>L</v>
      </c>
      <c r="R113" s="330"/>
      <c r="T113" s="331">
        <f t="shared" si="25"/>
        <v>14200</v>
      </c>
    </row>
    <row r="114" spans="1:20" ht="14.1" customHeight="1">
      <c r="A114" s="74">
        <v>114</v>
      </c>
      <c r="B114" s="286" t="s">
        <v>218</v>
      </c>
      <c r="C114" s="286" t="s">
        <v>232</v>
      </c>
      <c r="D114" s="325" t="s">
        <v>233</v>
      </c>
      <c r="E114" s="326">
        <v>105</v>
      </c>
      <c r="F114" s="70" t="s">
        <v>237</v>
      </c>
      <c r="G114" s="70" t="s">
        <v>224</v>
      </c>
      <c r="H114" s="70" t="s">
        <v>360</v>
      </c>
      <c r="I114" s="327">
        <v>85</v>
      </c>
      <c r="J114" s="328">
        <f t="shared" si="21"/>
        <v>200</v>
      </c>
      <c r="K114" s="250">
        <v>200</v>
      </c>
      <c r="L114" s="250"/>
      <c r="M114" s="249" t="e">
        <f t="shared" si="22"/>
        <v>#DIV/0!</v>
      </c>
      <c r="N114" s="249">
        <f t="shared" si="23"/>
        <v>0</v>
      </c>
      <c r="O114" s="329">
        <f>IF(K114="nio",0,IF(K114&gt;0,VLOOKUP(G114,'3-Productie normen'!A:L,VLOOKUP(K114,'3-Productie normen'!$B$36:$C$42,2,FALSE),FALSE)))/VLOOKUP(B114,'2-Kosten totaal'!$A$14:$C$16,3,FALSE)</f>
        <v>0</v>
      </c>
      <c r="P114" s="329">
        <f t="shared" si="24"/>
        <v>0</v>
      </c>
      <c r="Q114" s="330" t="str">
        <f>VLOOKUP(G114,'3-Productie normen'!A:O,15,FALSE)</f>
        <v>L</v>
      </c>
      <c r="R114" s="330"/>
      <c r="T114" s="331">
        <f t="shared" si="25"/>
        <v>17000</v>
      </c>
    </row>
    <row r="115" spans="1:20" ht="14.1" customHeight="1">
      <c r="A115" s="74">
        <v>115</v>
      </c>
      <c r="B115" s="286" t="s">
        <v>218</v>
      </c>
      <c r="C115" s="286" t="s">
        <v>232</v>
      </c>
      <c r="D115" s="325" t="s">
        <v>233</v>
      </c>
      <c r="E115" s="326">
        <v>106</v>
      </c>
      <c r="F115" s="70" t="s">
        <v>237</v>
      </c>
      <c r="G115" s="70" t="s">
        <v>224</v>
      </c>
      <c r="H115" s="70" t="s">
        <v>360</v>
      </c>
      <c r="I115" s="327">
        <v>76</v>
      </c>
      <c r="J115" s="328">
        <f t="shared" si="21"/>
        <v>200</v>
      </c>
      <c r="K115" s="250">
        <v>200</v>
      </c>
      <c r="L115" s="250"/>
      <c r="M115" s="249" t="e">
        <f t="shared" si="22"/>
        <v>#DIV/0!</v>
      </c>
      <c r="N115" s="249">
        <f t="shared" si="23"/>
        <v>0</v>
      </c>
      <c r="O115" s="329">
        <f>IF(K115="nio",0,IF(K115&gt;0,VLOOKUP(G115,'3-Productie normen'!A:L,VLOOKUP(K115,'3-Productie normen'!$B$36:$C$42,2,FALSE),FALSE)))/VLOOKUP(B115,'2-Kosten totaal'!$A$14:$C$16,3,FALSE)</f>
        <v>0</v>
      </c>
      <c r="P115" s="329">
        <f t="shared" si="24"/>
        <v>0</v>
      </c>
      <c r="Q115" s="330" t="str">
        <f>VLOOKUP(G115,'3-Productie normen'!A:O,15,FALSE)</f>
        <v>L</v>
      </c>
      <c r="R115" s="330"/>
      <c r="T115" s="331">
        <f t="shared" si="25"/>
        <v>15200</v>
      </c>
    </row>
    <row r="116" spans="1:20" ht="14.1" customHeight="1">
      <c r="A116" s="74">
        <v>116</v>
      </c>
      <c r="B116" s="286" t="s">
        <v>218</v>
      </c>
      <c r="C116" s="286" t="s">
        <v>232</v>
      </c>
      <c r="D116" s="325" t="s">
        <v>233</v>
      </c>
      <c r="E116" s="326">
        <v>108</v>
      </c>
      <c r="F116" s="70" t="s">
        <v>237</v>
      </c>
      <c r="G116" s="70" t="s">
        <v>224</v>
      </c>
      <c r="H116" s="70" t="s">
        <v>359</v>
      </c>
      <c r="I116" s="327">
        <v>42</v>
      </c>
      <c r="J116" s="328">
        <f t="shared" si="21"/>
        <v>200</v>
      </c>
      <c r="K116" s="250">
        <v>200</v>
      </c>
      <c r="L116" s="250"/>
      <c r="M116" s="249" t="e">
        <f t="shared" si="22"/>
        <v>#DIV/0!</v>
      </c>
      <c r="N116" s="249">
        <f t="shared" si="23"/>
        <v>0</v>
      </c>
      <c r="O116" s="329">
        <f>IF(K116="nio",0,IF(K116&gt;0,VLOOKUP(G116,'3-Productie normen'!A:L,VLOOKUP(K116,'3-Productie normen'!$B$36:$C$42,2,FALSE),FALSE)))/VLOOKUP(B116,'2-Kosten totaal'!$A$14:$C$16,3,FALSE)</f>
        <v>0</v>
      </c>
      <c r="P116" s="329">
        <f t="shared" si="24"/>
        <v>0</v>
      </c>
      <c r="Q116" s="330" t="str">
        <f>VLOOKUP(G116,'3-Productie normen'!A:O,15,FALSE)</f>
        <v>L</v>
      </c>
      <c r="R116" s="330"/>
      <c r="T116" s="331">
        <f t="shared" si="25"/>
        <v>8400</v>
      </c>
    </row>
    <row r="117" spans="1:20" ht="14.1" customHeight="1">
      <c r="A117" s="74">
        <v>117</v>
      </c>
      <c r="B117" s="286" t="s">
        <v>218</v>
      </c>
      <c r="C117" s="286" t="s">
        <v>232</v>
      </c>
      <c r="D117" s="325" t="s">
        <v>233</v>
      </c>
      <c r="E117" s="326">
        <v>109</v>
      </c>
      <c r="F117" s="70" t="s">
        <v>237</v>
      </c>
      <c r="G117" s="70" t="s">
        <v>224</v>
      </c>
      <c r="H117" s="70" t="s">
        <v>359</v>
      </c>
      <c r="I117" s="327">
        <v>50</v>
      </c>
      <c r="J117" s="328">
        <f t="shared" si="21"/>
        <v>200</v>
      </c>
      <c r="K117" s="250">
        <v>200</v>
      </c>
      <c r="L117" s="250"/>
      <c r="M117" s="249" t="e">
        <f t="shared" si="22"/>
        <v>#DIV/0!</v>
      </c>
      <c r="N117" s="249">
        <f t="shared" si="23"/>
        <v>0</v>
      </c>
      <c r="O117" s="329">
        <f>IF(K117="nio",0,IF(K117&gt;0,VLOOKUP(G117,'3-Productie normen'!A:L,VLOOKUP(K117,'3-Productie normen'!$B$36:$C$42,2,FALSE),FALSE)))/VLOOKUP(B117,'2-Kosten totaal'!$A$14:$C$16,3,FALSE)</f>
        <v>0</v>
      </c>
      <c r="P117" s="329">
        <f t="shared" si="24"/>
        <v>0</v>
      </c>
      <c r="Q117" s="330" t="str">
        <f>VLOOKUP(G117,'3-Productie normen'!A:O,15,FALSE)</f>
        <v>L</v>
      </c>
      <c r="R117" s="330"/>
      <c r="T117" s="331">
        <f t="shared" si="25"/>
        <v>10000</v>
      </c>
    </row>
    <row r="118" spans="1:20" ht="14.1" customHeight="1">
      <c r="A118" s="74">
        <v>118</v>
      </c>
      <c r="B118" s="286" t="s">
        <v>218</v>
      </c>
      <c r="C118" s="286" t="s">
        <v>232</v>
      </c>
      <c r="D118" s="325" t="s">
        <v>233</v>
      </c>
      <c r="E118" s="326">
        <v>110</v>
      </c>
      <c r="F118" s="70" t="s">
        <v>399</v>
      </c>
      <c r="G118" s="70" t="s">
        <v>36</v>
      </c>
      <c r="H118" s="70" t="s">
        <v>359</v>
      </c>
      <c r="I118" s="334">
        <v>25</v>
      </c>
      <c r="J118" s="328">
        <f t="shared" si="21"/>
        <v>120</v>
      </c>
      <c r="K118" s="250">
        <v>120</v>
      </c>
      <c r="L118" s="250"/>
      <c r="M118" s="249" t="e">
        <f t="shared" si="22"/>
        <v>#DIV/0!</v>
      </c>
      <c r="N118" s="249">
        <f t="shared" si="23"/>
        <v>0</v>
      </c>
      <c r="O118" s="329">
        <f>IF(K118="nio",0,IF(K118&gt;0,VLOOKUP(G118,'3-Productie normen'!A:L,VLOOKUP(K118,'3-Productie normen'!$B$36:$C$42,2,FALSE),FALSE)))/VLOOKUP(B118,'2-Kosten totaal'!$A$14:$C$16,3,FALSE)</f>
        <v>0</v>
      </c>
      <c r="P118" s="329">
        <f t="shared" si="24"/>
        <v>0</v>
      </c>
      <c r="Q118" s="330" t="str">
        <f>VLOOKUP(G118,'3-Productie normen'!A:O,15,FALSE)</f>
        <v>B</v>
      </c>
      <c r="R118" s="330"/>
      <c r="T118" s="331">
        <f t="shared" si="25"/>
        <v>3000</v>
      </c>
    </row>
    <row r="119" spans="1:20" ht="14.1" customHeight="1">
      <c r="A119" s="74">
        <v>119</v>
      </c>
      <c r="B119" s="286" t="s">
        <v>218</v>
      </c>
      <c r="C119" s="286" t="s">
        <v>232</v>
      </c>
      <c r="D119" s="84" t="s">
        <v>233</v>
      </c>
      <c r="E119" s="247" t="s">
        <v>314</v>
      </c>
      <c r="F119" s="83" t="s">
        <v>315</v>
      </c>
      <c r="G119" s="70" t="s">
        <v>367</v>
      </c>
      <c r="H119" s="83" t="s">
        <v>357</v>
      </c>
      <c r="I119" s="327">
        <v>108</v>
      </c>
      <c r="J119" s="328">
        <f t="shared" si="21"/>
        <v>200</v>
      </c>
      <c r="K119" s="250">
        <v>200</v>
      </c>
      <c r="L119" s="250"/>
      <c r="M119" s="249" t="e">
        <f t="shared" si="22"/>
        <v>#DIV/0!</v>
      </c>
      <c r="N119" s="249">
        <f t="shared" si="23"/>
        <v>0</v>
      </c>
      <c r="O119" s="329">
        <f>IF(K119="nio",0,IF(K119&gt;0,VLOOKUP(G119,'3-Productie normen'!A:L,VLOOKUP(K119,'3-Productie normen'!$B$36:$C$42,2,FALSE),FALSE)))/VLOOKUP(B119,'2-Kosten totaal'!$A$14:$C$16,3,FALSE)</f>
        <v>0</v>
      </c>
      <c r="P119" s="329">
        <f t="shared" si="24"/>
        <v>0</v>
      </c>
      <c r="Q119" s="330" t="str">
        <f>VLOOKUP(G119,'3-Productie normen'!A:O,15,FALSE)</f>
        <v>V</v>
      </c>
      <c r="R119" s="330"/>
      <c r="T119" s="331">
        <f t="shared" si="25"/>
        <v>21600</v>
      </c>
    </row>
    <row r="120" spans="1:20" ht="14.1" customHeight="1">
      <c r="A120" s="74">
        <v>120</v>
      </c>
      <c r="B120" s="286" t="s">
        <v>218</v>
      </c>
      <c r="C120" s="286" t="s">
        <v>232</v>
      </c>
      <c r="D120" s="325" t="s">
        <v>233</v>
      </c>
      <c r="E120" s="326" t="s">
        <v>316</v>
      </c>
      <c r="F120" s="70" t="s">
        <v>317</v>
      </c>
      <c r="G120" s="70" t="s">
        <v>367</v>
      </c>
      <c r="H120" s="70" t="s">
        <v>357</v>
      </c>
      <c r="I120" s="327">
        <v>50</v>
      </c>
      <c r="J120" s="328">
        <f t="shared" si="21"/>
        <v>200</v>
      </c>
      <c r="K120" s="250">
        <v>200</v>
      </c>
      <c r="L120" s="250"/>
      <c r="M120" s="249" t="e">
        <f t="shared" si="22"/>
        <v>#DIV/0!</v>
      </c>
      <c r="N120" s="249">
        <f t="shared" si="23"/>
        <v>0</v>
      </c>
      <c r="O120" s="329">
        <f>IF(K120="nio",0,IF(K120&gt;0,VLOOKUP(G120,'3-Productie normen'!A:L,VLOOKUP(K120,'3-Productie normen'!$B$36:$C$42,2,FALSE),FALSE)))/VLOOKUP(B120,'2-Kosten totaal'!$A$14:$C$16,3,FALSE)</f>
        <v>0</v>
      </c>
      <c r="P120" s="329">
        <f t="shared" si="24"/>
        <v>0</v>
      </c>
      <c r="Q120" s="330" t="str">
        <f>VLOOKUP(G120,'3-Productie normen'!A:O,15,FALSE)</f>
        <v>V</v>
      </c>
      <c r="R120" s="330"/>
      <c r="T120" s="331">
        <f t="shared" si="25"/>
        <v>10000</v>
      </c>
    </row>
    <row r="121" spans="1:20" ht="14.1" customHeight="1">
      <c r="A121" s="74">
        <v>121</v>
      </c>
      <c r="B121" s="286" t="s">
        <v>218</v>
      </c>
      <c r="C121" s="286" t="s">
        <v>232</v>
      </c>
      <c r="D121" s="325" t="s">
        <v>233</v>
      </c>
      <c r="E121" s="326" t="s">
        <v>318</v>
      </c>
      <c r="F121" s="70" t="s">
        <v>237</v>
      </c>
      <c r="G121" s="70" t="s">
        <v>224</v>
      </c>
      <c r="H121" s="70" t="s">
        <v>357</v>
      </c>
      <c r="I121" s="327">
        <v>50</v>
      </c>
      <c r="J121" s="328">
        <f t="shared" si="21"/>
        <v>200</v>
      </c>
      <c r="K121" s="250">
        <v>200</v>
      </c>
      <c r="L121" s="250"/>
      <c r="M121" s="249" t="e">
        <f t="shared" si="22"/>
        <v>#DIV/0!</v>
      </c>
      <c r="N121" s="249">
        <f t="shared" si="23"/>
        <v>0</v>
      </c>
      <c r="O121" s="329">
        <f>IF(K121="nio",0,IF(K121&gt;0,VLOOKUP(G121,'3-Productie normen'!A:L,VLOOKUP(K121,'3-Productie normen'!$B$36:$C$42,2,FALSE),FALSE)))/VLOOKUP(B121,'2-Kosten totaal'!$A$14:$C$16,3,FALSE)</f>
        <v>0</v>
      </c>
      <c r="P121" s="329">
        <f t="shared" si="24"/>
        <v>0</v>
      </c>
      <c r="Q121" s="330" t="str">
        <f>VLOOKUP(G121,'3-Productie normen'!A:O,15,FALSE)</f>
        <v>L</v>
      </c>
      <c r="R121" s="330"/>
      <c r="T121" s="331">
        <f t="shared" si="25"/>
        <v>10000</v>
      </c>
    </row>
    <row r="122" spans="1:20" ht="14.1" customHeight="1">
      <c r="A122" s="74">
        <v>122</v>
      </c>
      <c r="B122" s="286" t="s">
        <v>218</v>
      </c>
      <c r="C122" s="286" t="s">
        <v>232</v>
      </c>
      <c r="D122" s="325" t="s">
        <v>233</v>
      </c>
      <c r="E122" s="326">
        <v>113</v>
      </c>
      <c r="F122" s="70" t="s">
        <v>340</v>
      </c>
      <c r="G122" s="70" t="s">
        <v>224</v>
      </c>
      <c r="H122" s="70" t="s">
        <v>357</v>
      </c>
      <c r="I122" s="327">
        <v>48</v>
      </c>
      <c r="J122" s="328">
        <f t="shared" si="21"/>
        <v>200</v>
      </c>
      <c r="K122" s="250">
        <v>200</v>
      </c>
      <c r="L122" s="250"/>
      <c r="M122" s="249" t="e">
        <f t="shared" si="22"/>
        <v>#DIV/0!</v>
      </c>
      <c r="N122" s="249">
        <f t="shared" si="23"/>
        <v>0</v>
      </c>
      <c r="O122" s="329">
        <f>IF(K122="nio",0,IF(K122&gt;0,VLOOKUP(G122,'3-Productie normen'!A:L,VLOOKUP(K122,'3-Productie normen'!$B$36:$C$42,2,FALSE),FALSE)))/VLOOKUP(B122,'2-Kosten totaal'!$A$14:$C$16,3,FALSE)</f>
        <v>0</v>
      </c>
      <c r="P122" s="329">
        <f t="shared" si="24"/>
        <v>0</v>
      </c>
      <c r="Q122" s="330" t="str">
        <f>VLOOKUP(G122,'3-Productie normen'!A:O,15,FALSE)</f>
        <v>L</v>
      </c>
      <c r="R122" s="330"/>
      <c r="T122" s="331">
        <f t="shared" si="25"/>
        <v>9600</v>
      </c>
    </row>
    <row r="123" spans="1:20" ht="14.1" customHeight="1">
      <c r="A123" s="74">
        <v>123</v>
      </c>
      <c r="B123" s="286" t="s">
        <v>218</v>
      </c>
      <c r="C123" s="286" t="s">
        <v>232</v>
      </c>
      <c r="D123" s="325" t="s">
        <v>233</v>
      </c>
      <c r="E123" s="326" t="s">
        <v>319</v>
      </c>
      <c r="F123" s="478" t="s">
        <v>288</v>
      </c>
      <c r="G123" s="478" t="s">
        <v>229</v>
      </c>
      <c r="H123" s="478" t="s">
        <v>359</v>
      </c>
      <c r="I123" s="479">
        <v>8</v>
      </c>
      <c r="J123" s="480">
        <f t="shared" si="21"/>
        <v>40</v>
      </c>
      <c r="K123" s="481">
        <v>40</v>
      </c>
      <c r="L123" s="250"/>
      <c r="M123" s="249" t="e">
        <f t="shared" si="22"/>
        <v>#DIV/0!</v>
      </c>
      <c r="N123" s="249">
        <f t="shared" si="23"/>
        <v>0</v>
      </c>
      <c r="O123" s="329">
        <f>IF(K123="nio",0,IF(K123&gt;0,VLOOKUP(G123,'3-Productie normen'!A:L,VLOOKUP(K123,'3-Productie normen'!$B$36:$C$42,2,FALSE),FALSE)))/VLOOKUP(B123,'2-Kosten totaal'!$A$14:$C$16,3,FALSE)</f>
        <v>0</v>
      </c>
      <c r="P123" s="329">
        <f t="shared" si="24"/>
        <v>0</v>
      </c>
      <c r="Q123" s="330" t="str">
        <f>VLOOKUP(G123,'3-Productie normen'!A:O,15,FALSE)</f>
        <v>V</v>
      </c>
      <c r="R123" s="330"/>
      <c r="T123" s="331">
        <f t="shared" si="25"/>
        <v>320</v>
      </c>
    </row>
    <row r="124" spans="1:20" ht="14.1" customHeight="1">
      <c r="A124" s="74">
        <v>124</v>
      </c>
      <c r="B124" s="286" t="s">
        <v>218</v>
      </c>
      <c r="C124" s="286" t="s">
        <v>232</v>
      </c>
      <c r="D124" s="325" t="s">
        <v>233</v>
      </c>
      <c r="E124" s="326">
        <v>112</v>
      </c>
      <c r="F124" s="70" t="s">
        <v>320</v>
      </c>
      <c r="G124" s="70" t="s">
        <v>367</v>
      </c>
      <c r="H124" s="70" t="s">
        <v>357</v>
      </c>
      <c r="I124" s="327">
        <v>176</v>
      </c>
      <c r="J124" s="328">
        <f t="shared" si="21"/>
        <v>200</v>
      </c>
      <c r="K124" s="250">
        <v>200</v>
      </c>
      <c r="L124" s="250"/>
      <c r="M124" s="249" t="e">
        <f t="shared" si="22"/>
        <v>#DIV/0!</v>
      </c>
      <c r="N124" s="249">
        <f t="shared" si="23"/>
        <v>0</v>
      </c>
      <c r="O124" s="329">
        <f>IF(K124="nio",0,IF(K124&gt;0,VLOOKUP(G124,'3-Productie normen'!A:L,VLOOKUP(K124,'3-Productie normen'!$B$36:$C$42,2,FALSE),FALSE)))/VLOOKUP(B124,'2-Kosten totaal'!$A$14:$C$16,3,FALSE)</f>
        <v>0</v>
      </c>
      <c r="P124" s="329">
        <f t="shared" si="24"/>
        <v>0</v>
      </c>
      <c r="Q124" s="330" t="str">
        <f>VLOOKUP(G124,'3-Productie normen'!A:O,15,FALSE)</f>
        <v>V</v>
      </c>
      <c r="R124" s="330"/>
      <c r="T124" s="331">
        <f t="shared" si="25"/>
        <v>35200</v>
      </c>
    </row>
    <row r="125" spans="1:20" ht="14.1" customHeight="1">
      <c r="A125" s="74">
        <v>125</v>
      </c>
      <c r="B125" s="286" t="s">
        <v>218</v>
      </c>
      <c r="C125" s="286" t="s">
        <v>232</v>
      </c>
      <c r="D125" s="325" t="s">
        <v>233</v>
      </c>
      <c r="E125" s="326" t="s">
        <v>321</v>
      </c>
      <c r="F125" s="478" t="s">
        <v>322</v>
      </c>
      <c r="G125" s="478" t="s">
        <v>229</v>
      </c>
      <c r="H125" s="478" t="s">
        <v>356</v>
      </c>
      <c r="I125" s="479">
        <v>4</v>
      </c>
      <c r="J125" s="480">
        <f t="shared" si="21"/>
        <v>40</v>
      </c>
      <c r="K125" s="481">
        <v>40</v>
      </c>
      <c r="L125" s="250"/>
      <c r="M125" s="249" t="e">
        <f t="shared" si="22"/>
        <v>#DIV/0!</v>
      </c>
      <c r="N125" s="249">
        <f t="shared" si="23"/>
        <v>0</v>
      </c>
      <c r="O125" s="329">
        <f>IF(K125="nio",0,IF(K125&gt;0,VLOOKUP(G125,'3-Productie normen'!A:L,VLOOKUP(K125,'3-Productie normen'!$B$36:$C$42,2,FALSE),FALSE)))/VLOOKUP(B125,'2-Kosten totaal'!$A$14:$C$16,3,FALSE)</f>
        <v>0</v>
      </c>
      <c r="P125" s="329">
        <f t="shared" si="24"/>
        <v>0</v>
      </c>
      <c r="Q125" s="330" t="str">
        <f>VLOOKUP(G125,'3-Productie normen'!A:O,15,FALSE)</f>
        <v>V</v>
      </c>
      <c r="R125" s="330"/>
      <c r="T125" s="331">
        <f t="shared" si="25"/>
        <v>160</v>
      </c>
    </row>
    <row r="126" spans="1:20" ht="14.1" customHeight="1">
      <c r="A126" s="74">
        <v>126</v>
      </c>
      <c r="B126" s="286" t="s">
        <v>218</v>
      </c>
      <c r="C126" s="286" t="s">
        <v>232</v>
      </c>
      <c r="D126" s="325" t="s">
        <v>233</v>
      </c>
      <c r="E126" s="326">
        <v>115</v>
      </c>
      <c r="F126" s="70" t="s">
        <v>237</v>
      </c>
      <c r="G126" s="70" t="s">
        <v>224</v>
      </c>
      <c r="H126" s="70" t="s">
        <v>359</v>
      </c>
      <c r="I126" s="327">
        <v>50</v>
      </c>
      <c r="J126" s="328">
        <f t="shared" si="21"/>
        <v>200</v>
      </c>
      <c r="K126" s="250">
        <v>200</v>
      </c>
      <c r="L126" s="250"/>
      <c r="M126" s="249" t="e">
        <f t="shared" si="22"/>
        <v>#DIV/0!</v>
      </c>
      <c r="N126" s="249">
        <f t="shared" si="23"/>
        <v>0</v>
      </c>
      <c r="O126" s="329">
        <f>IF(K126="nio",0,IF(K126&gt;0,VLOOKUP(G126,'3-Productie normen'!A:L,VLOOKUP(K126,'3-Productie normen'!$B$36:$C$42,2,FALSE),FALSE)))/VLOOKUP(B126,'2-Kosten totaal'!$A$14:$C$16,3,FALSE)</f>
        <v>0</v>
      </c>
      <c r="P126" s="329">
        <f t="shared" si="24"/>
        <v>0</v>
      </c>
      <c r="Q126" s="330" t="str">
        <f>VLOOKUP(G126,'3-Productie normen'!A:O,15,FALSE)</f>
        <v>L</v>
      </c>
      <c r="R126" s="330"/>
      <c r="T126" s="331">
        <f t="shared" si="25"/>
        <v>10000</v>
      </c>
    </row>
    <row r="127" spans="1:20" ht="14.1" customHeight="1">
      <c r="A127" s="74">
        <v>127</v>
      </c>
      <c r="B127" s="286" t="s">
        <v>218</v>
      </c>
      <c r="C127" s="286" t="s">
        <v>232</v>
      </c>
      <c r="D127" s="325" t="s">
        <v>233</v>
      </c>
      <c r="E127" s="326">
        <v>116</v>
      </c>
      <c r="F127" s="70" t="s">
        <v>237</v>
      </c>
      <c r="G127" s="70" t="s">
        <v>224</v>
      </c>
      <c r="H127" s="70" t="s">
        <v>359</v>
      </c>
      <c r="I127" s="327">
        <v>50</v>
      </c>
      <c r="J127" s="328">
        <f t="shared" si="21"/>
        <v>200</v>
      </c>
      <c r="K127" s="250">
        <v>200</v>
      </c>
      <c r="L127" s="250"/>
      <c r="M127" s="249" t="e">
        <f t="shared" si="22"/>
        <v>#DIV/0!</v>
      </c>
      <c r="N127" s="249">
        <f t="shared" si="23"/>
        <v>0</v>
      </c>
      <c r="O127" s="329">
        <f>IF(K127="nio",0,IF(K127&gt;0,VLOOKUP(G127,'3-Productie normen'!A:L,VLOOKUP(K127,'3-Productie normen'!$B$36:$C$42,2,FALSE),FALSE)))/VLOOKUP(B127,'2-Kosten totaal'!$A$14:$C$16,3,FALSE)</f>
        <v>0</v>
      </c>
      <c r="P127" s="329">
        <f t="shared" si="24"/>
        <v>0</v>
      </c>
      <c r="Q127" s="330" t="str">
        <f>VLOOKUP(G127,'3-Productie normen'!A:O,15,FALSE)</f>
        <v>L</v>
      </c>
      <c r="R127" s="330"/>
      <c r="T127" s="331">
        <f t="shared" si="25"/>
        <v>10000</v>
      </c>
    </row>
    <row r="128" spans="1:20" ht="14.1" customHeight="1">
      <c r="A128" s="74">
        <v>128</v>
      </c>
      <c r="B128" s="286" t="s">
        <v>218</v>
      </c>
      <c r="C128" s="286" t="s">
        <v>232</v>
      </c>
      <c r="D128" s="325" t="s">
        <v>233</v>
      </c>
      <c r="E128" s="326">
        <v>117</v>
      </c>
      <c r="F128" s="70" t="s">
        <v>276</v>
      </c>
      <c r="G128" s="70" t="s">
        <v>224</v>
      </c>
      <c r="H128" s="70" t="s">
        <v>359</v>
      </c>
      <c r="I128" s="327">
        <v>83</v>
      </c>
      <c r="J128" s="328">
        <f t="shared" si="21"/>
        <v>200</v>
      </c>
      <c r="K128" s="250">
        <v>200</v>
      </c>
      <c r="L128" s="250"/>
      <c r="M128" s="249" t="e">
        <f t="shared" ref="M128" si="26">IF(K128="nio",0,IF(K128&gt;0,K128*I128/O128,0))</f>
        <v>#DIV/0!</v>
      </c>
      <c r="N128" s="249">
        <f t="shared" ref="N128" si="27">IF(L128&gt;0,L128*I128/P128,0)</f>
        <v>0</v>
      </c>
      <c r="O128" s="329">
        <f>IF(K128="nio",0,IF(K128&gt;0,VLOOKUP(G128,'3-Productie normen'!A:L,VLOOKUP(K128,'3-Productie normen'!$B$36:$C$42,2,FALSE),FALSE)))/VLOOKUP(B128,'2-Kosten totaal'!$A$14:$C$16,3,FALSE)</f>
        <v>0</v>
      </c>
      <c r="P128" s="329">
        <f t="shared" ref="P128" si="28">IF(L128&gt;0,O128*$P$8,0)</f>
        <v>0</v>
      </c>
      <c r="Q128" s="330" t="str">
        <f>VLOOKUP(G128,'3-Productie normen'!A:O,15,FALSE)</f>
        <v>L</v>
      </c>
      <c r="R128" s="330"/>
      <c r="T128" s="331">
        <f t="shared" si="25"/>
        <v>16600</v>
      </c>
    </row>
    <row r="129" spans="1:20" ht="14.1" customHeight="1">
      <c r="A129" s="74">
        <v>129</v>
      </c>
      <c r="B129" s="286" t="s">
        <v>218</v>
      </c>
      <c r="C129" s="286" t="s">
        <v>232</v>
      </c>
      <c r="D129" s="325" t="s">
        <v>233</v>
      </c>
      <c r="E129" s="326" t="s">
        <v>323</v>
      </c>
      <c r="F129" s="70" t="s">
        <v>243</v>
      </c>
      <c r="G129" s="70" t="s">
        <v>40</v>
      </c>
      <c r="H129" s="70" t="s">
        <v>359</v>
      </c>
      <c r="I129" s="327">
        <v>61</v>
      </c>
      <c r="J129" s="328">
        <f t="shared" si="21"/>
        <v>200</v>
      </c>
      <c r="K129" s="250">
        <v>200</v>
      </c>
      <c r="L129" s="250"/>
      <c r="M129" s="249" t="e">
        <f t="shared" si="22"/>
        <v>#DIV/0!</v>
      </c>
      <c r="N129" s="249">
        <f t="shared" si="23"/>
        <v>0</v>
      </c>
      <c r="O129" s="329">
        <f>IF(K129="nio",0,IF(K129&gt;0,VLOOKUP(G129,'3-Productie normen'!A:L,VLOOKUP(K129,'3-Productie normen'!$B$36:$C$42,2,FALSE),FALSE)))/VLOOKUP(B129,'2-Kosten totaal'!$A$14:$C$16,3,FALSE)</f>
        <v>0</v>
      </c>
      <c r="P129" s="329">
        <f t="shared" si="24"/>
        <v>0</v>
      </c>
      <c r="Q129" s="330" t="str">
        <f>VLOOKUP(G129,'3-Productie normen'!A:O,15,FALSE)</f>
        <v>V</v>
      </c>
      <c r="R129" s="330"/>
      <c r="T129" s="331">
        <f t="shared" si="25"/>
        <v>12200</v>
      </c>
    </row>
    <row r="130" spans="1:20" ht="14.1" customHeight="1">
      <c r="A130" s="74">
        <v>130</v>
      </c>
      <c r="B130" s="286" t="s">
        <v>218</v>
      </c>
      <c r="C130" s="286" t="s">
        <v>232</v>
      </c>
      <c r="D130" s="325" t="s">
        <v>233</v>
      </c>
      <c r="E130" s="326">
        <v>120</v>
      </c>
      <c r="F130" s="478" t="s">
        <v>400</v>
      </c>
      <c r="G130" s="70" t="s">
        <v>224</v>
      </c>
      <c r="H130" s="70" t="s">
        <v>357</v>
      </c>
      <c r="I130" s="327">
        <v>83</v>
      </c>
      <c r="J130" s="328">
        <f t="shared" si="21"/>
        <v>200</v>
      </c>
      <c r="K130" s="250">
        <v>200</v>
      </c>
      <c r="L130" s="250"/>
      <c r="M130" s="249" t="e">
        <f t="shared" si="22"/>
        <v>#DIV/0!</v>
      </c>
      <c r="N130" s="249">
        <f t="shared" si="23"/>
        <v>0</v>
      </c>
      <c r="O130" s="329">
        <f>IF(K130="nio",0,IF(K130&gt;0,VLOOKUP(G130,'3-Productie normen'!A:L,VLOOKUP(K130,'3-Productie normen'!$B$36:$C$42,2,FALSE),FALSE)))/VLOOKUP(B130,'2-Kosten totaal'!$A$14:$C$16,3,FALSE)</f>
        <v>0</v>
      </c>
      <c r="P130" s="329">
        <f t="shared" si="24"/>
        <v>0</v>
      </c>
      <c r="Q130" s="330" t="str">
        <f>VLOOKUP(G130,'3-Productie normen'!A:O,15,FALSE)</f>
        <v>L</v>
      </c>
      <c r="R130" s="330"/>
      <c r="T130" s="331">
        <f t="shared" si="25"/>
        <v>16600</v>
      </c>
    </row>
    <row r="131" spans="1:20" ht="14.1" customHeight="1">
      <c r="A131" s="74">
        <v>131</v>
      </c>
      <c r="B131" s="286" t="s">
        <v>218</v>
      </c>
      <c r="C131" s="286" t="s">
        <v>232</v>
      </c>
      <c r="D131" s="325" t="s">
        <v>233</v>
      </c>
      <c r="E131" s="326" t="s">
        <v>324</v>
      </c>
      <c r="F131" s="478" t="s">
        <v>401</v>
      </c>
      <c r="G131" s="70" t="s">
        <v>367</v>
      </c>
      <c r="H131" s="70" t="s">
        <v>360</v>
      </c>
      <c r="I131" s="327">
        <v>124</v>
      </c>
      <c r="J131" s="328">
        <f t="shared" si="21"/>
        <v>200</v>
      </c>
      <c r="K131" s="250">
        <v>200</v>
      </c>
      <c r="L131" s="250"/>
      <c r="M131" s="249" t="e">
        <f t="shared" si="22"/>
        <v>#DIV/0!</v>
      </c>
      <c r="N131" s="249">
        <f t="shared" si="23"/>
        <v>0</v>
      </c>
      <c r="O131" s="329">
        <f>IF(K131="nio",0,IF(K131&gt;0,VLOOKUP(G131,'3-Productie normen'!A:L,VLOOKUP(K131,'3-Productie normen'!$B$36:$C$42,2,FALSE),FALSE)))/VLOOKUP(B131,'2-Kosten totaal'!$A$14:$C$16,3,FALSE)</f>
        <v>0</v>
      </c>
      <c r="P131" s="329">
        <f t="shared" si="24"/>
        <v>0</v>
      </c>
      <c r="Q131" s="330" t="str">
        <f>VLOOKUP(G131,'3-Productie normen'!A:O,15,FALSE)</f>
        <v>V</v>
      </c>
      <c r="R131" s="330"/>
      <c r="T131" s="331">
        <f t="shared" si="25"/>
        <v>24800</v>
      </c>
    </row>
    <row r="132" spans="1:20" ht="14.1" customHeight="1">
      <c r="A132" s="74">
        <v>132</v>
      </c>
      <c r="B132" s="286" t="s">
        <v>218</v>
      </c>
      <c r="C132" s="286" t="s">
        <v>232</v>
      </c>
      <c r="D132" s="325" t="s">
        <v>233</v>
      </c>
      <c r="E132" s="326" t="s">
        <v>404</v>
      </c>
      <c r="F132" s="478" t="s">
        <v>405</v>
      </c>
      <c r="G132" s="70" t="s">
        <v>224</v>
      </c>
      <c r="H132" s="70" t="s">
        <v>360</v>
      </c>
      <c r="I132" s="327">
        <v>98</v>
      </c>
      <c r="J132" s="328">
        <f>SUM(K132:L132)</f>
        <v>200</v>
      </c>
      <c r="K132" s="250">
        <v>200</v>
      </c>
      <c r="L132" s="250"/>
      <c r="M132" s="249" t="e">
        <f>IF(K132="nio",0,IF(K132&gt;0,K132*I132/O132,0))</f>
        <v>#DIV/0!</v>
      </c>
      <c r="N132" s="249">
        <f>IF(L132&gt;0,L132*I132/P132,0)</f>
        <v>0</v>
      </c>
      <c r="O132" s="329">
        <f>IF(K132="nio",0,IF(K132&gt;0,VLOOKUP(G132,'3-Productie normen'!A:L,VLOOKUP(K132,'3-Productie normen'!$B$36:$C$42,2,FALSE),FALSE)))/VLOOKUP(B132,'2-Kosten totaal'!$A$14:$C$16,3,FALSE)</f>
        <v>0</v>
      </c>
      <c r="P132" s="329">
        <f>IF(L132&gt;0,O132*$P$8,0)</f>
        <v>0</v>
      </c>
      <c r="Q132" s="330" t="str">
        <f>VLOOKUP(G132,'3-Productie normen'!A:O,15,FALSE)</f>
        <v>L</v>
      </c>
      <c r="R132" s="330"/>
      <c r="T132" s="331">
        <f>J132*I132</f>
        <v>19600</v>
      </c>
    </row>
    <row r="133" spans="1:20" ht="14.1" customHeight="1">
      <c r="A133" s="74">
        <v>133</v>
      </c>
      <c r="B133" s="286" t="s">
        <v>218</v>
      </c>
      <c r="C133" s="286" t="s">
        <v>232</v>
      </c>
      <c r="D133" s="325" t="s">
        <v>233</v>
      </c>
      <c r="E133" s="326"/>
      <c r="F133" s="478" t="s">
        <v>406</v>
      </c>
      <c r="G133" s="70" t="s">
        <v>40</v>
      </c>
      <c r="H133" s="70" t="s">
        <v>360</v>
      </c>
      <c r="I133" s="327">
        <v>83.5</v>
      </c>
      <c r="J133" s="328">
        <f t="shared" si="21"/>
        <v>200</v>
      </c>
      <c r="K133" s="250">
        <v>200</v>
      </c>
      <c r="L133" s="250"/>
      <c r="M133" s="249" t="e">
        <f t="shared" ref="M133" si="29">IF(K133="nio",0,IF(K133&gt;0,K133*I133/O133,0))</f>
        <v>#DIV/0!</v>
      </c>
      <c r="N133" s="249">
        <f t="shared" ref="N133" si="30">IF(L133&gt;0,L133*I133/P133,0)</f>
        <v>0</v>
      </c>
      <c r="O133" s="329">
        <f>IF(K133="nio",0,IF(K133&gt;0,VLOOKUP(G133,'3-Productie normen'!A:L,VLOOKUP(K133,'3-Productie normen'!$B$36:$C$42,2,FALSE),FALSE)))/VLOOKUP(B133,'2-Kosten totaal'!$A$14:$C$16,3,FALSE)</f>
        <v>0</v>
      </c>
      <c r="P133" s="329">
        <f t="shared" ref="P133" si="31">IF(L133&gt;0,O133*$P$8,0)</f>
        <v>0</v>
      </c>
      <c r="Q133" s="330" t="str">
        <f>VLOOKUP(G133,'3-Productie normen'!A:O,15,FALSE)</f>
        <v>V</v>
      </c>
      <c r="R133" s="330"/>
      <c r="T133" s="331">
        <f t="shared" si="25"/>
        <v>16700</v>
      </c>
    </row>
    <row r="134" spans="1:20" ht="14.1" customHeight="1">
      <c r="A134" s="74">
        <v>134</v>
      </c>
      <c r="B134" s="286" t="s">
        <v>218</v>
      </c>
      <c r="C134" s="286" t="s">
        <v>232</v>
      </c>
      <c r="D134" s="325" t="s">
        <v>233</v>
      </c>
      <c r="E134" s="326">
        <v>123</v>
      </c>
      <c r="F134" s="478" t="s">
        <v>340</v>
      </c>
      <c r="G134" s="70" t="s">
        <v>224</v>
      </c>
      <c r="H134" s="70" t="s">
        <v>360</v>
      </c>
      <c r="I134" s="327">
        <v>49</v>
      </c>
      <c r="J134" s="328">
        <f t="shared" si="21"/>
        <v>200</v>
      </c>
      <c r="K134" s="250">
        <v>200</v>
      </c>
      <c r="L134" s="250"/>
      <c r="M134" s="249" t="e">
        <f t="shared" ref="M134:M137" si="32">IF(K134="nio",0,IF(K134&gt;0,K134*I134/O134,0))</f>
        <v>#DIV/0!</v>
      </c>
      <c r="N134" s="249">
        <f t="shared" ref="N134:N137" si="33">IF(L134&gt;0,L134*I134/P134,0)</f>
        <v>0</v>
      </c>
      <c r="O134" s="329">
        <f>IF(K134="nio",0,IF(K134&gt;0,VLOOKUP(G134,'3-Productie normen'!A:L,VLOOKUP(K134,'3-Productie normen'!$B$36:$C$42,2,FALSE),FALSE)))/VLOOKUP(B134,'2-Kosten totaal'!$A$14:$C$16,3,FALSE)</f>
        <v>0</v>
      </c>
      <c r="P134" s="329">
        <f t="shared" ref="P134:P137" si="34">IF(L134&gt;0,O134*$P$8,0)</f>
        <v>0</v>
      </c>
      <c r="Q134" s="330" t="str">
        <f>VLOOKUP(G134,'3-Productie normen'!A:O,15,FALSE)</f>
        <v>L</v>
      </c>
      <c r="R134" s="330"/>
      <c r="T134" s="331">
        <f t="shared" si="25"/>
        <v>9800</v>
      </c>
    </row>
    <row r="135" spans="1:20" ht="14.1" customHeight="1">
      <c r="A135" s="74">
        <v>135</v>
      </c>
      <c r="B135" s="286" t="s">
        <v>218</v>
      </c>
      <c r="C135" s="286" t="s">
        <v>232</v>
      </c>
      <c r="D135" s="325" t="s">
        <v>233</v>
      </c>
      <c r="E135" s="326">
        <v>124</v>
      </c>
      <c r="F135" s="478" t="s">
        <v>340</v>
      </c>
      <c r="G135" s="70" t="s">
        <v>224</v>
      </c>
      <c r="H135" s="70" t="s">
        <v>360</v>
      </c>
      <c r="I135" s="327">
        <v>49</v>
      </c>
      <c r="J135" s="328">
        <f t="shared" ref="J135:J137" si="35">SUM(K135:L135)</f>
        <v>200</v>
      </c>
      <c r="K135" s="250">
        <v>200</v>
      </c>
      <c r="L135" s="250"/>
      <c r="M135" s="249" t="e">
        <f t="shared" si="32"/>
        <v>#DIV/0!</v>
      </c>
      <c r="N135" s="249">
        <f t="shared" si="33"/>
        <v>0</v>
      </c>
      <c r="O135" s="329">
        <f>IF(K135="nio",0,IF(K135&gt;0,VLOOKUP(G135,'3-Productie normen'!A:L,VLOOKUP(K135,'3-Productie normen'!$B$36:$C$42,2,FALSE),FALSE)))/VLOOKUP(B135,'2-Kosten totaal'!$A$14:$C$16,3,FALSE)</f>
        <v>0</v>
      </c>
      <c r="P135" s="329">
        <f t="shared" si="34"/>
        <v>0</v>
      </c>
      <c r="Q135" s="330" t="str">
        <f>VLOOKUP(G135,'3-Productie normen'!A:O,15,FALSE)</f>
        <v>L</v>
      </c>
      <c r="R135" s="330"/>
      <c r="T135" s="331"/>
    </row>
    <row r="136" spans="1:20" ht="14.1" customHeight="1">
      <c r="A136" s="74">
        <v>136</v>
      </c>
      <c r="B136" s="286" t="s">
        <v>218</v>
      </c>
      <c r="C136" s="286" t="s">
        <v>232</v>
      </c>
      <c r="D136" s="325" t="s">
        <v>233</v>
      </c>
      <c r="E136" s="326">
        <v>125</v>
      </c>
      <c r="F136" s="478" t="s">
        <v>340</v>
      </c>
      <c r="G136" s="70" t="s">
        <v>224</v>
      </c>
      <c r="H136" s="70" t="s">
        <v>360</v>
      </c>
      <c r="I136" s="327">
        <v>49</v>
      </c>
      <c r="J136" s="328">
        <f t="shared" si="35"/>
        <v>200</v>
      </c>
      <c r="K136" s="250">
        <v>200</v>
      </c>
      <c r="L136" s="250"/>
      <c r="M136" s="249" t="e">
        <f t="shared" si="32"/>
        <v>#DIV/0!</v>
      </c>
      <c r="N136" s="249">
        <f t="shared" si="33"/>
        <v>0</v>
      </c>
      <c r="O136" s="329">
        <f>IF(K136="nio",0,IF(K136&gt;0,VLOOKUP(G136,'3-Productie normen'!A:L,VLOOKUP(K136,'3-Productie normen'!$B$36:$C$42,2,FALSE),FALSE)))/VLOOKUP(B136,'2-Kosten totaal'!$A$14:$C$16,3,FALSE)</f>
        <v>0</v>
      </c>
      <c r="P136" s="329">
        <f t="shared" si="34"/>
        <v>0</v>
      </c>
      <c r="Q136" s="330" t="str">
        <f>VLOOKUP(G136,'3-Productie normen'!A:O,15,FALSE)</f>
        <v>L</v>
      </c>
      <c r="R136" s="330"/>
      <c r="T136" s="331"/>
    </row>
    <row r="137" spans="1:20" ht="14.1" customHeight="1">
      <c r="A137" s="74">
        <v>137</v>
      </c>
      <c r="B137" s="286" t="s">
        <v>218</v>
      </c>
      <c r="C137" s="286" t="s">
        <v>232</v>
      </c>
      <c r="D137" s="325" t="s">
        <v>233</v>
      </c>
      <c r="E137" s="326">
        <v>126</v>
      </c>
      <c r="F137" s="478" t="s">
        <v>340</v>
      </c>
      <c r="G137" s="70" t="s">
        <v>224</v>
      </c>
      <c r="H137" s="70" t="s">
        <v>360</v>
      </c>
      <c r="I137" s="327">
        <v>49</v>
      </c>
      <c r="J137" s="328">
        <f t="shared" si="35"/>
        <v>200</v>
      </c>
      <c r="K137" s="250">
        <v>200</v>
      </c>
      <c r="L137" s="250"/>
      <c r="M137" s="249" t="e">
        <f t="shared" si="32"/>
        <v>#DIV/0!</v>
      </c>
      <c r="N137" s="249">
        <f t="shared" si="33"/>
        <v>0</v>
      </c>
      <c r="O137" s="329">
        <f>IF(K137="nio",0,IF(K137&gt;0,VLOOKUP(G137,'3-Productie normen'!A:L,VLOOKUP(K137,'3-Productie normen'!$B$36:$C$42,2,FALSE),FALSE)))/VLOOKUP(B137,'2-Kosten totaal'!$A$14:$C$16,3,FALSE)</f>
        <v>0</v>
      </c>
      <c r="P137" s="329">
        <f t="shared" si="34"/>
        <v>0</v>
      </c>
      <c r="Q137" s="330" t="str">
        <f>VLOOKUP(G137,'3-Productie normen'!A:O,15,FALSE)</f>
        <v>L</v>
      </c>
      <c r="R137" s="330"/>
      <c r="T137" s="331"/>
    </row>
    <row r="138" spans="1:20" ht="14.1" customHeight="1">
      <c r="A138" s="74">
        <v>138</v>
      </c>
      <c r="B138" s="286" t="s">
        <v>218</v>
      </c>
      <c r="C138" s="286" t="s">
        <v>232</v>
      </c>
      <c r="D138" s="325" t="s">
        <v>233</v>
      </c>
      <c r="E138" s="326" t="s">
        <v>325</v>
      </c>
      <c r="F138" s="478" t="s">
        <v>322</v>
      </c>
      <c r="G138" s="478" t="s">
        <v>229</v>
      </c>
      <c r="H138" s="478" t="s">
        <v>359</v>
      </c>
      <c r="I138" s="479">
        <v>8</v>
      </c>
      <c r="J138" s="480">
        <f t="shared" si="21"/>
        <v>40</v>
      </c>
      <c r="K138" s="481">
        <v>40</v>
      </c>
      <c r="L138" s="250"/>
      <c r="M138" s="249" t="e">
        <f t="shared" si="22"/>
        <v>#DIV/0!</v>
      </c>
      <c r="N138" s="249">
        <f t="shared" si="23"/>
        <v>0</v>
      </c>
      <c r="O138" s="329">
        <f>IF(K138="nio",0,IF(K138&gt;0,VLOOKUP(G138,'3-Productie normen'!A:L,VLOOKUP(K138,'3-Productie normen'!$B$36:$C$42,2,FALSE),FALSE)))/VLOOKUP(B138,'2-Kosten totaal'!$A$14:$C$16,3,FALSE)</f>
        <v>0</v>
      </c>
      <c r="P138" s="329">
        <f t="shared" si="24"/>
        <v>0</v>
      </c>
      <c r="Q138" s="330" t="str">
        <f>VLOOKUP(G138,'3-Productie normen'!A:O,15,FALSE)</f>
        <v>V</v>
      </c>
      <c r="R138" s="330"/>
      <c r="T138" s="331">
        <f t="shared" si="25"/>
        <v>320</v>
      </c>
    </row>
    <row r="139" spans="1:20" ht="14.1" customHeight="1">
      <c r="A139" s="74">
        <v>139</v>
      </c>
      <c r="B139" s="286" t="s">
        <v>218</v>
      </c>
      <c r="C139" s="286" t="s">
        <v>232</v>
      </c>
      <c r="D139" s="325" t="s">
        <v>233</v>
      </c>
      <c r="E139" s="326" t="s">
        <v>402</v>
      </c>
      <c r="F139" s="478" t="s">
        <v>403</v>
      </c>
      <c r="G139" s="70" t="s">
        <v>224</v>
      </c>
      <c r="H139" s="70" t="s">
        <v>360</v>
      </c>
      <c r="I139" s="327">
        <v>12</v>
      </c>
      <c r="J139" s="328">
        <f>SUM(K139:L139)</f>
        <v>200</v>
      </c>
      <c r="K139" s="250">
        <v>200</v>
      </c>
      <c r="L139" s="250"/>
      <c r="M139" s="249" t="e">
        <f>IF(K139="nio",0,IF(K139&gt;0,K139*I139/O139,0))</f>
        <v>#DIV/0!</v>
      </c>
      <c r="N139" s="249">
        <f>IF(L139&gt;0,L139*I139/P139,0)</f>
        <v>0</v>
      </c>
      <c r="O139" s="329">
        <f>IF(K139="nio",0,IF(K139&gt;0,VLOOKUP(G139,'3-Productie normen'!A:L,VLOOKUP(K139,'3-Productie normen'!$B$36:$C$42,2,FALSE),FALSE)))/VLOOKUP(B139,'2-Kosten totaal'!$A$14:$C$16,3,FALSE)</f>
        <v>0</v>
      </c>
      <c r="P139" s="329">
        <f>IF(L139&gt;0,O139*$P$8,0)</f>
        <v>0</v>
      </c>
      <c r="Q139" s="330" t="str">
        <f>VLOOKUP(G139,'3-Productie normen'!A:O,15,FALSE)</f>
        <v>L</v>
      </c>
      <c r="R139" s="330"/>
      <c r="T139" s="331">
        <f>J139*I139</f>
        <v>2400</v>
      </c>
    </row>
    <row r="140" spans="1:20" ht="14.1" customHeight="1">
      <c r="A140" s="74">
        <v>140</v>
      </c>
      <c r="B140" s="286" t="s">
        <v>218</v>
      </c>
      <c r="C140" s="286" t="s">
        <v>232</v>
      </c>
      <c r="D140" s="325" t="s">
        <v>233</v>
      </c>
      <c r="E140" s="326">
        <v>127</v>
      </c>
      <c r="F140" s="478" t="s">
        <v>407</v>
      </c>
      <c r="G140" s="70" t="s">
        <v>36</v>
      </c>
      <c r="H140" s="70" t="s">
        <v>360</v>
      </c>
      <c r="I140" s="327">
        <v>24</v>
      </c>
      <c r="J140" s="328">
        <f t="shared" si="21"/>
        <v>120</v>
      </c>
      <c r="K140" s="250">
        <v>120</v>
      </c>
      <c r="L140" s="250"/>
      <c r="M140" s="249" t="e">
        <f t="shared" si="22"/>
        <v>#DIV/0!</v>
      </c>
      <c r="N140" s="249">
        <f t="shared" si="23"/>
        <v>0</v>
      </c>
      <c r="O140" s="329">
        <f>IF(K140="nio",0,IF(K140&gt;0,VLOOKUP(G140,'3-Productie normen'!A:L,VLOOKUP(K140,'3-Productie normen'!$B$36:$C$42,2,FALSE),FALSE)))/VLOOKUP(B140,'2-Kosten totaal'!$A$14:$C$16,3,FALSE)</f>
        <v>0</v>
      </c>
      <c r="P140" s="329">
        <f t="shared" si="24"/>
        <v>0</v>
      </c>
      <c r="Q140" s="330" t="str">
        <f>VLOOKUP(G140,'3-Productie normen'!A:O,15,FALSE)</f>
        <v>B</v>
      </c>
      <c r="R140" s="330"/>
      <c r="T140" s="331">
        <f t="shared" si="25"/>
        <v>2880</v>
      </c>
    </row>
    <row r="141" spans="1:20" ht="14.1" customHeight="1">
      <c r="A141" s="74">
        <v>141</v>
      </c>
      <c r="B141" s="286" t="s">
        <v>218</v>
      </c>
      <c r="C141" s="286" t="s">
        <v>232</v>
      </c>
      <c r="D141" s="325" t="s">
        <v>233</v>
      </c>
      <c r="E141" s="326">
        <v>136</v>
      </c>
      <c r="F141" s="70" t="s">
        <v>393</v>
      </c>
      <c r="G141" s="70" t="s">
        <v>36</v>
      </c>
      <c r="H141" s="70" t="s">
        <v>357</v>
      </c>
      <c r="I141" s="327">
        <v>20</v>
      </c>
      <c r="J141" s="328">
        <f t="shared" si="21"/>
        <v>120</v>
      </c>
      <c r="K141" s="250">
        <v>120</v>
      </c>
      <c r="L141" s="250"/>
      <c r="M141" s="249" t="e">
        <f t="shared" si="22"/>
        <v>#DIV/0!</v>
      </c>
      <c r="N141" s="249">
        <f t="shared" si="23"/>
        <v>0</v>
      </c>
      <c r="O141" s="329">
        <f>IF(K141="nio",0,IF(K141&gt;0,VLOOKUP(G141,'3-Productie normen'!A:L,VLOOKUP(K141,'3-Productie normen'!$B$36:$C$42,2,FALSE),FALSE)))/VLOOKUP(B141,'2-Kosten totaal'!$A$14:$C$16,3,FALSE)</f>
        <v>0</v>
      </c>
      <c r="P141" s="329">
        <f t="shared" si="24"/>
        <v>0</v>
      </c>
      <c r="Q141" s="330" t="str">
        <f>VLOOKUP(G141,'3-Productie normen'!A:O,15,FALSE)</f>
        <v>B</v>
      </c>
      <c r="R141" s="330"/>
      <c r="T141" s="331">
        <f t="shared" si="25"/>
        <v>2400</v>
      </c>
    </row>
    <row r="142" spans="1:20" ht="14.1" customHeight="1">
      <c r="A142" s="74">
        <v>142</v>
      </c>
      <c r="B142" s="286" t="s">
        <v>218</v>
      </c>
      <c r="C142" s="286" t="s">
        <v>232</v>
      </c>
      <c r="D142" s="325" t="s">
        <v>233</v>
      </c>
      <c r="E142" s="326">
        <v>137</v>
      </c>
      <c r="F142" s="70" t="s">
        <v>394</v>
      </c>
      <c r="G142" s="70" t="s">
        <v>36</v>
      </c>
      <c r="H142" s="70" t="s">
        <v>357</v>
      </c>
      <c r="I142" s="327">
        <v>20</v>
      </c>
      <c r="J142" s="328">
        <f t="shared" si="21"/>
        <v>120</v>
      </c>
      <c r="K142" s="250">
        <v>120</v>
      </c>
      <c r="L142" s="250"/>
      <c r="M142" s="249" t="e">
        <f t="shared" si="22"/>
        <v>#DIV/0!</v>
      </c>
      <c r="N142" s="249">
        <f t="shared" si="23"/>
        <v>0</v>
      </c>
      <c r="O142" s="329">
        <f>IF(K142="nio",0,IF(K142&gt;0,VLOOKUP(G142,'3-Productie normen'!A:L,VLOOKUP(K142,'3-Productie normen'!$B$36:$C$42,2,FALSE),FALSE)))/VLOOKUP(B142,'2-Kosten totaal'!$A$14:$C$16,3,FALSE)</f>
        <v>0</v>
      </c>
      <c r="P142" s="329">
        <f t="shared" si="24"/>
        <v>0</v>
      </c>
      <c r="Q142" s="330" t="str">
        <f>VLOOKUP(G142,'3-Productie normen'!A:O,15,FALSE)</f>
        <v>B</v>
      </c>
      <c r="R142" s="330"/>
      <c r="T142" s="331">
        <f t="shared" si="25"/>
        <v>2400</v>
      </c>
    </row>
    <row r="143" spans="1:20" ht="14.1" customHeight="1">
      <c r="A143" s="74">
        <v>143</v>
      </c>
      <c r="B143" s="286" t="s">
        <v>218</v>
      </c>
      <c r="C143" s="286" t="s">
        <v>232</v>
      </c>
      <c r="D143" s="325" t="s">
        <v>233</v>
      </c>
      <c r="E143" s="326">
        <v>138</v>
      </c>
      <c r="F143" s="70" t="s">
        <v>395</v>
      </c>
      <c r="G143" s="70" t="s">
        <v>36</v>
      </c>
      <c r="H143" s="70" t="s">
        <v>357</v>
      </c>
      <c r="I143" s="327">
        <v>16</v>
      </c>
      <c r="J143" s="328">
        <f t="shared" si="21"/>
        <v>120</v>
      </c>
      <c r="K143" s="250">
        <v>120</v>
      </c>
      <c r="L143" s="250"/>
      <c r="M143" s="249" t="e">
        <f t="shared" si="22"/>
        <v>#DIV/0!</v>
      </c>
      <c r="N143" s="249">
        <f t="shared" si="23"/>
        <v>0</v>
      </c>
      <c r="O143" s="329">
        <f>IF(K143="nio",0,IF(K143&gt;0,VLOOKUP(G143,'3-Productie normen'!A:L,VLOOKUP(K143,'3-Productie normen'!$B$36:$C$42,2,FALSE),FALSE)))/VLOOKUP(B143,'2-Kosten totaal'!$A$14:$C$16,3,FALSE)</f>
        <v>0</v>
      </c>
      <c r="P143" s="329">
        <f t="shared" si="24"/>
        <v>0</v>
      </c>
      <c r="Q143" s="330" t="str">
        <f>VLOOKUP(G143,'3-Productie normen'!A:O,15,FALSE)</f>
        <v>B</v>
      </c>
      <c r="R143" s="330"/>
      <c r="T143" s="331">
        <f t="shared" si="25"/>
        <v>1920</v>
      </c>
    </row>
    <row r="144" spans="1:20" ht="14.1" customHeight="1">
      <c r="A144" s="74">
        <v>144</v>
      </c>
      <c r="B144" s="286" t="s">
        <v>218</v>
      </c>
      <c r="C144" s="286" t="s">
        <v>232</v>
      </c>
      <c r="D144" s="325" t="s">
        <v>233</v>
      </c>
      <c r="E144" s="326">
        <v>134</v>
      </c>
      <c r="F144" s="478" t="s">
        <v>241</v>
      </c>
      <c r="G144" s="478" t="s">
        <v>38</v>
      </c>
      <c r="H144" s="478" t="s">
        <v>358</v>
      </c>
      <c r="I144" s="479">
        <v>16</v>
      </c>
      <c r="J144" s="480">
        <f t="shared" si="21"/>
        <v>400</v>
      </c>
      <c r="K144" s="481">
        <v>200</v>
      </c>
      <c r="L144" s="250">
        <v>200</v>
      </c>
      <c r="M144" s="249" t="e">
        <f t="shared" si="22"/>
        <v>#DIV/0!</v>
      </c>
      <c r="N144" s="249" t="e">
        <f t="shared" si="23"/>
        <v>#DIV/0!</v>
      </c>
      <c r="O144" s="329">
        <f>IF(K144="nio",0,IF(K144&gt;0,VLOOKUP(G144,'3-Productie normen'!A:L,VLOOKUP(K144,'3-Productie normen'!$B$36:$C$42,2,FALSE),FALSE)))/VLOOKUP(B144,'2-Kosten totaal'!$A$14:$C$16,3,FALSE)</f>
        <v>0</v>
      </c>
      <c r="P144" s="329">
        <f t="shared" si="24"/>
        <v>0</v>
      </c>
      <c r="Q144" s="330" t="str">
        <f>VLOOKUP(G144,'3-Productie normen'!A:O,15,FALSE)</f>
        <v>S</v>
      </c>
      <c r="R144" s="330"/>
      <c r="T144" s="331">
        <f t="shared" si="25"/>
        <v>6400</v>
      </c>
    </row>
    <row r="145" spans="1:20" ht="14.1" customHeight="1">
      <c r="A145" s="74">
        <v>145</v>
      </c>
      <c r="B145" s="286" t="s">
        <v>218</v>
      </c>
      <c r="C145" s="286" t="s">
        <v>232</v>
      </c>
      <c r="D145" s="325" t="s">
        <v>233</v>
      </c>
      <c r="E145" s="326">
        <v>135</v>
      </c>
      <c r="F145" s="478" t="s">
        <v>239</v>
      </c>
      <c r="G145" s="478" t="s">
        <v>38</v>
      </c>
      <c r="H145" s="478" t="s">
        <v>358</v>
      </c>
      <c r="I145" s="479">
        <v>18</v>
      </c>
      <c r="J145" s="480">
        <f t="shared" si="21"/>
        <v>400</v>
      </c>
      <c r="K145" s="481">
        <v>200</v>
      </c>
      <c r="L145" s="250">
        <v>200</v>
      </c>
      <c r="M145" s="249" t="e">
        <f t="shared" si="22"/>
        <v>#DIV/0!</v>
      </c>
      <c r="N145" s="249" t="e">
        <f t="shared" si="23"/>
        <v>#DIV/0!</v>
      </c>
      <c r="O145" s="329">
        <f>IF(K145="nio",0,IF(K145&gt;0,VLOOKUP(G145,'3-Productie normen'!A:L,VLOOKUP(K145,'3-Productie normen'!$B$36:$C$42,2,FALSE),FALSE)))/VLOOKUP(B145,'2-Kosten totaal'!$A$14:$C$16,3,FALSE)</f>
        <v>0</v>
      </c>
      <c r="P145" s="329">
        <f t="shared" si="24"/>
        <v>0</v>
      </c>
      <c r="Q145" s="330" t="str">
        <f>VLOOKUP(G145,'3-Productie normen'!A:O,15,FALSE)</f>
        <v>S</v>
      </c>
      <c r="R145" s="330"/>
      <c r="T145" s="331">
        <f t="shared" si="25"/>
        <v>7200</v>
      </c>
    </row>
    <row r="146" spans="1:20" ht="14.1" customHeight="1">
      <c r="A146" s="74">
        <v>146</v>
      </c>
      <c r="B146" s="286" t="s">
        <v>218</v>
      </c>
      <c r="C146" s="286" t="s">
        <v>232</v>
      </c>
      <c r="D146" s="325" t="s">
        <v>233</v>
      </c>
      <c r="E146" s="326">
        <v>130</v>
      </c>
      <c r="F146" s="70" t="s">
        <v>326</v>
      </c>
      <c r="G146" s="70" t="s">
        <v>36</v>
      </c>
      <c r="H146" s="70" t="s">
        <v>359</v>
      </c>
      <c r="I146" s="327">
        <v>24</v>
      </c>
      <c r="J146" s="328">
        <f t="shared" ref="J146:J177" si="36">SUM(K146:L146)</f>
        <v>120</v>
      </c>
      <c r="K146" s="250">
        <v>120</v>
      </c>
      <c r="L146" s="250"/>
      <c r="M146" s="249" t="e">
        <f t="shared" ref="M146:M177" si="37">IF(K146="nio",0,IF(K146&gt;0,K146*I146/O146,0))</f>
        <v>#DIV/0!</v>
      </c>
      <c r="N146" s="249">
        <f t="shared" ref="N146:N177" si="38">IF(L146&gt;0,L146*I146/P146,0)</f>
        <v>0</v>
      </c>
      <c r="O146" s="329">
        <f>IF(K146="nio",0,IF(K146&gt;0,VLOOKUP(G146,'3-Productie normen'!A:L,VLOOKUP(K146,'3-Productie normen'!$B$36:$C$42,2,FALSE),FALSE)))/VLOOKUP(B146,'2-Kosten totaal'!$A$14:$C$16,3,FALSE)</f>
        <v>0</v>
      </c>
      <c r="P146" s="329">
        <f t="shared" ref="P146:P177" si="39">IF(L146&gt;0,O146*$P$8,0)</f>
        <v>0</v>
      </c>
      <c r="Q146" s="330" t="str">
        <f>VLOOKUP(G146,'3-Productie normen'!A:O,15,FALSE)</f>
        <v>B</v>
      </c>
      <c r="R146" s="330"/>
      <c r="T146" s="331">
        <f t="shared" ref="T146:T177" si="40">J146*I146</f>
        <v>2880</v>
      </c>
    </row>
    <row r="147" spans="1:20" ht="14.1" customHeight="1">
      <c r="A147" s="74">
        <v>147</v>
      </c>
      <c r="B147" s="286" t="s">
        <v>218</v>
      </c>
      <c r="C147" s="286" t="s">
        <v>232</v>
      </c>
      <c r="D147" s="325" t="s">
        <v>233</v>
      </c>
      <c r="E147" s="326">
        <v>132</v>
      </c>
      <c r="F147" s="70" t="s">
        <v>396</v>
      </c>
      <c r="G147" s="70" t="s">
        <v>36</v>
      </c>
      <c r="H147" s="70" t="s">
        <v>357</v>
      </c>
      <c r="I147" s="327">
        <v>22</v>
      </c>
      <c r="J147" s="328">
        <f t="shared" si="36"/>
        <v>120</v>
      </c>
      <c r="K147" s="250">
        <v>120</v>
      </c>
      <c r="L147" s="250"/>
      <c r="M147" s="249" t="e">
        <f t="shared" si="37"/>
        <v>#DIV/0!</v>
      </c>
      <c r="N147" s="249">
        <f t="shared" si="38"/>
        <v>0</v>
      </c>
      <c r="O147" s="329">
        <f>IF(K147="nio",0,IF(K147&gt;0,VLOOKUP(G147,'3-Productie normen'!A:L,VLOOKUP(K147,'3-Productie normen'!$B$36:$C$42,2,FALSE),FALSE)))/VLOOKUP(B147,'2-Kosten totaal'!$A$14:$C$16,3,FALSE)</f>
        <v>0</v>
      </c>
      <c r="P147" s="329">
        <f t="shared" si="39"/>
        <v>0</v>
      </c>
      <c r="Q147" s="330" t="str">
        <f>VLOOKUP(G147,'3-Productie normen'!A:O,15,FALSE)</f>
        <v>B</v>
      </c>
      <c r="R147" s="330"/>
      <c r="T147" s="331">
        <f t="shared" si="40"/>
        <v>2640</v>
      </c>
    </row>
    <row r="148" spans="1:20" ht="14.1" customHeight="1">
      <c r="A148" s="74">
        <v>148</v>
      </c>
      <c r="B148" s="286" t="s">
        <v>218</v>
      </c>
      <c r="C148" s="286" t="s">
        <v>232</v>
      </c>
      <c r="D148" s="325" t="s">
        <v>233</v>
      </c>
      <c r="E148" s="326" t="s">
        <v>327</v>
      </c>
      <c r="F148" s="70" t="s">
        <v>243</v>
      </c>
      <c r="G148" s="70" t="s">
        <v>40</v>
      </c>
      <c r="H148" s="70" t="s">
        <v>359</v>
      </c>
      <c r="I148" s="327">
        <v>194</v>
      </c>
      <c r="J148" s="328">
        <f t="shared" si="36"/>
        <v>200</v>
      </c>
      <c r="K148" s="250">
        <v>200</v>
      </c>
      <c r="L148" s="250"/>
      <c r="M148" s="249" t="e">
        <f t="shared" si="37"/>
        <v>#DIV/0!</v>
      </c>
      <c r="N148" s="249">
        <f t="shared" si="38"/>
        <v>0</v>
      </c>
      <c r="O148" s="329">
        <f>IF(K148="nio",0,IF(K148&gt;0,VLOOKUP(G148,'3-Productie normen'!A:L,VLOOKUP(K148,'3-Productie normen'!$B$36:$C$42,2,FALSE),FALSE)))/VLOOKUP(B148,'2-Kosten totaal'!$A$14:$C$16,3,FALSE)</f>
        <v>0</v>
      </c>
      <c r="P148" s="329">
        <f t="shared" si="39"/>
        <v>0</v>
      </c>
      <c r="Q148" s="330" t="str">
        <f>VLOOKUP(G148,'3-Productie normen'!A:O,15,FALSE)</f>
        <v>V</v>
      </c>
      <c r="R148" s="330"/>
      <c r="T148" s="331">
        <f t="shared" si="40"/>
        <v>38800</v>
      </c>
    </row>
    <row r="149" spans="1:20" ht="14.1" customHeight="1">
      <c r="A149" s="74">
        <v>149</v>
      </c>
      <c r="B149" s="286" t="s">
        <v>218</v>
      </c>
      <c r="C149" s="286" t="s">
        <v>232</v>
      </c>
      <c r="D149" s="325" t="s">
        <v>233</v>
      </c>
      <c r="E149" s="326">
        <v>140</v>
      </c>
      <c r="F149" s="70" t="s">
        <v>237</v>
      </c>
      <c r="G149" s="70" t="s">
        <v>224</v>
      </c>
      <c r="H149" s="70" t="s">
        <v>359</v>
      </c>
      <c r="I149" s="327">
        <v>55</v>
      </c>
      <c r="J149" s="328">
        <f t="shared" si="36"/>
        <v>200</v>
      </c>
      <c r="K149" s="250">
        <v>200</v>
      </c>
      <c r="L149" s="250"/>
      <c r="M149" s="249" t="e">
        <f t="shared" si="37"/>
        <v>#DIV/0!</v>
      </c>
      <c r="N149" s="249">
        <f t="shared" si="38"/>
        <v>0</v>
      </c>
      <c r="O149" s="329">
        <f>IF(K149="nio",0,IF(K149&gt;0,VLOOKUP(G149,'3-Productie normen'!A:L,VLOOKUP(K149,'3-Productie normen'!$B$36:$C$42,2,FALSE),FALSE)))/VLOOKUP(B149,'2-Kosten totaal'!$A$14:$C$16,3,FALSE)</f>
        <v>0</v>
      </c>
      <c r="P149" s="329">
        <f t="shared" si="39"/>
        <v>0</v>
      </c>
      <c r="Q149" s="330" t="str">
        <f>VLOOKUP(G149,'3-Productie normen'!A:O,15,FALSE)</f>
        <v>L</v>
      </c>
      <c r="R149" s="330"/>
      <c r="T149" s="331">
        <f t="shared" si="40"/>
        <v>11000</v>
      </c>
    </row>
    <row r="150" spans="1:20" ht="14.1" customHeight="1">
      <c r="A150" s="74">
        <v>150</v>
      </c>
      <c r="B150" s="286" t="s">
        <v>218</v>
      </c>
      <c r="C150" s="286" t="s">
        <v>232</v>
      </c>
      <c r="D150" s="325" t="s">
        <v>233</v>
      </c>
      <c r="E150" s="326">
        <v>141</v>
      </c>
      <c r="F150" s="70" t="s">
        <v>328</v>
      </c>
      <c r="G150" s="70" t="s">
        <v>223</v>
      </c>
      <c r="H150" s="70" t="s">
        <v>359</v>
      </c>
      <c r="I150" s="327">
        <v>236</v>
      </c>
      <c r="J150" s="328">
        <f t="shared" si="36"/>
        <v>200</v>
      </c>
      <c r="K150" s="250">
        <v>200</v>
      </c>
      <c r="L150" s="250"/>
      <c r="M150" s="249" t="e">
        <f t="shared" si="37"/>
        <v>#DIV/0!</v>
      </c>
      <c r="N150" s="249">
        <f t="shared" si="38"/>
        <v>0</v>
      </c>
      <c r="O150" s="329">
        <f>IF(K150="nio",0,IF(K150&gt;0,VLOOKUP(G150,'3-Productie normen'!A:L,VLOOKUP(K150,'3-Productie normen'!$B$36:$C$42,2,FALSE),FALSE)))/VLOOKUP(B150,'2-Kosten totaal'!$A$14:$C$16,3,FALSE)</f>
        <v>0</v>
      </c>
      <c r="P150" s="329">
        <f t="shared" si="39"/>
        <v>0</v>
      </c>
      <c r="Q150" s="330" t="str">
        <f>VLOOKUP(G150,'3-Productie normen'!A:O,15,FALSE)</f>
        <v>V</v>
      </c>
      <c r="R150" s="330"/>
      <c r="T150" s="331">
        <f t="shared" si="40"/>
        <v>47200</v>
      </c>
    </row>
    <row r="151" spans="1:20" ht="14.1" customHeight="1">
      <c r="A151" s="74">
        <v>151</v>
      </c>
      <c r="B151" s="286" t="s">
        <v>218</v>
      </c>
      <c r="C151" s="286" t="s">
        <v>232</v>
      </c>
      <c r="D151" s="325" t="s">
        <v>233</v>
      </c>
      <c r="E151" s="326">
        <v>142</v>
      </c>
      <c r="F151" s="286" t="s">
        <v>237</v>
      </c>
      <c r="G151" s="286" t="s">
        <v>224</v>
      </c>
      <c r="H151" s="70" t="s">
        <v>359</v>
      </c>
      <c r="I151" s="327">
        <v>55</v>
      </c>
      <c r="J151" s="328">
        <f t="shared" si="36"/>
        <v>200</v>
      </c>
      <c r="K151" s="250">
        <v>200</v>
      </c>
      <c r="L151" s="250"/>
      <c r="M151" s="249" t="e">
        <f t="shared" si="37"/>
        <v>#DIV/0!</v>
      </c>
      <c r="N151" s="249">
        <f t="shared" si="38"/>
        <v>0</v>
      </c>
      <c r="O151" s="329">
        <f>IF(K151="nio",0,IF(K151&gt;0,VLOOKUP(G151,'3-Productie normen'!A:L,VLOOKUP(K151,'3-Productie normen'!$B$36:$C$42,2,FALSE),FALSE)))/VLOOKUP(B151,'2-Kosten totaal'!$A$14:$C$16,3,FALSE)</f>
        <v>0</v>
      </c>
      <c r="P151" s="329">
        <f t="shared" si="39"/>
        <v>0</v>
      </c>
      <c r="Q151" s="330" t="str">
        <f>VLOOKUP(G151,'3-Productie normen'!A:O,15,FALSE)</f>
        <v>L</v>
      </c>
      <c r="R151" s="330"/>
      <c r="T151" s="331">
        <f t="shared" si="40"/>
        <v>11000</v>
      </c>
    </row>
    <row r="152" spans="1:20" ht="14.1" customHeight="1">
      <c r="A152" s="74">
        <v>152</v>
      </c>
      <c r="B152" s="286" t="s">
        <v>218</v>
      </c>
      <c r="C152" s="286" t="s">
        <v>232</v>
      </c>
      <c r="D152" s="325" t="s">
        <v>233</v>
      </c>
      <c r="E152" s="326">
        <v>144</v>
      </c>
      <c r="F152" s="286" t="s">
        <v>237</v>
      </c>
      <c r="G152" s="286" t="s">
        <v>224</v>
      </c>
      <c r="H152" s="70" t="s">
        <v>359</v>
      </c>
      <c r="I152" s="327">
        <v>55</v>
      </c>
      <c r="J152" s="328">
        <f t="shared" si="36"/>
        <v>200</v>
      </c>
      <c r="K152" s="250">
        <v>200</v>
      </c>
      <c r="L152" s="250"/>
      <c r="M152" s="249" t="e">
        <f t="shared" si="37"/>
        <v>#DIV/0!</v>
      </c>
      <c r="N152" s="249">
        <f t="shared" si="38"/>
        <v>0</v>
      </c>
      <c r="O152" s="329">
        <f>IF(K152="nio",0,IF(K152&gt;0,VLOOKUP(G152,'3-Productie normen'!A:L,VLOOKUP(K152,'3-Productie normen'!$B$36:$C$42,2,FALSE),FALSE)))/VLOOKUP(B152,'2-Kosten totaal'!$A$14:$C$16,3,FALSE)</f>
        <v>0</v>
      </c>
      <c r="P152" s="329">
        <f t="shared" si="39"/>
        <v>0</v>
      </c>
      <c r="Q152" s="330" t="str">
        <f>VLOOKUP(G152,'3-Productie normen'!A:O,15,FALSE)</f>
        <v>L</v>
      </c>
      <c r="R152" s="330"/>
      <c r="T152" s="331">
        <f t="shared" si="40"/>
        <v>11000</v>
      </c>
    </row>
    <row r="153" spans="1:20" ht="14.1" customHeight="1">
      <c r="A153" s="74">
        <v>153</v>
      </c>
      <c r="B153" s="286" t="s">
        <v>218</v>
      </c>
      <c r="C153" s="286" t="s">
        <v>232</v>
      </c>
      <c r="D153" s="325" t="s">
        <v>233</v>
      </c>
      <c r="E153" s="326">
        <v>145</v>
      </c>
      <c r="F153" s="286" t="s">
        <v>237</v>
      </c>
      <c r="G153" s="286" t="s">
        <v>224</v>
      </c>
      <c r="H153" s="70" t="s">
        <v>359</v>
      </c>
      <c r="I153" s="327">
        <v>55</v>
      </c>
      <c r="J153" s="328">
        <f t="shared" si="36"/>
        <v>200</v>
      </c>
      <c r="K153" s="250">
        <v>200</v>
      </c>
      <c r="L153" s="250"/>
      <c r="M153" s="249" t="e">
        <f t="shared" si="37"/>
        <v>#DIV/0!</v>
      </c>
      <c r="N153" s="249">
        <f t="shared" si="38"/>
        <v>0</v>
      </c>
      <c r="O153" s="329">
        <f>IF(K153="nio",0,IF(K153&gt;0,VLOOKUP(G153,'3-Productie normen'!A:L,VLOOKUP(K153,'3-Productie normen'!$B$36:$C$42,2,FALSE),FALSE)))/VLOOKUP(B153,'2-Kosten totaal'!$A$14:$C$16,3,FALSE)</f>
        <v>0</v>
      </c>
      <c r="P153" s="329">
        <f t="shared" si="39"/>
        <v>0</v>
      </c>
      <c r="Q153" s="330" t="str">
        <f>VLOOKUP(G153,'3-Productie normen'!A:O,15,FALSE)</f>
        <v>L</v>
      </c>
      <c r="R153" s="330"/>
      <c r="T153" s="331">
        <f t="shared" si="40"/>
        <v>11000</v>
      </c>
    </row>
    <row r="154" spans="1:20" ht="14.1" customHeight="1">
      <c r="A154" s="74">
        <v>154</v>
      </c>
      <c r="B154" s="286" t="s">
        <v>218</v>
      </c>
      <c r="C154" s="286" t="s">
        <v>232</v>
      </c>
      <c r="D154" s="325" t="s">
        <v>233</v>
      </c>
      <c r="E154" s="326">
        <v>146</v>
      </c>
      <c r="F154" s="70" t="s">
        <v>237</v>
      </c>
      <c r="G154" s="286" t="s">
        <v>224</v>
      </c>
      <c r="H154" s="70" t="s">
        <v>359</v>
      </c>
      <c r="I154" s="327">
        <v>55</v>
      </c>
      <c r="J154" s="328">
        <f t="shared" si="36"/>
        <v>200</v>
      </c>
      <c r="K154" s="250">
        <v>200</v>
      </c>
      <c r="L154" s="250"/>
      <c r="M154" s="249" t="e">
        <f t="shared" si="37"/>
        <v>#DIV/0!</v>
      </c>
      <c r="N154" s="249">
        <f t="shared" si="38"/>
        <v>0</v>
      </c>
      <c r="O154" s="329">
        <f>IF(K154="nio",0,IF(K154&gt;0,VLOOKUP(G154,'3-Productie normen'!A:L,VLOOKUP(K154,'3-Productie normen'!$B$36:$C$42,2,FALSE),FALSE)))/VLOOKUP(B154,'2-Kosten totaal'!$A$14:$C$16,3,FALSE)</f>
        <v>0</v>
      </c>
      <c r="P154" s="329">
        <f t="shared" si="39"/>
        <v>0</v>
      </c>
      <c r="Q154" s="330" t="str">
        <f>VLOOKUP(G154,'3-Productie normen'!A:O,15,FALSE)</f>
        <v>L</v>
      </c>
      <c r="R154" s="330"/>
      <c r="T154" s="331">
        <f t="shared" si="40"/>
        <v>11000</v>
      </c>
    </row>
    <row r="155" spans="1:20" ht="14.1" customHeight="1">
      <c r="A155" s="74">
        <v>155</v>
      </c>
      <c r="B155" s="286" t="s">
        <v>218</v>
      </c>
      <c r="C155" s="286" t="s">
        <v>232</v>
      </c>
      <c r="D155" s="325" t="s">
        <v>233</v>
      </c>
      <c r="E155" s="326">
        <v>147</v>
      </c>
      <c r="F155" s="70" t="s">
        <v>237</v>
      </c>
      <c r="G155" s="286" t="s">
        <v>224</v>
      </c>
      <c r="H155" s="70" t="s">
        <v>359</v>
      </c>
      <c r="I155" s="327">
        <v>55</v>
      </c>
      <c r="J155" s="328">
        <f t="shared" si="36"/>
        <v>200</v>
      </c>
      <c r="K155" s="250">
        <v>200</v>
      </c>
      <c r="L155" s="250"/>
      <c r="M155" s="249" t="e">
        <f t="shared" si="37"/>
        <v>#DIV/0!</v>
      </c>
      <c r="N155" s="249">
        <f t="shared" si="38"/>
        <v>0</v>
      </c>
      <c r="O155" s="329">
        <f>IF(K155="nio",0,IF(K155&gt;0,VLOOKUP(G155,'3-Productie normen'!A:L,VLOOKUP(K155,'3-Productie normen'!$B$36:$C$42,2,FALSE),FALSE)))/VLOOKUP(B155,'2-Kosten totaal'!$A$14:$C$16,3,FALSE)</f>
        <v>0</v>
      </c>
      <c r="P155" s="329">
        <f t="shared" si="39"/>
        <v>0</v>
      </c>
      <c r="Q155" s="330" t="str">
        <f>VLOOKUP(G155,'3-Productie normen'!A:O,15,FALSE)</f>
        <v>L</v>
      </c>
      <c r="R155" s="330"/>
      <c r="T155" s="331">
        <f t="shared" si="40"/>
        <v>11000</v>
      </c>
    </row>
    <row r="156" spans="1:20" ht="14.1" customHeight="1">
      <c r="A156" s="74">
        <v>156</v>
      </c>
      <c r="B156" s="286" t="s">
        <v>218</v>
      </c>
      <c r="C156" s="286" t="s">
        <v>232</v>
      </c>
      <c r="D156" s="325" t="s">
        <v>233</v>
      </c>
      <c r="E156" s="326">
        <v>150</v>
      </c>
      <c r="F156" s="478" t="s">
        <v>397</v>
      </c>
      <c r="G156" s="477" t="s">
        <v>36</v>
      </c>
      <c r="H156" s="478" t="s">
        <v>359</v>
      </c>
      <c r="I156" s="479">
        <v>18</v>
      </c>
      <c r="J156" s="480">
        <f t="shared" si="36"/>
        <v>120</v>
      </c>
      <c r="K156" s="250">
        <v>120</v>
      </c>
      <c r="L156" s="250"/>
      <c r="M156" s="249" t="e">
        <f t="shared" si="37"/>
        <v>#DIV/0!</v>
      </c>
      <c r="N156" s="249">
        <f t="shared" si="38"/>
        <v>0</v>
      </c>
      <c r="O156" s="329">
        <f>IF(K156="nio",0,IF(K156&gt;0,VLOOKUP(G156,'3-Productie normen'!A:L,VLOOKUP(K156,'3-Productie normen'!$B$36:$C$42,2,FALSE),FALSE)))/VLOOKUP(B156,'2-Kosten totaal'!$A$14:$C$16,3,FALSE)</f>
        <v>0</v>
      </c>
      <c r="P156" s="329">
        <f t="shared" si="39"/>
        <v>0</v>
      </c>
      <c r="Q156" s="330" t="str">
        <f>VLOOKUP(G156,'3-Productie normen'!A:O,15,FALSE)</f>
        <v>B</v>
      </c>
      <c r="R156" s="330"/>
      <c r="T156" s="331">
        <f t="shared" si="40"/>
        <v>2160</v>
      </c>
    </row>
    <row r="157" spans="1:20" ht="14.1" customHeight="1">
      <c r="A157" s="74">
        <v>157</v>
      </c>
      <c r="B157" s="286" t="s">
        <v>218</v>
      </c>
      <c r="C157" s="286" t="s">
        <v>232</v>
      </c>
      <c r="D157" s="325" t="s">
        <v>233</v>
      </c>
      <c r="E157" s="326" t="s">
        <v>329</v>
      </c>
      <c r="F157" s="70" t="s">
        <v>243</v>
      </c>
      <c r="G157" s="70" t="s">
        <v>40</v>
      </c>
      <c r="H157" s="70" t="s">
        <v>359</v>
      </c>
      <c r="I157" s="327">
        <v>117</v>
      </c>
      <c r="J157" s="328">
        <f t="shared" si="36"/>
        <v>200</v>
      </c>
      <c r="K157" s="250">
        <v>200</v>
      </c>
      <c r="L157" s="250"/>
      <c r="M157" s="249" t="e">
        <f t="shared" si="37"/>
        <v>#DIV/0!</v>
      </c>
      <c r="N157" s="249">
        <f t="shared" si="38"/>
        <v>0</v>
      </c>
      <c r="O157" s="329">
        <f>IF(K157="nio",0,IF(K157&gt;0,VLOOKUP(G157,'3-Productie normen'!A:L,VLOOKUP(K157,'3-Productie normen'!$B$36:$C$42,2,FALSE),FALSE)))/VLOOKUP(B157,'2-Kosten totaal'!$A$14:$C$16,3,FALSE)</f>
        <v>0</v>
      </c>
      <c r="P157" s="329">
        <f t="shared" si="39"/>
        <v>0</v>
      </c>
      <c r="Q157" s="330" t="str">
        <f>VLOOKUP(G157,'3-Productie normen'!A:O,15,FALSE)</f>
        <v>V</v>
      </c>
      <c r="R157" s="330"/>
      <c r="T157" s="331">
        <f t="shared" si="40"/>
        <v>23400</v>
      </c>
    </row>
    <row r="158" spans="1:20" ht="14.1" customHeight="1">
      <c r="A158" s="74">
        <v>158</v>
      </c>
      <c r="B158" s="286" t="s">
        <v>218</v>
      </c>
      <c r="C158" s="286" t="s">
        <v>232</v>
      </c>
      <c r="D158" s="325" t="s">
        <v>233</v>
      </c>
      <c r="E158" s="326">
        <v>152</v>
      </c>
      <c r="F158" s="483" t="s">
        <v>241</v>
      </c>
      <c r="G158" s="483" t="s">
        <v>38</v>
      </c>
      <c r="H158" s="478" t="s">
        <v>358</v>
      </c>
      <c r="I158" s="479">
        <v>13</v>
      </c>
      <c r="J158" s="480">
        <f t="shared" si="36"/>
        <v>400</v>
      </c>
      <c r="K158" s="481">
        <v>200</v>
      </c>
      <c r="L158" s="250">
        <v>200</v>
      </c>
      <c r="M158" s="249" t="e">
        <f t="shared" si="37"/>
        <v>#DIV/0!</v>
      </c>
      <c r="N158" s="249" t="e">
        <f t="shared" si="38"/>
        <v>#DIV/0!</v>
      </c>
      <c r="O158" s="329">
        <f>IF(K158="nio",0,IF(K158&gt;0,VLOOKUP(G158,'3-Productie normen'!A:L,VLOOKUP(K158,'3-Productie normen'!$B$36:$C$42,2,FALSE),FALSE)))/VLOOKUP(B158,'2-Kosten totaal'!$A$14:$C$16,3,FALSE)</f>
        <v>0</v>
      </c>
      <c r="P158" s="329">
        <f t="shared" si="39"/>
        <v>0</v>
      </c>
      <c r="Q158" s="330" t="str">
        <f>VLOOKUP(G158,'3-Productie normen'!A:O,15,FALSE)</f>
        <v>S</v>
      </c>
      <c r="R158" s="330"/>
      <c r="T158" s="331">
        <f t="shared" si="40"/>
        <v>5200</v>
      </c>
    </row>
    <row r="159" spans="1:20" ht="14.1" customHeight="1">
      <c r="A159" s="74">
        <v>159</v>
      </c>
      <c r="B159" s="286" t="s">
        <v>218</v>
      </c>
      <c r="C159" s="286" t="s">
        <v>232</v>
      </c>
      <c r="D159" s="325" t="s">
        <v>233</v>
      </c>
      <c r="E159" s="326">
        <v>153</v>
      </c>
      <c r="F159" s="478" t="s">
        <v>239</v>
      </c>
      <c r="G159" s="478" t="s">
        <v>38</v>
      </c>
      <c r="H159" s="484" t="s">
        <v>358</v>
      </c>
      <c r="I159" s="479">
        <v>13</v>
      </c>
      <c r="J159" s="480">
        <f t="shared" si="36"/>
        <v>400</v>
      </c>
      <c r="K159" s="481">
        <v>200</v>
      </c>
      <c r="L159" s="250">
        <v>200</v>
      </c>
      <c r="M159" s="249" t="e">
        <f t="shared" si="37"/>
        <v>#DIV/0!</v>
      </c>
      <c r="N159" s="249" t="e">
        <f t="shared" si="38"/>
        <v>#DIV/0!</v>
      </c>
      <c r="O159" s="329">
        <f>IF(K159="nio",0,IF(K159&gt;0,VLOOKUP(G159,'3-Productie normen'!A:L,VLOOKUP(K159,'3-Productie normen'!$B$36:$C$42,2,FALSE),FALSE)))/VLOOKUP(B159,'2-Kosten totaal'!$A$14:$C$16,3,FALSE)</f>
        <v>0</v>
      </c>
      <c r="P159" s="329">
        <f t="shared" si="39"/>
        <v>0</v>
      </c>
      <c r="Q159" s="330" t="str">
        <f>VLOOKUP(G159,'3-Productie normen'!A:O,15,FALSE)</f>
        <v>S</v>
      </c>
      <c r="R159" s="330"/>
      <c r="T159" s="331">
        <f t="shared" si="40"/>
        <v>5200</v>
      </c>
    </row>
    <row r="160" spans="1:20" ht="14.1" customHeight="1">
      <c r="A160" s="74">
        <v>160</v>
      </c>
      <c r="B160" s="286" t="s">
        <v>218</v>
      </c>
      <c r="C160" s="286" t="s">
        <v>232</v>
      </c>
      <c r="D160" s="84" t="s">
        <v>233</v>
      </c>
      <c r="E160" s="247" t="s">
        <v>330</v>
      </c>
      <c r="F160" s="482" t="s">
        <v>389</v>
      </c>
      <c r="G160" s="482" t="s">
        <v>36</v>
      </c>
      <c r="H160" s="478" t="s">
        <v>357</v>
      </c>
      <c r="I160" s="479">
        <v>18</v>
      </c>
      <c r="J160" s="480">
        <f t="shared" si="36"/>
        <v>120</v>
      </c>
      <c r="K160" s="250">
        <v>120</v>
      </c>
      <c r="L160" s="250"/>
      <c r="M160" s="249" t="e">
        <f t="shared" si="37"/>
        <v>#DIV/0!</v>
      </c>
      <c r="N160" s="249">
        <f t="shared" si="38"/>
        <v>0</v>
      </c>
      <c r="O160" s="329">
        <f>IF(K160="nio",0,IF(K160&gt;0,VLOOKUP(G160,'3-Productie normen'!A:L,VLOOKUP(K160,'3-Productie normen'!$B$36:$C$42,2,FALSE),FALSE)))/VLOOKUP(B160,'2-Kosten totaal'!$A$14:$C$16,3,FALSE)</f>
        <v>0</v>
      </c>
      <c r="P160" s="329">
        <f t="shared" si="39"/>
        <v>0</v>
      </c>
      <c r="Q160" s="330" t="str">
        <f>VLOOKUP(G160,'3-Productie normen'!A:O,15,FALSE)</f>
        <v>B</v>
      </c>
      <c r="R160" s="330"/>
      <c r="T160" s="331">
        <f t="shared" si="40"/>
        <v>2160</v>
      </c>
    </row>
    <row r="161" spans="1:20" ht="14.1" customHeight="1">
      <c r="A161" s="74">
        <v>161</v>
      </c>
      <c r="B161" s="286" t="s">
        <v>218</v>
      </c>
      <c r="C161" s="286" t="s">
        <v>232</v>
      </c>
      <c r="D161" s="325" t="s">
        <v>233</v>
      </c>
      <c r="E161" s="326" t="s">
        <v>331</v>
      </c>
      <c r="F161" s="70" t="s">
        <v>243</v>
      </c>
      <c r="G161" s="70" t="s">
        <v>40</v>
      </c>
      <c r="H161" s="70" t="s">
        <v>357</v>
      </c>
      <c r="I161" s="327">
        <v>18</v>
      </c>
      <c r="J161" s="328">
        <f t="shared" si="36"/>
        <v>200</v>
      </c>
      <c r="K161" s="250">
        <v>200</v>
      </c>
      <c r="L161" s="250"/>
      <c r="M161" s="249" t="e">
        <f t="shared" si="37"/>
        <v>#DIV/0!</v>
      </c>
      <c r="N161" s="249">
        <f t="shared" si="38"/>
        <v>0</v>
      </c>
      <c r="O161" s="329">
        <f>IF(K161="nio",0,IF(K161&gt;0,VLOOKUP(G161,'3-Productie normen'!A:L,VLOOKUP(K161,'3-Productie normen'!$B$36:$C$42,2,FALSE),FALSE)))/VLOOKUP(B161,'2-Kosten totaal'!$A$14:$C$16,3,FALSE)</f>
        <v>0</v>
      </c>
      <c r="P161" s="329">
        <f t="shared" si="39"/>
        <v>0</v>
      </c>
      <c r="Q161" s="330" t="str">
        <f>VLOOKUP(G161,'3-Productie normen'!A:O,15,FALSE)</f>
        <v>V</v>
      </c>
      <c r="R161" s="330"/>
      <c r="T161" s="331">
        <f t="shared" si="40"/>
        <v>3600</v>
      </c>
    </row>
    <row r="162" spans="1:20" ht="14.1" customHeight="1">
      <c r="A162" s="74">
        <v>162</v>
      </c>
      <c r="B162" s="286" t="s">
        <v>218</v>
      </c>
      <c r="C162" s="286" t="s">
        <v>232</v>
      </c>
      <c r="D162" s="325" t="s">
        <v>233</v>
      </c>
      <c r="E162" s="326">
        <v>160</v>
      </c>
      <c r="F162" s="70" t="s">
        <v>237</v>
      </c>
      <c r="G162" s="70" t="s">
        <v>224</v>
      </c>
      <c r="H162" s="70" t="s">
        <v>363</v>
      </c>
      <c r="I162" s="327">
        <v>56</v>
      </c>
      <c r="J162" s="328">
        <f t="shared" si="36"/>
        <v>200</v>
      </c>
      <c r="K162" s="250">
        <v>200</v>
      </c>
      <c r="L162" s="250"/>
      <c r="M162" s="249" t="e">
        <f t="shared" si="37"/>
        <v>#DIV/0!</v>
      </c>
      <c r="N162" s="249">
        <f t="shared" si="38"/>
        <v>0</v>
      </c>
      <c r="O162" s="329">
        <f>IF(K162="nio",0,IF(K162&gt;0,VLOOKUP(G162,'3-Productie normen'!A:L,VLOOKUP(K162,'3-Productie normen'!$B$36:$C$42,2,FALSE),FALSE)))/VLOOKUP(B162,'2-Kosten totaal'!$A$14:$C$16,3,FALSE)</f>
        <v>0</v>
      </c>
      <c r="P162" s="329">
        <f t="shared" si="39"/>
        <v>0</v>
      </c>
      <c r="Q162" s="330" t="str">
        <f>VLOOKUP(G162,'3-Productie normen'!A:O,15,FALSE)</f>
        <v>L</v>
      </c>
      <c r="R162" s="330"/>
      <c r="T162" s="331">
        <f t="shared" si="40"/>
        <v>11200</v>
      </c>
    </row>
    <row r="163" spans="1:20" ht="14.1" customHeight="1">
      <c r="A163" s="74">
        <v>163</v>
      </c>
      <c r="B163" s="286" t="s">
        <v>218</v>
      </c>
      <c r="C163" s="286" t="s">
        <v>232</v>
      </c>
      <c r="D163" s="325" t="s">
        <v>233</v>
      </c>
      <c r="E163" s="326">
        <v>161</v>
      </c>
      <c r="F163" s="70" t="s">
        <v>237</v>
      </c>
      <c r="G163" s="70" t="s">
        <v>224</v>
      </c>
      <c r="H163" s="70" t="s">
        <v>363</v>
      </c>
      <c r="I163" s="327">
        <v>56</v>
      </c>
      <c r="J163" s="328">
        <f t="shared" si="36"/>
        <v>200</v>
      </c>
      <c r="K163" s="250">
        <v>200</v>
      </c>
      <c r="L163" s="250"/>
      <c r="M163" s="249" t="e">
        <f t="shared" si="37"/>
        <v>#DIV/0!</v>
      </c>
      <c r="N163" s="249">
        <f t="shared" si="38"/>
        <v>0</v>
      </c>
      <c r="O163" s="329">
        <f>IF(K163="nio",0,IF(K163&gt;0,VLOOKUP(G163,'3-Productie normen'!A:L,VLOOKUP(K163,'3-Productie normen'!$B$36:$C$42,2,FALSE),FALSE)))/VLOOKUP(B163,'2-Kosten totaal'!$A$14:$C$16,3,FALSE)</f>
        <v>0</v>
      </c>
      <c r="P163" s="329">
        <f t="shared" si="39"/>
        <v>0</v>
      </c>
      <c r="Q163" s="330" t="str">
        <f>VLOOKUP(G163,'3-Productie normen'!A:O,15,FALSE)</f>
        <v>L</v>
      </c>
      <c r="R163" s="330"/>
      <c r="T163" s="331">
        <f t="shared" si="40"/>
        <v>11200</v>
      </c>
    </row>
    <row r="164" spans="1:20" ht="14.1" customHeight="1">
      <c r="A164" s="74">
        <v>164</v>
      </c>
      <c r="B164" s="286" t="s">
        <v>218</v>
      </c>
      <c r="C164" s="286" t="s">
        <v>232</v>
      </c>
      <c r="D164" s="325" t="s">
        <v>233</v>
      </c>
      <c r="E164" s="326">
        <v>162</v>
      </c>
      <c r="F164" s="70" t="s">
        <v>332</v>
      </c>
      <c r="G164" s="70" t="s">
        <v>224</v>
      </c>
      <c r="H164" s="70" t="s">
        <v>363</v>
      </c>
      <c r="I164" s="327">
        <v>70</v>
      </c>
      <c r="J164" s="328">
        <f t="shared" si="36"/>
        <v>200</v>
      </c>
      <c r="K164" s="250">
        <v>200</v>
      </c>
      <c r="L164" s="250"/>
      <c r="M164" s="249" t="e">
        <f t="shared" si="37"/>
        <v>#DIV/0!</v>
      </c>
      <c r="N164" s="249">
        <f t="shared" si="38"/>
        <v>0</v>
      </c>
      <c r="O164" s="329">
        <f>IF(K164="nio",0,IF(K164&gt;0,VLOOKUP(G164,'3-Productie normen'!A:L,VLOOKUP(K164,'3-Productie normen'!$B$36:$C$42,2,FALSE),FALSE)))/VLOOKUP(B164,'2-Kosten totaal'!$A$14:$C$16,3,FALSE)</f>
        <v>0</v>
      </c>
      <c r="P164" s="329">
        <f t="shared" si="39"/>
        <v>0</v>
      </c>
      <c r="Q164" s="330" t="str">
        <f>VLOOKUP(G164,'3-Productie normen'!A:O,15,FALSE)</f>
        <v>L</v>
      </c>
      <c r="R164" s="330"/>
      <c r="T164" s="331">
        <f t="shared" si="40"/>
        <v>14000</v>
      </c>
    </row>
    <row r="165" spans="1:20" ht="14.1" customHeight="1">
      <c r="A165" s="74">
        <v>165</v>
      </c>
      <c r="B165" s="286" t="s">
        <v>218</v>
      </c>
      <c r="C165" s="286" t="s">
        <v>232</v>
      </c>
      <c r="D165" s="325" t="s">
        <v>233</v>
      </c>
      <c r="E165" s="326">
        <v>163</v>
      </c>
      <c r="F165" s="478" t="s">
        <v>333</v>
      </c>
      <c r="G165" s="478" t="s">
        <v>227</v>
      </c>
      <c r="H165" s="478" t="s">
        <v>363</v>
      </c>
      <c r="I165" s="479">
        <v>255</v>
      </c>
      <c r="J165" s="480">
        <f t="shared" si="36"/>
        <v>200</v>
      </c>
      <c r="K165" s="481">
        <v>200</v>
      </c>
      <c r="L165" s="250"/>
      <c r="M165" s="249" t="e">
        <f t="shared" si="37"/>
        <v>#DIV/0!</v>
      </c>
      <c r="N165" s="249">
        <f t="shared" si="38"/>
        <v>0</v>
      </c>
      <c r="O165" s="329">
        <f>IF(K165="nio",0,IF(K165&gt;0,VLOOKUP(G165,'3-Productie normen'!A:L,VLOOKUP(K165,'3-Productie normen'!$B$36:$C$42,2,FALSE),FALSE)))/VLOOKUP(B165,'2-Kosten totaal'!$A$14:$C$16,3,FALSE)</f>
        <v>0</v>
      </c>
      <c r="P165" s="329">
        <f t="shared" si="39"/>
        <v>0</v>
      </c>
      <c r="Q165" s="330" t="str">
        <f>VLOOKUP(G165,'3-Productie normen'!A:O,15,FALSE)</f>
        <v>L</v>
      </c>
      <c r="R165" s="330"/>
      <c r="T165" s="331">
        <f t="shared" si="40"/>
        <v>51000</v>
      </c>
    </row>
    <row r="166" spans="1:20" ht="14.1" customHeight="1">
      <c r="A166" s="74">
        <v>166</v>
      </c>
      <c r="B166" s="286" t="s">
        <v>218</v>
      </c>
      <c r="C166" s="286" t="s">
        <v>232</v>
      </c>
      <c r="D166" s="325" t="s">
        <v>233</v>
      </c>
      <c r="E166" s="326" t="s">
        <v>334</v>
      </c>
      <c r="F166" s="477" t="s">
        <v>288</v>
      </c>
      <c r="G166" s="477" t="s">
        <v>229</v>
      </c>
      <c r="H166" s="478" t="s">
        <v>359</v>
      </c>
      <c r="I166" s="479">
        <v>3</v>
      </c>
      <c r="J166" s="480">
        <f t="shared" si="36"/>
        <v>40</v>
      </c>
      <c r="K166" s="481">
        <v>40</v>
      </c>
      <c r="L166" s="250"/>
      <c r="M166" s="249" t="e">
        <f t="shared" si="37"/>
        <v>#DIV/0!</v>
      </c>
      <c r="N166" s="249">
        <f t="shared" si="38"/>
        <v>0</v>
      </c>
      <c r="O166" s="329">
        <f>IF(K166="nio",0,IF(K166&gt;0,VLOOKUP(G166,'3-Productie normen'!A:L,VLOOKUP(K166,'3-Productie normen'!$B$36:$C$42,2,FALSE),FALSE)))/VLOOKUP(B166,'2-Kosten totaal'!$A$14:$C$16,3,FALSE)</f>
        <v>0</v>
      </c>
      <c r="P166" s="329">
        <f t="shared" si="39"/>
        <v>0</v>
      </c>
      <c r="Q166" s="330" t="str">
        <f>VLOOKUP(G166,'3-Productie normen'!A:O,15,FALSE)</f>
        <v>V</v>
      </c>
      <c r="R166" s="330"/>
      <c r="T166" s="331">
        <f t="shared" si="40"/>
        <v>120</v>
      </c>
    </row>
    <row r="167" spans="1:20" ht="14.1" customHeight="1">
      <c r="A167" s="74">
        <v>167</v>
      </c>
      <c r="B167" s="286" t="s">
        <v>218</v>
      </c>
      <c r="C167" s="286" t="s">
        <v>232</v>
      </c>
      <c r="D167" s="325" t="s">
        <v>233</v>
      </c>
      <c r="E167" s="326">
        <v>165</v>
      </c>
      <c r="F167" s="286" t="s">
        <v>335</v>
      </c>
      <c r="G167" s="55" t="s">
        <v>226</v>
      </c>
      <c r="H167" s="70" t="s">
        <v>363</v>
      </c>
      <c r="I167" s="327">
        <v>26</v>
      </c>
      <c r="J167" s="328">
        <f t="shared" si="36"/>
        <v>0</v>
      </c>
      <c r="K167" s="250" t="s">
        <v>369</v>
      </c>
      <c r="L167" s="250"/>
      <c r="M167" s="249">
        <f t="shared" si="37"/>
        <v>0</v>
      </c>
      <c r="N167" s="249">
        <f t="shared" si="38"/>
        <v>0</v>
      </c>
      <c r="O167" s="329">
        <f>IF(K167="nio",0,IF(K167&gt;0,VLOOKUP(G167,'3-Productie normen'!A:L,VLOOKUP(K167,'3-Productie normen'!$B$36:$C$42,2,FALSE),FALSE)))/VLOOKUP(B167,'2-Kosten totaal'!$A$14:$C$16,3,FALSE)</f>
        <v>0</v>
      </c>
      <c r="P167" s="329">
        <f t="shared" si="39"/>
        <v>0</v>
      </c>
      <c r="Q167" s="330" t="str">
        <f>VLOOKUP(G167,'3-Productie normen'!A:O,15,FALSE)</f>
        <v>V</v>
      </c>
      <c r="R167" s="330"/>
      <c r="T167" s="331">
        <f t="shared" si="40"/>
        <v>0</v>
      </c>
    </row>
    <row r="168" spans="1:20" ht="14.1" customHeight="1">
      <c r="A168" s="74">
        <v>168</v>
      </c>
      <c r="B168" s="286" t="s">
        <v>218</v>
      </c>
      <c r="C168" s="286" t="s">
        <v>232</v>
      </c>
      <c r="D168" s="325" t="s">
        <v>233</v>
      </c>
      <c r="E168" s="326">
        <v>166</v>
      </c>
      <c r="F168" s="286" t="s">
        <v>278</v>
      </c>
      <c r="G168" s="286" t="s">
        <v>224</v>
      </c>
      <c r="H168" s="70" t="s">
        <v>363</v>
      </c>
      <c r="I168" s="327">
        <v>19</v>
      </c>
      <c r="J168" s="328">
        <f t="shared" si="36"/>
        <v>200</v>
      </c>
      <c r="K168" s="250">
        <v>200</v>
      </c>
      <c r="L168" s="250"/>
      <c r="M168" s="249" t="e">
        <f t="shared" si="37"/>
        <v>#DIV/0!</v>
      </c>
      <c r="N168" s="249">
        <f t="shared" si="38"/>
        <v>0</v>
      </c>
      <c r="O168" s="329">
        <f>IF(K168="nio",0,IF(K168&gt;0,VLOOKUP(G168,'3-Productie normen'!A:L,VLOOKUP(K168,'3-Productie normen'!$B$36:$C$42,2,FALSE),FALSE)))/VLOOKUP(B168,'2-Kosten totaal'!$A$14:$C$16,3,FALSE)</f>
        <v>0</v>
      </c>
      <c r="P168" s="329">
        <f t="shared" si="39"/>
        <v>0</v>
      </c>
      <c r="Q168" s="330" t="str">
        <f>VLOOKUP(G168,'3-Productie normen'!A:O,15,FALSE)</f>
        <v>L</v>
      </c>
      <c r="R168" s="330"/>
      <c r="T168" s="331">
        <f t="shared" si="40"/>
        <v>3800</v>
      </c>
    </row>
    <row r="169" spans="1:20" ht="14.1" customHeight="1">
      <c r="A169" s="74">
        <v>169</v>
      </c>
      <c r="B169" s="286" t="s">
        <v>218</v>
      </c>
      <c r="C169" s="286" t="s">
        <v>232</v>
      </c>
      <c r="D169" s="325" t="s">
        <v>233</v>
      </c>
      <c r="E169" s="326">
        <v>167</v>
      </c>
      <c r="F169" s="70" t="s">
        <v>340</v>
      </c>
      <c r="G169" s="70" t="s">
        <v>224</v>
      </c>
      <c r="H169" s="70" t="s">
        <v>363</v>
      </c>
      <c r="I169" s="327">
        <v>70</v>
      </c>
      <c r="J169" s="328">
        <f t="shared" si="36"/>
        <v>200</v>
      </c>
      <c r="K169" s="250">
        <v>200</v>
      </c>
      <c r="L169" s="250"/>
      <c r="M169" s="249" t="e">
        <f t="shared" si="37"/>
        <v>#DIV/0!</v>
      </c>
      <c r="N169" s="249">
        <f t="shared" si="38"/>
        <v>0</v>
      </c>
      <c r="O169" s="329">
        <f>IF(K169="nio",0,IF(K169&gt;0,VLOOKUP(G169,'3-Productie normen'!A:L,VLOOKUP(K169,'3-Productie normen'!$B$36:$C$42,2,FALSE),FALSE)))/VLOOKUP(B169,'2-Kosten totaal'!$A$14:$C$16,3,FALSE)</f>
        <v>0</v>
      </c>
      <c r="P169" s="329">
        <f t="shared" si="39"/>
        <v>0</v>
      </c>
      <c r="Q169" s="330" t="str">
        <f>VLOOKUP(G169,'3-Productie normen'!A:O,15,FALSE)</f>
        <v>L</v>
      </c>
      <c r="R169" s="330"/>
      <c r="T169" s="331">
        <f t="shared" si="40"/>
        <v>14000</v>
      </c>
    </row>
    <row r="170" spans="1:20" ht="14.1" customHeight="1">
      <c r="A170" s="74">
        <v>170</v>
      </c>
      <c r="B170" s="286" t="s">
        <v>218</v>
      </c>
      <c r="C170" s="286" t="s">
        <v>232</v>
      </c>
      <c r="D170" s="325" t="s">
        <v>233</v>
      </c>
      <c r="E170" s="326" t="s">
        <v>336</v>
      </c>
      <c r="F170" s="478" t="s">
        <v>288</v>
      </c>
      <c r="G170" s="478" t="s">
        <v>229</v>
      </c>
      <c r="H170" s="478" t="s">
        <v>359</v>
      </c>
      <c r="I170" s="479">
        <v>4</v>
      </c>
      <c r="J170" s="480">
        <f t="shared" si="36"/>
        <v>40</v>
      </c>
      <c r="K170" s="481">
        <v>40</v>
      </c>
      <c r="L170" s="250"/>
      <c r="M170" s="249" t="e">
        <f t="shared" si="37"/>
        <v>#DIV/0!</v>
      </c>
      <c r="N170" s="249">
        <f t="shared" si="38"/>
        <v>0</v>
      </c>
      <c r="O170" s="329">
        <f>IF(K170="nio",0,IF(K170&gt;0,VLOOKUP(G170,'3-Productie normen'!A:L,VLOOKUP(K170,'3-Productie normen'!$B$36:$C$42,2,FALSE),FALSE)))/VLOOKUP(B170,'2-Kosten totaal'!$A$14:$C$16,3,FALSE)</f>
        <v>0</v>
      </c>
      <c r="P170" s="329">
        <f t="shared" si="39"/>
        <v>0</v>
      </c>
      <c r="Q170" s="330" t="str">
        <f>VLOOKUP(G170,'3-Productie normen'!A:O,15,FALSE)</f>
        <v>V</v>
      </c>
      <c r="R170" s="330"/>
      <c r="T170" s="331">
        <f t="shared" si="40"/>
        <v>160</v>
      </c>
    </row>
    <row r="171" spans="1:20" ht="14.1" customHeight="1">
      <c r="A171" s="74">
        <v>171</v>
      </c>
      <c r="B171" s="286" t="s">
        <v>218</v>
      </c>
      <c r="C171" s="286" t="s">
        <v>232</v>
      </c>
      <c r="D171" s="325" t="s">
        <v>233</v>
      </c>
      <c r="E171" s="326">
        <v>168</v>
      </c>
      <c r="F171" s="70" t="s">
        <v>340</v>
      </c>
      <c r="G171" s="70" t="s">
        <v>224</v>
      </c>
      <c r="H171" s="70" t="s">
        <v>363</v>
      </c>
      <c r="I171" s="327">
        <v>88</v>
      </c>
      <c r="J171" s="328">
        <f t="shared" si="36"/>
        <v>200</v>
      </c>
      <c r="K171" s="250">
        <v>200</v>
      </c>
      <c r="L171" s="250"/>
      <c r="M171" s="249" t="e">
        <f t="shared" si="37"/>
        <v>#DIV/0!</v>
      </c>
      <c r="N171" s="249">
        <f t="shared" si="38"/>
        <v>0</v>
      </c>
      <c r="O171" s="329">
        <f>IF(K171="nio",0,IF(K171&gt;0,VLOOKUP(G171,'3-Productie normen'!A:L,VLOOKUP(K171,'3-Productie normen'!$B$36:$C$42,2,FALSE),FALSE)))/VLOOKUP(B171,'2-Kosten totaal'!$A$14:$C$16,3,FALSE)</f>
        <v>0</v>
      </c>
      <c r="P171" s="329">
        <f t="shared" si="39"/>
        <v>0</v>
      </c>
      <c r="Q171" s="330" t="str">
        <f>VLOOKUP(G171,'3-Productie normen'!A:O,15,FALSE)</f>
        <v>L</v>
      </c>
      <c r="R171" s="330"/>
      <c r="T171" s="331">
        <f t="shared" si="40"/>
        <v>17600</v>
      </c>
    </row>
    <row r="172" spans="1:20" ht="14.1" customHeight="1">
      <c r="A172" s="74">
        <v>172</v>
      </c>
      <c r="B172" s="286" t="s">
        <v>218</v>
      </c>
      <c r="C172" s="286" t="s">
        <v>232</v>
      </c>
      <c r="D172" s="325" t="s">
        <v>233</v>
      </c>
      <c r="E172" s="326">
        <v>169</v>
      </c>
      <c r="F172" s="70" t="s">
        <v>340</v>
      </c>
      <c r="G172" s="70" t="s">
        <v>224</v>
      </c>
      <c r="H172" s="70" t="s">
        <v>363</v>
      </c>
      <c r="I172" s="327">
        <v>88</v>
      </c>
      <c r="J172" s="328">
        <f t="shared" si="36"/>
        <v>200</v>
      </c>
      <c r="K172" s="250">
        <v>200</v>
      </c>
      <c r="L172" s="250"/>
      <c r="M172" s="249" t="e">
        <f t="shared" si="37"/>
        <v>#DIV/0!</v>
      </c>
      <c r="N172" s="249">
        <f t="shared" si="38"/>
        <v>0</v>
      </c>
      <c r="O172" s="329">
        <f>IF(K172="nio",0,IF(K172&gt;0,VLOOKUP(G172,'3-Productie normen'!A:L,VLOOKUP(K172,'3-Productie normen'!$B$36:$C$42,2,FALSE),FALSE)))/VLOOKUP(B172,'2-Kosten totaal'!$A$14:$C$16,3,FALSE)</f>
        <v>0</v>
      </c>
      <c r="P172" s="329">
        <f t="shared" si="39"/>
        <v>0</v>
      </c>
      <c r="Q172" s="330" t="str">
        <f>VLOOKUP(G172,'3-Productie normen'!A:O,15,FALSE)</f>
        <v>L</v>
      </c>
      <c r="R172" s="330"/>
      <c r="T172" s="331">
        <f t="shared" si="40"/>
        <v>17600</v>
      </c>
    </row>
    <row r="173" spans="1:20" ht="14.1" customHeight="1">
      <c r="A173" s="74">
        <v>173</v>
      </c>
      <c r="B173" s="286" t="s">
        <v>218</v>
      </c>
      <c r="C173" s="286" t="s">
        <v>232</v>
      </c>
      <c r="D173" s="325" t="s">
        <v>233</v>
      </c>
      <c r="E173" s="326" t="s">
        <v>337</v>
      </c>
      <c r="F173" s="483" t="s">
        <v>243</v>
      </c>
      <c r="G173" s="333" t="s">
        <v>40</v>
      </c>
      <c r="H173" s="70" t="s">
        <v>363</v>
      </c>
      <c r="I173" s="327">
        <v>104</v>
      </c>
      <c r="J173" s="328">
        <f t="shared" si="36"/>
        <v>200</v>
      </c>
      <c r="K173" s="250">
        <v>200</v>
      </c>
      <c r="L173" s="250"/>
      <c r="M173" s="249" t="e">
        <f t="shared" si="37"/>
        <v>#DIV/0!</v>
      </c>
      <c r="N173" s="249">
        <f t="shared" si="38"/>
        <v>0</v>
      </c>
      <c r="O173" s="329">
        <f>IF(K173="nio",0,IF(K173&gt;0,VLOOKUP(G173,'3-Productie normen'!A:L,VLOOKUP(K173,'3-Productie normen'!$B$36:$C$42,2,FALSE),FALSE)))/VLOOKUP(B173,'2-Kosten totaal'!$A$14:$C$16,3,FALSE)</f>
        <v>0</v>
      </c>
      <c r="P173" s="329">
        <f t="shared" si="39"/>
        <v>0</v>
      </c>
      <c r="Q173" s="330" t="str">
        <f>VLOOKUP(G173,'3-Productie normen'!A:O,15,FALSE)</f>
        <v>V</v>
      </c>
      <c r="R173" s="330"/>
      <c r="T173" s="331">
        <f t="shared" si="40"/>
        <v>20800</v>
      </c>
    </row>
    <row r="174" spans="1:20" ht="14.1" customHeight="1">
      <c r="A174" s="74">
        <v>174</v>
      </c>
      <c r="B174" s="286" t="s">
        <v>218</v>
      </c>
      <c r="C174" s="286" t="s">
        <v>232</v>
      </c>
      <c r="D174" s="325" t="s">
        <v>233</v>
      </c>
      <c r="E174" s="326">
        <v>170</v>
      </c>
      <c r="F174" s="478" t="s">
        <v>237</v>
      </c>
      <c r="G174" s="70" t="s">
        <v>224</v>
      </c>
      <c r="H174" s="332" t="s">
        <v>360</v>
      </c>
      <c r="I174" s="327">
        <v>55</v>
      </c>
      <c r="J174" s="328">
        <f t="shared" si="36"/>
        <v>200</v>
      </c>
      <c r="K174" s="250">
        <v>200</v>
      </c>
      <c r="L174" s="250"/>
      <c r="M174" s="249" t="e">
        <f t="shared" si="37"/>
        <v>#DIV/0!</v>
      </c>
      <c r="N174" s="249">
        <f t="shared" si="38"/>
        <v>0</v>
      </c>
      <c r="O174" s="329">
        <f>IF(K174="nio",0,IF(K174&gt;0,VLOOKUP(G174,'3-Productie normen'!A:L,VLOOKUP(K174,'3-Productie normen'!$B$36:$C$42,2,FALSE),FALSE)))/VLOOKUP(B174,'2-Kosten totaal'!$A$14:$C$16,3,FALSE)</f>
        <v>0</v>
      </c>
      <c r="P174" s="329">
        <f t="shared" si="39"/>
        <v>0</v>
      </c>
      <c r="Q174" s="330" t="str">
        <f>VLOOKUP(G174,'3-Productie normen'!A:O,15,FALSE)</f>
        <v>L</v>
      </c>
      <c r="R174" s="330"/>
      <c r="T174" s="331">
        <f t="shared" si="40"/>
        <v>11000</v>
      </c>
    </row>
    <row r="175" spans="1:20" ht="14.1" customHeight="1">
      <c r="A175" s="74">
        <v>175</v>
      </c>
      <c r="B175" s="477" t="s">
        <v>218</v>
      </c>
      <c r="C175" s="477" t="s">
        <v>232</v>
      </c>
      <c r="D175" s="493" t="s">
        <v>233</v>
      </c>
      <c r="E175" s="492">
        <v>180</v>
      </c>
      <c r="F175" s="482" t="s">
        <v>338</v>
      </c>
      <c r="G175" s="83" t="s">
        <v>367</v>
      </c>
      <c r="H175" s="70" t="s">
        <v>357</v>
      </c>
      <c r="I175" s="327">
        <v>453</v>
      </c>
      <c r="J175" s="328">
        <f t="shared" si="36"/>
        <v>200</v>
      </c>
      <c r="K175" s="250">
        <v>200</v>
      </c>
      <c r="L175" s="250"/>
      <c r="M175" s="249" t="e">
        <f t="shared" si="37"/>
        <v>#DIV/0!</v>
      </c>
      <c r="N175" s="249">
        <f t="shared" si="38"/>
        <v>0</v>
      </c>
      <c r="O175" s="329">
        <f>IF(K175="nio",0,IF(K175&gt;0,VLOOKUP(G175,'3-Productie normen'!A:L,VLOOKUP(K175,'3-Productie normen'!$B$36:$C$42,2,FALSE),FALSE)))/VLOOKUP(B175,'2-Kosten totaal'!$A$14:$C$16,3,FALSE)</f>
        <v>0</v>
      </c>
      <c r="P175" s="329">
        <f t="shared" si="39"/>
        <v>0</v>
      </c>
      <c r="Q175" s="330" t="str">
        <f>VLOOKUP(G175,'3-Productie normen'!A:O,15,FALSE)</f>
        <v>V</v>
      </c>
      <c r="R175" s="330"/>
      <c r="T175" s="331">
        <f t="shared" si="40"/>
        <v>90600</v>
      </c>
    </row>
    <row r="176" spans="1:20" ht="14.1" customHeight="1">
      <c r="A176" s="74">
        <v>176</v>
      </c>
      <c r="B176" s="477" t="s">
        <v>218</v>
      </c>
      <c r="C176" s="477" t="s">
        <v>232</v>
      </c>
      <c r="D176" s="488" t="s">
        <v>233</v>
      </c>
      <c r="E176" s="489" t="s">
        <v>339</v>
      </c>
      <c r="F176" s="478" t="s">
        <v>237</v>
      </c>
      <c r="G176" s="70" t="s">
        <v>224</v>
      </c>
      <c r="H176" s="70" t="s">
        <v>357</v>
      </c>
      <c r="I176" s="327">
        <v>64</v>
      </c>
      <c r="J176" s="328">
        <f t="shared" si="36"/>
        <v>200</v>
      </c>
      <c r="K176" s="250">
        <v>200</v>
      </c>
      <c r="L176" s="250"/>
      <c r="M176" s="249" t="e">
        <f t="shared" si="37"/>
        <v>#DIV/0!</v>
      </c>
      <c r="N176" s="249">
        <f t="shared" si="38"/>
        <v>0</v>
      </c>
      <c r="O176" s="329">
        <f>IF(K176="nio",0,IF(K176&gt;0,VLOOKUP(G176,'3-Productie normen'!A:L,VLOOKUP(K176,'3-Productie normen'!$B$36:$C$42,2,FALSE),FALSE)))/VLOOKUP(B176,'2-Kosten totaal'!$A$14:$C$16,3,FALSE)</f>
        <v>0</v>
      </c>
      <c r="P176" s="329">
        <f t="shared" si="39"/>
        <v>0</v>
      </c>
      <c r="Q176" s="330" t="str">
        <f>VLOOKUP(G176,'3-Productie normen'!A:O,15,FALSE)</f>
        <v>L</v>
      </c>
      <c r="R176" s="330"/>
      <c r="T176" s="331">
        <f t="shared" si="40"/>
        <v>12800</v>
      </c>
    </row>
    <row r="177" spans="1:20" ht="14.1" customHeight="1">
      <c r="A177" s="74">
        <v>177</v>
      </c>
      <c r="B177" s="477" t="s">
        <v>218</v>
      </c>
      <c r="C177" s="477" t="s">
        <v>232</v>
      </c>
      <c r="D177" s="488" t="s">
        <v>233</v>
      </c>
      <c r="E177" s="489">
        <v>182</v>
      </c>
      <c r="F177" s="478" t="s">
        <v>398</v>
      </c>
      <c r="G177" s="70" t="s">
        <v>36</v>
      </c>
      <c r="H177" s="70" t="s">
        <v>357</v>
      </c>
      <c r="I177" s="327">
        <v>23</v>
      </c>
      <c r="J177" s="328">
        <f t="shared" si="36"/>
        <v>120</v>
      </c>
      <c r="K177" s="250">
        <v>120</v>
      </c>
      <c r="L177" s="250"/>
      <c r="M177" s="249" t="e">
        <f t="shared" si="37"/>
        <v>#DIV/0!</v>
      </c>
      <c r="N177" s="249">
        <f t="shared" si="38"/>
        <v>0</v>
      </c>
      <c r="O177" s="329">
        <f>IF(K177="nio",0,IF(K177&gt;0,VLOOKUP(G177,'3-Productie normen'!A:L,VLOOKUP(K177,'3-Productie normen'!$B$36:$C$42,2,FALSE),FALSE)))/VLOOKUP(B177,'2-Kosten totaal'!$A$14:$C$16,3,FALSE)</f>
        <v>0</v>
      </c>
      <c r="P177" s="329">
        <f t="shared" si="39"/>
        <v>0</v>
      </c>
      <c r="Q177" s="330" t="str">
        <f>VLOOKUP(G177,'3-Productie normen'!A:O,15,FALSE)</f>
        <v>B</v>
      </c>
      <c r="R177" s="330"/>
      <c r="T177" s="331">
        <f t="shared" si="40"/>
        <v>2760</v>
      </c>
    </row>
    <row r="178" spans="1:20" ht="14.1" customHeight="1">
      <c r="A178" s="74">
        <v>178</v>
      </c>
      <c r="B178" s="477" t="s">
        <v>218</v>
      </c>
      <c r="C178" s="477" t="s">
        <v>232</v>
      </c>
      <c r="D178" s="488" t="s">
        <v>233</v>
      </c>
      <c r="E178" s="489">
        <v>184</v>
      </c>
      <c r="F178" s="478" t="s">
        <v>340</v>
      </c>
      <c r="G178" s="70" t="s">
        <v>224</v>
      </c>
      <c r="H178" s="70" t="s">
        <v>357</v>
      </c>
      <c r="I178" s="327">
        <v>52</v>
      </c>
      <c r="J178" s="328">
        <f t="shared" ref="J178:J197" si="41">SUM(K178:L178)</f>
        <v>200</v>
      </c>
      <c r="K178" s="250">
        <v>200</v>
      </c>
      <c r="L178" s="250"/>
      <c r="M178" s="249" t="e">
        <f t="shared" ref="M178:M197" si="42">IF(K178="nio",0,IF(K178&gt;0,K178*I178/O178,0))</f>
        <v>#DIV/0!</v>
      </c>
      <c r="N178" s="249">
        <f t="shared" ref="N178:N197" si="43">IF(L178&gt;0,L178*I178/P178,0)</f>
        <v>0</v>
      </c>
      <c r="O178" s="329">
        <f>IF(K178="nio",0,IF(K178&gt;0,VLOOKUP(G178,'3-Productie normen'!A:L,VLOOKUP(K178,'3-Productie normen'!$B$36:$C$42,2,FALSE),FALSE)))/VLOOKUP(B178,'2-Kosten totaal'!$A$14:$C$16,3,FALSE)</f>
        <v>0</v>
      </c>
      <c r="P178" s="329">
        <f t="shared" ref="P178:P197" si="44">IF(L178&gt;0,O178*$P$8,0)</f>
        <v>0</v>
      </c>
      <c r="Q178" s="330" t="str">
        <f>VLOOKUP(G178,'3-Productie normen'!A:O,15,FALSE)</f>
        <v>L</v>
      </c>
      <c r="R178" s="330"/>
      <c r="T178" s="331">
        <f t="shared" ref="T178:T197" si="45">J178*I178</f>
        <v>10400</v>
      </c>
    </row>
    <row r="179" spans="1:20" ht="14.1" customHeight="1">
      <c r="A179" s="74">
        <v>179</v>
      </c>
      <c r="B179" s="477" t="s">
        <v>218</v>
      </c>
      <c r="C179" s="477" t="s">
        <v>232</v>
      </c>
      <c r="D179" s="488" t="s">
        <v>233</v>
      </c>
      <c r="E179" s="489">
        <v>188</v>
      </c>
      <c r="F179" s="478" t="s">
        <v>341</v>
      </c>
      <c r="G179" s="70" t="s">
        <v>226</v>
      </c>
      <c r="H179" s="70" t="s">
        <v>359</v>
      </c>
      <c r="I179" s="327">
        <v>25</v>
      </c>
      <c r="J179" s="328">
        <f t="shared" si="41"/>
        <v>0</v>
      </c>
      <c r="K179" s="250" t="s">
        <v>369</v>
      </c>
      <c r="L179" s="250"/>
      <c r="M179" s="249">
        <f t="shared" si="42"/>
        <v>0</v>
      </c>
      <c r="N179" s="249">
        <f t="shared" si="43"/>
        <v>0</v>
      </c>
      <c r="O179" s="329">
        <f>IF(K179="nio",0,IF(K179&gt;0,VLOOKUP(G179,'3-Productie normen'!A:L,VLOOKUP(K179,'3-Productie normen'!$B$36:$C$42,2,FALSE),FALSE)))/VLOOKUP(B179,'2-Kosten totaal'!$A$14:$C$16,3,FALSE)</f>
        <v>0</v>
      </c>
      <c r="P179" s="329">
        <f t="shared" si="44"/>
        <v>0</v>
      </c>
      <c r="Q179" s="330" t="str">
        <f>VLOOKUP(G179,'3-Productie normen'!A:O,15,FALSE)</f>
        <v>V</v>
      </c>
      <c r="R179" s="330"/>
      <c r="T179" s="331">
        <f t="shared" si="45"/>
        <v>0</v>
      </c>
    </row>
    <row r="180" spans="1:20" ht="14.1" customHeight="1">
      <c r="A180" s="74">
        <v>180</v>
      </c>
      <c r="B180" s="477" t="s">
        <v>218</v>
      </c>
      <c r="C180" s="477" t="s">
        <v>232</v>
      </c>
      <c r="D180" s="488" t="s">
        <v>233</v>
      </c>
      <c r="E180" s="489">
        <v>189</v>
      </c>
      <c r="F180" s="478" t="s">
        <v>342</v>
      </c>
      <c r="G180" s="70" t="s">
        <v>36</v>
      </c>
      <c r="H180" s="70" t="s">
        <v>364</v>
      </c>
      <c r="I180" s="327">
        <v>55</v>
      </c>
      <c r="J180" s="328">
        <f t="shared" si="41"/>
        <v>120</v>
      </c>
      <c r="K180" s="250">
        <v>120</v>
      </c>
      <c r="L180" s="250"/>
      <c r="M180" s="249" t="e">
        <f t="shared" si="42"/>
        <v>#DIV/0!</v>
      </c>
      <c r="N180" s="249">
        <f t="shared" si="43"/>
        <v>0</v>
      </c>
      <c r="O180" s="329">
        <f>IF(K180="nio",0,IF(K180&gt;0,VLOOKUP(G180,'3-Productie normen'!A:L,VLOOKUP(K180,'3-Productie normen'!$B$36:$C$42,2,FALSE),FALSE)))/VLOOKUP(B180,'2-Kosten totaal'!$A$14:$C$16,3,FALSE)</f>
        <v>0</v>
      </c>
      <c r="P180" s="329">
        <f t="shared" si="44"/>
        <v>0</v>
      </c>
      <c r="Q180" s="330" t="str">
        <f>VLOOKUP(G180,'3-Productie normen'!A:O,15,FALSE)</f>
        <v>B</v>
      </c>
      <c r="R180" s="330"/>
      <c r="T180" s="331">
        <f t="shared" si="45"/>
        <v>6600</v>
      </c>
    </row>
    <row r="181" spans="1:20" ht="14.1" customHeight="1">
      <c r="A181" s="74">
        <v>181</v>
      </c>
      <c r="B181" s="477" t="s">
        <v>218</v>
      </c>
      <c r="C181" s="477" t="s">
        <v>232</v>
      </c>
      <c r="D181" s="488" t="s">
        <v>233</v>
      </c>
      <c r="E181" s="489" t="s">
        <v>343</v>
      </c>
      <c r="F181" s="477" t="s">
        <v>243</v>
      </c>
      <c r="G181" s="286" t="s">
        <v>40</v>
      </c>
      <c r="H181" s="70" t="s">
        <v>360</v>
      </c>
      <c r="I181" s="327">
        <v>95</v>
      </c>
      <c r="J181" s="328">
        <f t="shared" si="41"/>
        <v>200</v>
      </c>
      <c r="K181" s="250">
        <v>200</v>
      </c>
      <c r="L181" s="250"/>
      <c r="M181" s="249" t="e">
        <f t="shared" si="42"/>
        <v>#DIV/0!</v>
      </c>
      <c r="N181" s="249">
        <f t="shared" si="43"/>
        <v>0</v>
      </c>
      <c r="O181" s="329">
        <f>IF(K181="nio",0,IF(K181&gt;0,VLOOKUP(G181,'3-Productie normen'!A:L,VLOOKUP(K181,'3-Productie normen'!$B$36:$C$42,2,FALSE),FALSE)))/VLOOKUP(B181,'2-Kosten totaal'!$A$14:$C$16,3,FALSE)</f>
        <v>0</v>
      </c>
      <c r="P181" s="329">
        <f t="shared" si="44"/>
        <v>0</v>
      </c>
      <c r="Q181" s="330" t="str">
        <f>VLOOKUP(G181,'3-Productie normen'!A:O,15,FALSE)</f>
        <v>V</v>
      </c>
      <c r="R181" s="330"/>
      <c r="T181" s="331">
        <f t="shared" si="45"/>
        <v>19000</v>
      </c>
    </row>
    <row r="182" spans="1:20" ht="14.1" customHeight="1">
      <c r="A182" s="74">
        <v>182</v>
      </c>
      <c r="B182" s="477" t="s">
        <v>218</v>
      </c>
      <c r="C182" s="477" t="s">
        <v>232</v>
      </c>
      <c r="D182" s="488" t="s">
        <v>233</v>
      </c>
      <c r="E182" s="489" t="s">
        <v>344</v>
      </c>
      <c r="F182" s="477" t="s">
        <v>345</v>
      </c>
      <c r="G182" s="477" t="s">
        <v>38</v>
      </c>
      <c r="H182" s="478" t="s">
        <v>365</v>
      </c>
      <c r="I182" s="479">
        <v>6</v>
      </c>
      <c r="J182" s="480">
        <f t="shared" si="41"/>
        <v>400</v>
      </c>
      <c r="K182" s="481">
        <v>200</v>
      </c>
      <c r="L182" s="250">
        <v>200</v>
      </c>
      <c r="M182" s="249" t="e">
        <f t="shared" si="42"/>
        <v>#DIV/0!</v>
      </c>
      <c r="N182" s="249" t="e">
        <f t="shared" si="43"/>
        <v>#DIV/0!</v>
      </c>
      <c r="O182" s="329">
        <f>IF(K182="nio",0,IF(K182&gt;0,VLOOKUP(G182,'3-Productie normen'!A:L,VLOOKUP(K182,'3-Productie normen'!$B$36:$C$42,2,FALSE),FALSE)))/VLOOKUP(B182,'2-Kosten totaal'!$A$14:$C$16,3,FALSE)</f>
        <v>0</v>
      </c>
      <c r="P182" s="329">
        <f t="shared" si="44"/>
        <v>0</v>
      </c>
      <c r="Q182" s="330" t="str">
        <f>VLOOKUP(G182,'3-Productie normen'!A:O,15,FALSE)</f>
        <v>S</v>
      </c>
      <c r="R182" s="330"/>
      <c r="T182" s="331">
        <f t="shared" si="45"/>
        <v>2400</v>
      </c>
    </row>
    <row r="183" spans="1:20" ht="14.1" customHeight="1">
      <c r="A183" s="74">
        <v>183</v>
      </c>
      <c r="B183" s="477" t="s">
        <v>218</v>
      </c>
      <c r="C183" s="477" t="s">
        <v>232</v>
      </c>
      <c r="D183" s="488" t="s">
        <v>233</v>
      </c>
      <c r="E183" s="489" t="s">
        <v>346</v>
      </c>
      <c r="F183" s="477" t="s">
        <v>347</v>
      </c>
      <c r="G183" s="477" t="s">
        <v>38</v>
      </c>
      <c r="H183" s="478" t="s">
        <v>365</v>
      </c>
      <c r="I183" s="479">
        <v>10</v>
      </c>
      <c r="J183" s="480">
        <f t="shared" si="41"/>
        <v>400</v>
      </c>
      <c r="K183" s="481">
        <v>200</v>
      </c>
      <c r="L183" s="250">
        <v>200</v>
      </c>
      <c r="M183" s="249" t="e">
        <f t="shared" si="42"/>
        <v>#DIV/0!</v>
      </c>
      <c r="N183" s="249" t="e">
        <f t="shared" si="43"/>
        <v>#DIV/0!</v>
      </c>
      <c r="O183" s="329">
        <f>IF(K183="nio",0,IF(K183&gt;0,VLOOKUP(G183,'3-Productie normen'!A:L,VLOOKUP(K183,'3-Productie normen'!$B$36:$C$42,2,FALSE),FALSE)))/VLOOKUP(B183,'2-Kosten totaal'!$A$14:$C$16,3,FALSE)</f>
        <v>0</v>
      </c>
      <c r="P183" s="329">
        <f t="shared" si="44"/>
        <v>0</v>
      </c>
      <c r="Q183" s="330" t="str">
        <f>VLOOKUP(G183,'3-Productie normen'!A:O,15,FALSE)</f>
        <v>S</v>
      </c>
      <c r="R183" s="330"/>
      <c r="T183" s="331">
        <f t="shared" si="45"/>
        <v>4000</v>
      </c>
    </row>
    <row r="184" spans="1:20" ht="14.1" customHeight="1">
      <c r="A184" s="74">
        <v>184</v>
      </c>
      <c r="B184" s="477" t="s">
        <v>218</v>
      </c>
      <c r="C184" s="477" t="s">
        <v>232</v>
      </c>
      <c r="D184" s="488" t="s">
        <v>234</v>
      </c>
      <c r="E184" s="489">
        <v>1</v>
      </c>
      <c r="F184" s="478" t="s">
        <v>348</v>
      </c>
      <c r="G184" s="70" t="s">
        <v>228</v>
      </c>
      <c r="H184" s="70" t="s">
        <v>366</v>
      </c>
      <c r="I184" s="327">
        <v>252</v>
      </c>
      <c r="J184" s="328">
        <f t="shared" si="41"/>
        <v>200</v>
      </c>
      <c r="K184" s="250">
        <v>200</v>
      </c>
      <c r="L184" s="250"/>
      <c r="M184" s="249" t="e">
        <f t="shared" si="42"/>
        <v>#DIV/0!</v>
      </c>
      <c r="N184" s="249">
        <f t="shared" si="43"/>
        <v>0</v>
      </c>
      <c r="O184" s="329">
        <f>IF(K184="nio",0,IF(K184&gt;0,VLOOKUP(G184,'3-Productie normen'!A:L,VLOOKUP(K184,'3-Productie normen'!$B$36:$C$42,2,FALSE),FALSE)))/VLOOKUP(B184,'2-Kosten totaal'!$A$14:$C$16,3,FALSE)</f>
        <v>0</v>
      </c>
      <c r="P184" s="329">
        <f t="shared" si="44"/>
        <v>0</v>
      </c>
      <c r="Q184" s="330" t="str">
        <f>VLOOKUP(G184,'3-Productie normen'!A:O,15,FALSE)</f>
        <v>V</v>
      </c>
      <c r="R184" s="330"/>
      <c r="T184" s="331">
        <f t="shared" si="45"/>
        <v>50400</v>
      </c>
    </row>
    <row r="185" spans="1:20" ht="14.1" customHeight="1">
      <c r="A185" s="74">
        <v>185</v>
      </c>
      <c r="B185" s="477" t="s">
        <v>218</v>
      </c>
      <c r="C185" s="477" t="s">
        <v>232</v>
      </c>
      <c r="D185" s="488" t="s">
        <v>234</v>
      </c>
      <c r="E185" s="489">
        <v>2</v>
      </c>
      <c r="F185" s="478" t="s">
        <v>349</v>
      </c>
      <c r="G185" s="70" t="s">
        <v>42</v>
      </c>
      <c r="H185" s="70" t="s">
        <v>359</v>
      </c>
      <c r="I185" s="327">
        <v>4</v>
      </c>
      <c r="J185" s="328">
        <f t="shared" si="41"/>
        <v>200</v>
      </c>
      <c r="K185" s="250">
        <v>200</v>
      </c>
      <c r="L185" s="250"/>
      <c r="M185" s="249" t="e">
        <f t="shared" si="42"/>
        <v>#DIV/0!</v>
      </c>
      <c r="N185" s="249">
        <f t="shared" si="43"/>
        <v>0</v>
      </c>
      <c r="O185" s="329">
        <f>IF(K185="nio",0,IF(K185&gt;0,VLOOKUP(G185,'3-Productie normen'!A:L,VLOOKUP(K185,'3-Productie normen'!$B$36:$C$42,2,FALSE),FALSE)))/VLOOKUP(B185,'2-Kosten totaal'!$A$14:$C$16,3,FALSE)</f>
        <v>0</v>
      </c>
      <c r="P185" s="329">
        <f t="shared" si="44"/>
        <v>0</v>
      </c>
      <c r="Q185" s="330" t="str">
        <f>VLOOKUP(G185,'3-Productie normen'!A:O,15,FALSE)</f>
        <v>S</v>
      </c>
      <c r="R185" s="330"/>
      <c r="T185" s="331">
        <f t="shared" si="45"/>
        <v>800</v>
      </c>
    </row>
    <row r="186" spans="1:20" ht="14.1" customHeight="1">
      <c r="A186" s="74">
        <v>186</v>
      </c>
      <c r="B186" s="477" t="s">
        <v>218</v>
      </c>
      <c r="C186" s="477" t="s">
        <v>232</v>
      </c>
      <c r="D186" s="488" t="s">
        <v>234</v>
      </c>
      <c r="E186" s="489">
        <v>3</v>
      </c>
      <c r="F186" s="478" t="s">
        <v>350</v>
      </c>
      <c r="G186" s="70" t="s">
        <v>42</v>
      </c>
      <c r="H186" s="70" t="s">
        <v>358</v>
      </c>
      <c r="I186" s="327">
        <v>15</v>
      </c>
      <c r="J186" s="328">
        <f t="shared" si="41"/>
        <v>200</v>
      </c>
      <c r="K186" s="250">
        <v>200</v>
      </c>
      <c r="L186" s="250"/>
      <c r="M186" s="249" t="e">
        <f t="shared" si="42"/>
        <v>#DIV/0!</v>
      </c>
      <c r="N186" s="249">
        <f t="shared" si="43"/>
        <v>0</v>
      </c>
      <c r="O186" s="329">
        <f>IF(K186="nio",0,IF(K186&gt;0,VLOOKUP(G186,'3-Productie normen'!A:L,VLOOKUP(K186,'3-Productie normen'!$B$36:$C$42,2,FALSE),FALSE)))/VLOOKUP(B186,'2-Kosten totaal'!$A$14:$C$16,3,FALSE)</f>
        <v>0</v>
      </c>
      <c r="P186" s="329">
        <f t="shared" si="44"/>
        <v>0</v>
      </c>
      <c r="Q186" s="330" t="str">
        <f>VLOOKUP(G186,'3-Productie normen'!A:O,15,FALSE)</f>
        <v>S</v>
      </c>
      <c r="R186" s="330"/>
      <c r="T186" s="331">
        <f t="shared" si="45"/>
        <v>3000</v>
      </c>
    </row>
    <row r="187" spans="1:20" ht="14.1" customHeight="1">
      <c r="A187" s="74">
        <v>187</v>
      </c>
      <c r="B187" s="477" t="s">
        <v>218</v>
      </c>
      <c r="C187" s="477" t="s">
        <v>232</v>
      </c>
      <c r="D187" s="488" t="s">
        <v>234</v>
      </c>
      <c r="E187" s="489">
        <v>4</v>
      </c>
      <c r="F187" s="478" t="s">
        <v>351</v>
      </c>
      <c r="G187" s="478" t="s">
        <v>38</v>
      </c>
      <c r="H187" s="478" t="s">
        <v>358</v>
      </c>
      <c r="I187" s="479">
        <v>11</v>
      </c>
      <c r="J187" s="480">
        <f t="shared" si="41"/>
        <v>200</v>
      </c>
      <c r="K187" s="481">
        <v>200</v>
      </c>
      <c r="L187" s="481"/>
      <c r="M187" s="249" t="e">
        <f t="shared" si="42"/>
        <v>#DIV/0!</v>
      </c>
      <c r="N187" s="249">
        <f t="shared" si="43"/>
        <v>0</v>
      </c>
      <c r="O187" s="329">
        <f>IF(K187="nio",0,IF(K187&gt;0,VLOOKUP(G187,'3-Productie normen'!A:L,VLOOKUP(K187,'3-Productie normen'!$B$36:$C$42,2,FALSE),FALSE)))/VLOOKUP(B187,'2-Kosten totaal'!$A$14:$C$16,3,FALSE)</f>
        <v>0</v>
      </c>
      <c r="P187" s="329">
        <f t="shared" si="44"/>
        <v>0</v>
      </c>
      <c r="Q187" s="330" t="str">
        <f>VLOOKUP(G187,'3-Productie normen'!A:O,15,FALSE)</f>
        <v>S</v>
      </c>
      <c r="R187" s="330"/>
      <c r="T187" s="331">
        <f t="shared" si="45"/>
        <v>2200</v>
      </c>
    </row>
    <row r="188" spans="1:20" ht="14.1" customHeight="1">
      <c r="A188" s="74">
        <v>188</v>
      </c>
      <c r="B188" s="477" t="s">
        <v>218</v>
      </c>
      <c r="C188" s="477" t="s">
        <v>232</v>
      </c>
      <c r="D188" s="488" t="s">
        <v>234</v>
      </c>
      <c r="E188" s="489">
        <v>5</v>
      </c>
      <c r="F188" s="483" t="s">
        <v>351</v>
      </c>
      <c r="G188" s="483" t="s">
        <v>38</v>
      </c>
      <c r="H188" s="478" t="s">
        <v>358</v>
      </c>
      <c r="I188" s="479">
        <v>11</v>
      </c>
      <c r="J188" s="480">
        <f t="shared" si="41"/>
        <v>200</v>
      </c>
      <c r="K188" s="481">
        <v>200</v>
      </c>
      <c r="L188" s="481"/>
      <c r="M188" s="249" t="e">
        <f t="shared" si="42"/>
        <v>#DIV/0!</v>
      </c>
      <c r="N188" s="249">
        <f t="shared" si="43"/>
        <v>0</v>
      </c>
      <c r="O188" s="329">
        <f>IF(K188="nio",0,IF(K188&gt;0,VLOOKUP(G188,'3-Productie normen'!A:L,VLOOKUP(K188,'3-Productie normen'!$B$36:$C$42,2,FALSE),FALSE)))/VLOOKUP(B188,'2-Kosten totaal'!$A$14:$C$16,3,FALSE)</f>
        <v>0</v>
      </c>
      <c r="P188" s="329">
        <f t="shared" si="44"/>
        <v>0</v>
      </c>
      <c r="Q188" s="330" t="str">
        <f>VLOOKUP(G188,'3-Productie normen'!A:O,15,FALSE)</f>
        <v>S</v>
      </c>
      <c r="R188" s="330"/>
      <c r="T188" s="331">
        <f t="shared" si="45"/>
        <v>2200</v>
      </c>
    </row>
    <row r="189" spans="1:20" ht="14.1" customHeight="1">
      <c r="A189" s="74">
        <v>189</v>
      </c>
      <c r="B189" s="477" t="s">
        <v>218</v>
      </c>
      <c r="C189" s="477" t="s">
        <v>232</v>
      </c>
      <c r="D189" s="488" t="s">
        <v>234</v>
      </c>
      <c r="E189" s="489">
        <v>6</v>
      </c>
      <c r="F189" s="478" t="s">
        <v>352</v>
      </c>
      <c r="G189" s="70" t="s">
        <v>228</v>
      </c>
      <c r="H189" s="332" t="s">
        <v>366</v>
      </c>
      <c r="I189" s="327">
        <v>35</v>
      </c>
      <c r="J189" s="328">
        <f t="shared" si="41"/>
        <v>10</v>
      </c>
      <c r="K189" s="250">
        <v>10</v>
      </c>
      <c r="L189" s="250"/>
      <c r="M189" s="249" t="e">
        <f t="shared" si="42"/>
        <v>#DIV/0!</v>
      </c>
      <c r="N189" s="249">
        <f t="shared" si="43"/>
        <v>0</v>
      </c>
      <c r="O189" s="329">
        <f>IF(K189="nio",0,IF(K189&gt;0,VLOOKUP(G189,'3-Productie normen'!A:L,VLOOKUP(K189,'3-Productie normen'!$B$36:$C$42,2,FALSE),FALSE)))/VLOOKUP(B189,'2-Kosten totaal'!$A$14:$C$16,3,FALSE)</f>
        <v>0</v>
      </c>
      <c r="P189" s="329">
        <f t="shared" si="44"/>
        <v>0</v>
      </c>
      <c r="Q189" s="330" t="str">
        <f>VLOOKUP(G189,'3-Productie normen'!A:O,15,FALSE)</f>
        <v>V</v>
      </c>
      <c r="R189" s="330"/>
      <c r="T189" s="331">
        <f t="shared" si="45"/>
        <v>350</v>
      </c>
    </row>
    <row r="190" spans="1:20" ht="14.1" customHeight="1">
      <c r="A190" s="74">
        <v>190</v>
      </c>
      <c r="B190" s="477" t="s">
        <v>218</v>
      </c>
      <c r="C190" s="477" t="s">
        <v>232</v>
      </c>
      <c r="D190" s="488" t="s">
        <v>234</v>
      </c>
      <c r="E190" s="492">
        <v>7</v>
      </c>
      <c r="F190" s="482" t="s">
        <v>351</v>
      </c>
      <c r="G190" s="482" t="s">
        <v>38</v>
      </c>
      <c r="H190" s="478" t="s">
        <v>358</v>
      </c>
      <c r="I190" s="479">
        <v>1</v>
      </c>
      <c r="J190" s="480">
        <f t="shared" si="41"/>
        <v>200</v>
      </c>
      <c r="K190" s="481">
        <v>200</v>
      </c>
      <c r="L190" s="481"/>
      <c r="M190" s="249" t="e">
        <f t="shared" si="42"/>
        <v>#DIV/0!</v>
      </c>
      <c r="N190" s="249">
        <f t="shared" si="43"/>
        <v>0</v>
      </c>
      <c r="O190" s="329">
        <f>IF(K190="nio",0,IF(K190&gt;0,VLOOKUP(G190,'3-Productie normen'!A:L,VLOOKUP(K190,'3-Productie normen'!$B$36:$C$42,2,FALSE),FALSE)))/VLOOKUP(B190,'2-Kosten totaal'!$A$14:$C$16,3,FALSE)</f>
        <v>0</v>
      </c>
      <c r="P190" s="329">
        <f t="shared" si="44"/>
        <v>0</v>
      </c>
      <c r="Q190" s="330" t="str">
        <f>VLOOKUP(G190,'3-Productie normen'!A:O,15,FALSE)</f>
        <v>S</v>
      </c>
      <c r="R190" s="330"/>
      <c r="T190" s="331">
        <f t="shared" si="45"/>
        <v>200</v>
      </c>
    </row>
    <row r="191" spans="1:20" ht="14.1" customHeight="1">
      <c r="A191" s="74">
        <v>191</v>
      </c>
      <c r="B191" s="477" t="s">
        <v>218</v>
      </c>
      <c r="C191" s="477" t="s">
        <v>232</v>
      </c>
      <c r="D191" s="488" t="s">
        <v>234</v>
      </c>
      <c r="E191" s="489">
        <v>8</v>
      </c>
      <c r="F191" s="478" t="s">
        <v>351</v>
      </c>
      <c r="G191" s="478" t="s">
        <v>38</v>
      </c>
      <c r="H191" s="478" t="s">
        <v>358</v>
      </c>
      <c r="I191" s="479">
        <v>1</v>
      </c>
      <c r="J191" s="480">
        <f t="shared" si="41"/>
        <v>200</v>
      </c>
      <c r="K191" s="481">
        <v>200</v>
      </c>
      <c r="L191" s="481"/>
      <c r="M191" s="249" t="e">
        <f t="shared" si="42"/>
        <v>#DIV/0!</v>
      </c>
      <c r="N191" s="249">
        <f t="shared" si="43"/>
        <v>0</v>
      </c>
      <c r="O191" s="329">
        <f>IF(K191="nio",0,IF(K191&gt;0,VLOOKUP(G191,'3-Productie normen'!A:L,VLOOKUP(K191,'3-Productie normen'!$B$36:$C$42,2,FALSE),FALSE)))/VLOOKUP(B191,'2-Kosten totaal'!$A$14:$C$16,3,FALSE)</f>
        <v>0</v>
      </c>
      <c r="P191" s="329">
        <f t="shared" si="44"/>
        <v>0</v>
      </c>
      <c r="Q191" s="330" t="str">
        <f>VLOOKUP(G191,'3-Productie normen'!A:O,15,FALSE)</f>
        <v>S</v>
      </c>
      <c r="R191" s="330"/>
      <c r="T191" s="331">
        <f t="shared" si="45"/>
        <v>200</v>
      </c>
    </row>
    <row r="192" spans="1:20" ht="14.1" customHeight="1">
      <c r="A192" s="74">
        <v>192</v>
      </c>
      <c r="B192" s="477" t="s">
        <v>218</v>
      </c>
      <c r="C192" s="477" t="s">
        <v>232</v>
      </c>
      <c r="D192" s="488" t="s">
        <v>234</v>
      </c>
      <c r="E192" s="489">
        <v>9</v>
      </c>
      <c r="F192" s="477" t="s">
        <v>351</v>
      </c>
      <c r="G192" s="477" t="s">
        <v>38</v>
      </c>
      <c r="H192" s="478" t="s">
        <v>358</v>
      </c>
      <c r="I192" s="479">
        <v>1</v>
      </c>
      <c r="J192" s="480">
        <f t="shared" si="41"/>
        <v>200</v>
      </c>
      <c r="K192" s="481">
        <v>200</v>
      </c>
      <c r="L192" s="481"/>
      <c r="M192" s="249" t="e">
        <f t="shared" si="42"/>
        <v>#DIV/0!</v>
      </c>
      <c r="N192" s="249">
        <f t="shared" si="43"/>
        <v>0</v>
      </c>
      <c r="O192" s="329">
        <f>IF(K192="nio",0,IF(K192&gt;0,VLOOKUP(G192,'3-Productie normen'!A:L,VLOOKUP(K192,'3-Productie normen'!$B$36:$C$42,2,FALSE),FALSE)))/VLOOKUP(B192,'2-Kosten totaal'!$A$14:$C$16,3,FALSE)</f>
        <v>0</v>
      </c>
      <c r="P192" s="329">
        <f t="shared" si="44"/>
        <v>0</v>
      </c>
      <c r="Q192" s="330" t="str">
        <f>VLOOKUP(G192,'3-Productie normen'!A:O,15,FALSE)</f>
        <v>S</v>
      </c>
      <c r="R192" s="330"/>
      <c r="T192" s="331">
        <f t="shared" si="45"/>
        <v>200</v>
      </c>
    </row>
    <row r="193" spans="1:21" ht="14.1" customHeight="1">
      <c r="A193" s="74">
        <v>193</v>
      </c>
      <c r="B193" s="477" t="s">
        <v>218</v>
      </c>
      <c r="C193" s="477" t="s">
        <v>232</v>
      </c>
      <c r="D193" s="488" t="s">
        <v>234</v>
      </c>
      <c r="E193" s="489">
        <v>10</v>
      </c>
      <c r="F193" s="477" t="s">
        <v>351</v>
      </c>
      <c r="G193" s="477" t="s">
        <v>38</v>
      </c>
      <c r="H193" s="478" t="s">
        <v>358</v>
      </c>
      <c r="I193" s="479">
        <v>1</v>
      </c>
      <c r="J193" s="480">
        <f t="shared" si="41"/>
        <v>200</v>
      </c>
      <c r="K193" s="481">
        <v>200</v>
      </c>
      <c r="L193" s="481"/>
      <c r="M193" s="249" t="e">
        <f t="shared" si="42"/>
        <v>#DIV/0!</v>
      </c>
      <c r="N193" s="249">
        <f t="shared" si="43"/>
        <v>0</v>
      </c>
      <c r="O193" s="329">
        <f>IF(K193="nio",0,IF(K193&gt;0,VLOOKUP(G193,'3-Productie normen'!A:L,VLOOKUP(K193,'3-Productie normen'!$B$36:$C$42,2,FALSE),FALSE)))/VLOOKUP(B193,'2-Kosten totaal'!$A$14:$C$16,3,FALSE)</f>
        <v>0</v>
      </c>
      <c r="P193" s="329">
        <f t="shared" si="44"/>
        <v>0</v>
      </c>
      <c r="Q193" s="330" t="str">
        <f>VLOOKUP(G193,'3-Productie normen'!A:O,15,FALSE)</f>
        <v>S</v>
      </c>
      <c r="R193" s="330"/>
      <c r="T193" s="331">
        <f t="shared" si="45"/>
        <v>200</v>
      </c>
    </row>
    <row r="194" spans="1:21" ht="14.1" customHeight="1">
      <c r="A194" s="74">
        <v>194</v>
      </c>
      <c r="B194" s="477" t="s">
        <v>218</v>
      </c>
      <c r="C194" s="477" t="s">
        <v>232</v>
      </c>
      <c r="D194" s="488" t="s">
        <v>234</v>
      </c>
      <c r="E194" s="489">
        <v>11</v>
      </c>
      <c r="F194" s="477" t="s">
        <v>353</v>
      </c>
      <c r="G194" s="477" t="s">
        <v>38</v>
      </c>
      <c r="H194" s="478" t="s">
        <v>358</v>
      </c>
      <c r="I194" s="479">
        <v>2</v>
      </c>
      <c r="J194" s="480">
        <f t="shared" si="41"/>
        <v>400</v>
      </c>
      <c r="K194" s="481">
        <v>200</v>
      </c>
      <c r="L194" s="250">
        <v>200</v>
      </c>
      <c r="M194" s="249" t="e">
        <f t="shared" si="42"/>
        <v>#DIV/0!</v>
      </c>
      <c r="N194" s="249" t="e">
        <f t="shared" si="43"/>
        <v>#DIV/0!</v>
      </c>
      <c r="O194" s="329">
        <f>IF(K194="nio",0,IF(K194&gt;0,VLOOKUP(G194,'3-Productie normen'!A:L,VLOOKUP(K194,'3-Productie normen'!$B$36:$C$42,2,FALSE),FALSE)))/VLOOKUP(B194,'2-Kosten totaal'!$A$14:$C$16,3,FALSE)</f>
        <v>0</v>
      </c>
      <c r="P194" s="329">
        <f t="shared" si="44"/>
        <v>0</v>
      </c>
      <c r="Q194" s="330" t="str">
        <f>VLOOKUP(G194,'3-Productie normen'!A:O,15,FALSE)</f>
        <v>S</v>
      </c>
      <c r="R194" s="330"/>
      <c r="T194" s="331">
        <f t="shared" si="45"/>
        <v>800</v>
      </c>
    </row>
    <row r="195" spans="1:21" ht="14.1" customHeight="1">
      <c r="A195" s="74">
        <v>195</v>
      </c>
      <c r="B195" s="477" t="s">
        <v>218</v>
      </c>
      <c r="C195" s="477" t="s">
        <v>232</v>
      </c>
      <c r="D195" s="488" t="s">
        <v>234</v>
      </c>
      <c r="E195" s="489">
        <v>13</v>
      </c>
      <c r="F195" s="478" t="s">
        <v>354</v>
      </c>
      <c r="G195" s="478" t="s">
        <v>38</v>
      </c>
      <c r="H195" s="478" t="s">
        <v>358</v>
      </c>
      <c r="I195" s="479">
        <v>2</v>
      </c>
      <c r="J195" s="480">
        <f t="shared" si="41"/>
        <v>400</v>
      </c>
      <c r="K195" s="481">
        <v>200</v>
      </c>
      <c r="L195" s="250">
        <v>200</v>
      </c>
      <c r="M195" s="249" t="e">
        <f t="shared" si="42"/>
        <v>#DIV/0!</v>
      </c>
      <c r="N195" s="249" t="e">
        <f t="shared" si="43"/>
        <v>#DIV/0!</v>
      </c>
      <c r="O195" s="329">
        <f>IF(K195="nio",0,IF(K195&gt;0,VLOOKUP(G195,'3-Productie normen'!A:L,VLOOKUP(K195,'3-Productie normen'!$B$36:$C$42,2,FALSE),FALSE)))/VLOOKUP(B195,'2-Kosten totaal'!$A$14:$C$16,3,FALSE)</f>
        <v>0</v>
      </c>
      <c r="P195" s="329">
        <f t="shared" si="44"/>
        <v>0</v>
      </c>
      <c r="Q195" s="330" t="str">
        <f>VLOOKUP(G195,'3-Productie normen'!A:O,15,FALSE)</f>
        <v>S</v>
      </c>
      <c r="R195" s="330"/>
      <c r="T195" s="331">
        <f t="shared" si="45"/>
        <v>800</v>
      </c>
    </row>
    <row r="196" spans="1:21" ht="14.1" customHeight="1">
      <c r="A196" s="74">
        <v>196</v>
      </c>
      <c r="B196" s="477" t="s">
        <v>218</v>
      </c>
      <c r="C196" s="477" t="s">
        <v>232</v>
      </c>
      <c r="D196" s="488" t="s">
        <v>234</v>
      </c>
      <c r="E196" s="489">
        <v>14</v>
      </c>
      <c r="F196" s="478" t="s">
        <v>355</v>
      </c>
      <c r="G196" s="70" t="s">
        <v>40</v>
      </c>
      <c r="H196" s="70" t="s">
        <v>358</v>
      </c>
      <c r="I196" s="327">
        <v>18</v>
      </c>
      <c r="J196" s="328">
        <f t="shared" si="41"/>
        <v>200</v>
      </c>
      <c r="K196" s="250">
        <v>200</v>
      </c>
      <c r="L196" s="250"/>
      <c r="M196" s="249" t="e">
        <f t="shared" si="42"/>
        <v>#DIV/0!</v>
      </c>
      <c r="N196" s="249">
        <f t="shared" si="43"/>
        <v>0</v>
      </c>
      <c r="O196" s="329">
        <f>IF(K196="nio",0,IF(K196&gt;0,VLOOKUP(G196,'3-Productie normen'!A:L,VLOOKUP(K196,'3-Productie normen'!$B$36:$C$42,2,FALSE),FALSE)))/VLOOKUP(B196,'2-Kosten totaal'!$A$14:$C$16,3,FALSE)</f>
        <v>0</v>
      </c>
      <c r="P196" s="329">
        <f t="shared" si="44"/>
        <v>0</v>
      </c>
      <c r="Q196" s="330" t="str">
        <f>VLOOKUP(G196,'3-Productie normen'!A:O,15,FALSE)</f>
        <v>V</v>
      </c>
      <c r="R196" s="330"/>
      <c r="T196" s="331">
        <f t="shared" si="45"/>
        <v>3600</v>
      </c>
    </row>
    <row r="197" spans="1:21" ht="14.1" customHeight="1">
      <c r="A197" s="74">
        <v>197</v>
      </c>
      <c r="B197" s="477" t="s">
        <v>218</v>
      </c>
      <c r="C197" s="477" t="s">
        <v>232</v>
      </c>
      <c r="D197" s="488" t="s">
        <v>234</v>
      </c>
      <c r="E197" s="489">
        <v>15</v>
      </c>
      <c r="F197" s="478" t="s">
        <v>350</v>
      </c>
      <c r="G197" s="70" t="s">
        <v>42</v>
      </c>
      <c r="H197" s="70" t="s">
        <v>358</v>
      </c>
      <c r="I197" s="327">
        <v>31</v>
      </c>
      <c r="J197" s="328">
        <f t="shared" si="41"/>
        <v>200</v>
      </c>
      <c r="K197" s="250">
        <v>200</v>
      </c>
      <c r="L197" s="250"/>
      <c r="M197" s="249" t="e">
        <f t="shared" si="42"/>
        <v>#DIV/0!</v>
      </c>
      <c r="N197" s="249">
        <f t="shared" si="43"/>
        <v>0</v>
      </c>
      <c r="O197" s="329">
        <f>IF(K197="nio",0,IF(K197&gt;0,VLOOKUP(G197,'3-Productie normen'!A:L,VLOOKUP(K197,'3-Productie normen'!$B$36:$C$42,2,FALSE),FALSE)))/VLOOKUP(B197,'2-Kosten totaal'!$A$14:$C$16,3,FALSE)</f>
        <v>0</v>
      </c>
      <c r="P197" s="329">
        <f t="shared" si="44"/>
        <v>0</v>
      </c>
      <c r="Q197" s="330" t="str">
        <f>VLOOKUP(G197,'3-Productie normen'!A:O,15,FALSE)</f>
        <v>S</v>
      </c>
      <c r="R197" s="330"/>
      <c r="T197" s="331">
        <f t="shared" si="45"/>
        <v>6200</v>
      </c>
    </row>
    <row r="198" spans="1:21" ht="14.1" customHeight="1">
      <c r="B198" s="335"/>
      <c r="C198" s="335"/>
      <c r="D198" s="336"/>
      <c r="E198" s="337"/>
      <c r="F198" s="338"/>
      <c r="G198" s="338"/>
      <c r="H198" s="339"/>
      <c r="I198" s="340"/>
      <c r="J198" s="341"/>
      <c r="K198" s="85"/>
      <c r="L198" s="85"/>
      <c r="M198" s="342"/>
      <c r="N198" s="342"/>
      <c r="O198" s="86"/>
      <c r="P198" s="86"/>
      <c r="Q198" s="88"/>
      <c r="R198" s="88"/>
      <c r="S198" s="88"/>
      <c r="T198" s="88"/>
      <c r="U198" s="14"/>
    </row>
    <row r="199" spans="1:21" ht="14.1" customHeight="1">
      <c r="B199" s="89"/>
      <c r="C199" s="89"/>
      <c r="D199" s="90"/>
      <c r="E199" s="248"/>
      <c r="F199" s="91"/>
      <c r="G199" s="91"/>
      <c r="I199" s="92"/>
      <c r="J199" s="93"/>
      <c r="K199" s="94"/>
      <c r="L199" s="94"/>
      <c r="M199" s="95"/>
      <c r="N199" s="95"/>
      <c r="O199" s="87"/>
      <c r="P199" s="87"/>
      <c r="Q199" s="88"/>
      <c r="R199" s="88"/>
      <c r="S199" s="88"/>
      <c r="T199" s="88"/>
      <c r="U199" s="14"/>
    </row>
    <row r="200" spans="1:21" ht="14.1" customHeight="1">
      <c r="B200" s="89"/>
      <c r="C200" s="89"/>
      <c r="D200" s="90"/>
      <c r="E200" s="248"/>
      <c r="F200" s="91"/>
      <c r="G200" s="91"/>
      <c r="I200" s="92"/>
      <c r="J200" s="93"/>
      <c r="K200" s="94"/>
      <c r="L200" s="94"/>
      <c r="M200" s="95"/>
      <c r="N200" s="95"/>
      <c r="O200" s="87"/>
      <c r="P200" s="87"/>
      <c r="Q200" s="88"/>
      <c r="R200" s="88"/>
      <c r="S200" s="88"/>
      <c r="T200" s="88"/>
      <c r="U200" s="14"/>
    </row>
    <row r="201" spans="1:21" ht="14.1" customHeight="1">
      <c r="B201" s="89"/>
      <c r="C201" s="89"/>
      <c r="D201" s="90"/>
      <c r="E201" s="248"/>
      <c r="F201" s="91"/>
      <c r="G201" s="91"/>
      <c r="I201" s="92"/>
      <c r="J201" s="93"/>
      <c r="K201" s="94"/>
      <c r="L201" s="94"/>
      <c r="M201" s="95"/>
      <c r="N201" s="95"/>
      <c r="O201" s="87"/>
      <c r="P201" s="87"/>
      <c r="Q201" s="88"/>
      <c r="R201" s="88"/>
      <c r="S201" s="88"/>
      <c r="T201" s="88"/>
      <c r="U201" s="14"/>
    </row>
    <row r="202" spans="1:21" ht="14.1" customHeight="1">
      <c r="B202" s="89"/>
      <c r="C202" s="89"/>
      <c r="D202" s="90"/>
      <c r="E202" s="248"/>
      <c r="F202" s="91"/>
      <c r="G202" s="91"/>
      <c r="I202" s="92"/>
      <c r="J202" s="93"/>
      <c r="K202" s="94"/>
      <c r="L202" s="94"/>
      <c r="M202" s="95"/>
      <c r="N202" s="95"/>
      <c r="O202" s="87"/>
      <c r="P202" s="87"/>
      <c r="Q202" s="88"/>
      <c r="R202" s="88"/>
      <c r="S202" s="88"/>
      <c r="T202" s="88"/>
      <c r="U202" s="14"/>
    </row>
    <row r="203" spans="1:21" ht="14.1" customHeight="1">
      <c r="B203" s="89"/>
      <c r="C203" s="89"/>
      <c r="D203" s="90"/>
      <c r="E203" s="248"/>
      <c r="F203" s="91"/>
      <c r="G203" s="91"/>
      <c r="I203" s="92"/>
      <c r="J203" s="93"/>
      <c r="K203" s="94"/>
      <c r="L203" s="94"/>
      <c r="M203" s="95"/>
      <c r="N203" s="95"/>
      <c r="O203" s="87"/>
      <c r="P203" s="87"/>
      <c r="Q203" s="88"/>
      <c r="R203" s="88"/>
    </row>
    <row r="204" spans="1:21" ht="14.1" customHeight="1">
      <c r="B204" s="89"/>
      <c r="C204" s="89"/>
      <c r="D204" s="90"/>
      <c r="E204" s="248"/>
      <c r="F204" s="91"/>
      <c r="G204" s="91"/>
      <c r="I204" s="92"/>
      <c r="J204" s="93"/>
      <c r="K204" s="94"/>
      <c r="L204" s="94"/>
      <c r="M204" s="95"/>
      <c r="N204" s="95"/>
      <c r="O204" s="87"/>
      <c r="P204" s="87"/>
      <c r="Q204" s="88"/>
      <c r="R204" s="88"/>
    </row>
    <row r="205" spans="1:21" ht="14.1" customHeight="1">
      <c r="B205" s="89"/>
      <c r="C205" s="89"/>
      <c r="D205" s="90"/>
      <c r="E205" s="248"/>
      <c r="F205" s="91"/>
      <c r="G205" s="91"/>
      <c r="I205" s="92"/>
      <c r="J205" s="93"/>
      <c r="K205" s="94"/>
      <c r="L205" s="94"/>
      <c r="M205" s="95"/>
      <c r="N205" s="95"/>
      <c r="O205" s="87"/>
      <c r="P205" s="87"/>
      <c r="Q205" s="88"/>
      <c r="R205" s="88"/>
    </row>
    <row r="206" spans="1:21" ht="14.1" customHeight="1">
      <c r="B206" s="89"/>
      <c r="C206" s="89"/>
      <c r="D206" s="90"/>
      <c r="E206" s="248"/>
      <c r="F206" s="91"/>
      <c r="G206" s="91"/>
      <c r="I206" s="92"/>
      <c r="J206" s="93"/>
      <c r="K206" s="94"/>
      <c r="L206" s="94"/>
      <c r="M206" s="95"/>
      <c r="N206" s="95"/>
      <c r="O206" s="87"/>
      <c r="P206" s="87"/>
      <c r="Q206" s="88"/>
      <c r="R206" s="88"/>
    </row>
    <row r="207" spans="1:21" ht="14.1" customHeight="1">
      <c r="B207" s="89"/>
      <c r="C207" s="89"/>
      <c r="D207" s="90"/>
      <c r="E207" s="248"/>
      <c r="F207" s="91"/>
      <c r="G207" s="91"/>
      <c r="I207" s="92"/>
      <c r="J207" s="93"/>
      <c r="K207" s="94"/>
      <c r="L207" s="94"/>
      <c r="M207" s="95"/>
      <c r="N207" s="95"/>
      <c r="O207" s="87"/>
      <c r="P207" s="87"/>
      <c r="Q207" s="88"/>
      <c r="R207" s="88"/>
    </row>
    <row r="208" spans="1:21" ht="14.1" customHeight="1">
      <c r="B208" s="89"/>
      <c r="C208" s="89"/>
      <c r="D208" s="90"/>
      <c r="E208" s="248"/>
      <c r="F208" s="91"/>
      <c r="G208" s="91"/>
      <c r="I208" s="92"/>
      <c r="J208" s="93"/>
      <c r="K208" s="94"/>
      <c r="L208" s="94"/>
      <c r="M208" s="95"/>
      <c r="N208" s="95"/>
      <c r="O208" s="87"/>
      <c r="P208" s="87"/>
      <c r="Q208" s="88"/>
      <c r="R208" s="88"/>
    </row>
    <row r="209" spans="2:18" ht="14.1" customHeight="1">
      <c r="B209" s="89"/>
      <c r="C209" s="89"/>
      <c r="D209" s="90"/>
      <c r="E209" s="248"/>
      <c r="F209" s="91"/>
      <c r="G209" s="91"/>
      <c r="I209" s="92"/>
      <c r="J209" s="93"/>
      <c r="K209" s="94"/>
      <c r="L209" s="94"/>
      <c r="M209" s="95"/>
      <c r="N209" s="95"/>
      <c r="O209" s="87"/>
      <c r="P209" s="87"/>
      <c r="Q209" s="88"/>
      <c r="R209" s="88"/>
    </row>
    <row r="210" spans="2:18" ht="14.1" customHeight="1">
      <c r="B210" s="89"/>
      <c r="C210" s="89"/>
      <c r="D210" s="90"/>
      <c r="E210" s="248"/>
      <c r="F210" s="91"/>
      <c r="G210" s="91"/>
      <c r="I210" s="92"/>
      <c r="J210" s="93"/>
      <c r="K210" s="94"/>
      <c r="L210" s="94"/>
      <c r="M210" s="95"/>
      <c r="N210" s="95"/>
      <c r="O210" s="87"/>
      <c r="P210" s="87"/>
      <c r="Q210" s="88"/>
      <c r="R210" s="88"/>
    </row>
    <row r="211" spans="2:18" ht="14.1" customHeight="1">
      <c r="B211" s="89"/>
      <c r="C211" s="89"/>
      <c r="D211" s="90"/>
      <c r="E211" s="248"/>
      <c r="F211" s="91"/>
      <c r="G211" s="91"/>
      <c r="I211" s="92"/>
      <c r="J211" s="93"/>
      <c r="K211" s="94"/>
      <c r="L211" s="94"/>
      <c r="M211" s="95"/>
      <c r="N211" s="95"/>
      <c r="O211" s="87"/>
      <c r="P211" s="87"/>
      <c r="Q211" s="88"/>
      <c r="R211" s="88"/>
    </row>
    <row r="212" spans="2:18" ht="14.1" customHeight="1">
      <c r="B212" s="89"/>
      <c r="C212" s="89"/>
      <c r="D212" s="90"/>
      <c r="E212" s="248"/>
      <c r="F212" s="91"/>
      <c r="G212" s="91"/>
      <c r="I212" s="92"/>
      <c r="J212" s="93"/>
      <c r="K212" s="94"/>
      <c r="L212" s="94"/>
      <c r="M212" s="95"/>
      <c r="N212" s="95"/>
      <c r="O212" s="87"/>
      <c r="P212" s="87"/>
      <c r="Q212" s="88"/>
      <c r="R212" s="88"/>
    </row>
    <row r="213" spans="2:18" ht="14.1" customHeight="1">
      <c r="B213" s="89"/>
      <c r="C213" s="89"/>
      <c r="D213" s="90"/>
      <c r="E213" s="248"/>
      <c r="F213" s="91"/>
      <c r="G213" s="91"/>
      <c r="I213" s="92"/>
      <c r="J213" s="93"/>
      <c r="K213" s="94"/>
      <c r="L213" s="94"/>
      <c r="M213" s="95"/>
      <c r="N213" s="95"/>
      <c r="O213" s="87"/>
      <c r="P213" s="87"/>
      <c r="Q213" s="88"/>
      <c r="R213" s="88"/>
    </row>
    <row r="214" spans="2:18" ht="14.1" customHeight="1">
      <c r="B214" s="89"/>
      <c r="C214" s="89"/>
      <c r="D214" s="90"/>
      <c r="E214" s="248"/>
      <c r="F214" s="91"/>
      <c r="G214" s="91"/>
      <c r="I214" s="92"/>
      <c r="J214" s="93"/>
      <c r="K214" s="94"/>
      <c r="L214" s="94"/>
      <c r="M214" s="95"/>
      <c r="N214" s="95"/>
      <c r="O214" s="87"/>
      <c r="P214" s="87"/>
      <c r="Q214" s="88"/>
      <c r="R214" s="88"/>
    </row>
    <row r="215" spans="2:18" ht="14.1" customHeight="1">
      <c r="B215" s="89"/>
      <c r="C215" s="89"/>
      <c r="D215" s="90"/>
      <c r="E215" s="248"/>
      <c r="F215" s="91"/>
      <c r="G215" s="91"/>
      <c r="I215" s="92"/>
      <c r="J215" s="93"/>
      <c r="K215" s="94"/>
      <c r="L215" s="94"/>
      <c r="M215" s="95"/>
      <c r="N215" s="95"/>
      <c r="O215" s="87"/>
      <c r="P215" s="87"/>
      <c r="Q215" s="88"/>
      <c r="R215" s="88"/>
    </row>
    <row r="216" spans="2:18" ht="14.1" customHeight="1">
      <c r="B216" s="89"/>
      <c r="C216" s="89"/>
      <c r="D216" s="90"/>
      <c r="E216" s="248"/>
      <c r="F216" s="91"/>
      <c r="G216" s="91"/>
      <c r="I216" s="92"/>
      <c r="J216" s="93"/>
      <c r="K216" s="94"/>
      <c r="L216" s="94"/>
      <c r="M216" s="95"/>
      <c r="N216" s="95"/>
      <c r="O216" s="87"/>
      <c r="P216" s="87"/>
      <c r="Q216" s="88"/>
      <c r="R216" s="88"/>
    </row>
    <row r="217" spans="2:18" ht="14.1" customHeight="1">
      <c r="B217" s="89"/>
      <c r="C217" s="89"/>
      <c r="D217" s="90"/>
      <c r="E217" s="248"/>
      <c r="F217" s="91"/>
      <c r="G217" s="91"/>
      <c r="I217" s="92"/>
      <c r="J217" s="93"/>
      <c r="K217" s="94"/>
      <c r="L217" s="94"/>
      <c r="M217" s="95"/>
      <c r="N217" s="95"/>
      <c r="O217" s="87"/>
      <c r="P217" s="87"/>
      <c r="Q217" s="88"/>
      <c r="R217" s="88"/>
    </row>
    <row r="218" spans="2:18" ht="14.1" customHeight="1">
      <c r="B218" s="89"/>
      <c r="C218" s="89"/>
      <c r="D218" s="90"/>
      <c r="E218" s="248"/>
      <c r="F218" s="91"/>
      <c r="G218" s="91"/>
      <c r="I218" s="92"/>
      <c r="J218" s="93"/>
      <c r="K218" s="94"/>
      <c r="L218" s="94"/>
      <c r="M218" s="95"/>
      <c r="N218" s="95"/>
      <c r="O218" s="87"/>
      <c r="P218" s="87"/>
      <c r="Q218" s="88"/>
      <c r="R218" s="88"/>
    </row>
    <row r="219" spans="2:18" ht="14.1" customHeight="1">
      <c r="B219" s="89"/>
      <c r="C219" s="89"/>
      <c r="D219" s="90"/>
      <c r="E219" s="248"/>
      <c r="F219" s="91"/>
      <c r="G219" s="91"/>
      <c r="I219" s="92"/>
      <c r="J219" s="93"/>
      <c r="K219" s="94"/>
      <c r="L219" s="94"/>
      <c r="M219" s="95"/>
      <c r="N219" s="95"/>
      <c r="O219" s="87"/>
      <c r="P219" s="87"/>
      <c r="Q219" s="88"/>
      <c r="R219" s="88"/>
    </row>
    <row r="220" spans="2:18" ht="14.1" customHeight="1">
      <c r="B220" s="89"/>
      <c r="C220" s="89"/>
      <c r="D220" s="90"/>
      <c r="E220" s="248"/>
      <c r="F220" s="91"/>
      <c r="G220" s="91"/>
      <c r="I220" s="92"/>
      <c r="J220" s="93"/>
      <c r="K220" s="94"/>
      <c r="L220" s="94"/>
      <c r="M220" s="95"/>
      <c r="N220" s="95"/>
      <c r="O220" s="87"/>
      <c r="P220" s="87"/>
      <c r="Q220" s="88"/>
      <c r="R220" s="88"/>
    </row>
    <row r="221" spans="2:18" ht="14.1" customHeight="1">
      <c r="B221" s="89"/>
      <c r="C221" s="89"/>
      <c r="D221" s="90"/>
      <c r="E221" s="248"/>
      <c r="F221" s="91"/>
      <c r="G221" s="91"/>
      <c r="I221" s="92"/>
      <c r="J221" s="93"/>
      <c r="K221" s="94"/>
      <c r="L221" s="94"/>
      <c r="M221" s="95"/>
      <c r="N221" s="95"/>
      <c r="O221" s="87"/>
      <c r="P221" s="87"/>
      <c r="Q221" s="88"/>
      <c r="R221" s="88"/>
    </row>
    <row r="222" spans="2:18" ht="14.1" customHeight="1">
      <c r="B222" s="89"/>
      <c r="C222" s="89"/>
      <c r="D222" s="90"/>
      <c r="E222" s="248"/>
      <c r="F222" s="91"/>
      <c r="G222" s="91"/>
      <c r="I222" s="92"/>
      <c r="J222" s="93"/>
      <c r="K222" s="94"/>
      <c r="L222" s="94"/>
      <c r="M222" s="95"/>
      <c r="N222" s="95"/>
      <c r="O222" s="87"/>
      <c r="P222" s="87"/>
      <c r="Q222" s="88"/>
      <c r="R222" s="88"/>
    </row>
    <row r="223" spans="2:18" ht="14.1" customHeight="1">
      <c r="B223" s="89"/>
      <c r="C223" s="89"/>
      <c r="D223" s="90"/>
      <c r="E223" s="248"/>
      <c r="F223" s="91"/>
      <c r="G223" s="91"/>
      <c r="I223" s="92"/>
      <c r="J223" s="93"/>
      <c r="K223" s="94"/>
      <c r="L223" s="94"/>
      <c r="M223" s="95"/>
      <c r="N223" s="95"/>
      <c r="O223" s="87"/>
      <c r="P223" s="87"/>
      <c r="Q223" s="88"/>
      <c r="R223" s="88"/>
    </row>
    <row r="224" spans="2:18" ht="14.1" customHeight="1">
      <c r="B224" s="89"/>
      <c r="C224" s="89"/>
      <c r="D224" s="90"/>
      <c r="E224" s="248"/>
      <c r="F224" s="91"/>
      <c r="G224" s="91"/>
      <c r="I224" s="92"/>
      <c r="J224" s="93"/>
      <c r="K224" s="94"/>
      <c r="L224" s="94"/>
      <c r="M224" s="95"/>
      <c r="N224" s="95"/>
      <c r="O224" s="87"/>
      <c r="P224" s="87"/>
      <c r="Q224" s="88"/>
      <c r="R224" s="88"/>
    </row>
    <row r="225" spans="2:18" ht="14.1" customHeight="1">
      <c r="B225" s="89"/>
      <c r="C225" s="89"/>
      <c r="D225" s="90"/>
      <c r="E225" s="248"/>
      <c r="F225" s="91"/>
      <c r="G225" s="91"/>
      <c r="I225" s="92"/>
      <c r="J225" s="93"/>
      <c r="K225" s="94"/>
      <c r="L225" s="94"/>
      <c r="M225" s="95"/>
      <c r="N225" s="95"/>
      <c r="O225" s="87"/>
      <c r="P225" s="87"/>
      <c r="Q225" s="88"/>
      <c r="R225" s="88"/>
    </row>
    <row r="226" spans="2:18" ht="14.1" customHeight="1">
      <c r="B226" s="89"/>
      <c r="C226" s="89"/>
      <c r="D226" s="90"/>
      <c r="E226" s="248"/>
      <c r="F226" s="91"/>
      <c r="G226" s="91"/>
      <c r="I226" s="92"/>
      <c r="J226" s="93"/>
      <c r="K226" s="94"/>
      <c r="L226" s="94"/>
      <c r="M226" s="95"/>
      <c r="N226" s="95"/>
      <c r="O226" s="87"/>
      <c r="P226" s="87"/>
      <c r="Q226" s="88"/>
      <c r="R226" s="88"/>
    </row>
    <row r="227" spans="2:18" ht="14.1" customHeight="1">
      <c r="B227" s="89"/>
      <c r="C227" s="89"/>
      <c r="D227" s="90"/>
      <c r="E227" s="248"/>
      <c r="F227" s="91"/>
      <c r="G227" s="91"/>
      <c r="I227" s="92"/>
      <c r="J227" s="93"/>
      <c r="K227" s="94"/>
      <c r="L227" s="94"/>
      <c r="M227" s="95"/>
      <c r="N227" s="95"/>
      <c r="O227" s="87"/>
      <c r="P227" s="87"/>
      <c r="Q227" s="88"/>
      <c r="R227" s="88"/>
    </row>
    <row r="228" spans="2:18" ht="14.1" customHeight="1">
      <c r="B228" s="89"/>
      <c r="C228" s="89"/>
      <c r="D228" s="90"/>
      <c r="E228" s="248"/>
      <c r="F228" s="91"/>
      <c r="G228" s="91"/>
      <c r="I228" s="92"/>
      <c r="J228" s="93"/>
      <c r="K228" s="94"/>
      <c r="L228" s="94"/>
      <c r="M228" s="95"/>
      <c r="N228" s="95"/>
      <c r="O228" s="87"/>
      <c r="P228" s="87"/>
      <c r="Q228" s="88"/>
      <c r="R228" s="88"/>
    </row>
    <row r="229" spans="2:18" ht="14.1" customHeight="1">
      <c r="B229" s="89"/>
      <c r="C229" s="89"/>
      <c r="D229" s="90"/>
      <c r="E229" s="248"/>
      <c r="F229" s="91"/>
      <c r="G229" s="91"/>
      <c r="I229" s="92"/>
      <c r="J229" s="93"/>
      <c r="K229" s="94"/>
      <c r="L229" s="94"/>
      <c r="M229" s="95"/>
      <c r="N229" s="95"/>
      <c r="O229" s="87"/>
      <c r="P229" s="87"/>
      <c r="Q229" s="88"/>
      <c r="R229" s="88"/>
    </row>
    <row r="230" spans="2:18" ht="14.1" customHeight="1">
      <c r="B230" s="89"/>
      <c r="C230" s="89"/>
      <c r="D230" s="90"/>
      <c r="E230" s="248"/>
      <c r="F230" s="91"/>
      <c r="G230" s="91"/>
      <c r="I230" s="92"/>
      <c r="J230" s="93"/>
      <c r="K230" s="94"/>
      <c r="L230" s="94"/>
      <c r="M230" s="95"/>
      <c r="N230" s="95"/>
      <c r="O230" s="87"/>
      <c r="P230" s="87"/>
      <c r="Q230" s="88"/>
      <c r="R230" s="88"/>
    </row>
    <row r="231" spans="2:18" ht="14.1" customHeight="1">
      <c r="B231" s="89"/>
      <c r="C231" s="89"/>
      <c r="D231" s="90"/>
      <c r="E231" s="248"/>
      <c r="F231" s="91"/>
      <c r="G231" s="91"/>
      <c r="I231" s="92"/>
      <c r="J231" s="93"/>
      <c r="K231" s="94"/>
      <c r="L231" s="94"/>
      <c r="M231" s="95"/>
      <c r="N231" s="95"/>
      <c r="O231" s="87"/>
      <c r="P231" s="87"/>
      <c r="Q231" s="88"/>
      <c r="R231" s="88"/>
    </row>
    <row r="232" spans="2:18" ht="14.1" customHeight="1">
      <c r="B232" s="89"/>
      <c r="C232" s="89"/>
      <c r="D232" s="90"/>
      <c r="E232" s="248"/>
      <c r="F232" s="91"/>
      <c r="G232" s="91"/>
      <c r="I232" s="92"/>
      <c r="J232" s="93"/>
      <c r="K232" s="94"/>
      <c r="L232" s="94"/>
      <c r="M232" s="95"/>
      <c r="N232" s="95"/>
      <c r="O232" s="87"/>
      <c r="P232" s="87"/>
      <c r="Q232" s="88"/>
      <c r="R232" s="88"/>
    </row>
    <row r="233" spans="2:18" ht="14.1" customHeight="1">
      <c r="B233" s="89"/>
      <c r="C233" s="89"/>
      <c r="D233" s="90"/>
      <c r="E233" s="248"/>
      <c r="F233" s="91"/>
      <c r="G233" s="91"/>
      <c r="I233" s="92"/>
      <c r="J233" s="93"/>
      <c r="K233" s="94"/>
      <c r="L233" s="94"/>
      <c r="M233" s="95"/>
      <c r="N233" s="95"/>
      <c r="O233" s="87"/>
      <c r="P233" s="87"/>
      <c r="Q233" s="88"/>
      <c r="R233" s="88"/>
    </row>
    <row r="234" spans="2:18" ht="14.1" customHeight="1">
      <c r="B234" s="89"/>
      <c r="C234" s="89"/>
      <c r="D234" s="90"/>
      <c r="E234" s="248"/>
      <c r="F234" s="91"/>
      <c r="G234" s="91"/>
      <c r="I234" s="92"/>
      <c r="J234" s="93"/>
      <c r="K234" s="94"/>
      <c r="L234" s="94"/>
      <c r="M234" s="95"/>
      <c r="N234" s="95"/>
      <c r="O234" s="87"/>
      <c r="P234" s="87"/>
      <c r="Q234" s="88"/>
      <c r="R234" s="88"/>
    </row>
    <row r="235" spans="2:18" ht="14.1" customHeight="1">
      <c r="B235" s="89"/>
      <c r="C235" s="89"/>
      <c r="D235" s="90"/>
      <c r="E235" s="248"/>
      <c r="F235" s="91"/>
      <c r="G235" s="91"/>
      <c r="I235" s="92"/>
      <c r="J235" s="93"/>
      <c r="K235" s="94"/>
      <c r="L235" s="94"/>
      <c r="M235" s="95"/>
      <c r="N235" s="95"/>
      <c r="O235" s="87"/>
      <c r="P235" s="87"/>
      <c r="Q235" s="88"/>
      <c r="R235" s="88"/>
    </row>
    <row r="236" spans="2:18" ht="14.1" customHeight="1">
      <c r="B236" s="89"/>
      <c r="C236" s="89"/>
      <c r="D236" s="90"/>
      <c r="E236" s="248"/>
      <c r="F236" s="91"/>
      <c r="G236" s="91"/>
      <c r="I236" s="92"/>
      <c r="J236" s="93"/>
      <c r="K236" s="94"/>
      <c r="L236" s="94"/>
      <c r="M236" s="95"/>
      <c r="N236" s="95"/>
      <c r="O236" s="87"/>
      <c r="P236" s="87"/>
      <c r="Q236" s="88"/>
      <c r="R236" s="88"/>
    </row>
    <row r="237" spans="2:18" ht="14.1" customHeight="1">
      <c r="B237" s="89"/>
      <c r="C237" s="89"/>
      <c r="D237" s="90"/>
      <c r="E237" s="248"/>
      <c r="F237" s="91"/>
      <c r="G237" s="91"/>
      <c r="I237" s="92"/>
      <c r="J237" s="93"/>
      <c r="K237" s="94"/>
      <c r="L237" s="94"/>
      <c r="M237" s="95"/>
      <c r="N237" s="95"/>
      <c r="O237" s="87"/>
      <c r="P237" s="87"/>
      <c r="Q237" s="88"/>
      <c r="R237" s="88"/>
    </row>
    <row r="238" spans="2:18" ht="14.1" customHeight="1">
      <c r="B238" s="89"/>
      <c r="C238" s="89"/>
      <c r="D238" s="90"/>
      <c r="E238" s="248"/>
      <c r="F238" s="91"/>
      <c r="G238" s="91"/>
      <c r="I238" s="92"/>
      <c r="J238" s="93"/>
      <c r="K238" s="94"/>
      <c r="L238" s="94"/>
      <c r="M238" s="95"/>
      <c r="N238" s="95"/>
      <c r="O238" s="87"/>
      <c r="P238" s="87"/>
      <c r="Q238" s="88"/>
      <c r="R238" s="88"/>
    </row>
    <row r="239" spans="2:18" ht="14.1" customHeight="1">
      <c r="B239" s="89"/>
      <c r="C239" s="89"/>
      <c r="D239" s="90"/>
      <c r="E239" s="248"/>
      <c r="F239" s="91"/>
      <c r="G239" s="91"/>
      <c r="I239" s="92"/>
      <c r="J239" s="93"/>
      <c r="K239" s="94"/>
      <c r="L239" s="94"/>
      <c r="M239" s="95"/>
      <c r="N239" s="95"/>
      <c r="O239" s="87"/>
      <c r="P239" s="87"/>
      <c r="Q239" s="88"/>
      <c r="R239" s="88"/>
    </row>
    <row r="240" spans="2:18" ht="14.1" customHeight="1">
      <c r="B240" s="89"/>
      <c r="C240" s="89"/>
      <c r="D240" s="90"/>
      <c r="E240" s="248"/>
      <c r="F240" s="91"/>
      <c r="G240" s="91"/>
      <c r="I240" s="92"/>
      <c r="J240" s="93"/>
      <c r="K240" s="94"/>
      <c r="L240" s="94"/>
      <c r="M240" s="95"/>
      <c r="N240" s="95"/>
      <c r="O240" s="87"/>
      <c r="P240" s="87"/>
      <c r="Q240" s="88"/>
      <c r="R240" s="88"/>
    </row>
    <row r="241" spans="2:18" ht="14.1" customHeight="1">
      <c r="B241" s="89"/>
      <c r="C241" s="89"/>
      <c r="D241" s="90"/>
      <c r="E241" s="248"/>
      <c r="F241" s="91"/>
      <c r="G241" s="91"/>
      <c r="I241" s="92"/>
      <c r="J241" s="93"/>
      <c r="K241" s="94"/>
      <c r="L241" s="94"/>
      <c r="M241" s="95"/>
      <c r="N241" s="95"/>
      <c r="O241" s="87"/>
      <c r="P241" s="87"/>
      <c r="Q241" s="88"/>
      <c r="R241" s="88"/>
    </row>
    <row r="242" spans="2:18" ht="14.1" customHeight="1">
      <c r="B242" s="89"/>
      <c r="C242" s="89"/>
      <c r="D242" s="90"/>
      <c r="E242" s="248"/>
      <c r="F242" s="91"/>
      <c r="G242" s="91"/>
      <c r="I242" s="92"/>
      <c r="J242" s="93"/>
      <c r="K242" s="94"/>
      <c r="L242" s="94"/>
      <c r="M242" s="95"/>
      <c r="N242" s="95"/>
      <c r="O242" s="87"/>
      <c r="P242" s="87"/>
      <c r="Q242" s="88"/>
      <c r="R242" s="88"/>
    </row>
    <row r="243" spans="2:18" ht="14.1" customHeight="1">
      <c r="B243" s="89"/>
      <c r="C243" s="89"/>
      <c r="D243" s="90"/>
      <c r="E243" s="248"/>
      <c r="F243" s="91"/>
      <c r="G243" s="91"/>
      <c r="I243" s="92"/>
      <c r="J243" s="93"/>
      <c r="K243" s="94"/>
      <c r="L243" s="94"/>
      <c r="M243" s="95"/>
      <c r="N243" s="95"/>
      <c r="O243" s="87"/>
      <c r="P243" s="87"/>
      <c r="Q243" s="88"/>
      <c r="R243" s="88"/>
    </row>
    <row r="244" spans="2:18" ht="14.1" customHeight="1">
      <c r="B244" s="89"/>
      <c r="C244" s="89"/>
      <c r="D244" s="90"/>
      <c r="E244" s="248"/>
      <c r="F244" s="91"/>
      <c r="G244" s="91"/>
      <c r="I244" s="92"/>
      <c r="J244" s="93"/>
      <c r="K244" s="94"/>
      <c r="L244" s="94"/>
      <c r="M244" s="95"/>
      <c r="N244" s="95"/>
      <c r="O244" s="87"/>
      <c r="P244" s="87"/>
      <c r="Q244" s="88"/>
      <c r="R244" s="88"/>
    </row>
    <row r="245" spans="2:18" ht="14.1" customHeight="1">
      <c r="B245" s="89"/>
      <c r="C245" s="89"/>
      <c r="D245" s="90"/>
      <c r="E245" s="248"/>
      <c r="F245" s="91"/>
      <c r="G245" s="91"/>
      <c r="I245" s="92"/>
      <c r="J245" s="93"/>
      <c r="K245" s="94"/>
      <c r="L245" s="94"/>
      <c r="M245" s="95"/>
      <c r="N245" s="95"/>
      <c r="O245" s="87"/>
      <c r="P245" s="87"/>
      <c r="Q245" s="88"/>
      <c r="R245" s="88"/>
    </row>
    <row r="246" spans="2:18" ht="14.1" customHeight="1">
      <c r="B246" s="89"/>
      <c r="C246" s="89"/>
      <c r="D246" s="90"/>
      <c r="E246" s="248"/>
      <c r="F246" s="91"/>
      <c r="G246" s="91"/>
      <c r="I246" s="92"/>
      <c r="J246" s="93"/>
      <c r="K246" s="94"/>
      <c r="L246" s="94"/>
      <c r="M246" s="95"/>
      <c r="N246" s="95"/>
      <c r="O246" s="87"/>
      <c r="P246" s="87"/>
      <c r="Q246" s="88"/>
      <c r="R246" s="88"/>
    </row>
    <row r="247" spans="2:18" ht="14.1" customHeight="1">
      <c r="B247" s="89"/>
      <c r="C247" s="89"/>
      <c r="D247" s="90"/>
      <c r="E247" s="248"/>
      <c r="F247" s="91"/>
      <c r="G247" s="91"/>
      <c r="I247" s="92"/>
      <c r="J247" s="93"/>
      <c r="K247" s="94"/>
      <c r="L247" s="94"/>
      <c r="M247" s="95"/>
      <c r="N247" s="95"/>
      <c r="O247" s="87"/>
      <c r="P247" s="87"/>
      <c r="Q247" s="88"/>
      <c r="R247" s="88"/>
    </row>
    <row r="248" spans="2:18" ht="14.1" customHeight="1">
      <c r="B248" s="89"/>
      <c r="C248" s="89"/>
      <c r="D248" s="90"/>
      <c r="E248" s="248"/>
      <c r="F248" s="91"/>
      <c r="G248" s="91"/>
      <c r="I248" s="92"/>
      <c r="J248" s="93"/>
      <c r="K248" s="94"/>
      <c r="L248" s="94"/>
      <c r="M248" s="95"/>
      <c r="N248" s="95"/>
      <c r="O248" s="87"/>
      <c r="P248" s="87"/>
      <c r="Q248" s="88"/>
      <c r="R248" s="88"/>
    </row>
    <row r="249" spans="2:18" ht="14.1" customHeight="1">
      <c r="B249" s="89"/>
      <c r="C249" s="89"/>
      <c r="D249" s="90"/>
      <c r="E249" s="248"/>
      <c r="F249" s="91"/>
      <c r="G249" s="91"/>
      <c r="I249" s="92"/>
      <c r="J249" s="93"/>
      <c r="K249" s="94"/>
      <c r="L249" s="94"/>
      <c r="M249" s="95"/>
      <c r="N249" s="95"/>
      <c r="O249" s="87"/>
      <c r="P249" s="87"/>
      <c r="Q249" s="88"/>
      <c r="R249" s="88"/>
    </row>
    <row r="250" spans="2:18" ht="14.1" customHeight="1">
      <c r="B250" s="89"/>
      <c r="C250" s="89"/>
      <c r="D250" s="90"/>
      <c r="E250" s="248"/>
      <c r="F250" s="91"/>
      <c r="G250" s="91"/>
      <c r="I250" s="92"/>
      <c r="J250" s="93"/>
      <c r="K250" s="94"/>
      <c r="L250" s="94"/>
      <c r="M250" s="95"/>
      <c r="N250" s="95"/>
      <c r="O250" s="87"/>
      <c r="P250" s="87"/>
      <c r="Q250" s="88"/>
      <c r="R250" s="88"/>
    </row>
    <row r="251" spans="2:18" ht="14.1" customHeight="1">
      <c r="B251" s="89"/>
      <c r="C251" s="89"/>
      <c r="D251" s="90"/>
      <c r="E251" s="248"/>
      <c r="F251" s="91"/>
      <c r="G251" s="91"/>
      <c r="I251" s="92"/>
      <c r="J251" s="93"/>
      <c r="K251" s="94"/>
      <c r="L251" s="94"/>
      <c r="M251" s="95"/>
      <c r="N251" s="95"/>
      <c r="O251" s="87"/>
      <c r="P251" s="87"/>
      <c r="Q251" s="88"/>
      <c r="R251" s="88"/>
    </row>
    <row r="252" spans="2:18" ht="14.1" customHeight="1">
      <c r="B252" s="89"/>
      <c r="C252" s="89"/>
      <c r="D252" s="90"/>
      <c r="E252" s="248"/>
      <c r="F252" s="91"/>
      <c r="G252" s="91"/>
      <c r="I252" s="92"/>
      <c r="J252" s="93"/>
      <c r="K252" s="94"/>
      <c r="L252" s="94"/>
      <c r="M252" s="95"/>
      <c r="N252" s="95"/>
      <c r="O252" s="87"/>
      <c r="P252" s="87"/>
      <c r="Q252" s="88"/>
      <c r="R252" s="88"/>
    </row>
    <row r="253" spans="2:18" ht="14.1" customHeight="1">
      <c r="B253" s="89"/>
      <c r="C253" s="89"/>
      <c r="D253" s="90"/>
      <c r="E253" s="248"/>
      <c r="F253" s="91"/>
      <c r="G253" s="91"/>
      <c r="I253" s="92"/>
      <c r="J253" s="93"/>
      <c r="K253" s="94"/>
      <c r="L253" s="94"/>
      <c r="M253" s="95"/>
      <c r="N253" s="95"/>
      <c r="O253" s="87"/>
      <c r="P253" s="87"/>
      <c r="Q253" s="88"/>
      <c r="R253" s="88"/>
    </row>
    <row r="254" spans="2:18" ht="14.1" customHeight="1">
      <c r="B254" s="89"/>
      <c r="C254" s="89"/>
      <c r="D254" s="90"/>
      <c r="E254" s="248"/>
      <c r="F254" s="91"/>
      <c r="G254" s="91"/>
      <c r="I254" s="92"/>
      <c r="J254" s="93"/>
      <c r="K254" s="94"/>
      <c r="L254" s="94"/>
      <c r="M254" s="95"/>
      <c r="N254" s="95"/>
      <c r="O254" s="87"/>
      <c r="P254" s="87"/>
      <c r="Q254" s="88"/>
      <c r="R254" s="88"/>
    </row>
    <row r="255" spans="2:18" ht="14.1" customHeight="1">
      <c r="B255" s="89"/>
      <c r="C255" s="89"/>
      <c r="D255" s="90"/>
      <c r="E255" s="248"/>
      <c r="F255" s="91"/>
      <c r="G255" s="91"/>
      <c r="I255" s="92"/>
      <c r="J255" s="93"/>
      <c r="K255" s="94"/>
      <c r="L255" s="94"/>
      <c r="M255" s="95"/>
      <c r="N255" s="95"/>
      <c r="O255" s="87"/>
      <c r="P255" s="87"/>
      <c r="Q255" s="88"/>
      <c r="R255" s="88"/>
    </row>
    <row r="256" spans="2:18" ht="14.1" customHeight="1">
      <c r="B256" s="89"/>
      <c r="C256" s="89"/>
      <c r="D256" s="90"/>
      <c r="E256" s="248"/>
      <c r="F256" s="91"/>
      <c r="G256" s="91"/>
      <c r="I256" s="92"/>
      <c r="J256" s="93"/>
      <c r="K256" s="94"/>
      <c r="L256" s="94"/>
      <c r="M256" s="95"/>
      <c r="N256" s="95"/>
      <c r="O256" s="87"/>
      <c r="P256" s="87"/>
      <c r="Q256" s="88"/>
      <c r="R256" s="88"/>
    </row>
    <row r="257" spans="2:18" ht="14.1" customHeight="1">
      <c r="B257" s="89"/>
      <c r="C257" s="89"/>
      <c r="D257" s="90"/>
      <c r="E257" s="248"/>
      <c r="F257" s="91"/>
      <c r="G257" s="91"/>
      <c r="I257" s="92"/>
      <c r="J257" s="93"/>
      <c r="K257" s="94"/>
      <c r="L257" s="94"/>
      <c r="M257" s="95"/>
      <c r="N257" s="95"/>
      <c r="O257" s="87"/>
      <c r="P257" s="87"/>
      <c r="Q257" s="88"/>
      <c r="R257" s="88"/>
    </row>
    <row r="258" spans="2:18" ht="14.1" customHeight="1">
      <c r="B258" s="89"/>
      <c r="C258" s="89"/>
      <c r="D258" s="90"/>
      <c r="E258" s="248"/>
      <c r="F258" s="91"/>
      <c r="G258" s="91"/>
      <c r="I258" s="92"/>
      <c r="J258" s="93"/>
      <c r="K258" s="94"/>
      <c r="L258" s="94"/>
      <c r="M258" s="95"/>
      <c r="N258" s="95"/>
      <c r="O258" s="87"/>
      <c r="P258" s="87"/>
      <c r="Q258" s="88"/>
      <c r="R258" s="88"/>
    </row>
    <row r="259" spans="2:18" ht="14.1" customHeight="1">
      <c r="B259" s="89"/>
      <c r="C259" s="89"/>
      <c r="D259" s="90"/>
      <c r="E259" s="248"/>
      <c r="F259" s="91"/>
      <c r="G259" s="91"/>
      <c r="I259" s="92"/>
      <c r="J259" s="93"/>
      <c r="K259" s="94"/>
      <c r="L259" s="94"/>
      <c r="M259" s="95"/>
      <c r="N259" s="95"/>
      <c r="O259" s="87"/>
      <c r="P259" s="87"/>
      <c r="Q259" s="88"/>
      <c r="R259" s="88"/>
    </row>
    <row r="260" spans="2:18" ht="14.1" customHeight="1">
      <c r="B260" s="89"/>
      <c r="C260" s="89"/>
      <c r="D260" s="90"/>
      <c r="E260" s="248"/>
      <c r="F260" s="91"/>
      <c r="G260" s="91"/>
      <c r="I260" s="92"/>
      <c r="J260" s="93"/>
      <c r="K260" s="94"/>
      <c r="L260" s="94"/>
      <c r="M260" s="95"/>
      <c r="N260" s="95"/>
      <c r="O260" s="87"/>
      <c r="P260" s="87"/>
      <c r="Q260" s="88"/>
      <c r="R260" s="88"/>
    </row>
    <row r="261" spans="2:18" ht="14.1" customHeight="1">
      <c r="B261" s="89"/>
      <c r="C261" s="89"/>
      <c r="D261" s="90"/>
      <c r="E261" s="248"/>
      <c r="F261" s="91"/>
      <c r="G261" s="91"/>
      <c r="I261" s="92"/>
      <c r="J261" s="93"/>
      <c r="K261" s="94"/>
      <c r="L261" s="94"/>
      <c r="M261" s="95"/>
      <c r="N261" s="95"/>
      <c r="O261" s="87"/>
      <c r="P261" s="87"/>
      <c r="Q261" s="88"/>
      <c r="R261" s="88"/>
    </row>
    <row r="262" spans="2:18" ht="14.1" customHeight="1">
      <c r="B262" s="89"/>
      <c r="C262" s="89"/>
      <c r="D262" s="90"/>
      <c r="E262" s="248"/>
      <c r="F262" s="91"/>
      <c r="G262" s="91"/>
      <c r="I262" s="92"/>
      <c r="J262" s="93"/>
      <c r="K262" s="94"/>
      <c r="L262" s="94"/>
      <c r="M262" s="95"/>
      <c r="N262" s="95"/>
      <c r="O262" s="87"/>
      <c r="P262" s="87"/>
      <c r="Q262" s="88"/>
      <c r="R262" s="88"/>
    </row>
    <row r="263" spans="2:18" ht="14.1" customHeight="1">
      <c r="B263" s="89"/>
      <c r="C263" s="89"/>
      <c r="D263" s="90"/>
      <c r="E263" s="248"/>
      <c r="F263" s="91"/>
      <c r="G263" s="91"/>
      <c r="I263" s="92"/>
      <c r="J263" s="93"/>
      <c r="K263" s="94"/>
      <c r="L263" s="94"/>
      <c r="M263" s="95"/>
      <c r="N263" s="95"/>
      <c r="O263" s="87"/>
      <c r="P263" s="87"/>
      <c r="Q263" s="88"/>
      <c r="R263" s="88"/>
    </row>
    <row r="264" spans="2:18" ht="14.1" customHeight="1">
      <c r="B264" s="89"/>
      <c r="C264" s="89"/>
      <c r="D264" s="90"/>
      <c r="E264" s="248"/>
      <c r="F264" s="91"/>
      <c r="G264" s="91"/>
      <c r="I264" s="92"/>
      <c r="J264" s="93"/>
      <c r="K264" s="94"/>
      <c r="L264" s="94"/>
      <c r="M264" s="95"/>
      <c r="N264" s="95"/>
      <c r="O264" s="87"/>
      <c r="P264" s="87"/>
      <c r="Q264" s="88"/>
      <c r="R264" s="88"/>
    </row>
    <row r="265" spans="2:18" ht="14.1" customHeight="1">
      <c r="B265" s="89"/>
      <c r="C265" s="89"/>
      <c r="D265" s="90"/>
      <c r="E265" s="248"/>
      <c r="F265" s="91"/>
      <c r="G265" s="91"/>
      <c r="I265" s="92"/>
      <c r="J265" s="93"/>
      <c r="K265" s="94"/>
      <c r="L265" s="94"/>
      <c r="M265" s="95"/>
      <c r="N265" s="95"/>
      <c r="O265" s="87"/>
      <c r="P265" s="87"/>
      <c r="Q265" s="88"/>
      <c r="R265" s="88"/>
    </row>
    <row r="266" spans="2:18" ht="14.1" customHeight="1">
      <c r="B266" s="89"/>
      <c r="C266" s="89"/>
      <c r="D266" s="90"/>
      <c r="E266" s="248"/>
      <c r="F266" s="91"/>
      <c r="G266" s="91"/>
      <c r="I266" s="92"/>
      <c r="J266" s="93"/>
      <c r="K266" s="94"/>
      <c r="L266" s="94"/>
      <c r="M266" s="95"/>
      <c r="N266" s="95"/>
      <c r="O266" s="87"/>
      <c r="P266" s="87"/>
      <c r="Q266" s="88"/>
      <c r="R266" s="88"/>
    </row>
    <row r="267" spans="2:18" ht="14.1" customHeight="1">
      <c r="B267" s="89"/>
      <c r="C267" s="89"/>
      <c r="D267" s="90"/>
      <c r="E267" s="248"/>
      <c r="F267" s="91"/>
      <c r="G267" s="91"/>
      <c r="I267" s="92"/>
      <c r="J267" s="93"/>
      <c r="K267" s="94"/>
      <c r="L267" s="94"/>
      <c r="M267" s="95"/>
      <c r="N267" s="95"/>
      <c r="O267" s="87"/>
      <c r="P267" s="87"/>
      <c r="Q267" s="88"/>
      <c r="R267" s="88"/>
    </row>
    <row r="268" spans="2:18" ht="14.1" customHeight="1">
      <c r="B268" s="89"/>
      <c r="C268" s="89"/>
      <c r="D268" s="90"/>
      <c r="E268" s="248"/>
      <c r="F268" s="91"/>
      <c r="G268" s="91"/>
      <c r="I268" s="92"/>
      <c r="J268" s="93"/>
      <c r="K268" s="94"/>
      <c r="L268" s="94"/>
      <c r="M268" s="95"/>
      <c r="N268" s="95"/>
      <c r="O268" s="87"/>
      <c r="P268" s="87"/>
      <c r="Q268" s="88"/>
      <c r="R268" s="88"/>
    </row>
    <row r="269" spans="2:18" ht="14.1" customHeight="1">
      <c r="B269" s="89"/>
      <c r="C269" s="89"/>
      <c r="D269" s="90"/>
      <c r="E269" s="248"/>
      <c r="F269" s="91"/>
      <c r="G269" s="91"/>
      <c r="I269" s="92"/>
      <c r="J269" s="93"/>
      <c r="K269" s="94"/>
      <c r="L269" s="94"/>
      <c r="M269" s="95"/>
      <c r="N269" s="95"/>
      <c r="O269" s="87"/>
      <c r="P269" s="87"/>
      <c r="Q269" s="88"/>
      <c r="R269" s="88"/>
    </row>
    <row r="270" spans="2:18" ht="14.1" customHeight="1">
      <c r="B270" s="89"/>
      <c r="C270" s="89"/>
      <c r="D270" s="90"/>
      <c r="E270" s="248"/>
      <c r="F270" s="91"/>
      <c r="G270" s="91"/>
      <c r="I270" s="92"/>
      <c r="J270" s="93"/>
      <c r="K270" s="94"/>
      <c r="L270" s="94"/>
      <c r="M270" s="95"/>
      <c r="N270" s="95"/>
      <c r="O270" s="87"/>
      <c r="P270" s="87"/>
      <c r="Q270" s="88"/>
      <c r="R270" s="88"/>
    </row>
    <row r="271" spans="2:18" ht="14.1" customHeight="1">
      <c r="B271" s="89"/>
      <c r="C271" s="89"/>
      <c r="D271" s="90"/>
      <c r="E271" s="248"/>
      <c r="F271" s="91"/>
      <c r="G271" s="91"/>
      <c r="I271" s="92"/>
      <c r="J271" s="93"/>
      <c r="K271" s="94"/>
      <c r="L271" s="94"/>
      <c r="M271" s="95"/>
      <c r="N271" s="95"/>
      <c r="O271" s="87"/>
      <c r="P271" s="87"/>
      <c r="Q271" s="88"/>
      <c r="R271" s="88"/>
    </row>
    <row r="272" spans="2:18" ht="14.1" customHeight="1">
      <c r="B272" s="89"/>
      <c r="C272" s="89"/>
      <c r="D272" s="90"/>
      <c r="E272" s="248"/>
      <c r="F272" s="91"/>
      <c r="G272" s="91"/>
      <c r="I272" s="92"/>
      <c r="J272" s="93"/>
      <c r="K272" s="94"/>
      <c r="L272" s="94"/>
      <c r="M272" s="95"/>
      <c r="N272" s="95"/>
      <c r="O272" s="87"/>
      <c r="P272" s="87"/>
      <c r="Q272" s="88"/>
      <c r="R272" s="88"/>
    </row>
    <row r="273" spans="2:18" ht="14.1" customHeight="1">
      <c r="B273" s="89"/>
      <c r="C273" s="89"/>
      <c r="D273" s="90"/>
      <c r="E273" s="248"/>
      <c r="F273" s="91"/>
      <c r="G273" s="91"/>
      <c r="I273" s="92"/>
      <c r="J273" s="93"/>
      <c r="K273" s="94"/>
      <c r="L273" s="94"/>
      <c r="M273" s="95"/>
      <c r="N273" s="95"/>
      <c r="O273" s="87"/>
      <c r="P273" s="87"/>
      <c r="Q273" s="88"/>
      <c r="R273" s="88"/>
    </row>
    <row r="274" spans="2:18" ht="14.1" customHeight="1">
      <c r="B274" s="89"/>
      <c r="C274" s="89"/>
      <c r="D274" s="90"/>
      <c r="E274" s="248"/>
      <c r="F274" s="91"/>
      <c r="G274" s="91"/>
      <c r="I274" s="92"/>
      <c r="J274" s="93"/>
      <c r="K274" s="94"/>
      <c r="L274" s="94"/>
      <c r="M274" s="95"/>
      <c r="N274" s="95"/>
      <c r="O274" s="87"/>
      <c r="P274" s="87"/>
      <c r="Q274" s="88"/>
      <c r="R274" s="88"/>
    </row>
    <row r="275" spans="2:18" ht="14.1" customHeight="1">
      <c r="B275" s="89"/>
      <c r="C275" s="89"/>
      <c r="D275" s="90"/>
      <c r="E275" s="248"/>
      <c r="F275" s="91"/>
      <c r="G275" s="91"/>
      <c r="I275" s="92"/>
      <c r="J275" s="93"/>
      <c r="K275" s="94"/>
      <c r="L275" s="94"/>
      <c r="M275" s="95"/>
      <c r="N275" s="95"/>
      <c r="O275" s="87"/>
      <c r="P275" s="87"/>
      <c r="Q275" s="88"/>
      <c r="R275" s="88"/>
    </row>
    <row r="276" spans="2:18" ht="14.1" customHeight="1">
      <c r="B276" s="89"/>
      <c r="C276" s="89"/>
      <c r="D276" s="90"/>
      <c r="E276" s="248"/>
      <c r="F276" s="91"/>
      <c r="G276" s="91"/>
      <c r="I276" s="92"/>
      <c r="J276" s="93"/>
      <c r="K276" s="94"/>
      <c r="L276" s="94"/>
      <c r="M276" s="95"/>
      <c r="N276" s="95"/>
      <c r="O276" s="87"/>
      <c r="P276" s="87"/>
      <c r="Q276" s="88"/>
      <c r="R276" s="88"/>
    </row>
    <row r="277" spans="2:18" ht="14.1" customHeight="1">
      <c r="B277" s="89"/>
      <c r="C277" s="89"/>
      <c r="D277" s="90"/>
      <c r="E277" s="248"/>
      <c r="F277" s="91"/>
      <c r="G277" s="91"/>
      <c r="I277" s="92"/>
      <c r="J277" s="93"/>
      <c r="K277" s="94"/>
      <c r="L277" s="94"/>
      <c r="M277" s="95"/>
      <c r="N277" s="95"/>
      <c r="O277" s="87"/>
      <c r="P277" s="87"/>
      <c r="Q277" s="88"/>
      <c r="R277" s="88"/>
    </row>
    <row r="278" spans="2:18" ht="14.1" customHeight="1">
      <c r="B278" s="89"/>
      <c r="C278" s="89"/>
      <c r="D278" s="90"/>
      <c r="E278" s="248"/>
      <c r="F278" s="91"/>
      <c r="G278" s="91"/>
      <c r="I278" s="92"/>
      <c r="J278" s="93"/>
      <c r="K278" s="94"/>
      <c r="L278" s="94"/>
      <c r="M278" s="95"/>
      <c r="N278" s="95"/>
      <c r="O278" s="87"/>
      <c r="P278" s="87"/>
      <c r="Q278" s="88"/>
      <c r="R278" s="88"/>
    </row>
    <row r="279" spans="2:18" ht="14.1" customHeight="1">
      <c r="B279" s="89"/>
      <c r="C279" s="89"/>
      <c r="D279" s="90"/>
      <c r="E279" s="248"/>
      <c r="F279" s="91"/>
      <c r="G279" s="91"/>
      <c r="I279" s="92"/>
      <c r="J279" s="93"/>
      <c r="K279" s="94"/>
      <c r="L279" s="94"/>
      <c r="M279" s="95"/>
      <c r="N279" s="95"/>
      <c r="O279" s="87"/>
      <c r="P279" s="87"/>
      <c r="Q279" s="88"/>
      <c r="R279" s="88"/>
    </row>
    <row r="280" spans="2:18" ht="14.1" customHeight="1">
      <c r="B280" s="89"/>
      <c r="C280" s="89"/>
      <c r="D280" s="90"/>
      <c r="E280" s="248"/>
      <c r="F280" s="91"/>
      <c r="G280" s="91"/>
      <c r="I280" s="92"/>
      <c r="J280" s="93"/>
      <c r="K280" s="94"/>
      <c r="L280" s="94"/>
      <c r="M280" s="95"/>
      <c r="N280" s="95"/>
      <c r="O280" s="87"/>
      <c r="P280" s="87"/>
      <c r="Q280" s="88"/>
      <c r="R280" s="88"/>
    </row>
    <row r="281" spans="2:18" ht="14.1" customHeight="1">
      <c r="B281" s="89"/>
      <c r="C281" s="89"/>
      <c r="D281" s="90"/>
      <c r="E281" s="248"/>
      <c r="F281" s="91"/>
      <c r="G281" s="91"/>
      <c r="I281" s="92"/>
      <c r="J281" s="93"/>
      <c r="K281" s="94"/>
      <c r="L281" s="94"/>
      <c r="M281" s="95"/>
      <c r="N281" s="95"/>
      <c r="O281" s="87"/>
      <c r="P281" s="87"/>
      <c r="Q281" s="88"/>
      <c r="R281" s="88"/>
    </row>
    <row r="282" spans="2:18" ht="14.1" customHeight="1">
      <c r="B282" s="89"/>
      <c r="C282" s="89"/>
      <c r="D282" s="90"/>
      <c r="E282" s="248"/>
      <c r="F282" s="91"/>
      <c r="G282" s="91"/>
      <c r="I282" s="92"/>
      <c r="J282" s="93"/>
      <c r="K282" s="94"/>
      <c r="L282" s="94"/>
      <c r="M282" s="95"/>
      <c r="N282" s="95"/>
      <c r="O282" s="87"/>
      <c r="P282" s="87"/>
      <c r="Q282" s="88"/>
      <c r="R282" s="88"/>
    </row>
    <row r="283" spans="2:18" ht="14.1" customHeight="1">
      <c r="B283" s="89"/>
      <c r="C283" s="89"/>
      <c r="D283" s="90"/>
      <c r="E283" s="248"/>
      <c r="F283" s="91"/>
      <c r="G283" s="91"/>
      <c r="I283" s="92"/>
      <c r="J283" s="93"/>
      <c r="K283" s="94"/>
      <c r="L283" s="94"/>
      <c r="M283" s="95"/>
      <c r="N283" s="95"/>
      <c r="O283" s="87"/>
      <c r="P283" s="87"/>
      <c r="Q283" s="88"/>
      <c r="R283" s="88"/>
    </row>
    <row r="284" spans="2:18" ht="14.1" customHeight="1">
      <c r="B284" s="89"/>
      <c r="C284" s="89"/>
      <c r="D284" s="90"/>
      <c r="E284" s="248"/>
      <c r="F284" s="91"/>
      <c r="G284" s="91"/>
      <c r="I284" s="92"/>
      <c r="J284" s="93"/>
      <c r="K284" s="94"/>
      <c r="L284" s="94"/>
      <c r="M284" s="95"/>
      <c r="N284" s="95"/>
      <c r="O284" s="87"/>
      <c r="P284" s="87"/>
      <c r="Q284" s="88"/>
      <c r="R284" s="88"/>
    </row>
    <row r="285" spans="2:18" ht="14.1" customHeight="1">
      <c r="B285" s="89"/>
      <c r="C285" s="89"/>
      <c r="D285" s="90"/>
      <c r="E285" s="248"/>
      <c r="F285" s="91"/>
      <c r="G285" s="91"/>
      <c r="I285" s="92"/>
      <c r="J285" s="93"/>
      <c r="K285" s="94"/>
      <c r="L285" s="94"/>
      <c r="M285" s="95"/>
      <c r="N285" s="95"/>
      <c r="O285" s="87"/>
      <c r="P285" s="87"/>
      <c r="Q285" s="88"/>
      <c r="R285" s="88"/>
    </row>
    <row r="286" spans="2:18" ht="14.1" customHeight="1">
      <c r="B286" s="89"/>
      <c r="C286" s="89"/>
      <c r="D286" s="90"/>
      <c r="E286" s="248"/>
      <c r="F286" s="91"/>
      <c r="G286" s="91"/>
      <c r="I286" s="92"/>
      <c r="J286" s="93"/>
      <c r="K286" s="94"/>
      <c r="L286" s="94"/>
      <c r="M286" s="95"/>
      <c r="N286" s="95"/>
      <c r="O286" s="87"/>
      <c r="P286" s="87"/>
      <c r="Q286" s="88"/>
      <c r="R286" s="88"/>
    </row>
    <row r="287" spans="2:18" ht="14.1" customHeight="1">
      <c r="B287" s="89"/>
      <c r="C287" s="89"/>
      <c r="D287" s="90"/>
      <c r="E287" s="248"/>
      <c r="F287" s="91"/>
      <c r="G287" s="91"/>
      <c r="I287" s="92"/>
      <c r="J287" s="93"/>
      <c r="K287" s="94"/>
      <c r="L287" s="94"/>
      <c r="M287" s="95"/>
      <c r="N287" s="95"/>
      <c r="O287" s="87"/>
      <c r="P287" s="87"/>
      <c r="Q287" s="88"/>
      <c r="R287" s="88"/>
    </row>
    <row r="288" spans="2:18" ht="14.1" customHeight="1">
      <c r="B288" s="89"/>
      <c r="C288" s="89"/>
      <c r="D288" s="90"/>
      <c r="E288" s="248"/>
      <c r="F288" s="91"/>
      <c r="G288" s="91"/>
      <c r="I288" s="92"/>
      <c r="J288" s="93"/>
      <c r="K288" s="94"/>
      <c r="L288" s="94"/>
      <c r="M288" s="95"/>
      <c r="N288" s="95"/>
      <c r="O288" s="87"/>
      <c r="P288" s="87"/>
      <c r="Q288" s="88"/>
      <c r="R288" s="88"/>
    </row>
    <row r="289" spans="2:18" ht="14.1" customHeight="1">
      <c r="B289" s="89"/>
      <c r="C289" s="89"/>
      <c r="D289" s="90"/>
      <c r="E289" s="248"/>
      <c r="F289" s="91"/>
      <c r="G289" s="91"/>
      <c r="I289" s="92"/>
      <c r="J289" s="93"/>
      <c r="K289" s="94"/>
      <c r="L289" s="94"/>
      <c r="M289" s="95"/>
      <c r="N289" s="95"/>
      <c r="O289" s="87"/>
      <c r="P289" s="87"/>
      <c r="Q289" s="88"/>
      <c r="R289" s="88"/>
    </row>
    <row r="290" spans="2:18" ht="14.1" customHeight="1">
      <c r="B290" s="89"/>
      <c r="C290" s="89"/>
      <c r="D290" s="90"/>
      <c r="E290" s="248"/>
      <c r="F290" s="91"/>
      <c r="G290" s="91"/>
      <c r="I290" s="92"/>
      <c r="J290" s="93"/>
      <c r="K290" s="94"/>
      <c r="L290" s="94"/>
      <c r="M290" s="95"/>
      <c r="N290" s="95"/>
      <c r="O290" s="87"/>
      <c r="P290" s="87"/>
      <c r="Q290" s="88"/>
      <c r="R290" s="88"/>
    </row>
    <row r="291" spans="2:18" ht="14.1" customHeight="1">
      <c r="B291" s="89"/>
      <c r="C291" s="89"/>
      <c r="D291" s="90"/>
      <c r="E291" s="248"/>
      <c r="F291" s="91"/>
      <c r="G291" s="91"/>
      <c r="I291" s="92"/>
      <c r="J291" s="93"/>
      <c r="K291" s="94"/>
      <c r="L291" s="94"/>
      <c r="M291" s="95"/>
      <c r="N291" s="95"/>
      <c r="O291" s="87"/>
      <c r="P291" s="87"/>
      <c r="Q291" s="88"/>
      <c r="R291" s="88"/>
    </row>
    <row r="292" spans="2:18" ht="14.1" customHeight="1">
      <c r="B292" s="89"/>
      <c r="C292" s="89"/>
      <c r="D292" s="90"/>
      <c r="E292" s="248"/>
      <c r="F292" s="91"/>
      <c r="G292" s="91"/>
      <c r="I292" s="92"/>
      <c r="J292" s="93"/>
      <c r="K292" s="94"/>
      <c r="L292" s="94"/>
      <c r="M292" s="95"/>
      <c r="N292" s="95"/>
      <c r="O292" s="87"/>
      <c r="P292" s="87"/>
      <c r="Q292" s="88"/>
      <c r="R292" s="88"/>
    </row>
    <row r="293" spans="2:18" ht="14.1" customHeight="1">
      <c r="B293" s="89"/>
      <c r="C293" s="89"/>
      <c r="D293" s="90"/>
      <c r="E293" s="248"/>
      <c r="F293" s="91"/>
      <c r="G293" s="91"/>
      <c r="I293" s="92"/>
      <c r="J293" s="93"/>
      <c r="K293" s="94"/>
      <c r="L293" s="94"/>
      <c r="M293" s="95"/>
      <c r="N293" s="95"/>
      <c r="O293" s="87"/>
      <c r="P293" s="87"/>
      <c r="Q293" s="88"/>
      <c r="R293" s="88"/>
    </row>
    <row r="294" spans="2:18" ht="14.1" customHeight="1">
      <c r="B294" s="89"/>
      <c r="C294" s="89"/>
      <c r="D294" s="90"/>
      <c r="E294" s="248"/>
      <c r="F294" s="91"/>
      <c r="G294" s="91"/>
      <c r="I294" s="92"/>
      <c r="J294" s="93"/>
      <c r="K294" s="94"/>
      <c r="L294" s="94"/>
      <c r="M294" s="95"/>
      <c r="N294" s="95"/>
      <c r="O294" s="87"/>
      <c r="P294" s="87"/>
      <c r="Q294" s="88"/>
      <c r="R294" s="88"/>
    </row>
    <row r="295" spans="2:18" ht="14.1" customHeight="1">
      <c r="B295" s="89"/>
      <c r="C295" s="89"/>
      <c r="D295" s="90"/>
      <c r="E295" s="248"/>
      <c r="F295" s="91"/>
      <c r="G295" s="91"/>
      <c r="I295" s="92"/>
      <c r="J295" s="93"/>
      <c r="K295" s="94"/>
      <c r="L295" s="94"/>
      <c r="M295" s="95"/>
      <c r="N295" s="95"/>
      <c r="O295" s="87"/>
      <c r="P295" s="87"/>
      <c r="Q295" s="88"/>
      <c r="R295" s="88"/>
    </row>
    <row r="296" spans="2:18" ht="14.1" customHeight="1">
      <c r="B296" s="89"/>
      <c r="C296" s="89"/>
      <c r="D296" s="90"/>
      <c r="E296" s="248"/>
      <c r="F296" s="91"/>
      <c r="G296" s="91"/>
      <c r="I296" s="92"/>
      <c r="J296" s="93"/>
      <c r="K296" s="94"/>
      <c r="L296" s="94"/>
      <c r="M296" s="95"/>
      <c r="N296" s="95"/>
      <c r="O296" s="87"/>
      <c r="P296" s="87"/>
      <c r="Q296" s="88"/>
      <c r="R296" s="88"/>
    </row>
    <row r="297" spans="2:18" ht="14.1" customHeight="1">
      <c r="B297" s="89"/>
      <c r="C297" s="89"/>
      <c r="D297" s="90"/>
      <c r="E297" s="248"/>
      <c r="F297" s="91"/>
      <c r="G297" s="91"/>
      <c r="I297" s="92"/>
      <c r="J297" s="93"/>
      <c r="K297" s="94"/>
      <c r="L297" s="94"/>
      <c r="M297" s="95"/>
      <c r="N297" s="95"/>
      <c r="O297" s="87"/>
      <c r="P297" s="87"/>
      <c r="Q297" s="88"/>
      <c r="R297" s="88"/>
    </row>
    <row r="298" spans="2:18" ht="14.1" customHeight="1">
      <c r="B298" s="89"/>
      <c r="C298" s="89"/>
      <c r="D298" s="90"/>
      <c r="E298" s="248"/>
      <c r="F298" s="91"/>
      <c r="G298" s="91"/>
      <c r="I298" s="92"/>
      <c r="J298" s="93"/>
      <c r="K298" s="94"/>
      <c r="L298" s="94"/>
      <c r="M298" s="95"/>
      <c r="N298" s="95"/>
      <c r="O298" s="87"/>
      <c r="P298" s="87"/>
      <c r="Q298" s="88"/>
      <c r="R298" s="88"/>
    </row>
    <row r="299" spans="2:18" ht="14.1" customHeight="1">
      <c r="B299" s="89"/>
      <c r="C299" s="89"/>
      <c r="D299" s="90"/>
      <c r="E299" s="248"/>
      <c r="F299" s="91"/>
      <c r="G299" s="91"/>
      <c r="I299" s="92"/>
      <c r="J299" s="93"/>
      <c r="K299" s="94"/>
      <c r="L299" s="94"/>
      <c r="M299" s="95"/>
      <c r="N299" s="95"/>
      <c r="O299" s="87"/>
      <c r="P299" s="87"/>
      <c r="Q299" s="88"/>
      <c r="R299" s="88"/>
    </row>
    <row r="300" spans="2:18" ht="14.1" customHeight="1">
      <c r="B300" s="89"/>
      <c r="C300" s="89"/>
      <c r="D300" s="90"/>
      <c r="E300" s="248"/>
      <c r="F300" s="91"/>
      <c r="G300" s="91"/>
      <c r="I300" s="92"/>
      <c r="J300" s="93"/>
      <c r="K300" s="94"/>
      <c r="L300" s="94"/>
      <c r="M300" s="95"/>
      <c r="N300" s="95"/>
      <c r="O300" s="87"/>
      <c r="P300" s="87"/>
      <c r="Q300" s="88"/>
      <c r="R300" s="88"/>
    </row>
    <row r="301" spans="2:18" ht="14.1" customHeight="1">
      <c r="B301" s="89"/>
      <c r="C301" s="89"/>
      <c r="D301" s="90"/>
      <c r="E301" s="248"/>
      <c r="F301" s="91"/>
      <c r="G301" s="91"/>
      <c r="I301" s="92"/>
      <c r="J301" s="93"/>
      <c r="K301" s="94"/>
      <c r="L301" s="94"/>
      <c r="M301" s="95"/>
      <c r="N301" s="95"/>
      <c r="O301" s="87"/>
      <c r="P301" s="87"/>
      <c r="Q301" s="88"/>
      <c r="R301" s="88"/>
    </row>
    <row r="302" spans="2:18" ht="14.1" customHeight="1">
      <c r="B302" s="89"/>
      <c r="C302" s="89"/>
      <c r="D302" s="90"/>
      <c r="E302" s="248"/>
      <c r="F302" s="91"/>
      <c r="G302" s="91"/>
      <c r="I302" s="92"/>
      <c r="J302" s="93"/>
      <c r="K302" s="94"/>
      <c r="L302" s="94"/>
      <c r="M302" s="95"/>
      <c r="N302" s="95"/>
      <c r="O302" s="87"/>
      <c r="P302" s="87"/>
      <c r="Q302" s="88"/>
      <c r="R302" s="88"/>
    </row>
    <row r="303" spans="2:18" ht="14.1" customHeight="1">
      <c r="B303" s="89"/>
      <c r="C303" s="89"/>
      <c r="D303" s="90"/>
      <c r="E303" s="248"/>
      <c r="F303" s="91"/>
      <c r="G303" s="91"/>
      <c r="I303" s="92"/>
      <c r="J303" s="93"/>
      <c r="K303" s="94"/>
      <c r="L303" s="94"/>
      <c r="M303" s="95"/>
      <c r="N303" s="95"/>
      <c r="O303" s="87"/>
      <c r="P303" s="87"/>
      <c r="Q303" s="88"/>
      <c r="R303" s="88"/>
    </row>
    <row r="304" spans="2:18" ht="14.1" customHeight="1">
      <c r="B304" s="89"/>
      <c r="C304" s="89"/>
      <c r="D304" s="90"/>
      <c r="E304" s="248"/>
      <c r="F304" s="91"/>
      <c r="G304" s="91"/>
      <c r="I304" s="92"/>
      <c r="J304" s="93"/>
      <c r="K304" s="94"/>
      <c r="L304" s="94"/>
      <c r="M304" s="95"/>
      <c r="N304" s="95"/>
      <c r="O304" s="87"/>
      <c r="P304" s="87"/>
      <c r="Q304" s="88"/>
      <c r="R304" s="88"/>
    </row>
    <row r="305" spans="2:18" ht="14.1" customHeight="1">
      <c r="B305" s="89"/>
      <c r="C305" s="89"/>
      <c r="D305" s="90"/>
      <c r="E305" s="248"/>
      <c r="F305" s="91"/>
      <c r="G305" s="91"/>
      <c r="I305" s="92"/>
      <c r="J305" s="93"/>
      <c r="K305" s="94"/>
      <c r="L305" s="94"/>
      <c r="M305" s="95"/>
      <c r="N305" s="95"/>
      <c r="O305" s="87"/>
      <c r="P305" s="87"/>
      <c r="Q305" s="88"/>
      <c r="R305" s="88"/>
    </row>
    <row r="306" spans="2:18" ht="14.1" customHeight="1">
      <c r="B306" s="89"/>
      <c r="C306" s="89"/>
      <c r="D306" s="90"/>
      <c r="E306" s="248"/>
      <c r="F306" s="91"/>
      <c r="G306" s="91"/>
      <c r="I306" s="92"/>
      <c r="J306" s="93"/>
      <c r="K306" s="94"/>
      <c r="L306" s="94"/>
      <c r="M306" s="95"/>
      <c r="N306" s="95"/>
      <c r="O306" s="87"/>
      <c r="P306" s="87"/>
      <c r="Q306" s="88"/>
      <c r="R306" s="88"/>
    </row>
    <row r="307" spans="2:18" ht="14.1" customHeight="1">
      <c r="B307" s="89"/>
      <c r="C307" s="89"/>
      <c r="D307" s="90"/>
      <c r="E307" s="248"/>
      <c r="F307" s="91"/>
      <c r="G307" s="91"/>
      <c r="I307" s="92"/>
      <c r="J307" s="93"/>
      <c r="K307" s="94"/>
      <c r="L307" s="94"/>
      <c r="M307" s="95"/>
      <c r="N307" s="95"/>
      <c r="O307" s="87"/>
      <c r="P307" s="87"/>
      <c r="Q307" s="88"/>
      <c r="R307" s="88"/>
    </row>
    <row r="308" spans="2:18" ht="14.1" customHeight="1">
      <c r="B308" s="89"/>
      <c r="C308" s="89"/>
      <c r="D308" s="90"/>
      <c r="E308" s="248"/>
      <c r="F308" s="91"/>
      <c r="G308" s="91"/>
      <c r="I308" s="92"/>
      <c r="J308" s="93"/>
      <c r="K308" s="94"/>
      <c r="L308" s="94"/>
      <c r="M308" s="95"/>
      <c r="N308" s="95"/>
      <c r="O308" s="87"/>
      <c r="P308" s="87"/>
      <c r="Q308" s="88"/>
      <c r="R308" s="88"/>
    </row>
    <row r="309" spans="2:18" ht="14.1" customHeight="1">
      <c r="B309" s="89"/>
      <c r="C309" s="89"/>
      <c r="D309" s="90"/>
      <c r="E309" s="248"/>
      <c r="F309" s="91"/>
      <c r="G309" s="91"/>
      <c r="I309" s="92"/>
      <c r="J309" s="93"/>
      <c r="K309" s="94"/>
      <c r="L309" s="94"/>
      <c r="M309" s="95"/>
      <c r="N309" s="95"/>
      <c r="O309" s="87"/>
      <c r="P309" s="87"/>
      <c r="Q309" s="88"/>
      <c r="R309" s="88"/>
    </row>
    <row r="310" spans="2:18" ht="14.1" customHeight="1">
      <c r="B310" s="89"/>
      <c r="C310" s="89"/>
      <c r="D310" s="90"/>
      <c r="E310" s="248"/>
      <c r="F310" s="91"/>
      <c r="G310" s="91"/>
      <c r="I310" s="92"/>
      <c r="J310" s="93"/>
      <c r="K310" s="94"/>
      <c r="L310" s="94"/>
      <c r="M310" s="95"/>
      <c r="N310" s="95"/>
      <c r="O310" s="87"/>
      <c r="P310" s="87"/>
      <c r="Q310" s="88"/>
      <c r="R310" s="88"/>
    </row>
    <row r="311" spans="2:18" ht="14.1" customHeight="1">
      <c r="B311" s="89"/>
      <c r="C311" s="89"/>
      <c r="D311" s="90"/>
      <c r="E311" s="248"/>
      <c r="F311" s="91"/>
      <c r="G311" s="91"/>
      <c r="I311" s="92"/>
      <c r="J311" s="93"/>
      <c r="K311" s="94"/>
      <c r="L311" s="94"/>
      <c r="M311" s="95"/>
      <c r="N311" s="95"/>
      <c r="O311" s="87"/>
      <c r="P311" s="87"/>
      <c r="Q311" s="88"/>
      <c r="R311" s="88"/>
    </row>
    <row r="312" spans="2:18" ht="14.1" customHeight="1">
      <c r="B312" s="89"/>
      <c r="C312" s="89"/>
      <c r="D312" s="90"/>
      <c r="E312" s="248"/>
      <c r="F312" s="91"/>
      <c r="G312" s="91"/>
      <c r="I312" s="92"/>
      <c r="J312" s="93"/>
      <c r="K312" s="94"/>
      <c r="L312" s="94"/>
      <c r="M312" s="95"/>
      <c r="N312" s="95"/>
      <c r="O312" s="87"/>
      <c r="P312" s="87"/>
      <c r="Q312" s="88"/>
      <c r="R312" s="88"/>
    </row>
    <row r="313" spans="2:18" ht="14.1" customHeight="1">
      <c r="B313" s="89"/>
      <c r="C313" s="89"/>
      <c r="D313" s="90"/>
      <c r="E313" s="248"/>
      <c r="F313" s="91"/>
      <c r="G313" s="91"/>
      <c r="I313" s="92"/>
      <c r="J313" s="93"/>
      <c r="K313" s="94"/>
      <c r="L313" s="94"/>
      <c r="M313" s="95"/>
      <c r="N313" s="95"/>
      <c r="O313" s="87"/>
      <c r="P313" s="87"/>
      <c r="Q313" s="88"/>
      <c r="R313" s="88"/>
    </row>
    <row r="314" spans="2:18" ht="14.1" customHeight="1">
      <c r="B314" s="89"/>
      <c r="C314" s="89"/>
      <c r="D314" s="90"/>
      <c r="E314" s="248"/>
      <c r="F314" s="91"/>
      <c r="G314" s="91"/>
      <c r="I314" s="92"/>
      <c r="J314" s="93"/>
      <c r="K314" s="94"/>
      <c r="L314" s="94"/>
      <c r="M314" s="95"/>
      <c r="N314" s="95"/>
      <c r="O314" s="87"/>
      <c r="P314" s="87"/>
      <c r="Q314" s="88"/>
      <c r="R314" s="88"/>
    </row>
    <row r="315" spans="2:18" ht="14.1" customHeight="1">
      <c r="B315" s="89"/>
      <c r="C315" s="89"/>
      <c r="D315" s="90"/>
      <c r="E315" s="248"/>
      <c r="F315" s="91"/>
      <c r="G315" s="91"/>
      <c r="I315" s="92"/>
      <c r="J315" s="93"/>
      <c r="K315" s="94"/>
      <c r="L315" s="94"/>
      <c r="M315" s="95"/>
      <c r="N315" s="95"/>
      <c r="O315" s="87"/>
      <c r="P315" s="87"/>
      <c r="Q315" s="88"/>
      <c r="R315" s="88"/>
    </row>
    <row r="316" spans="2:18" ht="14.1" customHeight="1">
      <c r="B316" s="89"/>
      <c r="C316" s="89"/>
      <c r="D316" s="90"/>
      <c r="E316" s="248"/>
      <c r="F316" s="91"/>
      <c r="G316" s="91"/>
      <c r="I316" s="92"/>
      <c r="J316" s="93"/>
      <c r="K316" s="94"/>
      <c r="L316" s="94"/>
      <c r="M316" s="95"/>
      <c r="N316" s="95"/>
      <c r="O316" s="87"/>
      <c r="P316" s="87"/>
      <c r="Q316" s="88"/>
      <c r="R316" s="88"/>
    </row>
    <row r="317" spans="2:18" ht="14.1" customHeight="1">
      <c r="B317" s="89"/>
      <c r="C317" s="89"/>
      <c r="D317" s="90"/>
      <c r="E317" s="248"/>
      <c r="F317" s="91"/>
      <c r="G317" s="91"/>
      <c r="I317" s="92"/>
      <c r="J317" s="93"/>
      <c r="K317" s="94"/>
      <c r="L317" s="94"/>
      <c r="M317" s="95"/>
      <c r="N317" s="95"/>
      <c r="O317" s="87"/>
      <c r="P317" s="87"/>
      <c r="Q317" s="88"/>
      <c r="R317" s="88"/>
    </row>
    <row r="318" spans="2:18" ht="14.1" customHeight="1">
      <c r="B318" s="89"/>
      <c r="C318" s="89"/>
      <c r="D318" s="90"/>
      <c r="E318" s="248"/>
      <c r="F318" s="91"/>
      <c r="G318" s="91"/>
      <c r="I318" s="92"/>
      <c r="J318" s="93"/>
      <c r="K318" s="94"/>
      <c r="L318" s="94"/>
      <c r="M318" s="95"/>
      <c r="N318" s="95"/>
      <c r="O318" s="87"/>
      <c r="P318" s="87"/>
      <c r="Q318" s="88"/>
      <c r="R318" s="88"/>
    </row>
    <row r="319" spans="2:18" ht="14.1" customHeight="1">
      <c r="B319" s="89"/>
      <c r="C319" s="89"/>
      <c r="D319" s="90"/>
      <c r="E319" s="248"/>
      <c r="F319" s="91"/>
      <c r="G319" s="91"/>
      <c r="I319" s="92"/>
      <c r="J319" s="93"/>
      <c r="K319" s="94"/>
      <c r="L319" s="94"/>
      <c r="M319" s="95"/>
      <c r="N319" s="95"/>
      <c r="O319" s="87"/>
      <c r="P319" s="87"/>
      <c r="Q319" s="88"/>
      <c r="R319" s="88"/>
    </row>
    <row r="320" spans="2:18" ht="14.1" customHeight="1">
      <c r="B320" s="89"/>
      <c r="C320" s="89"/>
      <c r="D320" s="90"/>
      <c r="E320" s="248"/>
      <c r="F320" s="91"/>
      <c r="G320" s="91"/>
      <c r="I320" s="92"/>
      <c r="J320" s="93"/>
      <c r="K320" s="94"/>
      <c r="L320" s="94"/>
      <c r="M320" s="95"/>
      <c r="N320" s="95"/>
      <c r="O320" s="87"/>
      <c r="P320" s="87"/>
      <c r="Q320" s="88"/>
      <c r="R320" s="88"/>
    </row>
    <row r="321" spans="2:18" ht="14.1" customHeight="1">
      <c r="B321" s="89"/>
      <c r="C321" s="89"/>
      <c r="D321" s="90"/>
      <c r="E321" s="248"/>
      <c r="F321" s="91"/>
      <c r="G321" s="91"/>
      <c r="I321" s="92"/>
      <c r="J321" s="93"/>
      <c r="K321" s="94"/>
      <c r="L321" s="94"/>
      <c r="M321" s="95"/>
      <c r="N321" s="95"/>
      <c r="O321" s="87"/>
      <c r="P321" s="87"/>
      <c r="Q321" s="88"/>
      <c r="R321" s="88"/>
    </row>
    <row r="322" spans="2:18" ht="14.1" customHeight="1">
      <c r="B322" s="89"/>
      <c r="C322" s="89"/>
      <c r="D322" s="90"/>
      <c r="E322" s="248"/>
      <c r="F322" s="91"/>
      <c r="G322" s="91"/>
      <c r="I322" s="92"/>
      <c r="J322" s="93"/>
      <c r="K322" s="94"/>
      <c r="L322" s="94"/>
      <c r="M322" s="95"/>
      <c r="N322" s="95"/>
      <c r="O322" s="87"/>
      <c r="P322" s="87"/>
      <c r="Q322" s="88"/>
      <c r="R322" s="88"/>
    </row>
    <row r="323" spans="2:18" ht="14.1" customHeight="1">
      <c r="B323" s="89"/>
      <c r="C323" s="89"/>
      <c r="D323" s="90"/>
      <c r="E323" s="248"/>
      <c r="F323" s="91"/>
      <c r="G323" s="91"/>
      <c r="I323" s="92"/>
      <c r="J323" s="93"/>
      <c r="K323" s="94"/>
      <c r="L323" s="94"/>
      <c r="M323" s="95"/>
      <c r="N323" s="95"/>
      <c r="O323" s="87"/>
      <c r="P323" s="87"/>
      <c r="Q323" s="88"/>
      <c r="R323" s="88"/>
    </row>
    <row r="324" spans="2:18" ht="14.1" customHeight="1">
      <c r="B324" s="89"/>
      <c r="C324" s="89"/>
      <c r="D324" s="90"/>
      <c r="E324" s="248"/>
      <c r="F324" s="91"/>
      <c r="G324" s="91"/>
      <c r="I324" s="92"/>
      <c r="J324" s="93"/>
      <c r="K324" s="94"/>
      <c r="L324" s="94"/>
      <c r="M324" s="95"/>
      <c r="N324" s="95"/>
      <c r="O324" s="87"/>
      <c r="P324" s="87"/>
      <c r="Q324" s="88"/>
      <c r="R324" s="88"/>
    </row>
    <row r="325" spans="2:18" ht="14.1" customHeight="1">
      <c r="B325" s="89"/>
      <c r="C325" s="89"/>
      <c r="D325" s="90"/>
      <c r="E325" s="248"/>
      <c r="F325" s="91"/>
      <c r="G325" s="91"/>
      <c r="I325" s="92"/>
      <c r="J325" s="93"/>
      <c r="K325" s="94"/>
      <c r="L325" s="94"/>
      <c r="M325" s="95"/>
      <c r="N325" s="95"/>
      <c r="O325" s="87"/>
      <c r="P325" s="87"/>
      <c r="Q325" s="88"/>
      <c r="R325" s="88"/>
    </row>
    <row r="326" spans="2:18" ht="14.1" customHeight="1">
      <c r="B326" s="89"/>
      <c r="C326" s="89"/>
      <c r="D326" s="90"/>
      <c r="E326" s="248"/>
      <c r="F326" s="91"/>
      <c r="G326" s="91"/>
      <c r="I326" s="92"/>
      <c r="J326" s="93"/>
      <c r="K326" s="94"/>
      <c r="L326" s="94"/>
      <c r="M326" s="95"/>
      <c r="N326" s="95"/>
      <c r="O326" s="87"/>
      <c r="P326" s="87"/>
      <c r="Q326" s="88"/>
      <c r="R326" s="88"/>
    </row>
    <row r="327" spans="2:18" ht="14.1" customHeight="1">
      <c r="B327" s="89"/>
      <c r="C327" s="89"/>
      <c r="D327" s="90"/>
      <c r="E327" s="248"/>
      <c r="F327" s="91"/>
      <c r="G327" s="91"/>
      <c r="I327" s="92"/>
      <c r="J327" s="93"/>
      <c r="K327" s="94"/>
      <c r="L327" s="94"/>
      <c r="M327" s="95"/>
      <c r="N327" s="95"/>
      <c r="O327" s="87"/>
      <c r="P327" s="87"/>
      <c r="Q327" s="88"/>
      <c r="R327" s="88"/>
    </row>
    <row r="328" spans="2:18" ht="14.1" customHeight="1">
      <c r="B328" s="89"/>
      <c r="C328" s="89"/>
      <c r="D328" s="90"/>
      <c r="E328" s="248"/>
      <c r="F328" s="91"/>
      <c r="G328" s="91"/>
      <c r="I328" s="92"/>
      <c r="J328" s="93"/>
      <c r="K328" s="94"/>
      <c r="L328" s="94"/>
      <c r="M328" s="95"/>
      <c r="N328" s="95"/>
      <c r="O328" s="87"/>
      <c r="P328" s="87"/>
      <c r="Q328" s="88"/>
      <c r="R328" s="88"/>
    </row>
    <row r="329" spans="2:18" ht="14.1" customHeight="1">
      <c r="B329" s="89"/>
      <c r="C329" s="89"/>
      <c r="D329" s="90"/>
      <c r="E329" s="248"/>
      <c r="F329" s="91"/>
      <c r="G329" s="91"/>
      <c r="I329" s="92"/>
      <c r="J329" s="93"/>
      <c r="K329" s="94"/>
      <c r="L329" s="94"/>
      <c r="M329" s="95"/>
      <c r="N329" s="95"/>
      <c r="O329" s="87"/>
      <c r="P329" s="87"/>
      <c r="Q329" s="88"/>
      <c r="R329" s="88"/>
    </row>
    <row r="330" spans="2:18" ht="14.1" customHeight="1">
      <c r="B330" s="89"/>
      <c r="C330" s="89"/>
      <c r="D330" s="90"/>
      <c r="E330" s="248"/>
      <c r="F330" s="91"/>
      <c r="G330" s="91"/>
      <c r="I330" s="92"/>
      <c r="J330" s="93"/>
      <c r="K330" s="94"/>
      <c r="L330" s="94"/>
      <c r="M330" s="95"/>
      <c r="N330" s="95"/>
      <c r="O330" s="87"/>
      <c r="P330" s="87"/>
      <c r="Q330" s="88"/>
      <c r="R330" s="88"/>
    </row>
    <row r="331" spans="2:18" ht="14.1" customHeight="1">
      <c r="B331" s="89"/>
      <c r="C331" s="89"/>
      <c r="D331" s="90"/>
      <c r="E331" s="248"/>
      <c r="F331" s="91"/>
      <c r="G331" s="91"/>
      <c r="I331" s="92"/>
      <c r="J331" s="93"/>
      <c r="K331" s="94"/>
      <c r="L331" s="94"/>
      <c r="M331" s="95"/>
      <c r="N331" s="95"/>
      <c r="O331" s="87"/>
      <c r="P331" s="87"/>
      <c r="Q331" s="88"/>
      <c r="R331" s="88"/>
    </row>
    <row r="332" spans="2:18" ht="14.1" customHeight="1">
      <c r="B332" s="89"/>
      <c r="C332" s="89"/>
      <c r="D332" s="90"/>
      <c r="E332" s="248"/>
      <c r="F332" s="91"/>
      <c r="G332" s="91"/>
      <c r="I332" s="92"/>
      <c r="J332" s="93"/>
      <c r="K332" s="94"/>
      <c r="L332" s="94"/>
      <c r="M332" s="95"/>
      <c r="N332" s="95"/>
      <c r="O332" s="87"/>
      <c r="P332" s="87"/>
      <c r="Q332" s="88"/>
      <c r="R332" s="88"/>
    </row>
    <row r="333" spans="2:18" ht="14.1" customHeight="1">
      <c r="B333" s="89"/>
      <c r="C333" s="89"/>
      <c r="D333" s="90"/>
      <c r="E333" s="248"/>
      <c r="F333" s="91"/>
      <c r="G333" s="91"/>
      <c r="I333" s="92"/>
      <c r="J333" s="93"/>
      <c r="K333" s="94"/>
      <c r="L333" s="94"/>
      <c r="M333" s="95"/>
      <c r="N333" s="95"/>
      <c r="O333" s="87"/>
      <c r="P333" s="87"/>
      <c r="Q333" s="88"/>
      <c r="R333" s="88"/>
    </row>
    <row r="334" spans="2:18" ht="14.1" customHeight="1">
      <c r="B334" s="89"/>
      <c r="C334" s="89"/>
      <c r="D334" s="90"/>
      <c r="E334" s="248"/>
      <c r="F334" s="91"/>
      <c r="G334" s="91"/>
      <c r="I334" s="92"/>
      <c r="J334" s="93"/>
      <c r="K334" s="94"/>
      <c r="L334" s="94"/>
      <c r="M334" s="95"/>
      <c r="N334" s="95"/>
      <c r="O334" s="87"/>
      <c r="P334" s="87"/>
      <c r="Q334" s="88"/>
      <c r="R334" s="88"/>
    </row>
    <row r="335" spans="2:18" ht="14.1" customHeight="1">
      <c r="B335" s="89"/>
      <c r="C335" s="89"/>
      <c r="D335" s="90"/>
      <c r="E335" s="248"/>
      <c r="F335" s="91"/>
      <c r="G335" s="91"/>
      <c r="I335" s="92"/>
      <c r="J335" s="93"/>
      <c r="K335" s="94"/>
      <c r="L335" s="94"/>
      <c r="M335" s="95"/>
      <c r="N335" s="95"/>
      <c r="O335" s="87"/>
      <c r="P335" s="87"/>
      <c r="Q335" s="88"/>
      <c r="R335" s="88"/>
    </row>
    <row r="336" spans="2:18" ht="14.1" customHeight="1">
      <c r="B336" s="89"/>
      <c r="C336" s="89"/>
      <c r="D336" s="90"/>
      <c r="E336" s="248"/>
      <c r="F336" s="91"/>
      <c r="G336" s="91"/>
      <c r="I336" s="92"/>
      <c r="J336" s="93"/>
      <c r="K336" s="94"/>
      <c r="L336" s="94"/>
      <c r="M336" s="95"/>
      <c r="N336" s="95"/>
      <c r="O336" s="87"/>
      <c r="P336" s="87"/>
      <c r="Q336" s="88"/>
      <c r="R336" s="88"/>
    </row>
    <row r="337" spans="2:18" ht="14.1" customHeight="1">
      <c r="B337" s="89"/>
      <c r="C337" s="89"/>
      <c r="D337" s="90"/>
      <c r="E337" s="248"/>
      <c r="F337" s="91"/>
      <c r="G337" s="91"/>
      <c r="I337" s="92"/>
      <c r="J337" s="93"/>
      <c r="K337" s="94"/>
      <c r="L337" s="94"/>
      <c r="M337" s="95"/>
      <c r="N337" s="95"/>
      <c r="O337" s="87"/>
      <c r="P337" s="87"/>
      <c r="Q337" s="88"/>
      <c r="R337" s="88"/>
    </row>
    <row r="338" spans="2:18" ht="14.1" customHeight="1">
      <c r="B338" s="89"/>
      <c r="C338" s="89"/>
      <c r="D338" s="90"/>
      <c r="E338" s="248"/>
      <c r="F338" s="91"/>
      <c r="G338" s="91"/>
      <c r="I338" s="92"/>
      <c r="J338" s="93"/>
      <c r="K338" s="94"/>
      <c r="L338" s="94"/>
      <c r="M338" s="95"/>
      <c r="N338" s="95"/>
      <c r="O338" s="87"/>
      <c r="P338" s="87"/>
      <c r="Q338" s="88"/>
      <c r="R338" s="88"/>
    </row>
    <row r="339" spans="2:18" ht="14.1" customHeight="1">
      <c r="B339" s="89"/>
      <c r="C339" s="89"/>
      <c r="D339" s="90"/>
      <c r="E339" s="248"/>
      <c r="F339" s="91"/>
      <c r="G339" s="91"/>
      <c r="I339" s="92"/>
      <c r="J339" s="93"/>
      <c r="K339" s="94"/>
      <c r="L339" s="94"/>
      <c r="M339" s="95"/>
      <c r="N339" s="95"/>
      <c r="O339" s="87"/>
      <c r="P339" s="87"/>
      <c r="Q339" s="88"/>
      <c r="R339" s="88"/>
    </row>
    <row r="340" spans="2:18" ht="14.1" customHeight="1">
      <c r="B340" s="89"/>
      <c r="C340" s="89"/>
      <c r="D340" s="90"/>
      <c r="E340" s="248"/>
      <c r="F340" s="91"/>
      <c r="G340" s="91"/>
      <c r="I340" s="92"/>
      <c r="J340" s="93"/>
      <c r="K340" s="94"/>
      <c r="L340" s="94"/>
      <c r="M340" s="95"/>
      <c r="N340" s="95"/>
      <c r="O340" s="87"/>
      <c r="P340" s="87"/>
      <c r="Q340" s="88"/>
      <c r="R340" s="88"/>
    </row>
    <row r="341" spans="2:18" ht="14.1" customHeight="1">
      <c r="B341" s="89"/>
      <c r="C341" s="89"/>
      <c r="D341" s="90"/>
      <c r="E341" s="248"/>
      <c r="F341" s="91"/>
      <c r="G341" s="91"/>
      <c r="I341" s="92"/>
      <c r="J341" s="93"/>
      <c r="K341" s="94"/>
      <c r="L341" s="94"/>
      <c r="M341" s="95"/>
      <c r="N341" s="95"/>
      <c r="O341" s="87"/>
      <c r="P341" s="87"/>
      <c r="Q341" s="88"/>
      <c r="R341" s="88"/>
    </row>
    <row r="342" spans="2:18" ht="14.1" customHeight="1">
      <c r="B342" s="89"/>
      <c r="C342" s="89"/>
      <c r="D342" s="90"/>
      <c r="E342" s="248"/>
      <c r="F342" s="91"/>
      <c r="G342" s="91"/>
      <c r="I342" s="92"/>
      <c r="J342" s="93"/>
      <c r="K342" s="94"/>
      <c r="L342" s="94"/>
      <c r="M342" s="95"/>
      <c r="N342" s="95"/>
      <c r="O342" s="87"/>
      <c r="P342" s="87"/>
      <c r="Q342" s="88"/>
      <c r="R342" s="88"/>
    </row>
    <row r="343" spans="2:18" ht="14.1" customHeight="1">
      <c r="B343" s="89"/>
      <c r="C343" s="89"/>
      <c r="D343" s="90"/>
      <c r="E343" s="248"/>
      <c r="F343" s="91"/>
      <c r="G343" s="91"/>
      <c r="I343" s="92"/>
      <c r="J343" s="93"/>
      <c r="K343" s="94"/>
      <c r="L343" s="94"/>
      <c r="M343" s="95"/>
      <c r="N343" s="95"/>
      <c r="O343" s="87"/>
      <c r="P343" s="87"/>
      <c r="Q343" s="88"/>
      <c r="R343" s="88"/>
    </row>
    <row r="344" spans="2:18" ht="14.1" customHeight="1">
      <c r="B344" s="89"/>
      <c r="C344" s="89"/>
      <c r="D344" s="90"/>
      <c r="E344" s="248"/>
      <c r="F344" s="91"/>
      <c r="G344" s="91"/>
      <c r="I344" s="92"/>
      <c r="J344" s="93"/>
      <c r="K344" s="94"/>
      <c r="L344" s="94"/>
      <c r="M344" s="95"/>
      <c r="N344" s="95"/>
      <c r="O344" s="87"/>
      <c r="P344" s="87"/>
      <c r="Q344" s="88"/>
      <c r="R344" s="88"/>
    </row>
    <row r="345" spans="2:18" ht="14.1" customHeight="1">
      <c r="B345" s="89"/>
      <c r="C345" s="89"/>
      <c r="D345" s="90"/>
      <c r="E345" s="248"/>
      <c r="F345" s="91"/>
      <c r="G345" s="91"/>
      <c r="I345" s="92"/>
      <c r="J345" s="93"/>
      <c r="K345" s="94"/>
      <c r="L345" s="94"/>
      <c r="M345" s="95"/>
      <c r="N345" s="95"/>
      <c r="O345" s="87"/>
      <c r="P345" s="87"/>
      <c r="Q345" s="88"/>
      <c r="R345" s="88"/>
    </row>
    <row r="346" spans="2:18" ht="14.1" customHeight="1">
      <c r="B346" s="89"/>
      <c r="C346" s="89"/>
      <c r="D346" s="90"/>
      <c r="E346" s="248"/>
      <c r="F346" s="91"/>
      <c r="G346" s="91"/>
      <c r="I346" s="92"/>
      <c r="J346" s="93"/>
      <c r="K346" s="94"/>
      <c r="L346" s="94"/>
      <c r="M346" s="95"/>
      <c r="N346" s="95"/>
      <c r="O346" s="87"/>
      <c r="P346" s="87"/>
      <c r="Q346" s="88"/>
      <c r="R346" s="88"/>
    </row>
    <row r="347" spans="2:18" ht="14.1" customHeight="1">
      <c r="B347" s="89"/>
      <c r="C347" s="89"/>
      <c r="D347" s="90"/>
      <c r="E347" s="248"/>
      <c r="F347" s="91"/>
      <c r="G347" s="91"/>
      <c r="I347" s="92"/>
      <c r="J347" s="93"/>
      <c r="K347" s="94"/>
      <c r="L347" s="94"/>
      <c r="M347" s="95"/>
      <c r="N347" s="95"/>
      <c r="O347" s="87"/>
      <c r="P347" s="87"/>
      <c r="Q347" s="88"/>
      <c r="R347" s="88"/>
    </row>
    <row r="348" spans="2:18" ht="14.1" customHeight="1">
      <c r="B348" s="89"/>
      <c r="C348" s="89"/>
      <c r="D348" s="90"/>
      <c r="E348" s="248"/>
      <c r="F348" s="91"/>
      <c r="G348" s="91"/>
      <c r="I348" s="92"/>
      <c r="J348" s="93"/>
      <c r="K348" s="94"/>
      <c r="L348" s="94"/>
      <c r="M348" s="95"/>
      <c r="N348" s="95"/>
      <c r="O348" s="87"/>
      <c r="P348" s="87"/>
      <c r="Q348" s="88"/>
      <c r="R348" s="88"/>
    </row>
    <row r="349" spans="2:18" ht="14.1" customHeight="1">
      <c r="B349" s="89"/>
      <c r="C349" s="89"/>
      <c r="D349" s="90"/>
      <c r="E349" s="248"/>
      <c r="F349" s="91"/>
      <c r="G349" s="91"/>
      <c r="I349" s="92"/>
      <c r="J349" s="93"/>
      <c r="K349" s="94"/>
      <c r="L349" s="94"/>
      <c r="M349" s="95"/>
      <c r="N349" s="95"/>
      <c r="O349" s="87"/>
      <c r="P349" s="87"/>
      <c r="Q349" s="88"/>
      <c r="R349" s="88"/>
    </row>
    <row r="350" spans="2:18" ht="14.1" customHeight="1">
      <c r="B350" s="89"/>
      <c r="C350" s="89"/>
      <c r="D350" s="90"/>
      <c r="E350" s="248"/>
      <c r="F350" s="91"/>
      <c r="G350" s="91"/>
      <c r="I350" s="92"/>
      <c r="J350" s="93"/>
      <c r="K350" s="94"/>
      <c r="L350" s="94"/>
      <c r="M350" s="95"/>
      <c r="N350" s="95"/>
      <c r="O350" s="87"/>
      <c r="P350" s="87"/>
      <c r="Q350" s="88"/>
      <c r="R350" s="88"/>
    </row>
    <row r="351" spans="2:18" ht="14.1" customHeight="1">
      <c r="B351" s="89"/>
      <c r="C351" s="89"/>
      <c r="D351" s="90"/>
      <c r="E351" s="248"/>
      <c r="F351" s="91"/>
      <c r="G351" s="91"/>
      <c r="I351" s="92"/>
      <c r="J351" s="93"/>
      <c r="K351" s="94"/>
      <c r="L351" s="94"/>
      <c r="M351" s="95"/>
      <c r="N351" s="95"/>
      <c r="O351" s="87"/>
      <c r="P351" s="87"/>
      <c r="Q351" s="88"/>
      <c r="R351" s="88"/>
    </row>
    <row r="352" spans="2:18" ht="14.1" customHeight="1">
      <c r="B352" s="89"/>
      <c r="C352" s="89"/>
      <c r="D352" s="90"/>
      <c r="E352" s="248"/>
      <c r="F352" s="91"/>
      <c r="G352" s="91"/>
      <c r="I352" s="92"/>
      <c r="J352" s="93"/>
      <c r="K352" s="94"/>
      <c r="L352" s="94"/>
      <c r="M352" s="95"/>
      <c r="N352" s="95"/>
      <c r="O352" s="87"/>
      <c r="P352" s="87"/>
      <c r="Q352" s="88"/>
      <c r="R352" s="88"/>
    </row>
    <row r="353" spans="2:18" ht="14.1" customHeight="1">
      <c r="B353" s="89"/>
      <c r="C353" s="89"/>
      <c r="D353" s="90"/>
      <c r="E353" s="248"/>
      <c r="F353" s="91"/>
      <c r="G353" s="91"/>
      <c r="I353" s="92"/>
      <c r="J353" s="93"/>
      <c r="K353" s="94"/>
      <c r="L353" s="94"/>
      <c r="M353" s="95"/>
      <c r="N353" s="95"/>
      <c r="O353" s="87"/>
      <c r="P353" s="87"/>
      <c r="Q353" s="88"/>
      <c r="R353" s="88"/>
    </row>
    <row r="354" spans="2:18" ht="14.1" customHeight="1">
      <c r="B354" s="89"/>
      <c r="C354" s="89"/>
      <c r="D354" s="90"/>
      <c r="E354" s="248"/>
      <c r="F354" s="91"/>
      <c r="G354" s="91"/>
      <c r="I354" s="92"/>
      <c r="J354" s="93"/>
      <c r="K354" s="94"/>
      <c r="L354" s="94"/>
      <c r="M354" s="95"/>
      <c r="N354" s="95"/>
      <c r="O354" s="87"/>
      <c r="P354" s="87"/>
      <c r="Q354" s="88"/>
      <c r="R354" s="88"/>
    </row>
    <row r="355" spans="2:18" ht="14.1" customHeight="1">
      <c r="B355" s="89"/>
      <c r="C355" s="89"/>
      <c r="D355" s="90"/>
      <c r="E355" s="248"/>
      <c r="F355" s="91"/>
      <c r="G355" s="91"/>
      <c r="I355" s="92"/>
      <c r="J355" s="93"/>
      <c r="K355" s="94"/>
      <c r="L355" s="94"/>
      <c r="M355" s="95"/>
      <c r="N355" s="95"/>
      <c r="O355" s="87"/>
      <c r="P355" s="87"/>
      <c r="Q355" s="88"/>
      <c r="R355" s="88"/>
    </row>
    <row r="356" spans="2:18" ht="14.1" customHeight="1">
      <c r="B356" s="89"/>
      <c r="C356" s="89"/>
      <c r="D356" s="90"/>
      <c r="E356" s="248"/>
      <c r="F356" s="91"/>
      <c r="G356" s="91"/>
      <c r="I356" s="92"/>
      <c r="J356" s="93"/>
      <c r="K356" s="94"/>
      <c r="L356" s="94"/>
      <c r="M356" s="95"/>
      <c r="N356" s="95"/>
      <c r="O356" s="87"/>
      <c r="P356" s="87"/>
      <c r="Q356" s="88"/>
      <c r="R356" s="88"/>
    </row>
    <row r="357" spans="2:18" ht="14.1" customHeight="1">
      <c r="B357" s="89"/>
      <c r="C357" s="89"/>
      <c r="D357" s="90"/>
      <c r="E357" s="248"/>
      <c r="F357" s="91"/>
      <c r="G357" s="91"/>
      <c r="I357" s="92"/>
      <c r="J357" s="93"/>
      <c r="K357" s="94"/>
      <c r="L357" s="94"/>
      <c r="M357" s="95"/>
      <c r="N357" s="95"/>
      <c r="O357" s="87"/>
      <c r="P357" s="87"/>
      <c r="Q357" s="88"/>
      <c r="R357" s="88"/>
    </row>
    <row r="358" spans="2:18" ht="14.1" customHeight="1">
      <c r="B358" s="89"/>
      <c r="C358" s="89"/>
      <c r="D358" s="90"/>
      <c r="E358" s="248"/>
      <c r="F358" s="91"/>
      <c r="G358" s="91"/>
      <c r="I358" s="92"/>
      <c r="J358" s="93"/>
      <c r="K358" s="94"/>
      <c r="L358" s="94"/>
      <c r="M358" s="95"/>
      <c r="N358" s="95"/>
      <c r="O358" s="87"/>
      <c r="P358" s="87"/>
      <c r="Q358" s="88"/>
      <c r="R358" s="88"/>
    </row>
    <row r="359" spans="2:18" ht="14.1" customHeight="1">
      <c r="B359" s="89"/>
      <c r="C359" s="89"/>
      <c r="D359" s="90"/>
      <c r="E359" s="248"/>
      <c r="F359" s="91"/>
      <c r="G359" s="91"/>
      <c r="I359" s="92"/>
      <c r="J359" s="93"/>
      <c r="K359" s="94"/>
      <c r="L359" s="94"/>
      <c r="M359" s="95"/>
      <c r="N359" s="95"/>
      <c r="O359" s="87"/>
      <c r="P359" s="87"/>
      <c r="Q359" s="88"/>
      <c r="R359" s="88"/>
    </row>
    <row r="360" spans="2:18" ht="14.1" customHeight="1">
      <c r="B360" s="89"/>
      <c r="C360" s="89"/>
      <c r="D360" s="90"/>
      <c r="E360" s="248"/>
      <c r="F360" s="91"/>
      <c r="G360" s="91"/>
      <c r="I360" s="92"/>
      <c r="J360" s="93"/>
      <c r="K360" s="94"/>
      <c r="L360" s="94"/>
      <c r="M360" s="95"/>
      <c r="N360" s="95"/>
      <c r="O360" s="87"/>
      <c r="P360" s="87"/>
      <c r="Q360" s="88"/>
      <c r="R360" s="88"/>
    </row>
    <row r="361" spans="2:18" ht="14.1" customHeight="1">
      <c r="B361" s="89"/>
      <c r="C361" s="89"/>
      <c r="D361" s="90"/>
      <c r="E361" s="248"/>
      <c r="F361" s="91"/>
      <c r="G361" s="91"/>
      <c r="I361" s="92"/>
      <c r="J361" s="93"/>
      <c r="K361" s="94"/>
      <c r="L361" s="94"/>
      <c r="M361" s="95"/>
      <c r="N361" s="95"/>
      <c r="O361" s="87"/>
      <c r="P361" s="87"/>
      <c r="Q361" s="88"/>
      <c r="R361" s="88"/>
    </row>
    <row r="362" spans="2:18" ht="14.1" customHeight="1">
      <c r="B362" s="89"/>
      <c r="C362" s="89"/>
      <c r="D362" s="90"/>
      <c r="E362" s="248"/>
      <c r="F362" s="91"/>
      <c r="G362" s="91"/>
      <c r="I362" s="92"/>
      <c r="J362" s="93"/>
      <c r="K362" s="94"/>
      <c r="L362" s="94"/>
      <c r="M362" s="95"/>
      <c r="N362" s="95"/>
      <c r="O362" s="87"/>
      <c r="P362" s="87"/>
      <c r="Q362" s="88"/>
      <c r="R362" s="88"/>
    </row>
    <row r="363" spans="2:18" ht="14.1" customHeight="1">
      <c r="B363" s="89"/>
      <c r="C363" s="89"/>
      <c r="D363" s="90"/>
      <c r="E363" s="248"/>
      <c r="F363" s="91"/>
      <c r="G363" s="91"/>
      <c r="I363" s="92"/>
      <c r="J363" s="93"/>
      <c r="K363" s="94"/>
      <c r="L363" s="94"/>
      <c r="M363" s="95"/>
      <c r="N363" s="95"/>
      <c r="O363" s="87"/>
      <c r="P363" s="87"/>
      <c r="Q363" s="88"/>
      <c r="R363" s="88"/>
    </row>
    <row r="364" spans="2:18" ht="14.1" customHeight="1">
      <c r="B364" s="89"/>
      <c r="C364" s="89"/>
      <c r="D364" s="90"/>
      <c r="E364" s="248"/>
      <c r="F364" s="91"/>
      <c r="G364" s="91"/>
      <c r="I364" s="92"/>
      <c r="J364" s="93"/>
      <c r="K364" s="94"/>
      <c r="L364" s="94"/>
      <c r="M364" s="95"/>
      <c r="N364" s="95"/>
      <c r="O364" s="87"/>
      <c r="P364" s="87"/>
      <c r="Q364" s="88"/>
      <c r="R364" s="88"/>
    </row>
    <row r="365" spans="2:18" ht="14.1" customHeight="1">
      <c r="B365" s="89"/>
      <c r="C365" s="89"/>
      <c r="D365" s="90"/>
      <c r="E365" s="248"/>
      <c r="F365" s="91"/>
      <c r="G365" s="91"/>
      <c r="I365" s="92"/>
      <c r="J365" s="93"/>
      <c r="K365" s="94"/>
      <c r="L365" s="94"/>
      <c r="M365" s="95"/>
      <c r="N365" s="95"/>
      <c r="O365" s="87"/>
      <c r="P365" s="87"/>
      <c r="Q365" s="88"/>
      <c r="R365" s="88"/>
    </row>
    <row r="366" spans="2:18" ht="14.1" customHeight="1">
      <c r="B366" s="89"/>
      <c r="C366" s="89"/>
      <c r="D366" s="90"/>
      <c r="E366" s="248"/>
      <c r="F366" s="91"/>
      <c r="G366" s="91"/>
      <c r="I366" s="92"/>
      <c r="J366" s="93"/>
      <c r="K366" s="94"/>
      <c r="L366" s="94"/>
      <c r="M366" s="95"/>
      <c r="N366" s="95"/>
      <c r="O366" s="87"/>
      <c r="P366" s="87"/>
      <c r="Q366" s="88"/>
      <c r="R366" s="88"/>
    </row>
    <row r="367" spans="2:18" ht="14.1" customHeight="1">
      <c r="B367" s="89"/>
      <c r="C367" s="89"/>
      <c r="D367" s="90"/>
      <c r="E367" s="248"/>
      <c r="F367" s="91"/>
      <c r="G367" s="91"/>
      <c r="I367" s="92"/>
      <c r="J367" s="93"/>
      <c r="K367" s="94"/>
      <c r="L367" s="94"/>
      <c r="M367" s="95"/>
      <c r="N367" s="95"/>
      <c r="O367" s="87"/>
      <c r="P367" s="87"/>
      <c r="Q367" s="88"/>
      <c r="R367" s="88"/>
    </row>
    <row r="368" spans="2:18" ht="14.1" customHeight="1">
      <c r="B368" s="89"/>
      <c r="C368" s="89"/>
      <c r="D368" s="90"/>
      <c r="E368" s="248"/>
      <c r="F368" s="91"/>
      <c r="G368" s="91"/>
      <c r="I368" s="92"/>
      <c r="J368" s="93"/>
      <c r="K368" s="94"/>
      <c r="L368" s="94"/>
      <c r="M368" s="95"/>
      <c r="N368" s="95"/>
      <c r="O368" s="87"/>
      <c r="P368" s="87"/>
      <c r="Q368" s="88"/>
      <c r="R368" s="88"/>
    </row>
    <row r="369" spans="2:18" ht="14.1" customHeight="1">
      <c r="B369" s="89"/>
      <c r="C369" s="89"/>
      <c r="D369" s="90"/>
      <c r="E369" s="248"/>
      <c r="F369" s="91"/>
      <c r="G369" s="91"/>
      <c r="I369" s="92"/>
      <c r="J369" s="93"/>
      <c r="K369" s="94"/>
      <c r="L369" s="94"/>
      <c r="M369" s="95"/>
      <c r="N369" s="95"/>
      <c r="O369" s="87"/>
      <c r="P369" s="87"/>
      <c r="Q369" s="88"/>
      <c r="R369" s="88"/>
    </row>
    <row r="370" spans="2:18" ht="14.1" customHeight="1">
      <c r="B370" s="89"/>
      <c r="C370" s="89"/>
      <c r="D370" s="90"/>
      <c r="E370" s="248"/>
      <c r="F370" s="91"/>
      <c r="G370" s="91"/>
      <c r="I370" s="92"/>
      <c r="J370" s="93"/>
      <c r="K370" s="94"/>
      <c r="L370" s="94"/>
      <c r="M370" s="95"/>
      <c r="N370" s="95"/>
      <c r="O370" s="87"/>
      <c r="P370" s="87"/>
      <c r="Q370" s="88"/>
      <c r="R370" s="88"/>
    </row>
    <row r="371" spans="2:18" ht="14.1" customHeight="1">
      <c r="B371" s="89"/>
      <c r="C371" s="89"/>
      <c r="D371" s="90"/>
      <c r="E371" s="248"/>
      <c r="F371" s="91"/>
      <c r="G371" s="91"/>
      <c r="I371" s="92"/>
      <c r="J371" s="93"/>
      <c r="K371" s="94"/>
      <c r="L371" s="94"/>
      <c r="M371" s="95"/>
      <c r="N371" s="95"/>
      <c r="O371" s="87"/>
      <c r="P371" s="87"/>
      <c r="Q371" s="88"/>
      <c r="R371" s="88"/>
    </row>
    <row r="372" spans="2:18" ht="14.1" customHeight="1">
      <c r="B372" s="89"/>
      <c r="C372" s="89"/>
      <c r="D372" s="90"/>
      <c r="E372" s="248"/>
      <c r="F372" s="91"/>
      <c r="G372" s="91"/>
      <c r="I372" s="92"/>
      <c r="J372" s="93"/>
      <c r="K372" s="94"/>
      <c r="L372" s="94"/>
      <c r="M372" s="95"/>
      <c r="N372" s="95"/>
      <c r="O372" s="87"/>
      <c r="P372" s="87"/>
      <c r="Q372" s="88"/>
      <c r="R372" s="88"/>
    </row>
    <row r="373" spans="2:18" ht="14.1" customHeight="1">
      <c r="B373" s="89"/>
      <c r="C373" s="89"/>
      <c r="D373" s="90"/>
      <c r="E373" s="248"/>
      <c r="F373" s="91"/>
      <c r="G373" s="91"/>
      <c r="I373" s="92"/>
      <c r="J373" s="93"/>
      <c r="K373" s="94"/>
      <c r="L373" s="94"/>
      <c r="M373" s="95"/>
      <c r="N373" s="95"/>
      <c r="O373" s="87"/>
      <c r="P373" s="87"/>
      <c r="Q373" s="88"/>
      <c r="R373" s="88"/>
    </row>
    <row r="374" spans="2:18" ht="14.1" customHeight="1">
      <c r="B374" s="89"/>
      <c r="C374" s="89"/>
      <c r="D374" s="90"/>
      <c r="E374" s="248"/>
      <c r="F374" s="91"/>
      <c r="G374" s="91"/>
      <c r="I374" s="92"/>
      <c r="J374" s="93"/>
      <c r="K374" s="94"/>
      <c r="L374" s="94"/>
      <c r="M374" s="95"/>
      <c r="N374" s="95"/>
      <c r="O374" s="87"/>
      <c r="P374" s="87"/>
      <c r="Q374" s="88"/>
      <c r="R374" s="88"/>
    </row>
    <row r="375" spans="2:18" ht="14.1" customHeight="1">
      <c r="B375" s="89"/>
      <c r="C375" s="89"/>
      <c r="D375" s="90"/>
      <c r="E375" s="248"/>
      <c r="F375" s="91"/>
      <c r="G375" s="91"/>
      <c r="I375" s="92"/>
      <c r="J375" s="93"/>
      <c r="K375" s="94"/>
      <c r="L375" s="94"/>
      <c r="M375" s="95"/>
      <c r="N375" s="95"/>
      <c r="O375" s="87"/>
      <c r="P375" s="87"/>
      <c r="Q375" s="88"/>
      <c r="R375" s="88"/>
    </row>
    <row r="376" spans="2:18" ht="14.1" customHeight="1">
      <c r="B376" s="89"/>
      <c r="C376" s="89"/>
      <c r="D376" s="90"/>
      <c r="E376" s="248"/>
      <c r="F376" s="91"/>
      <c r="G376" s="91"/>
      <c r="I376" s="92"/>
      <c r="J376" s="93"/>
      <c r="K376" s="94"/>
      <c r="L376" s="94"/>
      <c r="M376" s="95"/>
      <c r="N376" s="95"/>
      <c r="O376" s="87"/>
      <c r="P376" s="87"/>
      <c r="Q376" s="88"/>
      <c r="R376" s="88"/>
    </row>
    <row r="377" spans="2:18" ht="14.1" customHeight="1">
      <c r="B377" s="89"/>
      <c r="C377" s="89"/>
      <c r="D377" s="90"/>
      <c r="E377" s="248"/>
      <c r="F377" s="91"/>
      <c r="G377" s="91"/>
      <c r="I377" s="92"/>
      <c r="J377" s="93"/>
      <c r="K377" s="94"/>
      <c r="L377" s="94"/>
      <c r="M377" s="95"/>
      <c r="N377" s="95"/>
      <c r="O377" s="87"/>
      <c r="P377" s="87"/>
      <c r="Q377" s="88"/>
      <c r="R377" s="88"/>
    </row>
    <row r="378" spans="2:18" ht="14.1" customHeight="1">
      <c r="B378" s="89"/>
      <c r="C378" s="89"/>
      <c r="D378" s="90"/>
      <c r="E378" s="248"/>
      <c r="F378" s="91"/>
      <c r="G378" s="91"/>
      <c r="I378" s="92"/>
      <c r="J378" s="93"/>
      <c r="K378" s="94"/>
      <c r="L378" s="94"/>
      <c r="M378" s="95"/>
      <c r="N378" s="95"/>
      <c r="O378" s="87"/>
      <c r="P378" s="87"/>
      <c r="Q378" s="88"/>
      <c r="R378" s="88"/>
    </row>
    <row r="379" spans="2:18" ht="14.1" customHeight="1">
      <c r="B379" s="89"/>
      <c r="C379" s="89"/>
      <c r="D379" s="90"/>
      <c r="E379" s="248"/>
      <c r="F379" s="91"/>
      <c r="G379" s="91"/>
      <c r="I379" s="92"/>
      <c r="J379" s="93"/>
      <c r="K379" s="94"/>
      <c r="L379" s="94"/>
      <c r="M379" s="95"/>
      <c r="N379" s="95"/>
      <c r="O379" s="87"/>
      <c r="P379" s="87"/>
      <c r="Q379" s="88"/>
      <c r="R379" s="88"/>
    </row>
    <row r="380" spans="2:18" ht="14.1" customHeight="1">
      <c r="B380" s="89"/>
      <c r="C380" s="89"/>
      <c r="D380" s="90"/>
      <c r="E380" s="248"/>
      <c r="F380" s="91"/>
      <c r="G380" s="91"/>
      <c r="I380" s="92"/>
      <c r="J380" s="93"/>
      <c r="K380" s="94"/>
      <c r="L380" s="94"/>
      <c r="M380" s="95"/>
      <c r="N380" s="95"/>
      <c r="O380" s="87"/>
      <c r="P380" s="87"/>
      <c r="Q380" s="88"/>
      <c r="R380" s="88"/>
    </row>
    <row r="381" spans="2:18" ht="14.1" customHeight="1">
      <c r="B381" s="89"/>
      <c r="C381" s="89"/>
      <c r="D381" s="90"/>
      <c r="E381" s="248"/>
      <c r="F381" s="91"/>
      <c r="G381" s="91"/>
      <c r="I381" s="92"/>
      <c r="J381" s="93"/>
      <c r="K381" s="94"/>
      <c r="L381" s="94"/>
      <c r="M381" s="95"/>
      <c r="N381" s="95"/>
      <c r="O381" s="87"/>
      <c r="P381" s="87"/>
      <c r="Q381" s="88"/>
      <c r="R381" s="88"/>
    </row>
    <row r="382" spans="2:18" ht="14.1" customHeight="1">
      <c r="B382" s="89"/>
      <c r="C382" s="89"/>
      <c r="D382" s="90"/>
      <c r="E382" s="248"/>
      <c r="F382" s="91"/>
      <c r="G382" s="91"/>
      <c r="I382" s="92"/>
      <c r="J382" s="93"/>
      <c r="K382" s="94"/>
      <c r="L382" s="94"/>
      <c r="M382" s="95"/>
      <c r="N382" s="95"/>
      <c r="O382" s="87"/>
      <c r="P382" s="87"/>
      <c r="Q382" s="88"/>
      <c r="R382" s="88"/>
    </row>
    <row r="383" spans="2:18" ht="14.1" customHeight="1">
      <c r="B383" s="89"/>
      <c r="C383" s="89"/>
      <c r="D383" s="90"/>
      <c r="E383" s="248"/>
      <c r="F383" s="91"/>
      <c r="G383" s="91"/>
      <c r="I383" s="92"/>
      <c r="J383" s="93"/>
      <c r="K383" s="94"/>
      <c r="L383" s="94"/>
      <c r="M383" s="95"/>
      <c r="N383" s="95"/>
      <c r="O383" s="87"/>
      <c r="P383" s="87"/>
      <c r="Q383" s="88"/>
      <c r="R383" s="88"/>
    </row>
    <row r="384" spans="2:18" ht="14.1" customHeight="1">
      <c r="B384" s="89"/>
      <c r="C384" s="89"/>
      <c r="D384" s="90"/>
      <c r="E384" s="248"/>
      <c r="F384" s="91"/>
      <c r="G384" s="91"/>
      <c r="I384" s="92"/>
      <c r="J384" s="93"/>
      <c r="K384" s="94"/>
      <c r="L384" s="94"/>
      <c r="M384" s="95"/>
      <c r="N384" s="95"/>
      <c r="O384" s="87"/>
      <c r="P384" s="87"/>
      <c r="Q384" s="88"/>
      <c r="R384" s="88"/>
    </row>
    <row r="385" spans="2:18" ht="14.1" customHeight="1">
      <c r="B385" s="89"/>
      <c r="C385" s="89"/>
      <c r="D385" s="90"/>
      <c r="E385" s="248"/>
      <c r="F385" s="91"/>
      <c r="G385" s="91"/>
      <c r="I385" s="92"/>
      <c r="J385" s="93"/>
      <c r="K385" s="94"/>
      <c r="L385" s="94"/>
      <c r="M385" s="95"/>
      <c r="N385" s="95"/>
      <c r="O385" s="87"/>
      <c r="P385" s="87"/>
      <c r="Q385" s="88"/>
      <c r="R385" s="88"/>
    </row>
    <row r="386" spans="2:18" ht="14.1" customHeight="1">
      <c r="B386" s="89"/>
      <c r="C386" s="89"/>
      <c r="D386" s="90"/>
      <c r="E386" s="248"/>
      <c r="F386" s="91"/>
      <c r="G386" s="91"/>
      <c r="I386" s="92"/>
      <c r="J386" s="93"/>
      <c r="K386" s="94"/>
      <c r="L386" s="94"/>
      <c r="M386" s="95"/>
      <c r="N386" s="95"/>
      <c r="O386" s="87"/>
      <c r="P386" s="87"/>
      <c r="Q386" s="88"/>
      <c r="R386" s="88"/>
    </row>
    <row r="387" spans="2:18" ht="14.1" customHeight="1">
      <c r="B387" s="89"/>
      <c r="C387" s="89"/>
      <c r="D387" s="90"/>
      <c r="E387" s="248"/>
      <c r="F387" s="91"/>
      <c r="G387" s="91"/>
      <c r="I387" s="92"/>
      <c r="J387" s="93"/>
      <c r="K387" s="94"/>
      <c r="L387" s="94"/>
      <c r="M387" s="95"/>
      <c r="N387" s="95"/>
      <c r="O387" s="87"/>
      <c r="P387" s="87"/>
      <c r="Q387" s="88"/>
      <c r="R387" s="88"/>
    </row>
    <row r="388" spans="2:18" ht="14.1" customHeight="1">
      <c r="B388" s="89"/>
      <c r="C388" s="89"/>
      <c r="D388" s="90"/>
      <c r="E388" s="248"/>
      <c r="F388" s="91"/>
      <c r="G388" s="91"/>
      <c r="I388" s="92"/>
      <c r="J388" s="93"/>
      <c r="K388" s="94"/>
      <c r="L388" s="94"/>
      <c r="M388" s="95"/>
      <c r="N388" s="95"/>
      <c r="O388" s="87"/>
      <c r="P388" s="87"/>
      <c r="Q388" s="88"/>
      <c r="R388" s="88"/>
    </row>
    <row r="389" spans="2:18" ht="14.1" customHeight="1">
      <c r="B389" s="89"/>
      <c r="C389" s="89"/>
      <c r="D389" s="90"/>
      <c r="E389" s="248"/>
      <c r="F389" s="91"/>
      <c r="G389" s="91"/>
      <c r="I389" s="92"/>
      <c r="J389" s="93"/>
      <c r="K389" s="94"/>
      <c r="L389" s="94"/>
      <c r="M389" s="95"/>
      <c r="N389" s="95"/>
      <c r="O389" s="87"/>
      <c r="P389" s="87"/>
      <c r="Q389" s="88"/>
      <c r="R389" s="88"/>
    </row>
    <row r="390" spans="2:18" ht="14.1" customHeight="1">
      <c r="B390" s="89"/>
      <c r="C390" s="89"/>
      <c r="D390" s="90"/>
      <c r="E390" s="248"/>
      <c r="F390" s="91"/>
      <c r="G390" s="91"/>
      <c r="I390" s="92"/>
      <c r="J390" s="93"/>
      <c r="K390" s="94"/>
      <c r="L390" s="94"/>
      <c r="M390" s="95"/>
      <c r="N390" s="95"/>
      <c r="O390" s="87"/>
      <c r="P390" s="87"/>
      <c r="Q390" s="88"/>
      <c r="R390" s="88"/>
    </row>
    <row r="391" spans="2:18" ht="14.1" customHeight="1">
      <c r="B391" s="89"/>
      <c r="C391" s="89"/>
      <c r="D391" s="90"/>
      <c r="E391" s="248"/>
      <c r="F391" s="91"/>
      <c r="G391" s="91"/>
      <c r="I391" s="92"/>
      <c r="J391" s="93"/>
      <c r="K391" s="94"/>
      <c r="L391" s="94"/>
      <c r="M391" s="95"/>
      <c r="N391" s="95"/>
      <c r="O391" s="87"/>
      <c r="P391" s="87"/>
      <c r="Q391" s="88"/>
      <c r="R391" s="88"/>
    </row>
    <row r="392" spans="2:18" ht="14.1" customHeight="1">
      <c r="B392" s="89"/>
      <c r="C392" s="89"/>
      <c r="D392" s="90"/>
      <c r="E392" s="248"/>
      <c r="F392" s="91"/>
      <c r="G392" s="91"/>
      <c r="I392" s="92"/>
      <c r="J392" s="93"/>
      <c r="K392" s="94"/>
      <c r="L392" s="94"/>
      <c r="M392" s="95"/>
      <c r="N392" s="95"/>
      <c r="O392" s="87"/>
      <c r="P392" s="87"/>
      <c r="Q392" s="88"/>
      <c r="R392" s="88"/>
    </row>
    <row r="393" spans="2:18" ht="14.1" customHeight="1">
      <c r="B393" s="89"/>
      <c r="C393" s="89"/>
      <c r="D393" s="90"/>
      <c r="E393" s="248"/>
      <c r="F393" s="91"/>
      <c r="G393" s="91"/>
      <c r="I393" s="92"/>
      <c r="J393" s="93"/>
      <c r="K393" s="94"/>
      <c r="L393" s="94"/>
      <c r="M393" s="95"/>
      <c r="N393" s="95"/>
      <c r="O393" s="87"/>
      <c r="P393" s="87"/>
      <c r="Q393" s="88"/>
      <c r="R393" s="88"/>
    </row>
    <row r="394" spans="2:18" ht="14.1" customHeight="1">
      <c r="B394" s="89"/>
      <c r="C394" s="89"/>
      <c r="D394" s="90"/>
      <c r="E394" s="248"/>
      <c r="F394" s="91"/>
      <c r="G394" s="91"/>
      <c r="I394" s="92"/>
      <c r="J394" s="93"/>
      <c r="K394" s="94"/>
      <c r="L394" s="94"/>
      <c r="M394" s="95"/>
      <c r="N394" s="95"/>
      <c r="O394" s="87"/>
      <c r="P394" s="87"/>
      <c r="Q394" s="88"/>
      <c r="R394" s="88"/>
    </row>
    <row r="395" spans="2:18" ht="14.1" customHeight="1">
      <c r="B395" s="89"/>
      <c r="C395" s="89"/>
      <c r="D395" s="90"/>
      <c r="E395" s="248"/>
      <c r="F395" s="91"/>
      <c r="G395" s="91"/>
      <c r="I395" s="92"/>
      <c r="J395" s="93"/>
      <c r="K395" s="94"/>
      <c r="L395" s="94"/>
      <c r="M395" s="95"/>
      <c r="N395" s="95"/>
      <c r="O395" s="87"/>
      <c r="P395" s="87"/>
      <c r="Q395" s="88"/>
      <c r="R395" s="88"/>
    </row>
    <row r="396" spans="2:18" ht="14.1" customHeight="1">
      <c r="B396" s="89"/>
      <c r="C396" s="89"/>
      <c r="D396" s="90"/>
      <c r="E396" s="248"/>
      <c r="F396" s="91"/>
      <c r="G396" s="91"/>
      <c r="I396" s="92"/>
      <c r="J396" s="93"/>
      <c r="K396" s="94"/>
      <c r="L396" s="94"/>
      <c r="M396" s="95"/>
      <c r="N396" s="95"/>
      <c r="O396" s="87"/>
      <c r="P396" s="87"/>
      <c r="Q396" s="88"/>
      <c r="R396" s="88"/>
    </row>
    <row r="397" spans="2:18" ht="14.1" customHeight="1">
      <c r="B397" s="89"/>
      <c r="C397" s="89"/>
      <c r="D397" s="90"/>
      <c r="E397" s="248"/>
      <c r="F397" s="91"/>
      <c r="G397" s="91"/>
      <c r="I397" s="92"/>
      <c r="J397" s="93"/>
      <c r="K397" s="94"/>
      <c r="L397" s="94"/>
      <c r="M397" s="95"/>
      <c r="N397" s="95"/>
      <c r="O397" s="87"/>
      <c r="P397" s="87"/>
      <c r="Q397" s="88"/>
      <c r="R397" s="88"/>
    </row>
    <row r="398" spans="2:18" ht="14.1" customHeight="1">
      <c r="B398" s="89"/>
      <c r="C398" s="89"/>
      <c r="D398" s="90"/>
      <c r="E398" s="248"/>
      <c r="F398" s="91"/>
      <c r="G398" s="91"/>
      <c r="I398" s="92"/>
      <c r="J398" s="93"/>
      <c r="K398" s="94"/>
      <c r="L398" s="94"/>
      <c r="M398" s="95"/>
      <c r="N398" s="95"/>
      <c r="O398" s="87"/>
      <c r="P398" s="87"/>
      <c r="Q398" s="88"/>
      <c r="R398" s="88"/>
    </row>
    <row r="399" spans="2:18" ht="14.1" customHeight="1">
      <c r="B399" s="89"/>
      <c r="C399" s="89"/>
      <c r="D399" s="90"/>
      <c r="E399" s="248"/>
      <c r="F399" s="91"/>
      <c r="G399" s="91"/>
      <c r="I399" s="92"/>
      <c r="J399" s="93"/>
      <c r="K399" s="94"/>
      <c r="L399" s="94"/>
      <c r="M399" s="95"/>
      <c r="N399" s="95"/>
      <c r="O399" s="87"/>
      <c r="P399" s="87"/>
      <c r="Q399" s="88"/>
      <c r="R399" s="88"/>
    </row>
    <row r="400" spans="2:18" ht="14.1" customHeight="1">
      <c r="B400" s="89"/>
      <c r="C400" s="89"/>
      <c r="D400" s="90"/>
      <c r="E400" s="248"/>
      <c r="F400" s="91"/>
      <c r="G400" s="91"/>
      <c r="I400" s="92"/>
      <c r="J400" s="93"/>
      <c r="K400" s="94"/>
      <c r="L400" s="94"/>
      <c r="M400" s="95"/>
      <c r="N400" s="95"/>
      <c r="O400" s="87"/>
      <c r="P400" s="87"/>
      <c r="Q400" s="88"/>
      <c r="R400" s="88"/>
    </row>
    <row r="401" spans="2:18" ht="14.1" customHeight="1">
      <c r="B401" s="89"/>
      <c r="C401" s="89"/>
      <c r="D401" s="90"/>
      <c r="E401" s="248"/>
      <c r="F401" s="91"/>
      <c r="G401" s="91"/>
      <c r="I401" s="92"/>
      <c r="J401" s="93"/>
      <c r="K401" s="94"/>
      <c r="L401" s="94"/>
      <c r="M401" s="95"/>
      <c r="N401" s="95"/>
      <c r="O401" s="87"/>
      <c r="P401" s="87"/>
      <c r="Q401" s="88"/>
      <c r="R401" s="88"/>
    </row>
    <row r="402" spans="2:18" ht="14.1" customHeight="1">
      <c r="B402" s="89"/>
      <c r="C402" s="89"/>
      <c r="D402" s="90"/>
      <c r="E402" s="248"/>
      <c r="F402" s="91"/>
      <c r="G402" s="91"/>
      <c r="I402" s="92"/>
      <c r="J402" s="93"/>
      <c r="K402" s="94"/>
      <c r="L402" s="94"/>
      <c r="M402" s="95"/>
      <c r="N402" s="95"/>
      <c r="O402" s="87"/>
      <c r="P402" s="87"/>
      <c r="Q402" s="88"/>
      <c r="R402" s="88"/>
    </row>
    <row r="403" spans="2:18" ht="14.1" customHeight="1">
      <c r="B403" s="89"/>
      <c r="C403" s="89"/>
      <c r="D403" s="90"/>
      <c r="E403" s="248"/>
      <c r="F403" s="91"/>
      <c r="G403" s="91"/>
      <c r="I403" s="92"/>
      <c r="J403" s="93"/>
      <c r="K403" s="94"/>
      <c r="L403" s="94"/>
      <c r="M403" s="95"/>
      <c r="N403" s="95"/>
      <c r="O403" s="87"/>
      <c r="P403" s="87"/>
      <c r="Q403" s="88"/>
      <c r="R403" s="88"/>
    </row>
    <row r="404" spans="2:18" ht="14.1" customHeight="1">
      <c r="B404" s="89"/>
      <c r="C404" s="89"/>
      <c r="D404" s="90"/>
      <c r="E404" s="248"/>
      <c r="F404" s="91"/>
      <c r="G404" s="91"/>
      <c r="I404" s="92"/>
      <c r="J404" s="93"/>
      <c r="K404" s="94"/>
      <c r="L404" s="94"/>
      <c r="M404" s="95"/>
      <c r="N404" s="95"/>
      <c r="O404" s="87"/>
      <c r="P404" s="87"/>
      <c r="Q404" s="88"/>
      <c r="R404" s="88"/>
    </row>
    <row r="405" spans="2:18" ht="14.1" customHeight="1">
      <c r="B405" s="89"/>
      <c r="C405" s="89"/>
      <c r="D405" s="90"/>
      <c r="E405" s="248"/>
      <c r="F405" s="91"/>
      <c r="G405" s="91"/>
      <c r="I405" s="92"/>
      <c r="J405" s="93"/>
      <c r="K405" s="94"/>
      <c r="L405" s="94"/>
      <c r="M405" s="95"/>
      <c r="N405" s="95"/>
      <c r="O405" s="87"/>
      <c r="P405" s="87"/>
      <c r="Q405" s="88"/>
      <c r="R405" s="88"/>
    </row>
    <row r="406" spans="2:18" ht="14.1" customHeight="1">
      <c r="B406" s="89"/>
      <c r="C406" s="89"/>
      <c r="D406" s="90"/>
      <c r="E406" s="248"/>
      <c r="F406" s="91"/>
      <c r="G406" s="91"/>
      <c r="I406" s="92"/>
      <c r="J406" s="93"/>
      <c r="K406" s="94"/>
      <c r="L406" s="94"/>
      <c r="M406" s="95"/>
      <c r="N406" s="95"/>
      <c r="O406" s="87"/>
      <c r="P406" s="87"/>
      <c r="Q406" s="88"/>
      <c r="R406" s="88"/>
    </row>
    <row r="407" spans="2:18" ht="14.1" customHeight="1">
      <c r="B407" s="89"/>
      <c r="C407" s="89"/>
      <c r="D407" s="90"/>
      <c r="E407" s="248"/>
      <c r="F407" s="91"/>
      <c r="G407" s="91"/>
      <c r="I407" s="92"/>
      <c r="J407" s="93"/>
      <c r="K407" s="94"/>
      <c r="L407" s="94"/>
      <c r="M407" s="95"/>
      <c r="N407" s="95"/>
      <c r="O407" s="87"/>
      <c r="P407" s="87"/>
      <c r="Q407" s="88"/>
      <c r="R407" s="88"/>
    </row>
    <row r="408" spans="2:18" ht="14.1" customHeight="1">
      <c r="B408" s="89"/>
      <c r="C408" s="89"/>
      <c r="D408" s="90"/>
      <c r="E408" s="248"/>
      <c r="F408" s="91"/>
      <c r="G408" s="91"/>
      <c r="I408" s="92"/>
      <c r="J408" s="93"/>
      <c r="K408" s="94"/>
      <c r="L408" s="94"/>
      <c r="M408" s="95"/>
      <c r="N408" s="95"/>
      <c r="O408" s="87"/>
      <c r="P408" s="87"/>
      <c r="Q408" s="88"/>
      <c r="R408" s="88"/>
    </row>
    <row r="409" spans="2:18" ht="14.1" customHeight="1">
      <c r="B409" s="89"/>
      <c r="C409" s="89"/>
      <c r="D409" s="90"/>
      <c r="E409" s="248"/>
      <c r="F409" s="91"/>
      <c r="G409" s="91"/>
      <c r="I409" s="92"/>
      <c r="J409" s="93"/>
      <c r="K409" s="94"/>
      <c r="L409" s="94"/>
      <c r="M409" s="95"/>
      <c r="N409" s="95"/>
      <c r="O409" s="87"/>
      <c r="P409" s="87"/>
      <c r="Q409" s="88"/>
      <c r="R409" s="88"/>
    </row>
    <row r="410" spans="2:18" ht="14.1" customHeight="1">
      <c r="B410" s="89"/>
      <c r="C410" s="89"/>
      <c r="D410" s="90"/>
      <c r="E410" s="248"/>
      <c r="F410" s="91"/>
      <c r="G410" s="91"/>
      <c r="I410" s="92"/>
      <c r="J410" s="93"/>
      <c r="K410" s="94"/>
      <c r="L410" s="94"/>
      <c r="M410" s="95"/>
      <c r="N410" s="95"/>
      <c r="O410" s="87"/>
      <c r="P410" s="87"/>
      <c r="Q410" s="88"/>
      <c r="R410" s="88"/>
    </row>
    <row r="411" spans="2:18" ht="14.1" customHeight="1">
      <c r="B411" s="89"/>
      <c r="C411" s="89"/>
      <c r="D411" s="90"/>
      <c r="E411" s="248"/>
      <c r="F411" s="91"/>
      <c r="G411" s="91"/>
      <c r="I411" s="92"/>
      <c r="J411" s="93"/>
      <c r="K411" s="94"/>
      <c r="L411" s="94"/>
      <c r="M411" s="95"/>
      <c r="N411" s="95"/>
      <c r="O411" s="87"/>
      <c r="P411" s="87"/>
      <c r="Q411" s="88"/>
      <c r="R411" s="88"/>
    </row>
    <row r="412" spans="2:18" ht="14.1" customHeight="1">
      <c r="B412" s="89"/>
      <c r="C412" s="89"/>
      <c r="D412" s="90"/>
      <c r="E412" s="248"/>
      <c r="F412" s="91"/>
      <c r="G412" s="91"/>
      <c r="I412" s="92"/>
      <c r="J412" s="93"/>
      <c r="K412" s="94"/>
      <c r="L412" s="94"/>
      <c r="M412" s="95"/>
      <c r="N412" s="95"/>
      <c r="O412" s="87"/>
      <c r="P412" s="87"/>
      <c r="Q412" s="88"/>
      <c r="R412" s="88"/>
    </row>
    <row r="413" spans="2:18" ht="14.1" customHeight="1">
      <c r="B413" s="89"/>
      <c r="C413" s="89"/>
      <c r="D413" s="90"/>
      <c r="E413" s="248"/>
      <c r="F413" s="91"/>
      <c r="G413" s="91"/>
      <c r="I413" s="92"/>
      <c r="J413" s="93"/>
      <c r="K413" s="94"/>
      <c r="L413" s="94"/>
      <c r="M413" s="95"/>
      <c r="N413" s="95"/>
      <c r="O413" s="87"/>
      <c r="P413" s="87"/>
      <c r="Q413" s="88"/>
      <c r="R413" s="88"/>
    </row>
    <row r="414" spans="2:18" ht="14.1" customHeight="1">
      <c r="B414" s="89"/>
      <c r="C414" s="89"/>
      <c r="D414" s="90"/>
      <c r="E414" s="248"/>
      <c r="F414" s="91"/>
      <c r="G414" s="91"/>
      <c r="I414" s="92"/>
      <c r="J414" s="93"/>
      <c r="K414" s="94"/>
      <c r="L414" s="94"/>
      <c r="M414" s="95"/>
      <c r="N414" s="95"/>
      <c r="O414" s="87"/>
      <c r="P414" s="87"/>
      <c r="Q414" s="88"/>
      <c r="R414" s="88"/>
    </row>
    <row r="415" spans="2:18" ht="14.1" customHeight="1">
      <c r="B415" s="89"/>
      <c r="C415" s="89"/>
      <c r="D415" s="90"/>
      <c r="E415" s="248"/>
      <c r="F415" s="91"/>
      <c r="G415" s="91"/>
      <c r="I415" s="92"/>
      <c r="J415" s="93"/>
      <c r="K415" s="94"/>
      <c r="L415" s="94"/>
      <c r="M415" s="95"/>
      <c r="N415" s="95"/>
      <c r="O415" s="87"/>
      <c r="P415" s="87"/>
      <c r="Q415" s="88"/>
      <c r="R415" s="88"/>
    </row>
    <row r="416" spans="2:18" ht="14.1" customHeight="1">
      <c r="B416" s="89"/>
      <c r="C416" s="89"/>
      <c r="D416" s="90"/>
      <c r="E416" s="248"/>
      <c r="F416" s="91"/>
      <c r="G416" s="91"/>
      <c r="I416" s="92"/>
      <c r="J416" s="93"/>
      <c r="K416" s="94"/>
      <c r="L416" s="94"/>
      <c r="M416" s="95"/>
      <c r="N416" s="95"/>
      <c r="O416" s="87"/>
      <c r="P416" s="87"/>
      <c r="Q416" s="88"/>
      <c r="R416" s="88"/>
    </row>
    <row r="417" spans="2:18" ht="14.1" customHeight="1">
      <c r="B417" s="89"/>
      <c r="C417" s="89"/>
      <c r="D417" s="90"/>
      <c r="E417" s="248"/>
      <c r="F417" s="91"/>
      <c r="G417" s="91"/>
      <c r="I417" s="92"/>
      <c r="J417" s="93"/>
      <c r="K417" s="94"/>
      <c r="L417" s="94"/>
      <c r="M417" s="95"/>
      <c r="N417" s="95"/>
      <c r="O417" s="87"/>
      <c r="P417" s="87"/>
      <c r="Q417" s="88"/>
      <c r="R417" s="88"/>
    </row>
    <row r="418" spans="2:18" ht="14.1" customHeight="1">
      <c r="B418" s="89"/>
      <c r="C418" s="89"/>
      <c r="D418" s="90"/>
      <c r="E418" s="248"/>
      <c r="F418" s="91"/>
      <c r="G418" s="91"/>
      <c r="I418" s="92"/>
      <c r="J418" s="93"/>
      <c r="K418" s="94"/>
      <c r="L418" s="94"/>
      <c r="M418" s="95"/>
      <c r="N418" s="95"/>
      <c r="O418" s="87"/>
      <c r="P418" s="87"/>
      <c r="Q418" s="88"/>
      <c r="R418" s="88"/>
    </row>
    <row r="419" spans="2:18" ht="14.1" customHeight="1">
      <c r="B419" s="89"/>
      <c r="C419" s="89"/>
      <c r="D419" s="90"/>
      <c r="E419" s="248"/>
      <c r="F419" s="91"/>
      <c r="G419" s="91"/>
      <c r="I419" s="92"/>
      <c r="J419" s="93"/>
      <c r="K419" s="94"/>
      <c r="L419" s="94"/>
      <c r="M419" s="95"/>
      <c r="N419" s="95"/>
      <c r="O419" s="87"/>
      <c r="P419" s="87"/>
      <c r="Q419" s="88"/>
      <c r="R419" s="88"/>
    </row>
    <row r="420" spans="2:18" ht="14.1" customHeight="1">
      <c r="B420" s="89"/>
      <c r="C420" s="89"/>
      <c r="D420" s="90"/>
      <c r="E420" s="248"/>
      <c r="F420" s="91"/>
      <c r="G420" s="91"/>
      <c r="I420" s="92"/>
      <c r="J420" s="93"/>
      <c r="K420" s="94"/>
      <c r="L420" s="94"/>
      <c r="M420" s="95"/>
      <c r="N420" s="95"/>
      <c r="O420" s="87"/>
      <c r="P420" s="87"/>
      <c r="Q420" s="88"/>
      <c r="R420" s="88"/>
    </row>
    <row r="421" spans="2:18" ht="14.1" customHeight="1">
      <c r="B421" s="89"/>
      <c r="C421" s="89"/>
      <c r="D421" s="90"/>
      <c r="E421" s="248"/>
      <c r="F421" s="91"/>
      <c r="G421" s="91"/>
      <c r="I421" s="92"/>
      <c r="J421" s="93"/>
      <c r="K421" s="94"/>
      <c r="L421" s="94"/>
      <c r="M421" s="95"/>
      <c r="N421" s="95"/>
      <c r="O421" s="87"/>
      <c r="P421" s="87"/>
      <c r="Q421" s="88"/>
      <c r="R421" s="88"/>
    </row>
    <row r="422" spans="2:18" ht="14.1" customHeight="1">
      <c r="B422" s="89"/>
      <c r="C422" s="89"/>
      <c r="D422" s="90"/>
      <c r="E422" s="248"/>
      <c r="F422" s="91"/>
      <c r="G422" s="91"/>
      <c r="I422" s="92"/>
      <c r="J422" s="93"/>
      <c r="K422" s="94"/>
      <c r="L422" s="94"/>
      <c r="M422" s="95"/>
      <c r="N422" s="95"/>
      <c r="O422" s="87"/>
      <c r="P422" s="87"/>
      <c r="Q422" s="88"/>
      <c r="R422" s="88"/>
    </row>
    <row r="423" spans="2:18" ht="14.1" customHeight="1">
      <c r="B423" s="89"/>
      <c r="C423" s="89"/>
      <c r="D423" s="90"/>
      <c r="E423" s="248"/>
      <c r="F423" s="91"/>
      <c r="G423" s="91"/>
      <c r="I423" s="92"/>
      <c r="J423" s="93"/>
      <c r="K423" s="94"/>
      <c r="L423" s="94"/>
      <c r="M423" s="95"/>
      <c r="N423" s="95"/>
      <c r="O423" s="87"/>
      <c r="P423" s="87"/>
      <c r="Q423" s="88"/>
      <c r="R423" s="88"/>
    </row>
    <row r="424" spans="2:18" ht="14.1" customHeight="1">
      <c r="B424" s="89"/>
      <c r="C424" s="89"/>
      <c r="D424" s="90"/>
      <c r="E424" s="248"/>
      <c r="F424" s="91"/>
      <c r="G424" s="91"/>
      <c r="I424" s="92"/>
      <c r="J424" s="93"/>
      <c r="K424" s="94"/>
      <c r="L424" s="94"/>
      <c r="M424" s="95"/>
      <c r="N424" s="95"/>
      <c r="O424" s="87"/>
      <c r="P424" s="87"/>
      <c r="Q424" s="88"/>
      <c r="R424" s="88"/>
    </row>
    <row r="425" spans="2:18" ht="14.1" customHeight="1">
      <c r="B425" s="89"/>
      <c r="C425" s="89"/>
      <c r="D425" s="90"/>
      <c r="E425" s="248"/>
      <c r="F425" s="91"/>
      <c r="G425" s="91"/>
      <c r="I425" s="92"/>
      <c r="J425" s="93"/>
      <c r="K425" s="94"/>
      <c r="L425" s="94"/>
      <c r="M425" s="95"/>
      <c r="N425" s="95"/>
      <c r="O425" s="87"/>
      <c r="P425" s="87"/>
      <c r="Q425" s="88"/>
      <c r="R425" s="88"/>
    </row>
    <row r="426" spans="2:18" ht="14.1" customHeight="1">
      <c r="B426" s="89"/>
      <c r="C426" s="89"/>
      <c r="D426" s="90"/>
      <c r="E426" s="248"/>
      <c r="F426" s="91"/>
      <c r="G426" s="91"/>
      <c r="I426" s="92"/>
      <c r="J426" s="93"/>
      <c r="K426" s="94"/>
      <c r="L426" s="94"/>
      <c r="M426" s="95"/>
      <c r="N426" s="95"/>
      <c r="O426" s="87"/>
      <c r="P426" s="87"/>
      <c r="Q426" s="88"/>
      <c r="R426" s="88"/>
    </row>
    <row r="427" spans="2:18" ht="14.1" customHeight="1">
      <c r="B427" s="89"/>
      <c r="C427" s="89"/>
      <c r="D427" s="90"/>
      <c r="E427" s="248"/>
      <c r="F427" s="91"/>
      <c r="G427" s="91"/>
      <c r="I427" s="92"/>
      <c r="J427" s="93"/>
      <c r="K427" s="94"/>
      <c r="L427" s="94"/>
      <c r="M427" s="95"/>
      <c r="N427" s="95"/>
      <c r="O427" s="87"/>
      <c r="P427" s="87"/>
      <c r="Q427" s="88"/>
      <c r="R427" s="88"/>
    </row>
    <row r="428" spans="2:18" ht="14.1" customHeight="1">
      <c r="B428" s="89"/>
      <c r="C428" s="89"/>
      <c r="D428" s="90"/>
      <c r="E428" s="248"/>
      <c r="F428" s="91"/>
      <c r="G428" s="91"/>
      <c r="I428" s="92"/>
      <c r="J428" s="93"/>
      <c r="K428" s="94"/>
      <c r="L428" s="94"/>
      <c r="M428" s="95"/>
      <c r="N428" s="95"/>
      <c r="O428" s="87"/>
      <c r="P428" s="87"/>
      <c r="Q428" s="88"/>
      <c r="R428" s="88"/>
    </row>
    <row r="429" spans="2:18" ht="14.1" customHeight="1">
      <c r="B429" s="89"/>
      <c r="C429" s="89"/>
      <c r="D429" s="90"/>
      <c r="E429" s="248"/>
      <c r="F429" s="91"/>
      <c r="G429" s="91"/>
      <c r="I429" s="92"/>
      <c r="J429" s="93"/>
      <c r="K429" s="94"/>
      <c r="L429" s="94"/>
      <c r="M429" s="95"/>
      <c r="N429" s="95"/>
      <c r="O429" s="87"/>
      <c r="P429" s="87"/>
      <c r="Q429" s="88"/>
      <c r="R429" s="88"/>
    </row>
    <row r="430" spans="2:18" ht="14.1" customHeight="1">
      <c r="B430" s="89"/>
      <c r="C430" s="89"/>
      <c r="D430" s="90"/>
      <c r="E430" s="248"/>
      <c r="F430" s="91"/>
      <c r="G430" s="91"/>
      <c r="I430" s="92"/>
      <c r="J430" s="93"/>
      <c r="K430" s="94"/>
      <c r="L430" s="94"/>
      <c r="M430" s="95"/>
      <c r="N430" s="95"/>
      <c r="O430" s="87"/>
      <c r="P430" s="87"/>
      <c r="Q430" s="88"/>
      <c r="R430" s="88"/>
    </row>
    <row r="431" spans="2:18" ht="14.1" customHeight="1">
      <c r="B431" s="89"/>
      <c r="C431" s="89"/>
      <c r="D431" s="90"/>
      <c r="E431" s="248"/>
      <c r="F431" s="91"/>
      <c r="G431" s="91"/>
      <c r="I431" s="92"/>
      <c r="J431" s="93"/>
      <c r="K431" s="94"/>
      <c r="L431" s="94"/>
      <c r="M431" s="95"/>
      <c r="N431" s="95"/>
      <c r="O431" s="87"/>
      <c r="P431" s="87"/>
      <c r="Q431" s="88"/>
      <c r="R431" s="88"/>
    </row>
    <row r="432" spans="2:18" ht="14.1" customHeight="1">
      <c r="B432" s="89"/>
      <c r="C432" s="89"/>
      <c r="D432" s="90"/>
      <c r="E432" s="248"/>
      <c r="F432" s="91"/>
      <c r="G432" s="91"/>
      <c r="I432" s="92"/>
      <c r="J432" s="93"/>
      <c r="K432" s="94"/>
      <c r="L432" s="94"/>
      <c r="M432" s="95"/>
      <c r="N432" s="95"/>
      <c r="O432" s="87"/>
      <c r="P432" s="87"/>
      <c r="Q432" s="88"/>
      <c r="R432" s="88"/>
    </row>
    <row r="433" spans="2:18" ht="14.1" customHeight="1">
      <c r="B433" s="89"/>
      <c r="C433" s="89"/>
      <c r="D433" s="90"/>
      <c r="E433" s="248"/>
      <c r="F433" s="91"/>
      <c r="G433" s="91"/>
      <c r="I433" s="92"/>
      <c r="J433" s="93"/>
      <c r="K433" s="94"/>
      <c r="L433" s="94"/>
      <c r="M433" s="95"/>
      <c r="N433" s="95"/>
      <c r="O433" s="87"/>
      <c r="P433" s="87"/>
      <c r="Q433" s="88"/>
      <c r="R433" s="88"/>
    </row>
    <row r="434" spans="2:18" ht="14.1" customHeight="1">
      <c r="B434" s="89"/>
      <c r="C434" s="89"/>
      <c r="D434" s="90"/>
      <c r="E434" s="248"/>
      <c r="F434" s="91"/>
      <c r="G434" s="91"/>
      <c r="I434" s="92"/>
      <c r="J434" s="93"/>
      <c r="K434" s="94"/>
      <c r="L434" s="94"/>
      <c r="M434" s="95"/>
      <c r="N434" s="95"/>
      <c r="O434" s="87"/>
      <c r="P434" s="87"/>
      <c r="Q434" s="88"/>
      <c r="R434" s="88"/>
    </row>
    <row r="435" spans="2:18" ht="14.1" customHeight="1">
      <c r="B435" s="89"/>
      <c r="C435" s="89"/>
      <c r="D435" s="90"/>
      <c r="E435" s="248"/>
      <c r="F435" s="91"/>
      <c r="G435" s="91"/>
      <c r="I435" s="92"/>
      <c r="J435" s="93"/>
      <c r="K435" s="94"/>
      <c r="L435" s="94"/>
      <c r="M435" s="95"/>
      <c r="N435" s="95"/>
      <c r="O435" s="87"/>
      <c r="P435" s="87"/>
      <c r="Q435" s="88"/>
      <c r="R435" s="88"/>
    </row>
    <row r="436" spans="2:18" ht="14.1" customHeight="1">
      <c r="B436" s="89"/>
      <c r="C436" s="89"/>
      <c r="D436" s="90"/>
      <c r="E436" s="248"/>
      <c r="F436" s="91"/>
      <c r="G436" s="91"/>
      <c r="I436" s="92"/>
      <c r="J436" s="93"/>
      <c r="K436" s="94"/>
      <c r="L436" s="94"/>
      <c r="M436" s="95"/>
      <c r="N436" s="95"/>
      <c r="O436" s="87"/>
      <c r="P436" s="87"/>
      <c r="Q436" s="88"/>
      <c r="R436" s="88"/>
    </row>
    <row r="437" spans="2:18" ht="14.1" customHeight="1">
      <c r="B437" s="89"/>
      <c r="C437" s="89"/>
      <c r="D437" s="90"/>
      <c r="E437" s="248"/>
      <c r="F437" s="91"/>
      <c r="G437" s="91"/>
      <c r="I437" s="92"/>
      <c r="J437" s="93"/>
      <c r="K437" s="94"/>
      <c r="L437" s="94"/>
      <c r="M437" s="95"/>
      <c r="N437" s="95"/>
      <c r="O437" s="87"/>
      <c r="P437" s="87"/>
      <c r="Q437" s="88"/>
      <c r="R437" s="88"/>
    </row>
    <row r="438" spans="2:18" ht="14.1" customHeight="1">
      <c r="B438" s="89"/>
      <c r="C438" s="89"/>
      <c r="D438" s="90"/>
      <c r="E438" s="248"/>
      <c r="F438" s="91"/>
      <c r="G438" s="91"/>
      <c r="I438" s="92"/>
      <c r="J438" s="93"/>
      <c r="K438" s="94"/>
      <c r="L438" s="94"/>
      <c r="M438" s="95"/>
      <c r="N438" s="95"/>
      <c r="O438" s="87"/>
      <c r="P438" s="87"/>
      <c r="Q438" s="88"/>
      <c r="R438" s="88"/>
    </row>
    <row r="439" spans="2:18" ht="14.1" customHeight="1">
      <c r="B439" s="89"/>
      <c r="C439" s="89"/>
      <c r="D439" s="90"/>
      <c r="E439" s="248"/>
      <c r="F439" s="91"/>
      <c r="G439" s="91"/>
      <c r="I439" s="92"/>
      <c r="J439" s="93"/>
      <c r="K439" s="94"/>
      <c r="L439" s="94"/>
      <c r="M439" s="95"/>
      <c r="N439" s="95"/>
      <c r="O439" s="87"/>
      <c r="P439" s="87"/>
      <c r="Q439" s="88"/>
      <c r="R439" s="88"/>
    </row>
    <row r="440" spans="2:18" ht="14.1" customHeight="1">
      <c r="B440" s="89"/>
      <c r="C440" s="89"/>
      <c r="D440" s="90"/>
      <c r="E440" s="248"/>
      <c r="F440" s="91"/>
      <c r="G440" s="91"/>
      <c r="I440" s="92"/>
      <c r="J440" s="93"/>
      <c r="K440" s="94"/>
      <c r="L440" s="94"/>
      <c r="M440" s="95"/>
      <c r="N440" s="95"/>
      <c r="O440" s="87"/>
      <c r="P440" s="87"/>
      <c r="Q440" s="88"/>
      <c r="R440" s="88"/>
    </row>
    <row r="441" spans="2:18" ht="14.1" customHeight="1">
      <c r="B441" s="89"/>
      <c r="C441" s="89"/>
      <c r="D441" s="90"/>
      <c r="E441" s="248"/>
      <c r="F441" s="91"/>
      <c r="G441" s="91"/>
      <c r="I441" s="92"/>
      <c r="J441" s="93"/>
      <c r="K441" s="94"/>
      <c r="L441" s="94"/>
      <c r="M441" s="95"/>
      <c r="N441" s="95"/>
      <c r="O441" s="87"/>
      <c r="P441" s="87"/>
      <c r="Q441" s="88"/>
      <c r="R441" s="88"/>
    </row>
    <row r="442" spans="2:18" ht="14.1" customHeight="1">
      <c r="B442" s="89"/>
      <c r="C442" s="89"/>
      <c r="D442" s="90"/>
      <c r="E442" s="248"/>
      <c r="F442" s="91"/>
      <c r="G442" s="91"/>
      <c r="I442" s="92"/>
      <c r="J442" s="93"/>
      <c r="K442" s="94"/>
      <c r="L442" s="94"/>
      <c r="M442" s="95"/>
      <c r="N442" s="95"/>
      <c r="O442" s="87"/>
      <c r="P442" s="87"/>
      <c r="Q442" s="88"/>
      <c r="R442" s="88"/>
    </row>
    <row r="443" spans="2:18" ht="14.1" customHeight="1">
      <c r="B443" s="89"/>
      <c r="C443" s="89"/>
      <c r="D443" s="90"/>
      <c r="E443" s="248"/>
      <c r="F443" s="91"/>
      <c r="G443" s="91"/>
      <c r="I443" s="92"/>
      <c r="J443" s="93"/>
      <c r="K443" s="94"/>
      <c r="L443" s="94"/>
      <c r="M443" s="95"/>
      <c r="N443" s="95"/>
      <c r="O443" s="87"/>
      <c r="P443" s="87"/>
      <c r="Q443" s="88"/>
      <c r="R443" s="88"/>
    </row>
    <row r="444" spans="2:18" ht="14.1" customHeight="1">
      <c r="B444" s="89"/>
      <c r="C444" s="89"/>
      <c r="D444" s="90"/>
      <c r="E444" s="248"/>
      <c r="F444" s="91"/>
      <c r="G444" s="91"/>
      <c r="I444" s="92"/>
      <c r="J444" s="93"/>
      <c r="K444" s="94"/>
      <c r="L444" s="94"/>
      <c r="M444" s="95"/>
      <c r="N444" s="95"/>
      <c r="O444" s="87"/>
      <c r="P444" s="87"/>
      <c r="Q444" s="88"/>
      <c r="R444" s="88"/>
    </row>
    <row r="445" spans="2:18" ht="14.1" customHeight="1">
      <c r="B445" s="89"/>
      <c r="C445" s="89"/>
      <c r="D445" s="90"/>
      <c r="E445" s="248"/>
      <c r="F445" s="91"/>
      <c r="G445" s="91"/>
      <c r="I445" s="92"/>
      <c r="J445" s="93"/>
      <c r="K445" s="94"/>
      <c r="L445" s="94"/>
      <c r="M445" s="95"/>
      <c r="N445" s="95"/>
      <c r="O445" s="87"/>
      <c r="P445" s="87"/>
      <c r="Q445" s="88"/>
      <c r="R445" s="88"/>
    </row>
    <row r="446" spans="2:18" ht="14.1" customHeight="1">
      <c r="B446" s="89"/>
      <c r="C446" s="89"/>
      <c r="D446" s="90"/>
      <c r="E446" s="248"/>
      <c r="F446" s="91"/>
      <c r="G446" s="91"/>
      <c r="I446" s="92"/>
      <c r="J446" s="93"/>
      <c r="K446" s="94"/>
      <c r="L446" s="94"/>
      <c r="M446" s="95"/>
      <c r="N446" s="95"/>
      <c r="O446" s="87"/>
      <c r="P446" s="87"/>
      <c r="Q446" s="88"/>
      <c r="R446" s="88"/>
    </row>
    <row r="447" spans="2:18" ht="14.1" customHeight="1">
      <c r="B447" s="89"/>
      <c r="C447" s="89"/>
      <c r="D447" s="90"/>
      <c r="E447" s="248"/>
      <c r="F447" s="91"/>
      <c r="G447" s="91"/>
      <c r="I447" s="92"/>
      <c r="J447" s="93"/>
      <c r="K447" s="94"/>
      <c r="L447" s="94"/>
      <c r="M447" s="95"/>
      <c r="N447" s="95"/>
      <c r="O447" s="87"/>
      <c r="P447" s="87"/>
      <c r="Q447" s="88"/>
      <c r="R447" s="88"/>
    </row>
    <row r="448" spans="2:18" ht="14.1" customHeight="1">
      <c r="B448" s="89"/>
      <c r="C448" s="89"/>
      <c r="D448" s="90"/>
      <c r="E448" s="248"/>
      <c r="F448" s="91"/>
      <c r="G448" s="91"/>
      <c r="I448" s="92"/>
      <c r="J448" s="93"/>
      <c r="K448" s="94"/>
      <c r="L448" s="94"/>
      <c r="M448" s="95"/>
      <c r="N448" s="95"/>
      <c r="O448" s="87"/>
      <c r="P448" s="87"/>
      <c r="Q448" s="88"/>
      <c r="R448" s="88"/>
    </row>
    <row r="449" spans="2:18" ht="14.1" customHeight="1">
      <c r="B449" s="89"/>
      <c r="C449" s="89"/>
      <c r="D449" s="90"/>
      <c r="E449" s="248"/>
      <c r="F449" s="91"/>
      <c r="G449" s="91"/>
      <c r="I449" s="92"/>
      <c r="J449" s="93"/>
      <c r="K449" s="94"/>
      <c r="L449" s="94"/>
      <c r="M449" s="95"/>
      <c r="N449" s="95"/>
      <c r="O449" s="87"/>
      <c r="P449" s="87"/>
      <c r="Q449" s="88"/>
      <c r="R449" s="88"/>
    </row>
    <row r="450" spans="2:18" ht="14.1" customHeight="1">
      <c r="B450" s="89"/>
      <c r="C450" s="89"/>
      <c r="D450" s="90"/>
      <c r="E450" s="248"/>
      <c r="F450" s="91"/>
      <c r="G450" s="91"/>
      <c r="I450" s="92"/>
      <c r="J450" s="93"/>
      <c r="K450" s="94"/>
      <c r="L450" s="94"/>
      <c r="M450" s="95"/>
      <c r="N450" s="95"/>
      <c r="O450" s="87"/>
      <c r="P450" s="87"/>
      <c r="Q450" s="88"/>
      <c r="R450" s="88"/>
    </row>
    <row r="451" spans="2:18" ht="14.1" customHeight="1">
      <c r="B451" s="89"/>
      <c r="C451" s="89"/>
      <c r="D451" s="90"/>
      <c r="E451" s="248"/>
      <c r="F451" s="91"/>
      <c r="G451" s="91"/>
      <c r="I451" s="92"/>
      <c r="J451" s="93"/>
      <c r="K451" s="94"/>
      <c r="L451" s="94"/>
      <c r="M451" s="95"/>
      <c r="N451" s="95"/>
      <c r="O451" s="87"/>
      <c r="P451" s="87"/>
      <c r="Q451" s="88"/>
      <c r="R451" s="88"/>
    </row>
    <row r="452" spans="2:18" ht="14.1" customHeight="1">
      <c r="B452" s="89"/>
      <c r="C452" s="89"/>
      <c r="D452" s="90"/>
      <c r="E452" s="248"/>
      <c r="F452" s="91"/>
      <c r="G452" s="91"/>
      <c r="I452" s="92"/>
      <c r="J452" s="93"/>
      <c r="K452" s="94"/>
      <c r="L452" s="94"/>
      <c r="M452" s="95"/>
      <c r="N452" s="95"/>
      <c r="O452" s="87"/>
      <c r="P452" s="87"/>
      <c r="Q452" s="88"/>
      <c r="R452" s="88"/>
    </row>
    <row r="453" spans="2:18" ht="14.1" customHeight="1">
      <c r="B453" s="89"/>
      <c r="C453" s="89"/>
      <c r="D453" s="90"/>
      <c r="E453" s="248"/>
      <c r="F453" s="91"/>
      <c r="G453" s="91"/>
      <c r="I453" s="92"/>
      <c r="J453" s="93"/>
      <c r="K453" s="94"/>
      <c r="L453" s="94"/>
      <c r="M453" s="95"/>
      <c r="N453" s="95"/>
      <c r="O453" s="87"/>
      <c r="P453" s="87"/>
      <c r="Q453" s="88"/>
      <c r="R453" s="88"/>
    </row>
    <row r="454" spans="2:18" ht="14.1" customHeight="1">
      <c r="B454" s="89"/>
      <c r="C454" s="89"/>
      <c r="D454" s="90"/>
      <c r="E454" s="248"/>
      <c r="F454" s="91"/>
      <c r="G454" s="91"/>
      <c r="I454" s="92"/>
      <c r="J454" s="93"/>
      <c r="K454" s="94"/>
      <c r="L454" s="94"/>
      <c r="M454" s="95"/>
      <c r="N454" s="95"/>
      <c r="O454" s="87"/>
      <c r="P454" s="87"/>
      <c r="Q454" s="88"/>
      <c r="R454" s="88"/>
    </row>
    <row r="455" spans="2:18" ht="14.1" customHeight="1">
      <c r="B455" s="89"/>
      <c r="C455" s="89"/>
      <c r="D455" s="90"/>
      <c r="E455" s="248"/>
      <c r="F455" s="91"/>
      <c r="G455" s="91"/>
      <c r="I455" s="92"/>
      <c r="J455" s="93"/>
      <c r="K455" s="94"/>
      <c r="L455" s="94"/>
      <c r="M455" s="95"/>
      <c r="N455" s="95"/>
      <c r="O455" s="87"/>
      <c r="P455" s="87"/>
      <c r="Q455" s="88"/>
      <c r="R455" s="88"/>
    </row>
    <row r="456" spans="2:18" ht="14.1" customHeight="1">
      <c r="B456" s="89"/>
      <c r="C456" s="89"/>
      <c r="D456" s="90"/>
      <c r="E456" s="248"/>
      <c r="F456" s="91"/>
      <c r="G456" s="91"/>
      <c r="I456" s="92"/>
      <c r="J456" s="93"/>
      <c r="K456" s="94"/>
      <c r="L456" s="94"/>
      <c r="M456" s="95"/>
      <c r="N456" s="95"/>
      <c r="O456" s="87"/>
      <c r="P456" s="87"/>
      <c r="Q456" s="88"/>
      <c r="R456" s="88"/>
    </row>
    <row r="457" spans="2:18" ht="14.1" customHeight="1">
      <c r="B457" s="89"/>
      <c r="C457" s="89"/>
      <c r="D457" s="90"/>
      <c r="E457" s="248"/>
      <c r="F457" s="91"/>
      <c r="G457" s="91"/>
      <c r="I457" s="92"/>
      <c r="J457" s="93"/>
      <c r="K457" s="94"/>
      <c r="L457" s="94"/>
      <c r="M457" s="95"/>
      <c r="N457" s="95"/>
      <c r="O457" s="87"/>
      <c r="P457" s="87"/>
      <c r="Q457" s="88"/>
      <c r="R457" s="88"/>
    </row>
    <row r="458" spans="2:18" ht="14.1" customHeight="1">
      <c r="B458" s="89"/>
      <c r="C458" s="89"/>
      <c r="D458" s="90"/>
      <c r="E458" s="248"/>
      <c r="F458" s="91"/>
      <c r="G458" s="91"/>
      <c r="I458" s="92"/>
      <c r="J458" s="93"/>
      <c r="K458" s="94"/>
      <c r="L458" s="94"/>
      <c r="M458" s="95"/>
      <c r="N458" s="95"/>
      <c r="O458" s="87"/>
      <c r="P458" s="87"/>
      <c r="Q458" s="88"/>
      <c r="R458" s="88"/>
    </row>
    <row r="459" spans="2:18" ht="14.1" customHeight="1">
      <c r="B459" s="89"/>
      <c r="C459" s="89"/>
      <c r="D459" s="90"/>
      <c r="E459" s="248"/>
      <c r="F459" s="91"/>
      <c r="G459" s="91"/>
      <c r="I459" s="92"/>
      <c r="J459" s="93"/>
      <c r="K459" s="94"/>
      <c r="L459" s="94"/>
      <c r="M459" s="95"/>
      <c r="N459" s="95"/>
      <c r="O459" s="87"/>
      <c r="P459" s="87"/>
      <c r="Q459" s="88"/>
      <c r="R459" s="88"/>
    </row>
    <row r="460" spans="2:18" ht="14.1" customHeight="1">
      <c r="B460" s="89"/>
      <c r="C460" s="89"/>
      <c r="D460" s="90"/>
      <c r="E460" s="248"/>
      <c r="F460" s="91"/>
      <c r="G460" s="91"/>
      <c r="I460" s="92"/>
      <c r="J460" s="93"/>
      <c r="K460" s="94"/>
      <c r="L460" s="94"/>
      <c r="M460" s="95"/>
      <c r="N460" s="95"/>
      <c r="O460" s="87"/>
      <c r="P460" s="87"/>
      <c r="Q460" s="88"/>
      <c r="R460" s="88"/>
    </row>
    <row r="461" spans="2:18" ht="14.1" customHeight="1">
      <c r="B461" s="89"/>
      <c r="C461" s="89"/>
      <c r="D461" s="90"/>
      <c r="E461" s="248"/>
      <c r="F461" s="91"/>
      <c r="G461" s="91"/>
      <c r="I461" s="92"/>
      <c r="J461" s="93"/>
      <c r="K461" s="94"/>
      <c r="L461" s="94"/>
      <c r="M461" s="95"/>
      <c r="N461" s="95"/>
      <c r="O461" s="87"/>
      <c r="P461" s="87"/>
      <c r="Q461" s="88"/>
      <c r="R461" s="88"/>
    </row>
    <row r="462" spans="2:18" ht="14.1" customHeight="1">
      <c r="B462" s="89"/>
      <c r="C462" s="89"/>
      <c r="D462" s="90"/>
      <c r="E462" s="248"/>
      <c r="F462" s="91"/>
      <c r="G462" s="91"/>
      <c r="I462" s="92"/>
      <c r="J462" s="93"/>
      <c r="K462" s="94"/>
      <c r="L462" s="94"/>
      <c r="M462" s="95"/>
      <c r="N462" s="95"/>
      <c r="O462" s="87"/>
      <c r="P462" s="87"/>
      <c r="Q462" s="88"/>
      <c r="R462" s="88"/>
    </row>
    <row r="463" spans="2:18" ht="14.1" customHeight="1">
      <c r="B463" s="89"/>
      <c r="C463" s="89"/>
      <c r="D463" s="90"/>
      <c r="E463" s="248"/>
      <c r="F463" s="91"/>
      <c r="G463" s="91"/>
      <c r="I463" s="92"/>
      <c r="J463" s="93"/>
      <c r="K463" s="94"/>
      <c r="L463" s="94"/>
      <c r="M463" s="95"/>
      <c r="N463" s="95"/>
      <c r="O463" s="87"/>
      <c r="P463" s="87"/>
      <c r="Q463" s="88"/>
      <c r="R463" s="88"/>
    </row>
    <row r="464" spans="2:18" ht="14.1" customHeight="1">
      <c r="B464" s="89"/>
      <c r="C464" s="89"/>
      <c r="D464" s="90"/>
      <c r="E464" s="248"/>
      <c r="F464" s="91"/>
      <c r="G464" s="91"/>
      <c r="I464" s="92"/>
      <c r="J464" s="93"/>
      <c r="K464" s="94"/>
      <c r="L464" s="94"/>
      <c r="M464" s="95"/>
      <c r="N464" s="95"/>
      <c r="O464" s="87"/>
      <c r="P464" s="87"/>
      <c r="Q464" s="88"/>
      <c r="R464" s="88"/>
    </row>
    <row r="465" spans="2:18" ht="14.1" customHeight="1">
      <c r="B465" s="89"/>
      <c r="C465" s="89"/>
      <c r="D465" s="90"/>
      <c r="E465" s="248"/>
      <c r="F465" s="91"/>
      <c r="G465" s="91"/>
      <c r="I465" s="92"/>
      <c r="J465" s="93"/>
      <c r="K465" s="94"/>
      <c r="L465" s="94"/>
      <c r="M465" s="95"/>
      <c r="N465" s="95"/>
      <c r="O465" s="87"/>
      <c r="P465" s="87"/>
      <c r="Q465" s="88"/>
      <c r="R465" s="88"/>
    </row>
    <row r="466" spans="2:18" ht="14.1" customHeight="1">
      <c r="B466" s="89"/>
      <c r="C466" s="89"/>
      <c r="D466" s="90"/>
      <c r="E466" s="248"/>
      <c r="F466" s="91"/>
      <c r="G466" s="91"/>
      <c r="I466" s="92"/>
      <c r="J466" s="93"/>
      <c r="K466" s="94"/>
      <c r="L466" s="94"/>
      <c r="M466" s="95"/>
      <c r="N466" s="95"/>
      <c r="O466" s="87"/>
      <c r="P466" s="87"/>
      <c r="Q466" s="88"/>
      <c r="R466" s="88"/>
    </row>
    <row r="467" spans="2:18" ht="14.1" customHeight="1">
      <c r="B467" s="89"/>
      <c r="C467" s="89"/>
      <c r="D467" s="90"/>
      <c r="E467" s="248"/>
      <c r="F467" s="91"/>
      <c r="G467" s="91"/>
      <c r="I467" s="92"/>
      <c r="J467" s="93"/>
      <c r="K467" s="94"/>
      <c r="L467" s="94"/>
      <c r="M467" s="95"/>
      <c r="N467" s="95"/>
      <c r="O467" s="87"/>
      <c r="P467" s="87"/>
      <c r="Q467" s="88"/>
      <c r="R467" s="88"/>
    </row>
    <row r="468" spans="2:18" ht="14.1" customHeight="1">
      <c r="B468" s="89"/>
      <c r="C468" s="89"/>
      <c r="D468" s="90"/>
      <c r="E468" s="248"/>
      <c r="F468" s="91"/>
      <c r="G468" s="91"/>
      <c r="I468" s="92"/>
      <c r="J468" s="93"/>
      <c r="K468" s="94"/>
      <c r="L468" s="94"/>
      <c r="M468" s="95"/>
      <c r="N468" s="95"/>
      <c r="O468" s="87"/>
      <c r="P468" s="87"/>
      <c r="Q468" s="88"/>
      <c r="R468" s="88"/>
    </row>
    <row r="469" spans="2:18" ht="14.1" customHeight="1">
      <c r="B469" s="89"/>
      <c r="C469" s="89"/>
      <c r="D469" s="90"/>
      <c r="E469" s="248"/>
      <c r="F469" s="91"/>
      <c r="G469" s="91"/>
      <c r="I469" s="92"/>
      <c r="J469" s="93"/>
      <c r="K469" s="94"/>
      <c r="L469" s="94"/>
      <c r="M469" s="95"/>
      <c r="N469" s="95"/>
      <c r="O469" s="87"/>
      <c r="P469" s="87"/>
      <c r="Q469" s="88"/>
      <c r="R469" s="88"/>
    </row>
    <row r="470" spans="2:18" ht="14.1" customHeight="1">
      <c r="B470" s="89"/>
      <c r="C470" s="89"/>
      <c r="D470" s="90"/>
      <c r="E470" s="248"/>
      <c r="F470" s="91"/>
      <c r="G470" s="91"/>
      <c r="I470" s="92"/>
      <c r="J470" s="93"/>
      <c r="K470" s="94"/>
      <c r="L470" s="94"/>
      <c r="M470" s="95"/>
      <c r="N470" s="95"/>
      <c r="O470" s="87"/>
      <c r="P470" s="87"/>
      <c r="Q470" s="88"/>
      <c r="R470" s="88"/>
    </row>
    <row r="471" spans="2:18" ht="14.1" customHeight="1">
      <c r="B471" s="89"/>
      <c r="C471" s="89"/>
      <c r="D471" s="90"/>
      <c r="E471" s="248"/>
      <c r="F471" s="91"/>
      <c r="G471" s="91"/>
      <c r="I471" s="92"/>
      <c r="J471" s="93"/>
      <c r="K471" s="94"/>
      <c r="L471" s="94"/>
      <c r="M471" s="95"/>
      <c r="N471" s="95"/>
      <c r="O471" s="87"/>
      <c r="P471" s="87"/>
      <c r="Q471" s="88"/>
      <c r="R471" s="88"/>
    </row>
    <row r="472" spans="2:18" ht="14.1" customHeight="1">
      <c r="B472" s="89"/>
      <c r="C472" s="89"/>
      <c r="D472" s="90"/>
      <c r="E472" s="248"/>
      <c r="F472" s="91"/>
      <c r="G472" s="91"/>
      <c r="I472" s="92"/>
      <c r="J472" s="93"/>
      <c r="K472" s="94"/>
      <c r="L472" s="94"/>
      <c r="M472" s="95"/>
      <c r="N472" s="95"/>
      <c r="O472" s="87"/>
      <c r="P472" s="87"/>
      <c r="Q472" s="88"/>
      <c r="R472" s="88"/>
    </row>
    <row r="473" spans="2:18" ht="14.1" customHeight="1">
      <c r="B473" s="89"/>
      <c r="C473" s="89"/>
      <c r="D473" s="90"/>
      <c r="E473" s="248"/>
      <c r="F473" s="91"/>
      <c r="G473" s="91"/>
      <c r="I473" s="92"/>
      <c r="J473" s="93"/>
      <c r="K473" s="94"/>
      <c r="L473" s="94"/>
      <c r="M473" s="95"/>
      <c r="N473" s="95"/>
      <c r="O473" s="87"/>
      <c r="P473" s="87"/>
      <c r="Q473" s="88"/>
      <c r="R473" s="88"/>
    </row>
    <row r="474" spans="2:18" ht="14.1" customHeight="1">
      <c r="B474" s="89"/>
      <c r="C474" s="89"/>
      <c r="D474" s="90"/>
      <c r="E474" s="248"/>
      <c r="F474" s="91"/>
      <c r="G474" s="91"/>
      <c r="I474" s="92"/>
      <c r="J474" s="93"/>
      <c r="K474" s="94"/>
      <c r="L474" s="94"/>
      <c r="M474" s="95"/>
      <c r="N474" s="95"/>
      <c r="O474" s="87"/>
      <c r="P474" s="87"/>
      <c r="Q474" s="88"/>
      <c r="R474" s="88"/>
    </row>
  </sheetData>
  <autoFilter ref="B9:T197" xr:uid="{00000000-0009-0000-0000-000004000000}"/>
  <mergeCells count="14">
    <mergeCell ref="P6:P7"/>
    <mergeCell ref="F1:G1"/>
    <mergeCell ref="F2:G2"/>
    <mergeCell ref="H2:I2"/>
    <mergeCell ref="F3:G3"/>
    <mergeCell ref="H3:I3"/>
    <mergeCell ref="F4:G4"/>
    <mergeCell ref="H4:I4"/>
    <mergeCell ref="F5:G5"/>
    <mergeCell ref="H5:I5"/>
    <mergeCell ref="F6:G6"/>
    <mergeCell ref="H6:I6"/>
    <mergeCell ref="F7:G7"/>
    <mergeCell ref="H7:I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7" min="1" max="21" man="1"/>
    <brk id="105" min="1" max="21" man="1"/>
    <brk id="17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3"/>
  <sheetViews>
    <sheetView showGridLines="0" showZeros="0" showOutlineSymbols="0" zoomScaleNormal="100" zoomScaleSheetLayoutView="100" workbookViewId="0">
      <pane ySplit="9" topLeftCell="A12" activePane="bottomLeft" state="frozen"/>
      <selection activeCell="F5" sqref="F5"/>
      <selection pane="bottomLeft" activeCell="F5" sqref="F5"/>
    </sheetView>
  </sheetViews>
  <sheetFormatPr defaultColWidth="9.33203125" defaultRowHeight="13.2"/>
  <cols>
    <col min="1" max="1" width="45.5546875" style="55" customWidth="1"/>
    <col min="2" max="2" width="18.33203125" style="55" customWidth="1"/>
    <col min="3" max="3" width="18.44140625" style="55" customWidth="1"/>
    <col min="4" max="4" width="10.6640625" style="2" customWidth="1"/>
    <col min="5" max="5" width="15.5546875" style="2" customWidth="1"/>
    <col min="6" max="6" width="2.109375" style="2" customWidth="1"/>
    <col min="7" max="7" width="7.88671875" style="2" customWidth="1"/>
    <col min="8" max="8" width="27" style="2" bestFit="1" customWidth="1"/>
    <col min="9" max="16384" width="9.33203125" style="2"/>
  </cols>
  <sheetData>
    <row r="1" spans="1:8" ht="16.2">
      <c r="A1" s="343" t="s">
        <v>4</v>
      </c>
      <c r="B1" s="97"/>
      <c r="C1" s="98"/>
      <c r="D1" s="1"/>
      <c r="E1" s="1"/>
      <c r="F1" s="1"/>
      <c r="G1" s="1"/>
    </row>
    <row r="2" spans="1:8">
      <c r="A2" s="98"/>
      <c r="B2" s="98"/>
      <c r="C2" s="98"/>
      <c r="D2" s="1"/>
      <c r="E2" s="1"/>
      <c r="F2" s="1"/>
      <c r="G2" s="1"/>
    </row>
    <row r="3" spans="1:8" ht="18.600000000000001">
      <c r="A3" s="191" t="str">
        <f>'2-Kosten totaal'!A3</f>
        <v>Naam opdrachtgever</v>
      </c>
      <c r="B3" s="46" t="str">
        <f>'2-Kosten totaal'!B3</f>
        <v>RSG Enkhuizen</v>
      </c>
      <c r="C3" s="98"/>
      <c r="D3" s="1"/>
      <c r="E3" s="31"/>
      <c r="F3" s="1"/>
      <c r="G3" s="1"/>
    </row>
    <row r="4" spans="1:8" ht="18.600000000000001">
      <c r="A4" s="191" t="str">
        <f>'2-Kosten totaal'!A4</f>
        <v>Calculatie onderdeel</v>
      </c>
      <c r="B4" s="46" t="str">
        <f ca="1">MID(CELL("bestandsnaam",$C$9),SEARCH("]",CELL("bestandsnaam",$C$9),1)+1,256)</f>
        <v>5-Premies en opslagen</v>
      </c>
      <c r="C4" s="99"/>
      <c r="D4" s="15"/>
      <c r="E4" s="4"/>
      <c r="F4" s="4"/>
      <c r="G4" s="4"/>
    </row>
    <row r="5" spans="1:8" ht="18.600000000000001">
      <c r="A5" s="191" t="str">
        <f>'2-Kosten totaal'!A5</f>
        <v>Gebouw/plaats</v>
      </c>
      <c r="B5" s="46" t="str">
        <f>'2-Kosten totaal'!B5</f>
        <v>Enkhuizen</v>
      </c>
      <c r="C5" s="37"/>
      <c r="D5" s="8"/>
      <c r="E5" s="16"/>
      <c r="F5" s="5"/>
      <c r="G5" s="4"/>
    </row>
    <row r="6" spans="1:8" ht="18.600000000000001">
      <c r="A6" s="191" t="str">
        <f>'2-Kosten totaal'!A6</f>
        <v>Referentie nummer</v>
      </c>
      <c r="B6" s="46" t="str">
        <f>'2-Kosten totaal'!B6</f>
        <v>TN481900</v>
      </c>
      <c r="C6" s="76"/>
      <c r="D6" s="8"/>
      <c r="E6" s="33"/>
      <c r="F6" s="32"/>
      <c r="G6" s="34"/>
      <c r="H6" s="35"/>
    </row>
    <row r="7" spans="1:8" ht="18.600000000000001">
      <c r="A7" s="191" t="str">
        <f>'2-Kosten totaal'!A7</f>
        <v>Naam dienstverlener</v>
      </c>
      <c r="B7" s="46">
        <f>'2-Kosten totaal'!B7</f>
        <v>0</v>
      </c>
      <c r="C7" s="76"/>
      <c r="D7" s="8"/>
      <c r="E7" s="16"/>
      <c r="F7" s="5"/>
      <c r="G7" s="4"/>
    </row>
    <row r="8" spans="1:8" ht="18.600000000000001">
      <c r="A8" s="191" t="str">
        <f>'2-Kosten totaal'!A8</f>
        <v>Prijspeil</v>
      </c>
      <c r="B8" s="251">
        <f>'2-Kosten totaal'!B8</f>
        <v>45839</v>
      </c>
      <c r="C8" s="100"/>
      <c r="D8" s="16"/>
      <c r="E8" s="16"/>
      <c r="F8" s="5"/>
      <c r="G8" s="4"/>
    </row>
    <row r="9" spans="1:8" ht="18.600000000000001">
      <c r="A9" s="200"/>
      <c r="B9" s="100"/>
      <c r="C9" s="100"/>
      <c r="D9" s="16"/>
      <c r="E9" s="16"/>
      <c r="F9" s="5"/>
      <c r="G9" s="4"/>
    </row>
    <row r="10" spans="1:8" ht="21">
      <c r="A10" s="344" t="s">
        <v>71</v>
      </c>
      <c r="B10" s="345"/>
      <c r="C10" s="346"/>
      <c r="D10" s="16"/>
      <c r="E10" s="16"/>
      <c r="F10" s="5"/>
      <c r="G10" s="4"/>
    </row>
    <row r="11" spans="1:8">
      <c r="A11" s="101"/>
      <c r="B11" s="102"/>
      <c r="C11" s="102"/>
      <c r="D11" s="16"/>
      <c r="E11" s="16"/>
      <c r="F11" s="4"/>
      <c r="G11" s="4"/>
    </row>
    <row r="12" spans="1:8">
      <c r="A12" s="347"/>
      <c r="B12" s="332"/>
      <c r="C12" s="348" t="s">
        <v>72</v>
      </c>
      <c r="D12" s="16"/>
      <c r="E12" s="507"/>
      <c r="F12" s="507"/>
      <c r="G12" s="507"/>
    </row>
    <row r="13" spans="1:8">
      <c r="A13" s="103" t="s">
        <v>73</v>
      </c>
      <c r="B13" s="332"/>
      <c r="C13" s="252"/>
      <c r="D13" s="16"/>
      <c r="E13" s="507"/>
      <c r="F13" s="507"/>
      <c r="G13" s="507"/>
    </row>
    <row r="14" spans="1:8">
      <c r="A14" s="103" t="s">
        <v>74</v>
      </c>
      <c r="B14" s="332"/>
      <c r="C14" s="252"/>
      <c r="D14" s="16"/>
      <c r="E14" s="16"/>
      <c r="F14" s="17"/>
      <c r="G14" s="4"/>
    </row>
    <row r="15" spans="1:8">
      <c r="A15" s="103" t="s">
        <v>75</v>
      </c>
      <c r="B15" s="332"/>
      <c r="C15" s="252"/>
      <c r="D15" s="16"/>
      <c r="E15" s="16"/>
      <c r="F15" s="17"/>
      <c r="G15" s="4"/>
    </row>
    <row r="16" spans="1:8">
      <c r="A16" s="349" t="s">
        <v>21</v>
      </c>
      <c r="B16" s="350"/>
      <c r="C16" s="351">
        <f>SUM(C13:C15)</f>
        <v>0</v>
      </c>
      <c r="D16" s="16"/>
      <c r="E16" s="16"/>
      <c r="F16" s="4"/>
    </row>
    <row r="17" spans="1:7">
      <c r="A17" s="349"/>
      <c r="B17" s="350"/>
      <c r="C17" s="351"/>
      <c r="D17" s="16"/>
      <c r="E17" s="16"/>
      <c r="F17" s="4"/>
    </row>
    <row r="18" spans="1:7">
      <c r="A18" s="511" t="s">
        <v>76</v>
      </c>
      <c r="B18" s="512"/>
      <c r="C18" s="252"/>
      <c r="D18" s="16"/>
      <c r="E18" s="16"/>
      <c r="F18" s="4"/>
    </row>
    <row r="19" spans="1:7">
      <c r="A19" s="103" t="s">
        <v>77</v>
      </c>
      <c r="B19" s="104"/>
      <c r="C19" s="252"/>
      <c r="D19" s="16"/>
      <c r="E19" s="16"/>
      <c r="F19" s="4"/>
    </row>
    <row r="20" spans="1:7">
      <c r="A20" s="511" t="s">
        <v>78</v>
      </c>
      <c r="B20" s="512"/>
      <c r="C20" s="252"/>
      <c r="D20" s="16"/>
      <c r="E20" s="16"/>
      <c r="F20" s="4"/>
    </row>
    <row r="21" spans="1:7">
      <c r="A21" s="511" t="s">
        <v>79</v>
      </c>
      <c r="B21" s="512"/>
      <c r="C21" s="352" t="e">
        <f>C34</f>
        <v>#DIV/0!</v>
      </c>
      <c r="D21" s="16"/>
      <c r="E21" s="16"/>
      <c r="F21" s="4"/>
    </row>
    <row r="22" spans="1:7">
      <c r="A22" s="511" t="s">
        <v>80</v>
      </c>
      <c r="B22" s="512"/>
      <c r="C22" s="252"/>
      <c r="D22" s="16"/>
      <c r="E22" s="16"/>
      <c r="F22" s="4"/>
    </row>
    <row r="23" spans="1:7">
      <c r="A23" s="511" t="s">
        <v>81</v>
      </c>
      <c r="B23" s="512"/>
      <c r="C23" s="252"/>
      <c r="D23" s="16"/>
      <c r="E23" s="16"/>
      <c r="F23" s="4"/>
    </row>
    <row r="24" spans="1:7">
      <c r="A24" s="513" t="s">
        <v>82</v>
      </c>
      <c r="B24" s="514"/>
      <c r="C24" s="353" t="e">
        <f>SUM(C16:C23)</f>
        <v>#DIV/0!</v>
      </c>
      <c r="D24" s="16"/>
      <c r="E24" s="16"/>
      <c r="F24" s="4"/>
    </row>
    <row r="25" spans="1:7">
      <c r="A25" s="105"/>
      <c r="B25" s="106"/>
      <c r="C25" s="107"/>
      <c r="D25" s="16"/>
      <c r="E25" s="16"/>
      <c r="F25" s="7"/>
      <c r="G25" s="4"/>
    </row>
    <row r="26" spans="1:7" ht="21">
      <c r="A26" s="344" t="s">
        <v>83</v>
      </c>
      <c r="B26" s="345"/>
      <c r="C26" s="346"/>
      <c r="D26" s="16"/>
      <c r="E26" s="16"/>
      <c r="F26" s="5"/>
      <c r="G26" s="4"/>
    </row>
    <row r="27" spans="1:7">
      <c r="A27" s="101"/>
      <c r="B27" s="102"/>
      <c r="C27" s="102"/>
      <c r="D27" s="16"/>
      <c r="E27" s="16"/>
      <c r="F27" s="4"/>
      <c r="G27" s="4"/>
    </row>
    <row r="28" spans="1:7">
      <c r="A28" s="102"/>
      <c r="B28" s="102"/>
      <c r="C28" s="354" t="s">
        <v>84</v>
      </c>
      <c r="D28" s="16"/>
      <c r="E28" s="16"/>
      <c r="F28" s="4"/>
      <c r="G28" s="4"/>
    </row>
    <row r="29" spans="1:7">
      <c r="A29" s="103" t="s">
        <v>85</v>
      </c>
      <c r="B29" s="332"/>
      <c r="C29" s="355">
        <f>'6-Opbouw uurtarief productie'!E21</f>
        <v>0</v>
      </c>
      <c r="D29" s="16"/>
      <c r="E29" s="16"/>
      <c r="G29" s="4"/>
    </row>
    <row r="30" spans="1:7">
      <c r="A30" s="103" t="s">
        <v>86</v>
      </c>
      <c r="B30" s="108" t="s">
        <v>87</v>
      </c>
      <c r="C30" s="356"/>
      <c r="D30" s="16"/>
      <c r="E30" s="16"/>
      <c r="F30" s="5"/>
      <c r="G30" s="4"/>
    </row>
    <row r="31" spans="1:7">
      <c r="A31" s="103" t="s">
        <v>88</v>
      </c>
      <c r="B31" s="332"/>
      <c r="C31" s="253">
        <f>C29+C30</f>
        <v>0</v>
      </c>
      <c r="D31" s="16"/>
      <c r="E31" s="16"/>
      <c r="F31" s="5"/>
      <c r="G31" s="4"/>
    </row>
    <row r="32" spans="1:7">
      <c r="A32" s="357" t="s">
        <v>89</v>
      </c>
      <c r="B32" s="109"/>
      <c r="C32" s="358"/>
      <c r="E32" s="18"/>
      <c r="F32" s="5"/>
      <c r="G32" s="4"/>
    </row>
    <row r="33" spans="1:7">
      <c r="A33" s="101"/>
      <c r="B33" s="359"/>
      <c r="C33" s="254"/>
      <c r="E33" s="3"/>
      <c r="F33" s="4"/>
      <c r="G33" s="4"/>
    </row>
    <row r="34" spans="1:7">
      <c r="A34" s="360" t="s">
        <v>90</v>
      </c>
      <c r="B34" s="361"/>
      <c r="C34" s="362" t="e">
        <f>(C31/C29)*C32</f>
        <v>#DIV/0!</v>
      </c>
      <c r="E34" s="19"/>
      <c r="F34" s="5"/>
      <c r="G34" s="20"/>
    </row>
    <row r="35" spans="1:7">
      <c r="A35" s="101"/>
      <c r="B35" s="102"/>
      <c r="C35" s="102"/>
      <c r="E35" s="19"/>
      <c r="F35" s="5"/>
      <c r="G35" s="4"/>
    </row>
    <row r="36" spans="1:7" ht="21">
      <c r="A36" s="363" t="s">
        <v>91</v>
      </c>
      <c r="B36" s="364"/>
      <c r="C36" s="365"/>
      <c r="E36" s="19"/>
      <c r="F36" s="5"/>
      <c r="G36" s="4"/>
    </row>
    <row r="37" spans="1:7">
      <c r="A37" s="105"/>
      <c r="B37" s="106"/>
      <c r="C37" s="107"/>
      <c r="E37" s="19"/>
      <c r="F37" s="5"/>
      <c r="G37" s="4"/>
    </row>
    <row r="38" spans="1:7" ht="16.2">
      <c r="A38" s="105"/>
      <c r="B38" s="366" t="s">
        <v>92</v>
      </c>
      <c r="C38" s="107"/>
      <c r="E38" s="19"/>
      <c r="F38" s="5"/>
      <c r="G38" s="4"/>
    </row>
    <row r="39" spans="1:7">
      <c r="A39" s="367" t="s">
        <v>93</v>
      </c>
      <c r="B39" s="368">
        <v>365</v>
      </c>
      <c r="C39" s="107"/>
      <c r="E39" s="19"/>
      <c r="F39" s="5"/>
      <c r="G39" s="9"/>
    </row>
    <row r="40" spans="1:7">
      <c r="A40" s="367" t="s">
        <v>94</v>
      </c>
      <c r="B40" s="368">
        <v>104</v>
      </c>
      <c r="C40" s="107"/>
      <c r="E40" s="19"/>
      <c r="F40" s="5"/>
      <c r="G40" s="9"/>
    </row>
    <row r="41" spans="1:7">
      <c r="A41" s="369" t="s">
        <v>95</v>
      </c>
      <c r="B41" s="370">
        <f>B39-B40</f>
        <v>261</v>
      </c>
      <c r="C41" s="107"/>
      <c r="E41" s="19"/>
      <c r="F41" s="5"/>
      <c r="G41" s="6"/>
    </row>
    <row r="42" spans="1:7">
      <c r="A42" s="371"/>
      <c r="B42" s="372"/>
      <c r="C42" s="107"/>
      <c r="E42" s="19"/>
      <c r="F42" s="5"/>
      <c r="G42" s="6"/>
    </row>
    <row r="43" spans="1:7">
      <c r="A43" s="367" t="s">
        <v>96</v>
      </c>
      <c r="B43" s="373"/>
      <c r="C43" s="107"/>
      <c r="E43" s="19"/>
      <c r="F43" s="5"/>
      <c r="G43" s="6"/>
    </row>
    <row r="44" spans="1:7">
      <c r="A44" s="367" t="s">
        <v>97</v>
      </c>
      <c r="B44" s="373"/>
      <c r="C44" s="107"/>
      <c r="E44" s="19"/>
      <c r="F44" s="5"/>
      <c r="G44" s="6"/>
    </row>
    <row r="45" spans="1:7">
      <c r="A45" s="367" t="s">
        <v>98</v>
      </c>
      <c r="B45" s="373"/>
      <c r="C45" s="107"/>
      <c r="E45" s="19"/>
      <c r="F45" s="5"/>
      <c r="G45" s="6"/>
    </row>
    <row r="46" spans="1:7">
      <c r="A46" s="367" t="s">
        <v>99</v>
      </c>
      <c r="B46" s="373"/>
      <c r="C46" s="107"/>
      <c r="E46" s="19"/>
      <c r="F46" s="5"/>
      <c r="G46" s="6"/>
    </row>
    <row r="47" spans="1:7">
      <c r="A47" s="369" t="s">
        <v>100</v>
      </c>
      <c r="B47" s="370">
        <f>B41-SUM(B43:B46)</f>
        <v>261</v>
      </c>
      <c r="C47" s="107"/>
      <c r="E47" s="19"/>
      <c r="F47" s="5"/>
      <c r="G47" s="6"/>
    </row>
    <row r="48" spans="1:7">
      <c r="A48" s="374"/>
      <c r="B48" s="372"/>
      <c r="C48" s="107"/>
      <c r="E48" s="19"/>
      <c r="F48" s="5"/>
      <c r="G48" s="6"/>
    </row>
    <row r="49" spans="1:7">
      <c r="A49" s="375" t="s">
        <v>101</v>
      </c>
      <c r="B49" s="376">
        <f>IF(B43=0,0,B43/$B$47)</f>
        <v>0</v>
      </c>
      <c r="C49" s="107"/>
      <c r="E49" s="19"/>
      <c r="F49" s="5"/>
      <c r="G49" s="6"/>
    </row>
    <row r="50" spans="1:7">
      <c r="A50" s="375" t="s">
        <v>97</v>
      </c>
      <c r="B50" s="376">
        <f>IF(B44=0,0,B44/$B$47)</f>
        <v>0</v>
      </c>
      <c r="C50" s="107"/>
      <c r="E50" s="19"/>
      <c r="F50" s="5"/>
      <c r="G50" s="6"/>
    </row>
    <row r="51" spans="1:7">
      <c r="A51" s="367" t="s">
        <v>98</v>
      </c>
      <c r="B51" s="376">
        <f>IF(B45=0,0,B45/$B$47)</f>
        <v>0</v>
      </c>
      <c r="C51" s="107"/>
      <c r="E51" s="19"/>
      <c r="F51" s="5"/>
      <c r="G51" s="6"/>
    </row>
    <row r="52" spans="1:7">
      <c r="A52" s="375" t="s">
        <v>99</v>
      </c>
      <c r="B52" s="376">
        <f>IF(B46=0,0,B46/$B$47)</f>
        <v>0</v>
      </c>
      <c r="C52" s="107"/>
      <c r="E52" s="19"/>
      <c r="F52" s="5"/>
      <c r="G52" s="10"/>
    </row>
    <row r="53" spans="1:7">
      <c r="A53" s="369" t="s">
        <v>102</v>
      </c>
      <c r="B53" s="377">
        <f>SUM(B49:B52)</f>
        <v>0</v>
      </c>
      <c r="C53" s="107"/>
      <c r="E53" s="19"/>
      <c r="F53" s="5"/>
      <c r="G53" s="11"/>
    </row>
    <row r="54" spans="1:7">
      <c r="A54" s="110"/>
      <c r="B54" s="110"/>
      <c r="C54" s="110"/>
      <c r="E54" s="19"/>
      <c r="F54" s="5"/>
      <c r="G54" s="1"/>
    </row>
    <row r="55" spans="1:7" ht="31.2" customHeight="1">
      <c r="A55" s="508" t="s">
        <v>103</v>
      </c>
      <c r="B55" s="509"/>
      <c r="C55" s="510"/>
      <c r="E55" s="19"/>
      <c r="F55" s="5"/>
      <c r="G55" s="1"/>
    </row>
    <row r="58" spans="1:7" ht="13.8">
      <c r="A58" s="111"/>
      <c r="B58" s="112"/>
    </row>
    <row r="59" spans="1:7" ht="13.8">
      <c r="A59" s="111"/>
      <c r="B59" s="112"/>
    </row>
    <row r="60" spans="1:7" ht="13.8">
      <c r="A60" s="111"/>
      <c r="B60" s="112"/>
    </row>
    <row r="61" spans="1:7" ht="13.8">
      <c r="A61" s="111"/>
      <c r="B61" s="112"/>
    </row>
    <row r="62" spans="1:7" ht="13.8">
      <c r="A62" s="113"/>
      <c r="B62" s="112"/>
    </row>
    <row r="63" spans="1:7" ht="13.8">
      <c r="A63" s="112"/>
      <c r="B63" s="112"/>
    </row>
    <row r="64" spans="1:7" ht="13.8">
      <c r="A64" s="112"/>
      <c r="B64" s="112"/>
    </row>
    <row r="65" spans="1:3" ht="13.8">
      <c r="A65" s="112"/>
      <c r="B65" s="112"/>
    </row>
    <row r="66" spans="1:3" ht="13.8">
      <c r="A66" s="112"/>
      <c r="B66" s="112"/>
    </row>
    <row r="67" spans="1:3" ht="13.8">
      <c r="A67" s="112"/>
      <c r="B67" s="112"/>
    </row>
    <row r="68" spans="1:3" ht="13.8">
      <c r="A68" s="112"/>
      <c r="B68" s="112"/>
    </row>
    <row r="69" spans="1:3" ht="13.8">
      <c r="A69" s="112"/>
      <c r="B69" s="112"/>
    </row>
    <row r="70" spans="1:3" ht="13.8">
      <c r="A70" s="112"/>
      <c r="B70" s="114"/>
    </row>
    <row r="71" spans="1:3" ht="13.8">
      <c r="A71" s="112"/>
      <c r="B71" s="112"/>
    </row>
    <row r="72" spans="1:3" ht="13.8">
      <c r="B72" s="112"/>
    </row>
    <row r="73" spans="1:3" ht="13.8">
      <c r="A73" s="112"/>
      <c r="B73" s="112"/>
      <c r="C73" s="112"/>
    </row>
    <row r="74" spans="1:3" ht="13.8">
      <c r="A74" s="115"/>
      <c r="B74" s="112"/>
      <c r="C74" s="115"/>
    </row>
    <row r="75" spans="1:3" ht="13.8">
      <c r="A75" s="112"/>
      <c r="B75" s="112"/>
      <c r="C75" s="112"/>
    </row>
    <row r="76" spans="1:3" ht="13.8">
      <c r="A76" s="112"/>
      <c r="B76" s="112"/>
      <c r="C76" s="112"/>
    </row>
    <row r="77" spans="1:3" ht="13.8">
      <c r="A77" s="112"/>
      <c r="B77" s="112"/>
      <c r="C77" s="112"/>
    </row>
    <row r="78" spans="1:3" ht="13.8">
      <c r="A78" s="115"/>
      <c r="B78" s="112"/>
      <c r="C78" s="115"/>
    </row>
    <row r="79" spans="1:3" ht="13.8">
      <c r="A79" s="115"/>
      <c r="B79" s="112"/>
      <c r="C79" s="115"/>
    </row>
    <row r="80" spans="1:3" ht="13.8">
      <c r="A80" s="115"/>
      <c r="B80" s="112"/>
      <c r="C80" s="115"/>
    </row>
    <row r="81" spans="1:2" ht="13.8">
      <c r="A81" s="112"/>
      <c r="B81" s="112"/>
    </row>
    <row r="82" spans="1:2" ht="13.8">
      <c r="A82" s="112"/>
      <c r="B82" s="112"/>
    </row>
    <row r="83" spans="1:2" ht="13.8">
      <c r="A83" s="112"/>
      <c r="B83" s="112"/>
    </row>
  </sheetData>
  <dataConsolidate/>
  <mergeCells count="8">
    <mergeCell ref="E12:G13"/>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72"/>
  <sheetViews>
    <sheetView showGridLines="0" showZeros="0" showOutlineSymbols="0" zoomScale="90" zoomScaleNormal="90" zoomScalePageLayoutView="50" workbookViewId="0">
      <pane ySplit="10" topLeftCell="A11" activePane="bottomLeft" state="frozen"/>
      <selection activeCell="F5" sqref="F5"/>
      <selection pane="bottomLeft" activeCell="F5" sqref="F5"/>
    </sheetView>
  </sheetViews>
  <sheetFormatPr defaultColWidth="11.44140625" defaultRowHeight="13.2"/>
  <cols>
    <col min="1" max="1" width="35.88671875" style="55" customWidth="1"/>
    <col min="2" max="2" width="21.6640625" style="55" customWidth="1"/>
    <col min="3" max="3" width="19.33203125" style="55" bestFit="1" customWidth="1"/>
    <col min="4" max="4" width="2" style="55" customWidth="1"/>
    <col min="5" max="5" width="14.44140625" style="55" customWidth="1"/>
    <col min="6" max="6" width="12.33203125" style="55" customWidth="1"/>
    <col min="7" max="7" width="6" style="55" customWidth="1"/>
    <col min="8" max="8" width="27.5546875" style="55" customWidth="1"/>
    <col min="9" max="15" width="11.44140625" style="55"/>
    <col min="16" max="16" width="10.5546875" style="55" customWidth="1"/>
    <col min="17" max="21" width="11.44140625" style="55"/>
    <col min="22" max="16384" width="11.44140625" style="2"/>
  </cols>
  <sheetData>
    <row r="1" spans="1:22" ht="12.75" customHeight="1">
      <c r="A1" s="343" t="s">
        <v>4</v>
      </c>
      <c r="B1" s="97"/>
      <c r="C1" s="98"/>
      <c r="D1" s="98"/>
      <c r="E1" s="98"/>
      <c r="F1" s="98"/>
      <c r="H1" s="519"/>
      <c r="I1" s="519"/>
      <c r="J1" s="519"/>
      <c r="K1" s="519"/>
      <c r="L1" s="519"/>
      <c r="M1" s="519"/>
      <c r="N1" s="519"/>
    </row>
    <row r="2" spans="1:22" ht="15">
      <c r="A2" s="203"/>
      <c r="B2" s="117"/>
      <c r="C2" s="118"/>
      <c r="D2" s="117"/>
      <c r="E2" s="119"/>
      <c r="F2" s="120"/>
      <c r="H2" s="519"/>
      <c r="I2" s="519"/>
      <c r="J2" s="519"/>
      <c r="K2" s="519"/>
      <c r="L2" s="519"/>
      <c r="M2" s="519"/>
      <c r="N2" s="519"/>
    </row>
    <row r="3" spans="1:22" ht="14.25" customHeight="1">
      <c r="A3" s="204" t="str">
        <f>'2-Kosten totaal'!A3</f>
        <v>Naam opdrachtgever</v>
      </c>
      <c r="B3" s="122" t="str">
        <f>'2-Kosten totaal'!B3</f>
        <v>RSG Enkhuizen</v>
      </c>
      <c r="C3" s="123"/>
      <c r="D3" s="117"/>
      <c r="E3" s="124"/>
      <c r="F3" s="125"/>
      <c r="H3" s="519"/>
      <c r="I3" s="519"/>
      <c r="J3" s="519"/>
      <c r="K3" s="519"/>
      <c r="L3" s="519"/>
      <c r="M3" s="519"/>
      <c r="N3" s="519"/>
    </row>
    <row r="4" spans="1:22" ht="15.75" customHeight="1">
      <c r="A4" s="204" t="str">
        <f>'2-Kosten totaal'!A4</f>
        <v>Calculatie onderdeel</v>
      </c>
      <c r="B4" s="126" t="str">
        <f ca="1">MID(CELL("bestandsnaam",$C$9),SEARCH("]",CELL("bestandsnaam",$C$9),1)+1,256)</f>
        <v>6-Opbouw uurtarief productie</v>
      </c>
      <c r="C4" s="127"/>
      <c r="D4" s="128"/>
      <c r="H4" s="519"/>
      <c r="I4" s="519"/>
      <c r="J4" s="519"/>
      <c r="K4" s="519"/>
      <c r="L4" s="519"/>
      <c r="M4" s="519"/>
      <c r="N4" s="519"/>
    </row>
    <row r="5" spans="1:22" ht="18.600000000000001">
      <c r="A5" s="204" t="str">
        <f>'2-Kosten totaal'!A5</f>
        <v>Gebouw/plaats</v>
      </c>
      <c r="B5" s="122" t="str">
        <f>'2-Kosten totaal'!B5</f>
        <v>Enkhuizen</v>
      </c>
      <c r="C5" s="127"/>
      <c r="D5" s="128"/>
      <c r="H5" s="519"/>
      <c r="I5" s="519"/>
      <c r="J5" s="519"/>
      <c r="K5" s="519"/>
      <c r="L5" s="519"/>
      <c r="M5" s="519"/>
      <c r="N5" s="519"/>
    </row>
    <row r="6" spans="1:22" ht="18.600000000000001">
      <c r="A6" s="204" t="str">
        <f>'2-Kosten totaal'!A6</f>
        <v>Referentie nummer</v>
      </c>
      <c r="B6" s="122" t="str">
        <f>'2-Kosten totaal'!B6</f>
        <v>TN481900</v>
      </c>
      <c r="C6" s="127"/>
      <c r="D6" s="128"/>
      <c r="H6" s="129"/>
      <c r="I6" s="129"/>
      <c r="J6" s="129"/>
      <c r="K6" s="129"/>
      <c r="L6" s="129"/>
      <c r="M6" s="129"/>
      <c r="N6" s="129"/>
    </row>
    <row r="7" spans="1:22" ht="18.600000000000001">
      <c r="A7" s="204" t="str">
        <f>'2-Kosten totaal'!A7</f>
        <v>Naam dienstverlener</v>
      </c>
      <c r="B7" s="122">
        <f>'2-Kosten totaal'!B7</f>
        <v>0</v>
      </c>
      <c r="C7" s="127"/>
      <c r="D7" s="128"/>
      <c r="H7" s="129"/>
      <c r="I7" s="129"/>
      <c r="J7" s="129"/>
      <c r="K7" s="129"/>
      <c r="L7" s="129"/>
      <c r="M7" s="129"/>
      <c r="N7" s="129"/>
    </row>
    <row r="8" spans="1:22" ht="18.600000000000001">
      <c r="A8" s="204" t="str">
        <f>'2-Kosten totaal'!A8</f>
        <v>Prijspeil</v>
      </c>
      <c r="B8" s="273">
        <f>'2-Kosten totaal'!B8</f>
        <v>45839</v>
      </c>
      <c r="C8" s="127"/>
      <c r="D8" s="128"/>
      <c r="J8" s="129"/>
      <c r="K8" s="129"/>
      <c r="L8" s="129"/>
      <c r="M8" s="129"/>
      <c r="N8" s="129"/>
      <c r="O8" s="130"/>
    </row>
    <row r="9" spans="1:22" ht="15.6">
      <c r="A9" s="131"/>
      <c r="B9" s="132"/>
      <c r="C9" s="133"/>
      <c r="D9" s="128"/>
      <c r="E9" s="134"/>
      <c r="F9" s="135"/>
    </row>
    <row r="10" spans="1:22" s="21" customFormat="1" ht="30.75" customHeight="1">
      <c r="A10" s="205" t="s">
        <v>104</v>
      </c>
      <c r="B10" s="378"/>
      <c r="C10" s="379"/>
      <c r="D10" s="201"/>
      <c r="E10" s="517" t="s">
        <v>105</v>
      </c>
      <c r="F10" s="518"/>
      <c r="G10" s="202"/>
      <c r="H10" s="205" t="s">
        <v>106</v>
      </c>
      <c r="I10" s="515" t="s">
        <v>423</v>
      </c>
      <c r="J10" s="516"/>
      <c r="K10" s="516"/>
      <c r="L10" s="516"/>
      <c r="M10" s="516"/>
      <c r="N10" s="516"/>
      <c r="O10" s="130"/>
      <c r="P10" s="55"/>
      <c r="Q10" s="55"/>
      <c r="R10" s="55"/>
      <c r="S10" s="55"/>
      <c r="T10" s="55"/>
      <c r="U10" s="55"/>
      <c r="V10" s="2"/>
    </row>
    <row r="11" spans="1:22" ht="30" customHeight="1">
      <c r="A11" s="143"/>
      <c r="B11" s="380" t="s">
        <v>107</v>
      </c>
      <c r="C11" s="381" t="s">
        <v>107</v>
      </c>
      <c r="D11" s="128"/>
      <c r="E11" s="255"/>
      <c r="F11" s="382"/>
      <c r="H11" s="143"/>
      <c r="I11" s="277">
        <v>1</v>
      </c>
      <c r="J11" s="277">
        <v>2</v>
      </c>
      <c r="K11" s="277">
        <v>3</v>
      </c>
      <c r="L11" s="277">
        <v>4</v>
      </c>
      <c r="M11" s="277">
        <v>5</v>
      </c>
      <c r="N11" s="277">
        <v>6</v>
      </c>
    </row>
    <row r="12" spans="1:22">
      <c r="A12" s="143" t="s">
        <v>108</v>
      </c>
      <c r="B12" s="383" t="s">
        <v>109</v>
      </c>
      <c r="C12" s="384"/>
      <c r="D12" s="128"/>
      <c r="E12" s="256">
        <f>SUM(I40:N40)</f>
        <v>0</v>
      </c>
      <c r="F12" s="257"/>
      <c r="H12" s="143" t="s">
        <v>110</v>
      </c>
      <c r="I12" s="278"/>
      <c r="J12" s="278"/>
      <c r="K12" s="278"/>
      <c r="L12" s="278"/>
      <c r="M12" s="278"/>
      <c r="N12" s="278"/>
    </row>
    <row r="13" spans="1:22">
      <c r="A13" s="143" t="s">
        <v>111</v>
      </c>
      <c r="B13" s="383" t="s">
        <v>109</v>
      </c>
      <c r="C13" s="385"/>
      <c r="D13" s="128"/>
      <c r="E13" s="258">
        <v>0</v>
      </c>
      <c r="F13" s="257"/>
      <c r="H13" s="143" t="s">
        <v>112</v>
      </c>
      <c r="I13" s="278"/>
      <c r="J13" s="278"/>
      <c r="K13" s="278"/>
      <c r="L13" s="278"/>
      <c r="M13" s="278"/>
      <c r="N13" s="278"/>
    </row>
    <row r="14" spans="1:22">
      <c r="A14" s="138" t="s">
        <v>113</v>
      </c>
      <c r="B14" s="383" t="s">
        <v>109</v>
      </c>
      <c r="C14" s="139"/>
      <c r="D14" s="128"/>
      <c r="E14" s="258">
        <v>0</v>
      </c>
      <c r="F14" s="257"/>
      <c r="H14" s="143" t="s">
        <v>114</v>
      </c>
      <c r="I14" s="278"/>
      <c r="J14" s="278"/>
      <c r="K14" s="278"/>
      <c r="L14" s="278"/>
      <c r="M14" s="278"/>
      <c r="N14" s="278"/>
      <c r="P14" s="507"/>
      <c r="Q14" s="507"/>
      <c r="R14" s="507"/>
    </row>
    <row r="15" spans="1:22">
      <c r="A15" s="386" t="s">
        <v>115</v>
      </c>
      <c r="B15" s="387"/>
      <c r="C15" s="388"/>
      <c r="D15" s="140"/>
      <c r="E15" s="259">
        <f>SUM(E12:E14)</f>
        <v>0</v>
      </c>
      <c r="F15" s="257"/>
      <c r="H15" s="143" t="s">
        <v>116</v>
      </c>
      <c r="I15" s="278"/>
      <c r="J15" s="278"/>
      <c r="K15" s="278"/>
      <c r="L15" s="278"/>
      <c r="M15" s="278"/>
      <c r="N15" s="278"/>
      <c r="P15" s="507"/>
      <c r="Q15" s="507"/>
      <c r="R15" s="507"/>
    </row>
    <row r="16" spans="1:22">
      <c r="A16" s="138"/>
      <c r="B16" s="389"/>
      <c r="C16" s="390"/>
      <c r="D16" s="128"/>
      <c r="E16" s="260"/>
      <c r="F16" s="257"/>
      <c r="H16" s="143" t="s">
        <v>117</v>
      </c>
      <c r="I16" s="278"/>
      <c r="J16" s="278"/>
      <c r="K16" s="278"/>
      <c r="L16" s="278"/>
      <c r="M16" s="278"/>
      <c r="N16" s="278"/>
    </row>
    <row r="17" spans="1:22">
      <c r="A17" s="391" t="s">
        <v>118</v>
      </c>
      <c r="B17" s="383" t="s">
        <v>109</v>
      </c>
      <c r="C17" s="392"/>
      <c r="D17" s="128"/>
      <c r="E17" s="261">
        <f>$C17*E15</f>
        <v>0</v>
      </c>
      <c r="F17" s="257"/>
      <c r="H17" s="143" t="s">
        <v>119</v>
      </c>
      <c r="I17" s="278"/>
      <c r="J17" s="278"/>
      <c r="K17" s="278"/>
      <c r="L17" s="278"/>
      <c r="M17" s="278"/>
      <c r="N17" s="278"/>
    </row>
    <row r="18" spans="1:22">
      <c r="A18" s="391" t="s">
        <v>120</v>
      </c>
      <c r="B18" s="383" t="s">
        <v>109</v>
      </c>
      <c r="C18" s="392"/>
      <c r="D18" s="128"/>
      <c r="E18" s="262">
        <f>$C18*E15</f>
        <v>0</v>
      </c>
      <c r="F18" s="257"/>
      <c r="H18" s="143" t="s">
        <v>121</v>
      </c>
      <c r="I18" s="278"/>
      <c r="J18" s="278"/>
      <c r="K18" s="278"/>
      <c r="L18" s="278"/>
      <c r="M18" s="278"/>
      <c r="N18" s="278"/>
    </row>
    <row r="19" spans="1:22">
      <c r="A19" s="386" t="s">
        <v>122</v>
      </c>
      <c r="B19" s="393"/>
      <c r="C19" s="139"/>
      <c r="D19" s="128"/>
      <c r="E19" s="259">
        <f>SUM(E15:E18)</f>
        <v>0</v>
      </c>
      <c r="F19" s="394">
        <f>IF(E19=0,0,E19/E$47)</f>
        <v>0</v>
      </c>
    </row>
    <row r="20" spans="1:22" ht="15">
      <c r="A20" s="138"/>
      <c r="B20" s="389"/>
      <c r="C20" s="390"/>
      <c r="D20" s="128"/>
      <c r="E20" s="260"/>
      <c r="F20" s="257"/>
      <c r="H20" s="205" t="s">
        <v>106</v>
      </c>
      <c r="I20" s="520" t="s">
        <v>123</v>
      </c>
      <c r="J20" s="521"/>
      <c r="K20" s="521"/>
      <c r="L20" s="521"/>
      <c r="M20" s="521"/>
      <c r="N20" s="522"/>
    </row>
    <row r="21" spans="1:22">
      <c r="A21" s="395" t="s">
        <v>124</v>
      </c>
      <c r="B21" s="396"/>
      <c r="C21" s="390"/>
      <c r="D21" s="141"/>
      <c r="E21" s="263">
        <f>E19*0.96</f>
        <v>0</v>
      </c>
      <c r="F21" s="264"/>
      <c r="G21" s="142"/>
      <c r="H21" s="143"/>
      <c r="I21" s="277">
        <v>1</v>
      </c>
      <c r="J21" s="277">
        <v>2</v>
      </c>
      <c r="K21" s="277">
        <v>3</v>
      </c>
      <c r="L21" s="277">
        <v>4</v>
      </c>
      <c r="M21" s="277">
        <v>5</v>
      </c>
      <c r="N21" s="277">
        <v>6</v>
      </c>
      <c r="O21" s="272"/>
      <c r="P21" s="142"/>
      <c r="Q21" s="142"/>
      <c r="R21" s="142"/>
      <c r="S21" s="142"/>
      <c r="T21" s="142"/>
      <c r="U21" s="142"/>
      <c r="V21" s="13"/>
    </row>
    <row r="22" spans="1:22" s="13" customFormat="1">
      <c r="A22" s="391" t="s">
        <v>125</v>
      </c>
      <c r="B22" s="396"/>
      <c r="C22" s="397" t="s">
        <v>126</v>
      </c>
      <c r="D22" s="128"/>
      <c r="E22" s="261" t="e">
        <f>E21*'5-Premies en opslagen'!$C24</f>
        <v>#DIV/0!</v>
      </c>
      <c r="F22" s="257"/>
      <c r="G22" s="55"/>
      <c r="H22" s="143" t="s">
        <v>110</v>
      </c>
      <c r="I22" s="398"/>
      <c r="J22" s="398"/>
      <c r="K22" s="398"/>
      <c r="L22" s="398"/>
      <c r="M22" s="398"/>
      <c r="N22" s="398"/>
      <c r="O22" s="242"/>
      <c r="P22" s="55"/>
      <c r="Q22" s="55"/>
      <c r="R22" s="55"/>
      <c r="S22" s="55"/>
      <c r="T22" s="55"/>
      <c r="U22" s="55"/>
      <c r="V22" s="2"/>
    </row>
    <row r="23" spans="1:22" ht="14.25" customHeight="1">
      <c r="A23" s="386" t="s">
        <v>127</v>
      </c>
      <c r="B23" s="399"/>
      <c r="C23" s="139"/>
      <c r="D23" s="128"/>
      <c r="E23" s="259" t="e">
        <f>E22+E19</f>
        <v>#DIV/0!</v>
      </c>
      <c r="F23" s="394" t="e">
        <f>IF(E23=0,0,E23/E$47)</f>
        <v>#DIV/0!</v>
      </c>
      <c r="H23" s="143" t="s">
        <v>112</v>
      </c>
      <c r="I23" s="398"/>
      <c r="J23" s="398"/>
      <c r="K23" s="398"/>
      <c r="L23" s="398"/>
      <c r="M23" s="398"/>
      <c r="N23" s="398"/>
      <c r="O23" s="242"/>
    </row>
    <row r="24" spans="1:22" ht="12.75" customHeight="1">
      <c r="A24" s="138"/>
      <c r="B24" s="393"/>
      <c r="C24" s="139"/>
      <c r="D24" s="128"/>
      <c r="E24" s="255"/>
      <c r="F24" s="257"/>
      <c r="H24" s="143" t="s">
        <v>114</v>
      </c>
      <c r="I24" s="398"/>
      <c r="J24" s="398"/>
      <c r="K24" s="398"/>
      <c r="L24" s="398"/>
      <c r="M24" s="398"/>
      <c r="N24" s="398"/>
      <c r="O24" s="242"/>
    </row>
    <row r="25" spans="1:22" ht="12.75" customHeight="1">
      <c r="A25" s="391" t="s">
        <v>128</v>
      </c>
      <c r="B25" s="396"/>
      <c r="C25" s="397" t="s">
        <v>126</v>
      </c>
      <c r="D25" s="128"/>
      <c r="E25" s="261" t="e">
        <f>E23*'5-Premies en opslagen'!$B53</f>
        <v>#DIV/0!</v>
      </c>
      <c r="F25" s="257"/>
      <c r="H25" s="143" t="s">
        <v>116</v>
      </c>
      <c r="I25" s="398"/>
      <c r="J25" s="398"/>
      <c r="K25" s="398"/>
      <c r="L25" s="398"/>
      <c r="M25" s="398"/>
      <c r="N25" s="398"/>
      <c r="O25" s="242"/>
    </row>
    <row r="26" spans="1:22">
      <c r="A26" s="386" t="s">
        <v>129</v>
      </c>
      <c r="B26" s="393"/>
      <c r="C26" s="139"/>
      <c r="D26" s="128"/>
      <c r="E26" s="259" t="e">
        <f>SUM(E23:E25)</f>
        <v>#DIV/0!</v>
      </c>
      <c r="F26" s="394" t="e">
        <f>IF(E26=0,0,E26/E$47)</f>
        <v>#DIV/0!</v>
      </c>
      <c r="H26" s="143" t="s">
        <v>117</v>
      </c>
      <c r="I26" s="398"/>
      <c r="J26" s="398"/>
      <c r="K26" s="398"/>
      <c r="L26" s="398"/>
      <c r="M26" s="398"/>
      <c r="N26" s="398"/>
      <c r="O26" s="242"/>
    </row>
    <row r="27" spans="1:22">
      <c r="A27" s="138"/>
      <c r="B27" s="393"/>
      <c r="C27" s="139"/>
      <c r="D27" s="128"/>
      <c r="E27" s="255"/>
      <c r="F27" s="257"/>
      <c r="H27" s="143" t="s">
        <v>119</v>
      </c>
      <c r="I27" s="398"/>
      <c r="J27" s="398"/>
      <c r="K27" s="398"/>
      <c r="L27" s="398"/>
      <c r="M27" s="398"/>
      <c r="N27" s="398"/>
      <c r="O27" s="242"/>
    </row>
    <row r="28" spans="1:22">
      <c r="A28" s="138" t="s">
        <v>130</v>
      </c>
      <c r="B28" s="400"/>
      <c r="C28" s="385" t="s">
        <v>131</v>
      </c>
      <c r="D28" s="128"/>
      <c r="E28" s="258"/>
      <c r="F28" s="257">
        <v>0</v>
      </c>
      <c r="H28" s="143" t="s">
        <v>121</v>
      </c>
      <c r="I28" s="398"/>
      <c r="J28" s="398"/>
      <c r="K28" s="398"/>
      <c r="L28" s="398"/>
      <c r="M28" s="398"/>
      <c r="N28" s="398"/>
      <c r="O28" s="242"/>
    </row>
    <row r="29" spans="1:22">
      <c r="A29" s="138" t="s">
        <v>132</v>
      </c>
      <c r="B29" s="401"/>
      <c r="C29" s="385" t="s">
        <v>131</v>
      </c>
      <c r="D29" s="128"/>
      <c r="E29" s="258"/>
      <c r="F29" s="257">
        <v>0</v>
      </c>
      <c r="H29" s="144" t="s">
        <v>133</v>
      </c>
      <c r="I29" s="402">
        <f t="shared" ref="I29:N29" si="0">SUM(I22:I28)</f>
        <v>0</v>
      </c>
      <c r="J29" s="402">
        <f t="shared" si="0"/>
        <v>0</v>
      </c>
      <c r="K29" s="402">
        <f t="shared" si="0"/>
        <v>0</v>
      </c>
      <c r="L29" s="402">
        <f t="shared" si="0"/>
        <v>0</v>
      </c>
      <c r="M29" s="402">
        <f t="shared" si="0"/>
        <v>0</v>
      </c>
      <c r="N29" s="402">
        <f t="shared" si="0"/>
        <v>0</v>
      </c>
      <c r="O29" s="403">
        <f>SUM(I29:N29)</f>
        <v>0</v>
      </c>
    </row>
    <row r="30" spans="1:22">
      <c r="A30" s="138" t="s">
        <v>134</v>
      </c>
      <c r="B30" s="393"/>
      <c r="C30" s="139" t="s">
        <v>107</v>
      </c>
      <c r="D30" s="128"/>
      <c r="E30" s="258">
        <v>0</v>
      </c>
      <c r="F30" s="257"/>
      <c r="H30" s="142"/>
      <c r="I30" s="142"/>
      <c r="J30" s="142"/>
      <c r="K30" s="142"/>
      <c r="L30" s="142"/>
      <c r="M30" s="142"/>
      <c r="N30" s="142"/>
    </row>
    <row r="31" spans="1:22" ht="12.75" customHeight="1">
      <c r="A31" s="404"/>
      <c r="B31" s="405"/>
      <c r="C31" s="406" t="s">
        <v>107</v>
      </c>
      <c r="D31" s="128"/>
      <c r="E31" s="258"/>
      <c r="F31" s="257"/>
      <c r="H31" s="205" t="s">
        <v>106</v>
      </c>
      <c r="I31" s="515" t="s">
        <v>135</v>
      </c>
      <c r="J31" s="516"/>
      <c r="K31" s="516"/>
      <c r="L31" s="516"/>
      <c r="M31" s="516"/>
      <c r="N31" s="516"/>
    </row>
    <row r="32" spans="1:22" ht="12.75" customHeight="1">
      <c r="A32" s="386" t="s">
        <v>136</v>
      </c>
      <c r="B32" s="393"/>
      <c r="C32" s="139"/>
      <c r="D32" s="128"/>
      <c r="E32" s="259" t="e">
        <f>SUM(E26:E31)</f>
        <v>#DIV/0!</v>
      </c>
      <c r="F32" s="394" t="e">
        <f>IF(E32=0,0,E32/E$47)</f>
        <v>#DIV/0!</v>
      </c>
      <c r="H32" s="143"/>
      <c r="I32" s="137">
        <v>1</v>
      </c>
      <c r="J32" s="137">
        <v>2</v>
      </c>
      <c r="K32" s="137">
        <v>3</v>
      </c>
      <c r="L32" s="137">
        <v>4</v>
      </c>
      <c r="M32" s="137">
        <v>5</v>
      </c>
      <c r="N32" s="137">
        <v>6</v>
      </c>
    </row>
    <row r="33" spans="1:16" ht="12.75" customHeight="1">
      <c r="A33" s="138"/>
      <c r="B33" s="393"/>
      <c r="C33" s="139"/>
      <c r="D33" s="128"/>
      <c r="E33" s="255"/>
      <c r="F33" s="257"/>
      <c r="H33" s="143" t="s">
        <v>110</v>
      </c>
      <c r="I33" s="274">
        <f t="shared" ref="I33:N39" si="1">I22*I12</f>
        <v>0</v>
      </c>
      <c r="J33" s="274">
        <f t="shared" si="1"/>
        <v>0</v>
      </c>
      <c r="K33" s="274">
        <f t="shared" si="1"/>
        <v>0</v>
      </c>
      <c r="L33" s="274">
        <f t="shared" si="1"/>
        <v>0</v>
      </c>
      <c r="M33" s="274">
        <f t="shared" si="1"/>
        <v>0</v>
      </c>
      <c r="N33" s="275">
        <f t="shared" si="1"/>
        <v>0</v>
      </c>
    </row>
    <row r="34" spans="1:16" ht="12.75" customHeight="1">
      <c r="A34" s="138" t="s">
        <v>137</v>
      </c>
      <c r="B34" s="393"/>
      <c r="C34" s="407"/>
      <c r="D34" s="128"/>
      <c r="E34" s="258"/>
      <c r="F34" s="265" t="e">
        <f t="shared" ref="F34:F42" si="2">E34/$E$47</f>
        <v>#DIV/0!</v>
      </c>
      <c r="H34" s="143" t="s">
        <v>112</v>
      </c>
      <c r="I34" s="274">
        <f t="shared" si="1"/>
        <v>0</v>
      </c>
      <c r="J34" s="274">
        <f t="shared" si="1"/>
        <v>0</v>
      </c>
      <c r="K34" s="274">
        <f t="shared" si="1"/>
        <v>0</v>
      </c>
      <c r="L34" s="274">
        <f t="shared" si="1"/>
        <v>0</v>
      </c>
      <c r="M34" s="274">
        <f t="shared" si="1"/>
        <v>0</v>
      </c>
      <c r="N34" s="275">
        <f t="shared" si="1"/>
        <v>0</v>
      </c>
    </row>
    <row r="35" spans="1:16" ht="12.75" customHeight="1">
      <c r="A35" s="138" t="s">
        <v>138</v>
      </c>
      <c r="B35" s="393"/>
      <c r="C35" s="407"/>
      <c r="D35" s="128"/>
      <c r="E35" s="258"/>
      <c r="F35" s="265" t="e">
        <f t="shared" si="2"/>
        <v>#DIV/0!</v>
      </c>
      <c r="H35" s="143" t="s">
        <v>114</v>
      </c>
      <c r="I35" s="274">
        <f t="shared" si="1"/>
        <v>0</v>
      </c>
      <c r="J35" s="274">
        <f t="shared" si="1"/>
        <v>0</v>
      </c>
      <c r="K35" s="274">
        <f t="shared" si="1"/>
        <v>0</v>
      </c>
      <c r="L35" s="274">
        <f t="shared" si="1"/>
        <v>0</v>
      </c>
      <c r="M35" s="274">
        <f t="shared" si="1"/>
        <v>0</v>
      </c>
      <c r="N35" s="275">
        <f t="shared" si="1"/>
        <v>0</v>
      </c>
      <c r="O35" s="142"/>
    </row>
    <row r="36" spans="1:16" ht="14.25" customHeight="1">
      <c r="A36" s="138" t="s">
        <v>139</v>
      </c>
      <c r="B36" s="393"/>
      <c r="C36" s="407"/>
      <c r="D36" s="128"/>
      <c r="E36" s="258"/>
      <c r="F36" s="265" t="e">
        <f t="shared" si="2"/>
        <v>#DIV/0!</v>
      </c>
      <c r="H36" s="143" t="s">
        <v>116</v>
      </c>
      <c r="I36" s="274">
        <f t="shared" si="1"/>
        <v>0</v>
      </c>
      <c r="J36" s="274">
        <f t="shared" si="1"/>
        <v>0</v>
      </c>
      <c r="K36" s="274">
        <f t="shared" si="1"/>
        <v>0</v>
      </c>
      <c r="L36" s="274">
        <f t="shared" si="1"/>
        <v>0</v>
      </c>
      <c r="M36" s="274">
        <f t="shared" si="1"/>
        <v>0</v>
      </c>
      <c r="N36" s="275">
        <f t="shared" si="1"/>
        <v>0</v>
      </c>
      <c r="O36" s="142"/>
    </row>
    <row r="37" spans="1:16">
      <c r="A37" s="138" t="s">
        <v>140</v>
      </c>
      <c r="B37" s="393"/>
      <c r="C37" s="408"/>
      <c r="D37" s="128"/>
      <c r="E37" s="258"/>
      <c r="F37" s="265" t="e">
        <f t="shared" si="2"/>
        <v>#DIV/0!</v>
      </c>
      <c r="H37" s="143" t="s">
        <v>117</v>
      </c>
      <c r="I37" s="274">
        <f t="shared" si="1"/>
        <v>0</v>
      </c>
      <c r="J37" s="274">
        <f t="shared" si="1"/>
        <v>0</v>
      </c>
      <c r="K37" s="274">
        <f t="shared" si="1"/>
        <v>0</v>
      </c>
      <c r="L37" s="274">
        <f t="shared" si="1"/>
        <v>0</v>
      </c>
      <c r="M37" s="274">
        <f t="shared" si="1"/>
        <v>0</v>
      </c>
      <c r="N37" s="275">
        <f t="shared" si="1"/>
        <v>0</v>
      </c>
      <c r="O37" s="142"/>
    </row>
    <row r="38" spans="1:16">
      <c r="A38" s="138" t="s">
        <v>141</v>
      </c>
      <c r="B38" s="393"/>
      <c r="C38" s="407"/>
      <c r="D38" s="128"/>
      <c r="E38" s="258"/>
      <c r="F38" s="265" t="e">
        <f t="shared" si="2"/>
        <v>#DIV/0!</v>
      </c>
      <c r="H38" s="143" t="s">
        <v>119</v>
      </c>
      <c r="I38" s="274">
        <f t="shared" si="1"/>
        <v>0</v>
      </c>
      <c r="J38" s="274">
        <f t="shared" si="1"/>
        <v>0</v>
      </c>
      <c r="K38" s="274">
        <f t="shared" si="1"/>
        <v>0</v>
      </c>
      <c r="L38" s="274">
        <f t="shared" si="1"/>
        <v>0</v>
      </c>
      <c r="M38" s="274">
        <f t="shared" si="1"/>
        <v>0</v>
      </c>
      <c r="N38" s="275">
        <f t="shared" si="1"/>
        <v>0</v>
      </c>
      <c r="O38" s="142"/>
    </row>
    <row r="39" spans="1:16">
      <c r="A39" s="138" t="s">
        <v>142</v>
      </c>
      <c r="B39" s="393"/>
      <c r="C39" s="408"/>
      <c r="D39" s="128"/>
      <c r="E39" s="258"/>
      <c r="F39" s="265" t="e">
        <f t="shared" si="2"/>
        <v>#DIV/0!</v>
      </c>
      <c r="H39" s="143" t="s">
        <v>121</v>
      </c>
      <c r="I39" s="274">
        <f t="shared" si="1"/>
        <v>0</v>
      </c>
      <c r="J39" s="274">
        <f t="shared" si="1"/>
        <v>0</v>
      </c>
      <c r="K39" s="274">
        <f t="shared" si="1"/>
        <v>0</v>
      </c>
      <c r="L39" s="274">
        <f t="shared" si="1"/>
        <v>0</v>
      </c>
      <c r="M39" s="274">
        <f t="shared" si="1"/>
        <v>0</v>
      </c>
      <c r="N39" s="275">
        <f t="shared" si="1"/>
        <v>0</v>
      </c>
      <c r="O39" s="142"/>
    </row>
    <row r="40" spans="1:16">
      <c r="A40" s="138" t="s">
        <v>143</v>
      </c>
      <c r="B40" s="393"/>
      <c r="C40" s="385" t="s">
        <v>131</v>
      </c>
      <c r="D40" s="128"/>
      <c r="E40" s="258"/>
      <c r="F40" s="265" t="e">
        <f t="shared" si="2"/>
        <v>#DIV/0!</v>
      </c>
      <c r="H40" s="144" t="s">
        <v>133</v>
      </c>
      <c r="I40" s="276">
        <f t="shared" ref="I40:N40" si="3">SUM(I33:I39)</f>
        <v>0</v>
      </c>
      <c r="J40" s="276">
        <f t="shared" si="3"/>
        <v>0</v>
      </c>
      <c r="K40" s="276">
        <f t="shared" si="3"/>
        <v>0</v>
      </c>
      <c r="L40" s="276">
        <f t="shared" si="3"/>
        <v>0</v>
      </c>
      <c r="M40" s="276">
        <f t="shared" si="3"/>
        <v>0</v>
      </c>
      <c r="N40" s="276">
        <f t="shared" si="3"/>
        <v>0</v>
      </c>
      <c r="O40" s="142"/>
    </row>
    <row r="41" spans="1:16">
      <c r="A41" s="138" t="s">
        <v>144</v>
      </c>
      <c r="B41" s="393"/>
      <c r="C41" s="385"/>
      <c r="D41" s="128"/>
      <c r="E41" s="258"/>
      <c r="F41" s="265" t="e">
        <f t="shared" si="2"/>
        <v>#DIV/0!</v>
      </c>
      <c r="H41" s="142"/>
      <c r="I41" s="142"/>
      <c r="J41" s="142"/>
      <c r="K41" s="142"/>
      <c r="L41" s="142"/>
      <c r="M41" s="142"/>
      <c r="N41" s="142"/>
      <c r="O41" s="142"/>
    </row>
    <row r="42" spans="1:16">
      <c r="A42" s="404"/>
      <c r="B42" s="405"/>
      <c r="C42" s="409"/>
      <c r="D42" s="128"/>
      <c r="E42" s="258">
        <v>0</v>
      </c>
      <c r="F42" s="257" t="e">
        <f t="shared" si="2"/>
        <v>#DIV/0!</v>
      </c>
      <c r="H42" s="142"/>
      <c r="I42" s="142"/>
      <c r="J42" s="142"/>
      <c r="K42" s="142"/>
      <c r="L42" s="142"/>
      <c r="M42" s="142"/>
      <c r="N42" s="142"/>
      <c r="O42" s="142"/>
    </row>
    <row r="43" spans="1:16" ht="45">
      <c r="A43" s="386" t="s">
        <v>145</v>
      </c>
      <c r="B43" s="393"/>
      <c r="C43" s="139"/>
      <c r="D43" s="128"/>
      <c r="E43" s="259" t="e">
        <f>SUM(E32:E42)</f>
        <v>#DIV/0!</v>
      </c>
      <c r="F43" s="394" t="e">
        <f>IF(E43=0,0,E43/E$47)</f>
        <v>#DIV/0!</v>
      </c>
      <c r="H43" s="205" t="s">
        <v>146</v>
      </c>
      <c r="I43" s="378"/>
      <c r="J43" s="379"/>
      <c r="K43" s="206" t="s">
        <v>105</v>
      </c>
      <c r="L43" s="142"/>
      <c r="M43" s="142"/>
      <c r="N43" s="142"/>
    </row>
    <row r="44" spans="1:16">
      <c r="A44" s="138"/>
      <c r="B44" s="393"/>
      <c r="C44" s="139"/>
      <c r="D44" s="128"/>
      <c r="E44" s="255"/>
      <c r="F44" s="266"/>
      <c r="H44" s="143"/>
      <c r="I44" s="380" t="s">
        <v>107</v>
      </c>
      <c r="J44" s="381" t="s">
        <v>107</v>
      </c>
      <c r="K44" s="255"/>
      <c r="L44" s="142"/>
      <c r="M44" s="142"/>
      <c r="N44" s="142"/>
    </row>
    <row r="45" spans="1:16">
      <c r="A45" s="138" t="s">
        <v>147</v>
      </c>
      <c r="B45" s="393"/>
      <c r="C45" s="408"/>
      <c r="D45" s="128"/>
      <c r="E45" s="258"/>
      <c r="F45" s="394">
        <f>(IF(E45=0,0,E45/E$47))</f>
        <v>0</v>
      </c>
      <c r="H45" s="146" t="s">
        <v>115</v>
      </c>
      <c r="I45" s="147"/>
      <c r="J45" s="148"/>
      <c r="K45" s="259">
        <f>E15</f>
        <v>0</v>
      </c>
      <c r="L45" s="142"/>
      <c r="M45" s="142"/>
      <c r="N45" s="142"/>
    </row>
    <row r="46" spans="1:16" ht="30" customHeight="1">
      <c r="A46" s="138"/>
      <c r="B46" s="410"/>
      <c r="C46" s="139"/>
      <c r="D46" s="128"/>
      <c r="E46" s="255"/>
      <c r="F46" s="257"/>
      <c r="H46" s="149" t="s">
        <v>118</v>
      </c>
      <c r="I46" s="150"/>
      <c r="J46" s="151"/>
      <c r="K46" s="261">
        <f>E17</f>
        <v>0</v>
      </c>
      <c r="L46" s="142"/>
      <c r="M46" s="142"/>
      <c r="N46" s="142"/>
    </row>
    <row r="47" spans="1:16">
      <c r="A47" s="386" t="s">
        <v>148</v>
      </c>
      <c r="B47" s="411"/>
      <c r="C47" s="412"/>
      <c r="D47" s="128"/>
      <c r="E47" s="267" t="e">
        <f>SUM(E43:E46)</f>
        <v>#DIV/0!</v>
      </c>
      <c r="F47" s="268" t="e">
        <f>SUM(F43:F46)</f>
        <v>#DIV/0!</v>
      </c>
      <c r="H47" s="391" t="s">
        <v>120</v>
      </c>
      <c r="I47" s="150"/>
      <c r="J47" s="151"/>
      <c r="K47" s="262">
        <f>E18</f>
        <v>0</v>
      </c>
      <c r="L47" s="142"/>
      <c r="M47" s="142"/>
      <c r="N47" s="142"/>
      <c r="O47" s="142"/>
    </row>
    <row r="48" spans="1:16">
      <c r="B48" s="145"/>
      <c r="C48" s="413"/>
      <c r="D48" s="128"/>
      <c r="E48" s="242"/>
      <c r="F48" s="269"/>
      <c r="H48" s="391" t="s">
        <v>125</v>
      </c>
      <c r="I48" s="150"/>
      <c r="J48" s="151"/>
      <c r="K48" s="261" t="e">
        <f>E22</f>
        <v>#DIV/0!</v>
      </c>
      <c r="L48" s="142"/>
      <c r="M48" s="142"/>
      <c r="N48" s="142"/>
      <c r="O48" s="142"/>
      <c r="P48" s="142"/>
    </row>
    <row r="49" spans="1:22">
      <c r="A49" s="414" t="s">
        <v>149</v>
      </c>
      <c r="B49" s="415"/>
      <c r="C49" s="416"/>
      <c r="D49" s="142"/>
      <c r="E49" s="270" t="e">
        <f>(E$26*1.3)+($E$47-$E$26)</f>
        <v>#DIV/0!</v>
      </c>
      <c r="F49" s="271"/>
      <c r="G49" s="142"/>
      <c r="H49" s="391" t="s">
        <v>128</v>
      </c>
      <c r="I49" s="396"/>
      <c r="J49" s="397"/>
      <c r="K49" s="261" t="e">
        <f>E25</f>
        <v>#DIV/0!</v>
      </c>
      <c r="L49" s="142"/>
      <c r="M49" s="142"/>
      <c r="N49" s="142"/>
      <c r="O49" s="142"/>
      <c r="P49" s="142"/>
      <c r="Q49" s="142"/>
      <c r="R49" s="142"/>
      <c r="S49" s="142"/>
      <c r="T49" s="142"/>
      <c r="U49" s="142"/>
      <c r="V49" s="13"/>
    </row>
    <row r="50" spans="1:22" s="13" customFormat="1">
      <c r="A50" s="142"/>
      <c r="B50" s="152"/>
      <c r="C50" s="153"/>
      <c r="D50" s="142"/>
      <c r="E50" s="272"/>
      <c r="F50" s="272"/>
      <c r="G50" s="142"/>
      <c r="H50" s="138" t="s">
        <v>130</v>
      </c>
      <c r="I50" s="400"/>
      <c r="J50" s="385"/>
      <c r="K50" s="256">
        <f>E28</f>
        <v>0</v>
      </c>
      <c r="L50" s="142"/>
      <c r="M50" s="142"/>
      <c r="N50" s="142"/>
      <c r="O50" s="142"/>
      <c r="P50" s="142"/>
      <c r="Q50" s="142"/>
      <c r="R50" s="142"/>
      <c r="S50" s="142"/>
      <c r="T50" s="142"/>
      <c r="U50" s="142"/>
    </row>
    <row r="51" spans="1:22" s="13" customFormat="1">
      <c r="A51" s="414" t="s">
        <v>150</v>
      </c>
      <c r="B51" s="415"/>
      <c r="C51" s="416"/>
      <c r="D51" s="142"/>
      <c r="E51" s="270" t="e">
        <f>(E$26*1.5)+($E$47-$E$26)</f>
        <v>#DIV/0!</v>
      </c>
      <c r="F51" s="271"/>
      <c r="G51" s="142"/>
      <c r="H51" s="138" t="s">
        <v>132</v>
      </c>
      <c r="I51" s="401"/>
      <c r="J51" s="385"/>
      <c r="K51" s="256">
        <f t="shared" ref="K51:K52" si="4">E29</f>
        <v>0</v>
      </c>
      <c r="L51" s="142"/>
      <c r="M51" s="55"/>
      <c r="N51" s="142"/>
      <c r="O51" s="142"/>
      <c r="P51" s="142"/>
      <c r="Q51" s="142"/>
      <c r="R51" s="142"/>
      <c r="S51" s="142"/>
      <c r="T51" s="142"/>
      <c r="U51" s="142"/>
    </row>
    <row r="52" spans="1:22" s="13" customFormat="1">
      <c r="A52" s="142"/>
      <c r="B52" s="152"/>
      <c r="C52" s="153"/>
      <c r="D52" s="142"/>
      <c r="E52" s="272"/>
      <c r="F52" s="272"/>
      <c r="G52" s="142"/>
      <c r="H52" s="138" t="s">
        <v>134</v>
      </c>
      <c r="I52" s="393"/>
      <c r="J52" s="139" t="s">
        <v>107</v>
      </c>
      <c r="K52" s="256">
        <f t="shared" si="4"/>
        <v>0</v>
      </c>
      <c r="L52" s="142"/>
      <c r="M52" s="55"/>
      <c r="N52" s="142"/>
      <c r="O52" s="142"/>
      <c r="P52" s="142"/>
      <c r="Q52" s="142"/>
      <c r="R52" s="142"/>
      <c r="S52" s="142"/>
      <c r="T52" s="142"/>
      <c r="U52" s="142"/>
    </row>
    <row r="53" spans="1:22" s="13" customFormat="1">
      <c r="A53" s="414" t="s">
        <v>151</v>
      </c>
      <c r="B53" s="415"/>
      <c r="C53" s="416"/>
      <c r="D53" s="142"/>
      <c r="E53" s="270" t="e">
        <f>(E$26*2.5)+($E$47-$E$26)</f>
        <v>#DIV/0!</v>
      </c>
      <c r="F53" s="272"/>
      <c r="G53" s="142"/>
      <c r="H53" s="138" t="s">
        <v>137</v>
      </c>
      <c r="I53" s="393"/>
      <c r="J53" s="407"/>
      <c r="K53" s="256">
        <f>E34</f>
        <v>0</v>
      </c>
      <c r="L53" s="142"/>
      <c r="M53" s="55"/>
      <c r="N53" s="142"/>
      <c r="O53" s="142"/>
      <c r="P53" s="142"/>
      <c r="Q53" s="142"/>
      <c r="R53" s="142"/>
      <c r="S53" s="142"/>
      <c r="T53" s="142"/>
      <c r="U53" s="142"/>
    </row>
    <row r="54" spans="1:22" s="13" customFormat="1">
      <c r="A54" s="142"/>
      <c r="B54" s="152"/>
      <c r="C54" s="154"/>
      <c r="D54" s="142"/>
      <c r="E54" s="142"/>
      <c r="F54" s="155"/>
      <c r="G54" s="142"/>
      <c r="H54" s="138" t="s">
        <v>138</v>
      </c>
      <c r="I54" s="393"/>
      <c r="J54" s="407"/>
      <c r="K54" s="256">
        <f t="shared" ref="K54:K60" si="5">E35</f>
        <v>0</v>
      </c>
      <c r="L54" s="142"/>
      <c r="M54" s="55"/>
      <c r="N54" s="142"/>
      <c r="O54" s="142"/>
      <c r="P54" s="142"/>
      <c r="Q54" s="142"/>
      <c r="R54" s="142"/>
      <c r="S54" s="142"/>
      <c r="T54" s="142"/>
      <c r="U54" s="142"/>
    </row>
    <row r="55" spans="1:22" s="13" customFormat="1">
      <c r="A55" s="142"/>
      <c r="B55" s="152"/>
      <c r="C55" s="154"/>
      <c r="D55" s="142"/>
      <c r="E55" s="142"/>
      <c r="F55" s="155"/>
      <c r="G55" s="142"/>
      <c r="H55" s="138" t="s">
        <v>139</v>
      </c>
      <c r="I55" s="393"/>
      <c r="J55" s="407"/>
      <c r="K55" s="256">
        <f t="shared" si="5"/>
        <v>0</v>
      </c>
      <c r="L55" s="142"/>
      <c r="M55" s="55"/>
      <c r="N55" s="142"/>
      <c r="O55" s="142"/>
      <c r="P55" s="142"/>
      <c r="Q55" s="142"/>
      <c r="R55" s="142"/>
      <c r="S55" s="142"/>
      <c r="T55" s="142"/>
      <c r="U55" s="142"/>
    </row>
    <row r="56" spans="1:22" s="13" customFormat="1">
      <c r="A56" s="142"/>
      <c r="B56" s="142"/>
      <c r="C56" s="156"/>
      <c r="D56" s="142"/>
      <c r="E56" s="142"/>
      <c r="F56" s="155"/>
      <c r="G56" s="142"/>
      <c r="H56" s="138" t="s">
        <v>140</v>
      </c>
      <c r="I56" s="393"/>
      <c r="J56" s="408"/>
      <c r="K56" s="256">
        <f t="shared" si="5"/>
        <v>0</v>
      </c>
      <c r="L56" s="142"/>
      <c r="M56" s="55"/>
      <c r="N56" s="142"/>
      <c r="O56" s="142"/>
      <c r="P56" s="142"/>
      <c r="Q56" s="142"/>
      <c r="R56" s="142"/>
      <c r="S56" s="142"/>
      <c r="T56" s="142"/>
      <c r="U56" s="142"/>
    </row>
    <row r="57" spans="1:22" s="13" customFormat="1">
      <c r="A57" s="142"/>
      <c r="B57" s="142"/>
      <c r="C57" s="156"/>
      <c r="D57" s="142"/>
      <c r="E57" s="142"/>
      <c r="F57" s="155"/>
      <c r="G57" s="142"/>
      <c r="H57" s="138" t="s">
        <v>141</v>
      </c>
      <c r="I57" s="393"/>
      <c r="J57" s="407"/>
      <c r="K57" s="256">
        <f t="shared" si="5"/>
        <v>0</v>
      </c>
      <c r="L57" s="142"/>
      <c r="M57" s="55"/>
      <c r="N57" s="142"/>
      <c r="O57" s="142"/>
      <c r="P57" s="142"/>
      <c r="Q57" s="142"/>
      <c r="R57" s="142"/>
      <c r="S57" s="142"/>
      <c r="T57" s="142"/>
      <c r="U57" s="142"/>
    </row>
    <row r="58" spans="1:22" s="13" customFormat="1">
      <c r="A58" s="55"/>
      <c r="B58" s="142"/>
      <c r="C58" s="156"/>
      <c r="D58" s="142"/>
      <c r="E58" s="142"/>
      <c r="F58" s="155"/>
      <c r="G58" s="142"/>
      <c r="H58" s="138" t="s">
        <v>142</v>
      </c>
      <c r="I58" s="393"/>
      <c r="J58" s="408"/>
      <c r="K58" s="256">
        <f t="shared" si="5"/>
        <v>0</v>
      </c>
      <c r="L58" s="142"/>
      <c r="M58" s="55"/>
      <c r="N58" s="55"/>
      <c r="O58" s="142"/>
      <c r="P58" s="142"/>
      <c r="Q58" s="142"/>
      <c r="R58" s="142"/>
      <c r="S58" s="142"/>
      <c r="T58" s="142"/>
      <c r="U58" s="142"/>
    </row>
    <row r="59" spans="1:22" s="13" customFormat="1">
      <c r="A59" s="142"/>
      <c r="B59" s="142"/>
      <c r="C59" s="156"/>
      <c r="D59" s="142"/>
      <c r="E59" s="142"/>
      <c r="F59" s="155"/>
      <c r="G59" s="142"/>
      <c r="H59" s="138" t="s">
        <v>143</v>
      </c>
      <c r="I59" s="393"/>
      <c r="J59" s="385"/>
      <c r="K59" s="256">
        <f t="shared" si="5"/>
        <v>0</v>
      </c>
      <c r="L59" s="142"/>
      <c r="M59" s="55"/>
      <c r="N59" s="55"/>
      <c r="O59" s="142"/>
      <c r="P59" s="142"/>
      <c r="Q59" s="142"/>
      <c r="R59" s="142"/>
      <c r="S59" s="142"/>
      <c r="T59" s="142"/>
      <c r="U59" s="142"/>
    </row>
    <row r="60" spans="1:22" s="13" customFormat="1">
      <c r="A60" s="142"/>
      <c r="B60" s="142"/>
      <c r="C60" s="156"/>
      <c r="D60" s="142"/>
      <c r="E60" s="142"/>
      <c r="F60" s="155"/>
      <c r="G60" s="142"/>
      <c r="H60" s="138" t="s">
        <v>144</v>
      </c>
      <c r="I60" s="393"/>
      <c r="J60" s="385"/>
      <c r="K60" s="256">
        <f t="shared" si="5"/>
        <v>0</v>
      </c>
      <c r="L60" s="142"/>
      <c r="M60" s="55"/>
      <c r="N60" s="55"/>
      <c r="O60" s="142"/>
      <c r="P60" s="142"/>
      <c r="Q60" s="142"/>
      <c r="R60" s="142"/>
      <c r="S60" s="142"/>
      <c r="T60" s="142"/>
      <c r="U60" s="142"/>
    </row>
    <row r="61" spans="1:22" s="13" customFormat="1">
      <c r="A61" s="142"/>
      <c r="B61" s="142"/>
      <c r="C61" s="156"/>
      <c r="D61" s="142"/>
      <c r="E61" s="142"/>
      <c r="F61" s="155"/>
      <c r="G61" s="142"/>
      <c r="H61" s="138" t="s">
        <v>147</v>
      </c>
      <c r="I61" s="393"/>
      <c r="J61" s="408"/>
      <c r="K61" s="256">
        <f>E45</f>
        <v>0</v>
      </c>
      <c r="L61" s="142"/>
      <c r="M61" s="55"/>
      <c r="N61" s="55"/>
      <c r="O61" s="142"/>
      <c r="P61" s="142"/>
      <c r="Q61" s="142"/>
      <c r="R61" s="142"/>
      <c r="S61" s="142"/>
      <c r="T61" s="142"/>
      <c r="U61" s="142"/>
    </row>
    <row r="62" spans="1:22" s="13" customFormat="1">
      <c r="A62" s="142"/>
      <c r="B62" s="142"/>
      <c r="C62" s="156"/>
      <c r="D62" s="142"/>
      <c r="E62" s="142"/>
      <c r="F62" s="155"/>
      <c r="G62" s="142"/>
      <c r="H62" s="138"/>
      <c r="I62" s="410"/>
      <c r="J62" s="139"/>
      <c r="K62" s="255"/>
      <c r="L62" s="142"/>
      <c r="M62" s="55"/>
      <c r="N62" s="55"/>
      <c r="O62" s="142"/>
      <c r="P62" s="142"/>
      <c r="Q62" s="142"/>
      <c r="R62" s="142"/>
      <c r="S62" s="142"/>
      <c r="T62" s="142"/>
      <c r="U62" s="142"/>
    </row>
    <row r="63" spans="1:22" s="13" customFormat="1">
      <c r="A63" s="142"/>
      <c r="B63" s="142"/>
      <c r="C63" s="156"/>
      <c r="D63" s="142"/>
      <c r="E63" s="142"/>
      <c r="F63" s="155"/>
      <c r="G63" s="142"/>
      <c r="H63" s="386" t="s">
        <v>148</v>
      </c>
      <c r="I63" s="411"/>
      <c r="J63" s="412"/>
      <c r="K63" s="267" t="e">
        <f>SUM(K45:K62)</f>
        <v>#DIV/0!</v>
      </c>
      <c r="L63" s="142"/>
      <c r="M63" s="55"/>
      <c r="N63" s="55"/>
      <c r="O63" s="142"/>
      <c r="P63" s="142"/>
      <c r="Q63" s="142"/>
      <c r="R63" s="142"/>
      <c r="S63" s="142"/>
      <c r="T63" s="142"/>
      <c r="U63" s="142"/>
    </row>
    <row r="64" spans="1:22" s="13" customFormat="1">
      <c r="A64" s="142"/>
      <c r="B64" s="142"/>
      <c r="C64" s="156"/>
      <c r="D64" s="142"/>
      <c r="E64" s="142"/>
      <c r="F64" s="155"/>
      <c r="G64" s="142"/>
      <c r="H64" s="55"/>
      <c r="I64" s="145"/>
      <c r="J64" s="413"/>
      <c r="K64" s="242"/>
      <c r="L64" s="142"/>
      <c r="M64" s="55"/>
      <c r="N64" s="55"/>
      <c r="O64" s="55"/>
      <c r="P64" s="142"/>
      <c r="Q64" s="142"/>
      <c r="R64" s="142"/>
      <c r="S64" s="142"/>
      <c r="T64" s="142"/>
      <c r="U64" s="142"/>
    </row>
    <row r="65" spans="1:22" s="13" customFormat="1">
      <c r="A65" s="142"/>
      <c r="B65" s="142"/>
      <c r="C65" s="156"/>
      <c r="D65" s="142"/>
      <c r="E65" s="55"/>
      <c r="F65" s="155"/>
      <c r="G65" s="142"/>
      <c r="H65" s="414" t="s">
        <v>149</v>
      </c>
      <c r="I65" s="415"/>
      <c r="J65" s="416"/>
      <c r="K65" s="270" t="e">
        <f>E49</f>
        <v>#DIV/0!</v>
      </c>
      <c r="L65" s="142"/>
      <c r="M65" s="55"/>
      <c r="N65" s="55"/>
      <c r="O65" s="55"/>
      <c r="P65" s="55"/>
      <c r="Q65" s="142"/>
      <c r="R65" s="142"/>
      <c r="S65" s="142"/>
      <c r="T65" s="142"/>
      <c r="U65" s="142"/>
    </row>
    <row r="66" spans="1:22" s="13" customFormat="1">
      <c r="A66" s="55"/>
      <c r="B66" s="55"/>
      <c r="C66" s="55"/>
      <c r="D66" s="55"/>
      <c r="E66" s="55"/>
      <c r="F66" s="55"/>
      <c r="G66" s="55"/>
      <c r="H66" s="142"/>
      <c r="I66" s="152"/>
      <c r="J66" s="153"/>
      <c r="K66" s="272"/>
      <c r="L66" s="142"/>
      <c r="M66" s="55"/>
      <c r="N66" s="55"/>
      <c r="O66" s="55"/>
      <c r="P66" s="55"/>
      <c r="Q66" s="55"/>
      <c r="R66" s="55"/>
      <c r="S66" s="55"/>
      <c r="T66" s="55"/>
      <c r="U66" s="55"/>
      <c r="V66" s="2"/>
    </row>
    <row r="67" spans="1:22">
      <c r="H67" s="414" t="s">
        <v>150</v>
      </c>
      <c r="I67" s="415"/>
      <c r="J67" s="416"/>
      <c r="K67" s="270" t="e">
        <f>E51</f>
        <v>#DIV/0!</v>
      </c>
      <c r="L67" s="142"/>
    </row>
    <row r="68" spans="1:22">
      <c r="H68" s="142"/>
      <c r="I68" s="152"/>
      <c r="J68" s="153"/>
      <c r="K68" s="272"/>
      <c r="L68" s="142"/>
    </row>
    <row r="69" spans="1:22">
      <c r="H69" s="414" t="s">
        <v>151</v>
      </c>
      <c r="I69" s="415"/>
      <c r="J69" s="416"/>
      <c r="K69" s="270" t="e">
        <f>E53</f>
        <v>#DIV/0!</v>
      </c>
      <c r="L69" s="142"/>
    </row>
    <row r="70" spans="1:22">
      <c r="L70" s="142"/>
    </row>
    <row r="71" spans="1:22">
      <c r="L71" s="142"/>
    </row>
    <row r="72" spans="1:22">
      <c r="L72" s="142"/>
    </row>
  </sheetData>
  <dataConsolidate/>
  <mergeCells count="8">
    <mergeCell ref="P14:R15"/>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76"/>
  <sheetViews>
    <sheetView showGridLines="0" zoomScale="89" zoomScaleNormal="89" zoomScalePageLayoutView="50" workbookViewId="0">
      <pane ySplit="9" topLeftCell="A10" activePane="bottomLeft" state="frozen"/>
      <selection activeCell="F5" sqref="F5"/>
      <selection pane="bottomLeft" activeCell="F5" sqref="F5"/>
    </sheetView>
  </sheetViews>
  <sheetFormatPr defaultColWidth="11.44140625" defaultRowHeight="13.2"/>
  <cols>
    <col min="1" max="1" width="35.88671875" style="55" customWidth="1"/>
    <col min="2" max="2" width="21.33203125" style="55" customWidth="1"/>
    <col min="3" max="3" width="19.33203125" style="55" bestFit="1" customWidth="1"/>
    <col min="4" max="4" width="2" style="55" customWidth="1"/>
    <col min="5" max="5" width="14.44140625" style="55" customWidth="1"/>
    <col min="6" max="6" width="11.6640625" style="55" customWidth="1"/>
    <col min="7" max="7" width="6" style="55" customWidth="1"/>
    <col min="8" max="8" width="27.88671875" style="55" customWidth="1"/>
    <col min="9" max="15" width="11.44140625" style="55"/>
    <col min="16" max="16384" width="11.44140625" style="2"/>
  </cols>
  <sheetData>
    <row r="1" spans="1:18" ht="12.75" customHeight="1">
      <c r="A1" s="417" t="s">
        <v>4</v>
      </c>
      <c r="B1" s="97"/>
      <c r="C1" s="98"/>
      <c r="D1" s="98"/>
      <c r="E1" s="98"/>
      <c r="F1" s="98"/>
      <c r="H1" s="519"/>
      <c r="I1" s="519"/>
      <c r="J1" s="519"/>
      <c r="K1" s="519"/>
      <c r="L1" s="519"/>
      <c r="M1" s="519"/>
      <c r="N1" s="519"/>
    </row>
    <row r="2" spans="1:18">
      <c r="A2" s="116"/>
      <c r="B2" s="117"/>
      <c r="C2" s="118"/>
      <c r="D2" s="117"/>
      <c r="E2" s="119"/>
      <c r="F2" s="120"/>
      <c r="H2" s="519"/>
      <c r="I2" s="519"/>
      <c r="J2" s="519"/>
      <c r="K2" s="519"/>
      <c r="L2" s="519"/>
      <c r="M2" s="519"/>
      <c r="N2" s="519"/>
    </row>
    <row r="3" spans="1:18" ht="14.25" customHeight="1">
      <c r="A3" s="121" t="str">
        <f>'2-Kosten totaal'!A3</f>
        <v>Naam opdrachtgever</v>
      </c>
      <c r="B3" s="122" t="str">
        <f>'2-Kosten totaal'!B3</f>
        <v>RSG Enkhuizen</v>
      </c>
      <c r="C3" s="123"/>
      <c r="D3" s="117"/>
      <c r="E3" s="124"/>
      <c r="F3" s="125"/>
      <c r="H3" s="519"/>
      <c r="I3" s="519"/>
      <c r="J3" s="519"/>
      <c r="K3" s="519"/>
      <c r="L3" s="519"/>
      <c r="M3" s="519"/>
      <c r="N3" s="519"/>
    </row>
    <row r="4" spans="1:18" ht="15.75" customHeight="1">
      <c r="A4" s="121" t="str">
        <f>'2-Kosten totaal'!A4</f>
        <v>Calculatie onderdeel</v>
      </c>
      <c r="B4" s="126" t="str">
        <f ca="1">MID(CELL("bestandsnaam",$C$9),SEARCH("]",CELL("bestandsnaam",$C$9),1)+1,256)</f>
        <v>7-Opbouw uurtarief toezicht</v>
      </c>
      <c r="C4" s="127"/>
      <c r="D4" s="128"/>
      <c r="H4" s="519"/>
      <c r="I4" s="519"/>
      <c r="J4" s="519"/>
      <c r="K4" s="519"/>
      <c r="L4" s="519"/>
      <c r="M4" s="519"/>
      <c r="N4" s="519"/>
    </row>
    <row r="5" spans="1:18" ht="15.6">
      <c r="A5" s="121" t="str">
        <f>'2-Kosten totaal'!A5</f>
        <v>Gebouw/plaats</v>
      </c>
      <c r="B5" s="122" t="str">
        <f>'2-Kosten totaal'!B5</f>
        <v>Enkhuizen</v>
      </c>
      <c r="C5" s="127"/>
      <c r="D5" s="128"/>
      <c r="H5" s="519"/>
      <c r="I5" s="519"/>
      <c r="J5" s="519"/>
      <c r="K5" s="519"/>
      <c r="L5" s="519"/>
      <c r="M5" s="519"/>
      <c r="N5" s="519"/>
    </row>
    <row r="6" spans="1:18" ht="15.6">
      <c r="A6" s="121" t="str">
        <f>'2-Kosten totaal'!A6</f>
        <v>Referentie nummer</v>
      </c>
      <c r="B6" s="122" t="str">
        <f>'2-Kosten totaal'!B6</f>
        <v>TN481900</v>
      </c>
      <c r="C6" s="127"/>
      <c r="D6" s="128"/>
      <c r="H6" s="129"/>
      <c r="I6" s="129"/>
      <c r="J6" s="129"/>
      <c r="K6" s="129"/>
      <c r="L6" s="129"/>
      <c r="M6" s="129"/>
      <c r="N6" s="129"/>
    </row>
    <row r="7" spans="1:18" ht="15.6">
      <c r="A7" s="121" t="str">
        <f>'2-Kosten totaal'!A7</f>
        <v>Naam dienstverlener</v>
      </c>
      <c r="B7" s="122">
        <f>'2-Kosten totaal'!B7</f>
        <v>0</v>
      </c>
      <c r="C7" s="127"/>
      <c r="D7" s="128"/>
      <c r="H7" s="129"/>
      <c r="I7" s="129"/>
      <c r="J7" s="129"/>
      <c r="K7" s="129"/>
      <c r="L7" s="129"/>
      <c r="M7" s="129"/>
      <c r="N7" s="129"/>
    </row>
    <row r="8" spans="1:18" ht="15.6">
      <c r="A8" s="121" t="str">
        <f>'2-Kosten totaal'!A8</f>
        <v>Prijspeil</v>
      </c>
      <c r="B8" s="273">
        <f>'2-Kosten totaal'!B8</f>
        <v>45839</v>
      </c>
      <c r="C8" s="127"/>
      <c r="D8" s="128"/>
      <c r="J8" s="129"/>
      <c r="K8" s="129"/>
      <c r="L8" s="129"/>
      <c r="M8" s="129"/>
      <c r="N8" s="129"/>
      <c r="O8" s="130"/>
    </row>
    <row r="9" spans="1:18" ht="15.6">
      <c r="A9" s="131"/>
      <c r="B9" s="132"/>
      <c r="C9" s="133"/>
      <c r="D9" s="128"/>
      <c r="E9" s="134"/>
      <c r="F9" s="135"/>
    </row>
    <row r="10" spans="1:18" s="21" customFormat="1" ht="30.75" customHeight="1">
      <c r="A10" s="418" t="s">
        <v>152</v>
      </c>
      <c r="B10" s="378"/>
      <c r="C10" s="379"/>
      <c r="D10" s="201"/>
      <c r="E10" s="517" t="s">
        <v>153</v>
      </c>
      <c r="F10" s="518"/>
      <c r="G10" s="130"/>
      <c r="H10" s="205" t="s">
        <v>106</v>
      </c>
      <c r="I10" s="515" t="s">
        <v>423</v>
      </c>
      <c r="J10" s="516"/>
      <c r="K10" s="516"/>
      <c r="L10" s="516"/>
      <c r="M10" s="516"/>
      <c r="N10" s="516"/>
      <c r="O10" s="130"/>
    </row>
    <row r="11" spans="1:18" ht="14.4" customHeight="1">
      <c r="A11" s="143"/>
      <c r="B11" s="380" t="s">
        <v>107</v>
      </c>
      <c r="C11" s="381" t="s">
        <v>107</v>
      </c>
      <c r="D11" s="128"/>
      <c r="E11" s="136"/>
      <c r="F11" s="419"/>
      <c r="H11" s="143"/>
      <c r="I11" s="277">
        <v>1</v>
      </c>
      <c r="J11" s="277">
        <v>2</v>
      </c>
      <c r="K11" s="277">
        <v>3</v>
      </c>
      <c r="L11" s="277">
        <v>4</v>
      </c>
      <c r="M11" s="277">
        <v>5</v>
      </c>
      <c r="N11" s="277">
        <v>6</v>
      </c>
    </row>
    <row r="12" spans="1:18" ht="12.75" customHeight="1">
      <c r="A12" s="143" t="s">
        <v>108</v>
      </c>
      <c r="B12" s="383" t="s">
        <v>109</v>
      </c>
      <c r="C12" s="384"/>
      <c r="D12" s="128"/>
      <c r="E12" s="256">
        <f>SUM(I31:N31)</f>
        <v>0</v>
      </c>
      <c r="F12" s="257"/>
      <c r="H12" s="143" t="s">
        <v>116</v>
      </c>
      <c r="I12" s="278"/>
      <c r="J12" s="278"/>
      <c r="K12" s="278"/>
      <c r="L12" s="278"/>
      <c r="M12" s="278"/>
      <c r="N12" s="278"/>
    </row>
    <row r="13" spans="1:18">
      <c r="A13" s="143" t="s">
        <v>111</v>
      </c>
      <c r="B13" s="383" t="s">
        <v>109</v>
      </c>
      <c r="C13" s="385"/>
      <c r="D13" s="128"/>
      <c r="E13" s="258"/>
      <c r="F13" s="257"/>
      <c r="H13" s="143" t="s">
        <v>117</v>
      </c>
      <c r="I13" s="278"/>
      <c r="J13" s="278"/>
      <c r="K13" s="278"/>
      <c r="L13" s="278"/>
      <c r="M13" s="278"/>
      <c r="N13" s="278"/>
    </row>
    <row r="14" spans="1:18">
      <c r="A14" s="138" t="s">
        <v>113</v>
      </c>
      <c r="B14" s="383" t="s">
        <v>109</v>
      </c>
      <c r="C14" s="139"/>
      <c r="D14" s="128"/>
      <c r="E14" s="258"/>
      <c r="F14" s="257"/>
      <c r="H14" s="143" t="s">
        <v>119</v>
      </c>
      <c r="I14" s="278"/>
      <c r="J14" s="278"/>
      <c r="K14" s="278"/>
      <c r="L14" s="278"/>
      <c r="M14" s="278"/>
      <c r="N14" s="278"/>
    </row>
    <row r="15" spans="1:18">
      <c r="A15" s="386" t="s">
        <v>115</v>
      </c>
      <c r="B15" s="387"/>
      <c r="C15" s="388"/>
      <c r="D15" s="140"/>
      <c r="E15" s="259">
        <f>SUM(E12:E14)</f>
        <v>0</v>
      </c>
      <c r="F15" s="257"/>
      <c r="H15" s="143" t="s">
        <v>121</v>
      </c>
      <c r="I15" s="278"/>
      <c r="J15" s="278"/>
      <c r="K15" s="278"/>
      <c r="L15" s="278"/>
      <c r="M15" s="278"/>
      <c r="N15" s="278"/>
    </row>
    <row r="16" spans="1:18">
      <c r="A16" s="138"/>
      <c r="B16" s="389"/>
      <c r="C16" s="390"/>
      <c r="D16" s="128"/>
      <c r="E16" s="260"/>
      <c r="F16" s="257"/>
      <c r="P16" s="507"/>
      <c r="Q16" s="507"/>
      <c r="R16" s="507"/>
    </row>
    <row r="17" spans="1:18" ht="14.4" customHeight="1">
      <c r="A17" s="391" t="s">
        <v>118</v>
      </c>
      <c r="B17" s="383" t="s">
        <v>109</v>
      </c>
      <c r="C17" s="392"/>
      <c r="D17" s="128"/>
      <c r="E17" s="261">
        <f>$C17*E15</f>
        <v>0</v>
      </c>
      <c r="F17" s="257"/>
      <c r="H17" s="205" t="s">
        <v>106</v>
      </c>
      <c r="I17" s="520" t="s">
        <v>123</v>
      </c>
      <c r="J17" s="523"/>
      <c r="K17" s="523"/>
      <c r="L17" s="523"/>
      <c r="M17" s="523"/>
      <c r="N17" s="524"/>
      <c r="P17" s="507"/>
      <c r="Q17" s="507"/>
      <c r="R17" s="507"/>
    </row>
    <row r="18" spans="1:18" ht="13.2" customHeight="1">
      <c r="A18" s="391" t="s">
        <v>120</v>
      </c>
      <c r="B18" s="383" t="s">
        <v>109</v>
      </c>
      <c r="C18" s="392"/>
      <c r="D18" s="128"/>
      <c r="E18" s="262">
        <f>$C18*E15</f>
        <v>0</v>
      </c>
      <c r="F18" s="257"/>
      <c r="H18" s="143"/>
      <c r="I18" s="277">
        <v>1</v>
      </c>
      <c r="J18" s="277">
        <v>2</v>
      </c>
      <c r="K18" s="277">
        <v>3</v>
      </c>
      <c r="L18" s="277">
        <v>4</v>
      </c>
      <c r="M18" s="277">
        <v>5</v>
      </c>
      <c r="N18" s="277">
        <v>6</v>
      </c>
      <c r="O18" s="242"/>
    </row>
    <row r="19" spans="1:18">
      <c r="A19" s="386" t="s">
        <v>122</v>
      </c>
      <c r="B19" s="393"/>
      <c r="C19" s="139"/>
      <c r="D19" s="128"/>
      <c r="E19" s="259">
        <f>SUM(E15:E18)</f>
        <v>0</v>
      </c>
      <c r="F19" s="394">
        <f>IF(E19=0,0,E19/E$47)</f>
        <v>0</v>
      </c>
      <c r="H19" s="143" t="s">
        <v>116</v>
      </c>
      <c r="I19" s="398"/>
      <c r="J19" s="398"/>
      <c r="K19" s="398"/>
      <c r="L19" s="398"/>
      <c r="M19" s="398"/>
      <c r="N19" s="398"/>
      <c r="O19" s="242"/>
    </row>
    <row r="20" spans="1:18">
      <c r="A20" s="138"/>
      <c r="B20" s="389"/>
      <c r="C20" s="390"/>
      <c r="D20" s="128"/>
      <c r="E20" s="260"/>
      <c r="F20" s="257"/>
      <c r="H20" s="143" t="s">
        <v>117</v>
      </c>
      <c r="I20" s="398"/>
      <c r="J20" s="398"/>
      <c r="K20" s="398"/>
      <c r="L20" s="398"/>
      <c r="M20" s="398"/>
      <c r="N20" s="398"/>
      <c r="O20" s="272"/>
    </row>
    <row r="21" spans="1:18">
      <c r="A21" s="395" t="s">
        <v>124</v>
      </c>
      <c r="B21" s="396"/>
      <c r="C21" s="390"/>
      <c r="D21" s="141"/>
      <c r="E21" s="263">
        <f>E19*0.96</f>
        <v>0</v>
      </c>
      <c r="F21" s="264"/>
      <c r="G21" s="142"/>
      <c r="H21" s="143" t="s">
        <v>119</v>
      </c>
      <c r="I21" s="398"/>
      <c r="J21" s="398"/>
      <c r="K21" s="398"/>
      <c r="L21" s="398"/>
      <c r="M21" s="398"/>
      <c r="N21" s="398"/>
      <c r="O21" s="242"/>
    </row>
    <row r="22" spans="1:18" s="13" customFormat="1">
      <c r="A22" s="391" t="s">
        <v>125</v>
      </c>
      <c r="B22" s="396"/>
      <c r="C22" s="397" t="s">
        <v>126</v>
      </c>
      <c r="D22" s="128"/>
      <c r="E22" s="261" t="e">
        <f>E21*'5-Premies en opslagen'!$C24</f>
        <v>#DIV/0!</v>
      </c>
      <c r="F22" s="257"/>
      <c r="G22" s="55"/>
      <c r="H22" s="143" t="s">
        <v>121</v>
      </c>
      <c r="I22" s="398"/>
      <c r="J22" s="398"/>
      <c r="K22" s="398"/>
      <c r="L22" s="398"/>
      <c r="M22" s="398"/>
      <c r="N22" s="398"/>
      <c r="O22" s="242"/>
    </row>
    <row r="23" spans="1:18" ht="14.25" customHeight="1">
      <c r="A23" s="386" t="s">
        <v>127</v>
      </c>
      <c r="B23" s="399"/>
      <c r="C23" s="139"/>
      <c r="D23" s="128"/>
      <c r="E23" s="259" t="e">
        <f>E22+E19</f>
        <v>#DIV/0!</v>
      </c>
      <c r="F23" s="394" t="e">
        <f>IF(E23=0,0,E23/E$47)</f>
        <v>#DIV/0!</v>
      </c>
      <c r="H23" s="144" t="s">
        <v>133</v>
      </c>
      <c r="I23" s="402">
        <f t="shared" ref="I23:N23" si="0">SUM(I19:I22)</f>
        <v>0</v>
      </c>
      <c r="J23" s="402">
        <f t="shared" si="0"/>
        <v>0</v>
      </c>
      <c r="K23" s="402">
        <f t="shared" si="0"/>
        <v>0</v>
      </c>
      <c r="L23" s="402">
        <f t="shared" si="0"/>
        <v>0</v>
      </c>
      <c r="M23" s="402">
        <f t="shared" si="0"/>
        <v>0</v>
      </c>
      <c r="N23" s="402">
        <f t="shared" si="0"/>
        <v>0</v>
      </c>
      <c r="O23" s="403">
        <f>SUM(I23:N23)</f>
        <v>0</v>
      </c>
    </row>
    <row r="24" spans="1:18" ht="12.75" customHeight="1">
      <c r="A24" s="138"/>
      <c r="B24" s="393"/>
      <c r="C24" s="139"/>
      <c r="D24" s="128"/>
      <c r="E24" s="255"/>
      <c r="F24" s="257"/>
    </row>
    <row r="25" spans="1:18" ht="12.75" customHeight="1">
      <c r="A25" s="391" t="s">
        <v>128</v>
      </c>
      <c r="B25" s="396"/>
      <c r="C25" s="397" t="s">
        <v>126</v>
      </c>
      <c r="D25" s="128"/>
      <c r="E25" s="261" t="e">
        <f>E23*'5-Premies en opslagen'!$B53</f>
        <v>#DIV/0!</v>
      </c>
      <c r="F25" s="257"/>
      <c r="H25" s="205" t="s">
        <v>106</v>
      </c>
      <c r="I25" s="515" t="s">
        <v>135</v>
      </c>
      <c r="J25" s="516"/>
      <c r="K25" s="516"/>
      <c r="L25" s="516"/>
      <c r="M25" s="516"/>
      <c r="N25" s="516"/>
    </row>
    <row r="26" spans="1:18">
      <c r="A26" s="386" t="s">
        <v>129</v>
      </c>
      <c r="B26" s="393"/>
      <c r="C26" s="139"/>
      <c r="D26" s="128"/>
      <c r="E26" s="259" t="e">
        <f>SUM(E23:E25)</f>
        <v>#DIV/0!</v>
      </c>
      <c r="F26" s="394" t="e">
        <f>IF(E26=0,0,E26/E$47)</f>
        <v>#DIV/0!</v>
      </c>
      <c r="H26" s="279"/>
      <c r="I26" s="277">
        <v>1</v>
      </c>
      <c r="J26" s="277">
        <v>2</v>
      </c>
      <c r="K26" s="277">
        <v>3</v>
      </c>
      <c r="L26" s="277">
        <v>4</v>
      </c>
      <c r="M26" s="277">
        <v>5</v>
      </c>
      <c r="N26" s="277">
        <v>6</v>
      </c>
    </row>
    <row r="27" spans="1:18" ht="13.2" customHeight="1">
      <c r="A27" s="138"/>
      <c r="B27" s="393"/>
      <c r="C27" s="139"/>
      <c r="D27" s="128"/>
      <c r="E27" s="255"/>
      <c r="F27" s="257"/>
      <c r="H27" s="143" t="s">
        <v>116</v>
      </c>
      <c r="I27" s="420"/>
      <c r="J27" s="420"/>
      <c r="K27" s="420"/>
      <c r="L27" s="420"/>
      <c r="M27" s="420"/>
      <c r="N27" s="420"/>
    </row>
    <row r="28" spans="1:18">
      <c r="A28" s="138" t="s">
        <v>130</v>
      </c>
      <c r="B28" s="400"/>
      <c r="C28" s="385" t="s">
        <v>131</v>
      </c>
      <c r="D28" s="128"/>
      <c r="E28" s="258"/>
      <c r="F28" s="257">
        <v>0</v>
      </c>
      <c r="H28" s="143" t="s">
        <v>117</v>
      </c>
      <c r="I28" s="420"/>
      <c r="J28" s="420"/>
      <c r="K28" s="420"/>
      <c r="L28" s="420"/>
      <c r="M28" s="420"/>
      <c r="N28" s="420"/>
    </row>
    <row r="29" spans="1:18">
      <c r="A29" s="138" t="s">
        <v>132</v>
      </c>
      <c r="B29" s="401"/>
      <c r="C29" s="385" t="s">
        <v>131</v>
      </c>
      <c r="D29" s="128"/>
      <c r="E29" s="258"/>
      <c r="F29" s="257">
        <v>0</v>
      </c>
      <c r="H29" s="143" t="s">
        <v>119</v>
      </c>
      <c r="I29" s="420"/>
      <c r="J29" s="420"/>
      <c r="K29" s="420"/>
      <c r="L29" s="420"/>
      <c r="M29" s="420"/>
      <c r="N29" s="420"/>
    </row>
    <row r="30" spans="1:18">
      <c r="A30" s="138"/>
      <c r="B30" s="393"/>
      <c r="C30" s="139"/>
      <c r="D30" s="128"/>
      <c r="E30" s="258"/>
      <c r="F30" s="257"/>
      <c r="H30" s="143" t="s">
        <v>121</v>
      </c>
      <c r="I30" s="420"/>
      <c r="J30" s="420"/>
      <c r="K30" s="420"/>
      <c r="L30" s="420"/>
      <c r="M30" s="420"/>
      <c r="N30" s="420"/>
    </row>
    <row r="31" spans="1:18" ht="12.75" customHeight="1">
      <c r="A31" s="404"/>
      <c r="B31" s="405"/>
      <c r="C31" s="406" t="s">
        <v>107</v>
      </c>
      <c r="D31" s="128"/>
      <c r="E31" s="258"/>
      <c r="F31" s="257"/>
      <c r="H31" s="144" t="s">
        <v>133</v>
      </c>
      <c r="I31" s="421">
        <f t="shared" ref="I31:N31" si="1">SUM(I27:I30)</f>
        <v>0</v>
      </c>
      <c r="J31" s="421">
        <f t="shared" si="1"/>
        <v>0</v>
      </c>
      <c r="K31" s="421">
        <f t="shared" si="1"/>
        <v>0</v>
      </c>
      <c r="L31" s="421">
        <f t="shared" si="1"/>
        <v>0</v>
      </c>
      <c r="M31" s="421">
        <f t="shared" si="1"/>
        <v>0</v>
      </c>
      <c r="N31" s="421">
        <f t="shared" si="1"/>
        <v>0</v>
      </c>
    </row>
    <row r="32" spans="1:18" ht="12.75" customHeight="1">
      <c r="A32" s="386" t="s">
        <v>136</v>
      </c>
      <c r="B32" s="393"/>
      <c r="C32" s="139"/>
      <c r="D32" s="128"/>
      <c r="E32" s="259" t="e">
        <f>SUM(E26:E31)</f>
        <v>#DIV/0!</v>
      </c>
      <c r="F32" s="394" t="e">
        <f>IF(E32=0,0,E32/E$47)</f>
        <v>#DIV/0!</v>
      </c>
    </row>
    <row r="33" spans="1:15" ht="12.75" customHeight="1">
      <c r="A33" s="138"/>
      <c r="B33" s="393"/>
      <c r="C33" s="139"/>
      <c r="D33" s="128"/>
      <c r="E33" s="255"/>
      <c r="F33" s="257"/>
    </row>
    <row r="34" spans="1:15" ht="12.75" customHeight="1">
      <c r="A34" s="138" t="s">
        <v>137</v>
      </c>
      <c r="B34" s="393"/>
      <c r="C34" s="407"/>
      <c r="D34" s="128"/>
      <c r="E34" s="258"/>
      <c r="F34" s="265" t="e">
        <f>E34/$E$47</f>
        <v>#DIV/0!</v>
      </c>
    </row>
    <row r="35" spans="1:15" ht="12.75" customHeight="1">
      <c r="A35" s="138" t="s">
        <v>138</v>
      </c>
      <c r="B35" s="393"/>
      <c r="C35" s="407"/>
      <c r="D35" s="128"/>
      <c r="E35" s="258"/>
      <c r="F35" s="265" t="e">
        <f t="shared" ref="F35:F41" si="2">E35/$E$47</f>
        <v>#DIV/0!</v>
      </c>
    </row>
    <row r="36" spans="1:15" ht="14.25" customHeight="1">
      <c r="A36" s="138" t="s">
        <v>139</v>
      </c>
      <c r="B36" s="393"/>
      <c r="C36" s="407"/>
      <c r="D36" s="128"/>
      <c r="E36" s="258"/>
      <c r="F36" s="265" t="e">
        <f t="shared" si="2"/>
        <v>#DIV/0!</v>
      </c>
    </row>
    <row r="37" spans="1:15">
      <c r="A37" s="138" t="s">
        <v>140</v>
      </c>
      <c r="B37" s="393"/>
      <c r="C37" s="408"/>
      <c r="D37" s="128"/>
      <c r="E37" s="258"/>
      <c r="F37" s="265" t="e">
        <f t="shared" si="2"/>
        <v>#DIV/0!</v>
      </c>
    </row>
    <row r="38" spans="1:15">
      <c r="A38" s="138" t="s">
        <v>141</v>
      </c>
      <c r="B38" s="393"/>
      <c r="C38" s="407"/>
      <c r="D38" s="128"/>
      <c r="E38" s="258"/>
      <c r="F38" s="265" t="e">
        <f t="shared" si="2"/>
        <v>#DIV/0!</v>
      </c>
    </row>
    <row r="39" spans="1:15">
      <c r="A39" s="138" t="s">
        <v>142</v>
      </c>
      <c r="B39" s="393"/>
      <c r="C39" s="408"/>
      <c r="D39" s="128"/>
      <c r="E39" s="258"/>
      <c r="F39" s="265" t="e">
        <f t="shared" si="2"/>
        <v>#DIV/0!</v>
      </c>
    </row>
    <row r="40" spans="1:15">
      <c r="A40" s="138" t="s">
        <v>143</v>
      </c>
      <c r="B40" s="393"/>
      <c r="C40" s="385" t="s">
        <v>131</v>
      </c>
      <c r="D40" s="128"/>
      <c r="E40" s="258"/>
      <c r="F40" s="265" t="e">
        <f t="shared" si="2"/>
        <v>#DIV/0!</v>
      </c>
    </row>
    <row r="41" spans="1:15">
      <c r="A41" s="138" t="s">
        <v>144</v>
      </c>
      <c r="B41" s="393"/>
      <c r="C41" s="385"/>
      <c r="D41" s="128"/>
      <c r="E41" s="258"/>
      <c r="F41" s="265" t="e">
        <f t="shared" si="2"/>
        <v>#DIV/0!</v>
      </c>
      <c r="H41" s="142"/>
      <c r="I41" s="142"/>
      <c r="J41" s="142"/>
      <c r="K41" s="142"/>
      <c r="L41" s="142"/>
      <c r="M41" s="142"/>
      <c r="N41" s="142"/>
      <c r="O41" s="142"/>
    </row>
    <row r="42" spans="1:15">
      <c r="A42" s="404"/>
      <c r="B42" s="405"/>
      <c r="C42" s="409"/>
      <c r="D42" s="128"/>
      <c r="E42" s="258"/>
      <c r="F42" s="257"/>
      <c r="H42" s="142"/>
      <c r="I42" s="142"/>
      <c r="J42" s="142"/>
      <c r="K42" s="142"/>
      <c r="L42" s="142"/>
      <c r="M42" s="142"/>
      <c r="N42" s="142"/>
      <c r="O42" s="142"/>
    </row>
    <row r="43" spans="1:15" ht="45">
      <c r="A43" s="386" t="s">
        <v>145</v>
      </c>
      <c r="B43" s="393"/>
      <c r="C43" s="139"/>
      <c r="D43" s="128"/>
      <c r="E43" s="259" t="e">
        <f>SUM(E32:E42)</f>
        <v>#DIV/0!</v>
      </c>
      <c r="F43" s="394" t="e">
        <f>IF(E43=0,0,E43/E$47)</f>
        <v>#DIV/0!</v>
      </c>
      <c r="H43" s="418" t="s">
        <v>146</v>
      </c>
      <c r="I43" s="378"/>
      <c r="J43" s="379"/>
      <c r="K43" s="206" t="s">
        <v>105</v>
      </c>
      <c r="L43" s="142"/>
      <c r="M43" s="142"/>
      <c r="N43" s="142"/>
    </row>
    <row r="44" spans="1:15">
      <c r="A44" s="138"/>
      <c r="B44" s="393"/>
      <c r="C44" s="139"/>
      <c r="D44" s="128"/>
      <c r="E44" s="255"/>
      <c r="F44" s="266"/>
      <c r="H44" s="143"/>
      <c r="I44" s="380" t="s">
        <v>107</v>
      </c>
      <c r="J44" s="381" t="s">
        <v>107</v>
      </c>
      <c r="K44" s="255"/>
      <c r="L44" s="142"/>
      <c r="M44" s="142"/>
      <c r="N44" s="142"/>
    </row>
    <row r="45" spans="1:15">
      <c r="A45" s="138" t="s">
        <v>147</v>
      </c>
      <c r="B45" s="393"/>
      <c r="C45" s="408"/>
      <c r="D45" s="128"/>
      <c r="E45" s="258"/>
      <c r="F45" s="394">
        <f>(IF(E45=0,0,E45/E$47))</f>
        <v>0</v>
      </c>
      <c r="H45" s="146" t="s">
        <v>115</v>
      </c>
      <c r="I45" s="147"/>
      <c r="J45" s="148"/>
      <c r="K45" s="259">
        <f>E15</f>
        <v>0</v>
      </c>
      <c r="L45" s="142"/>
      <c r="M45" s="142"/>
      <c r="N45" s="142"/>
    </row>
    <row r="46" spans="1:15">
      <c r="A46" s="138"/>
      <c r="B46" s="410"/>
      <c r="C46" s="139"/>
      <c r="D46" s="128"/>
      <c r="E46" s="255"/>
      <c r="F46" s="257"/>
      <c r="H46" s="149" t="s">
        <v>118</v>
      </c>
      <c r="I46" s="150"/>
      <c r="J46" s="151"/>
      <c r="K46" s="261">
        <f>E17</f>
        <v>0</v>
      </c>
      <c r="L46" s="142"/>
      <c r="M46" s="142"/>
      <c r="N46" s="142"/>
    </row>
    <row r="47" spans="1:15">
      <c r="A47" s="386" t="s">
        <v>148</v>
      </c>
      <c r="B47" s="411"/>
      <c r="C47" s="412"/>
      <c r="D47" s="128"/>
      <c r="E47" s="267" t="e">
        <f>SUM(E43:E46)</f>
        <v>#DIV/0!</v>
      </c>
      <c r="F47" s="268" t="e">
        <f>SUM(F43:F46)</f>
        <v>#DIV/0!</v>
      </c>
      <c r="H47" s="391" t="s">
        <v>120</v>
      </c>
      <c r="I47" s="150"/>
      <c r="J47" s="151"/>
      <c r="K47" s="262">
        <f>E18</f>
        <v>0</v>
      </c>
      <c r="L47" s="142"/>
      <c r="M47" s="142"/>
      <c r="N47" s="142"/>
      <c r="O47" s="142"/>
    </row>
    <row r="48" spans="1:15">
      <c r="B48" s="145"/>
      <c r="C48" s="413"/>
      <c r="D48" s="128"/>
      <c r="E48" s="242"/>
      <c r="F48" s="269"/>
      <c r="H48" s="391" t="s">
        <v>125</v>
      </c>
      <c r="I48" s="150"/>
      <c r="J48" s="151"/>
      <c r="K48" s="261" t="e">
        <f>E22</f>
        <v>#DIV/0!</v>
      </c>
      <c r="L48" s="142"/>
      <c r="M48" s="142"/>
      <c r="N48" s="142"/>
      <c r="O48" s="142"/>
    </row>
    <row r="49" spans="1:15">
      <c r="A49" s="414" t="s">
        <v>149</v>
      </c>
      <c r="B49" s="415"/>
      <c r="C49" s="416"/>
      <c r="D49" s="142"/>
      <c r="E49" s="270" t="e">
        <f>(E$26*1.3)+($E$47-$E$26)</f>
        <v>#DIV/0!</v>
      </c>
      <c r="F49" s="271"/>
      <c r="G49" s="142"/>
      <c r="H49" s="391" t="s">
        <v>128</v>
      </c>
      <c r="I49" s="396"/>
      <c r="J49" s="397"/>
      <c r="K49" s="261" t="e">
        <f>E25</f>
        <v>#DIV/0!</v>
      </c>
      <c r="L49" s="142"/>
      <c r="M49" s="142"/>
      <c r="N49" s="142"/>
      <c r="O49" s="142"/>
    </row>
    <row r="50" spans="1:15" s="13" customFormat="1">
      <c r="A50" s="142"/>
      <c r="B50" s="152"/>
      <c r="C50" s="153"/>
      <c r="D50" s="142"/>
      <c r="E50" s="272"/>
      <c r="F50" s="272"/>
      <c r="G50" s="142"/>
      <c r="H50" s="138" t="s">
        <v>130</v>
      </c>
      <c r="I50" s="400"/>
      <c r="J50" s="385"/>
      <c r="K50" s="256">
        <f>E28</f>
        <v>0</v>
      </c>
      <c r="L50" s="142"/>
      <c r="M50" s="142"/>
      <c r="N50" s="142"/>
      <c r="O50" s="142"/>
    </row>
    <row r="51" spans="1:15" s="13" customFormat="1">
      <c r="A51" s="414" t="s">
        <v>150</v>
      </c>
      <c r="B51" s="415"/>
      <c r="C51" s="416"/>
      <c r="D51" s="142"/>
      <c r="E51" s="270" t="e">
        <f>(E$26*1.5)+($E$47-$E$26)</f>
        <v>#DIV/0!</v>
      </c>
      <c r="F51" s="271"/>
      <c r="G51" s="142"/>
      <c r="H51" s="138" t="s">
        <v>132</v>
      </c>
      <c r="I51" s="401"/>
      <c r="J51" s="385"/>
      <c r="K51" s="256">
        <f t="shared" ref="K51:K52" si="3">E29</f>
        <v>0</v>
      </c>
      <c r="L51" s="142"/>
      <c r="M51" s="55"/>
      <c r="N51" s="142"/>
      <c r="O51" s="142"/>
    </row>
    <row r="52" spans="1:15" s="13" customFormat="1">
      <c r="A52" s="142"/>
      <c r="B52" s="152"/>
      <c r="C52" s="153"/>
      <c r="D52" s="142"/>
      <c r="E52" s="272"/>
      <c r="F52" s="272"/>
      <c r="G52" s="142"/>
      <c r="H52" s="138" t="s">
        <v>134</v>
      </c>
      <c r="I52" s="393"/>
      <c r="J52" s="139" t="s">
        <v>107</v>
      </c>
      <c r="K52" s="256">
        <f t="shared" si="3"/>
        <v>0</v>
      </c>
      <c r="L52" s="142"/>
      <c r="M52" s="55"/>
      <c r="N52" s="142"/>
      <c r="O52" s="142"/>
    </row>
    <row r="53" spans="1:15" s="13" customFormat="1">
      <c r="A53" s="414" t="s">
        <v>151</v>
      </c>
      <c r="B53" s="415"/>
      <c r="C53" s="416"/>
      <c r="D53" s="142"/>
      <c r="E53" s="270" t="e">
        <f>(E$26*2.5)+($E$47-$E$26)</f>
        <v>#DIV/0!</v>
      </c>
      <c r="F53" s="272"/>
      <c r="G53" s="142"/>
      <c r="H53" s="138" t="s">
        <v>137</v>
      </c>
      <c r="I53" s="393"/>
      <c r="J53" s="407"/>
      <c r="K53" s="256">
        <f>E34</f>
        <v>0</v>
      </c>
      <c r="L53" s="142"/>
      <c r="M53" s="55"/>
      <c r="N53" s="142"/>
      <c r="O53" s="142"/>
    </row>
    <row r="54" spans="1:15" s="13" customFormat="1">
      <c r="A54" s="142"/>
      <c r="B54" s="152"/>
      <c r="C54" s="154"/>
      <c r="D54" s="142"/>
      <c r="E54" s="142"/>
      <c r="F54" s="155"/>
      <c r="G54" s="142"/>
      <c r="H54" s="138" t="s">
        <v>138</v>
      </c>
      <c r="I54" s="393"/>
      <c r="J54" s="407"/>
      <c r="K54" s="256">
        <f t="shared" ref="K54:K60" si="4">E35</f>
        <v>0</v>
      </c>
      <c r="L54" s="142"/>
      <c r="M54" s="55"/>
      <c r="N54" s="142"/>
      <c r="O54" s="142"/>
    </row>
    <row r="55" spans="1:15" s="13" customFormat="1">
      <c r="A55" s="142"/>
      <c r="B55" s="152"/>
      <c r="C55" s="154"/>
      <c r="D55" s="142"/>
      <c r="E55" s="142"/>
      <c r="F55" s="155"/>
      <c r="G55" s="142"/>
      <c r="H55" s="138" t="s">
        <v>139</v>
      </c>
      <c r="I55" s="393"/>
      <c r="J55" s="407"/>
      <c r="K55" s="256">
        <f t="shared" si="4"/>
        <v>0</v>
      </c>
      <c r="L55" s="142"/>
      <c r="M55" s="55"/>
      <c r="N55" s="142"/>
      <c r="O55" s="142"/>
    </row>
    <row r="56" spans="1:15" s="13" customFormat="1">
      <c r="A56" s="142"/>
      <c r="B56" s="142"/>
      <c r="C56" s="156"/>
      <c r="D56" s="142"/>
      <c r="E56" s="142"/>
      <c r="F56" s="155"/>
      <c r="G56" s="142"/>
      <c r="H56" s="138" t="s">
        <v>140</v>
      </c>
      <c r="I56" s="393"/>
      <c r="J56" s="408"/>
      <c r="K56" s="256">
        <f t="shared" si="4"/>
        <v>0</v>
      </c>
      <c r="L56" s="142"/>
      <c r="M56" s="55"/>
      <c r="N56" s="142"/>
      <c r="O56" s="142"/>
    </row>
    <row r="57" spans="1:15" s="13" customFormat="1">
      <c r="A57" s="142"/>
      <c r="B57" s="142"/>
      <c r="C57" s="156"/>
      <c r="D57" s="142"/>
      <c r="E57" s="142"/>
      <c r="F57" s="155"/>
      <c r="G57" s="142"/>
      <c r="H57" s="138" t="s">
        <v>141</v>
      </c>
      <c r="I57" s="393"/>
      <c r="J57" s="407"/>
      <c r="K57" s="256">
        <f t="shared" si="4"/>
        <v>0</v>
      </c>
      <c r="L57" s="142"/>
      <c r="M57" s="55"/>
      <c r="N57" s="142"/>
      <c r="O57" s="142"/>
    </row>
    <row r="58" spans="1:15" s="13" customFormat="1">
      <c r="A58" s="55"/>
      <c r="B58" s="142"/>
      <c r="C58" s="156"/>
      <c r="D58" s="142"/>
      <c r="E58" s="142"/>
      <c r="F58" s="155"/>
      <c r="G58" s="142"/>
      <c r="H58" s="138" t="s">
        <v>142</v>
      </c>
      <c r="I58" s="393"/>
      <c r="J58" s="408"/>
      <c r="K58" s="256">
        <f t="shared" si="4"/>
        <v>0</v>
      </c>
      <c r="L58" s="142"/>
      <c r="M58" s="55"/>
      <c r="N58" s="55"/>
      <c r="O58" s="142"/>
    </row>
    <row r="59" spans="1:15" s="13" customFormat="1">
      <c r="A59" s="142"/>
      <c r="B59" s="142"/>
      <c r="C59" s="156"/>
      <c r="D59" s="142"/>
      <c r="E59" s="142"/>
      <c r="F59" s="155"/>
      <c r="G59" s="142"/>
      <c r="H59" s="138" t="s">
        <v>143</v>
      </c>
      <c r="I59" s="393"/>
      <c r="J59" s="385"/>
      <c r="K59" s="256">
        <f t="shared" si="4"/>
        <v>0</v>
      </c>
      <c r="L59" s="142"/>
      <c r="M59" s="55"/>
      <c r="N59" s="55"/>
      <c r="O59" s="142"/>
    </row>
    <row r="60" spans="1:15" s="13" customFormat="1">
      <c r="A60" s="142"/>
      <c r="B60" s="142"/>
      <c r="C60" s="156"/>
      <c r="D60" s="142"/>
      <c r="E60" s="142"/>
      <c r="F60" s="155"/>
      <c r="G60" s="142"/>
      <c r="H60" s="138" t="s">
        <v>144</v>
      </c>
      <c r="I60" s="393"/>
      <c r="J60" s="385"/>
      <c r="K60" s="256">
        <f t="shared" si="4"/>
        <v>0</v>
      </c>
      <c r="L60" s="142"/>
      <c r="M60" s="55"/>
      <c r="N60" s="55"/>
      <c r="O60" s="142"/>
    </row>
    <row r="61" spans="1:15" s="13" customFormat="1">
      <c r="A61" s="142"/>
      <c r="B61" s="142"/>
      <c r="C61" s="156"/>
      <c r="D61" s="142"/>
      <c r="E61" s="142"/>
      <c r="F61" s="155"/>
      <c r="G61" s="142"/>
      <c r="H61" s="138" t="s">
        <v>147</v>
      </c>
      <c r="I61" s="393"/>
      <c r="J61" s="408"/>
      <c r="K61" s="256">
        <f>E45</f>
        <v>0</v>
      </c>
      <c r="L61" s="142"/>
      <c r="M61" s="55"/>
      <c r="N61" s="55"/>
      <c r="O61" s="142"/>
    </row>
    <row r="62" spans="1:15" s="13" customFormat="1">
      <c r="A62" s="142"/>
      <c r="B62" s="142"/>
      <c r="C62" s="156"/>
      <c r="D62" s="142"/>
      <c r="E62" s="142"/>
      <c r="F62" s="155"/>
      <c r="G62" s="142"/>
      <c r="H62" s="138"/>
      <c r="I62" s="410"/>
      <c r="J62" s="139"/>
      <c r="K62" s="255"/>
      <c r="L62" s="142"/>
      <c r="M62" s="55"/>
      <c r="N62" s="55"/>
      <c r="O62" s="142"/>
    </row>
    <row r="63" spans="1:15" s="13" customFormat="1">
      <c r="A63" s="142"/>
      <c r="B63" s="142"/>
      <c r="C63" s="156"/>
      <c r="D63" s="142"/>
      <c r="E63" s="142"/>
      <c r="F63" s="155"/>
      <c r="G63" s="142"/>
      <c r="H63" s="386" t="s">
        <v>148</v>
      </c>
      <c r="I63" s="411"/>
      <c r="J63" s="412"/>
      <c r="K63" s="267" t="e">
        <f>SUM(K45:K62)</f>
        <v>#DIV/0!</v>
      </c>
      <c r="L63" s="142"/>
      <c r="M63" s="55"/>
      <c r="N63" s="55"/>
      <c r="O63" s="142"/>
    </row>
    <row r="64" spans="1:15" s="13" customFormat="1">
      <c r="A64" s="142"/>
      <c r="B64" s="142"/>
      <c r="C64" s="156"/>
      <c r="D64" s="142"/>
      <c r="E64" s="142"/>
      <c r="F64" s="155"/>
      <c r="G64" s="142"/>
      <c r="H64" s="55"/>
      <c r="I64" s="145"/>
      <c r="J64" s="413"/>
      <c r="K64" s="242"/>
      <c r="L64" s="142"/>
      <c r="M64" s="55"/>
      <c r="N64" s="55"/>
      <c r="O64" s="55"/>
    </row>
    <row r="65" spans="1:15" s="13" customFormat="1">
      <c r="A65" s="142"/>
      <c r="B65" s="142"/>
      <c r="C65" s="156"/>
      <c r="D65" s="142"/>
      <c r="E65" s="55"/>
      <c r="F65" s="155"/>
      <c r="G65" s="142"/>
      <c r="H65" s="414" t="s">
        <v>149</v>
      </c>
      <c r="I65" s="415"/>
      <c r="J65" s="416"/>
      <c r="K65" s="270" t="e">
        <f>E49</f>
        <v>#DIV/0!</v>
      </c>
      <c r="L65" s="142"/>
      <c r="M65" s="55"/>
      <c r="N65" s="55"/>
      <c r="O65" s="55"/>
    </row>
    <row r="66" spans="1:15">
      <c r="H66" s="142"/>
      <c r="I66" s="152"/>
      <c r="J66" s="153"/>
      <c r="K66" s="272"/>
      <c r="L66" s="142"/>
    </row>
    <row r="67" spans="1:15">
      <c r="H67" s="414" t="s">
        <v>150</v>
      </c>
      <c r="I67" s="415"/>
      <c r="J67" s="416"/>
      <c r="K67" s="270" t="e">
        <f>E51</f>
        <v>#DIV/0!</v>
      </c>
      <c r="L67" s="142"/>
    </row>
    <row r="68" spans="1:15">
      <c r="H68" s="142"/>
      <c r="I68" s="152"/>
      <c r="J68" s="153"/>
      <c r="K68" s="272"/>
      <c r="L68" s="142"/>
    </row>
    <row r="69" spans="1:15">
      <c r="H69" s="414" t="s">
        <v>151</v>
      </c>
      <c r="I69" s="415"/>
      <c r="J69" s="416"/>
      <c r="K69" s="270" t="e">
        <f>E53</f>
        <v>#DIV/0!</v>
      </c>
      <c r="L69" s="142"/>
    </row>
    <row r="70" spans="1:15">
      <c r="L70" s="142"/>
      <c r="O70" s="142"/>
    </row>
    <row r="71" spans="1:15">
      <c r="O71" s="142"/>
    </row>
    <row r="72" spans="1:15">
      <c r="O72" s="142"/>
    </row>
    <row r="73" spans="1:15">
      <c r="O73" s="142"/>
    </row>
    <row r="74" spans="1:15">
      <c r="O74" s="142"/>
    </row>
    <row r="75" spans="1:15">
      <c r="O75" s="142"/>
    </row>
    <row r="76" spans="1:15">
      <c r="O76" s="142"/>
    </row>
  </sheetData>
  <mergeCells count="8">
    <mergeCell ref="P16:R1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26"/>
  <sheetViews>
    <sheetView showGridLines="0" zoomScale="80" zoomScaleNormal="80" workbookViewId="0">
      <pane ySplit="10" topLeftCell="A11" activePane="bottomLeft" state="frozen"/>
      <selection activeCell="F5" sqref="F5"/>
      <selection pane="bottomLeft" activeCell="F5" sqref="F5"/>
    </sheetView>
  </sheetViews>
  <sheetFormatPr defaultColWidth="9.109375" defaultRowHeight="13.2"/>
  <cols>
    <col min="1" max="1" width="28.109375" style="55" customWidth="1"/>
    <col min="2" max="2" width="111.88671875" style="55" bestFit="1" customWidth="1"/>
    <col min="3" max="3" width="12.88671875" style="55" customWidth="1"/>
    <col min="4" max="4" width="43.88671875" style="55" bestFit="1" customWidth="1"/>
    <col min="5" max="5" width="15.33203125" style="55" customWidth="1"/>
    <col min="6" max="6" width="12.88671875" style="55" customWidth="1"/>
    <col min="7" max="7" width="16.5546875" style="55" bestFit="1" customWidth="1"/>
    <col min="8" max="8" width="17.5546875" style="55" bestFit="1" customWidth="1"/>
    <col min="9" max="9" width="57.6640625" style="2" customWidth="1"/>
    <col min="10" max="16384" width="9.109375" style="2"/>
  </cols>
  <sheetData>
    <row r="1" spans="1:9" ht="16.2">
      <c r="A1" s="422" t="s">
        <v>4</v>
      </c>
      <c r="D1" s="208" t="s">
        <v>154</v>
      </c>
      <c r="E1" s="209"/>
      <c r="F1" s="209"/>
      <c r="G1" s="210"/>
      <c r="H1" s="211" t="s">
        <v>155</v>
      </c>
    </row>
    <row r="2" spans="1:9">
      <c r="D2" s="157" t="s">
        <v>156</v>
      </c>
      <c r="E2" s="158"/>
      <c r="F2" s="158"/>
      <c r="G2" s="159"/>
      <c r="H2" s="280" t="e">
        <f>'6-Opbouw uurtarief productie'!E47</f>
        <v>#DIV/0!</v>
      </c>
    </row>
    <row r="3" spans="1:9" ht="18.600000000000001">
      <c r="A3" s="207" t="str">
        <f>'2-Kosten totaal'!A3</f>
        <v>Naam opdrachtgever</v>
      </c>
      <c r="B3" s="160" t="str">
        <f>'2-Kosten totaal'!B3</f>
        <v>RSG Enkhuizen</v>
      </c>
      <c r="D3" s="157" t="s">
        <v>157</v>
      </c>
      <c r="E3" s="158"/>
      <c r="F3" s="158"/>
      <c r="G3" s="159"/>
      <c r="H3" s="280" t="e">
        <f>'6-Opbouw uurtarief productie'!E51</f>
        <v>#DIV/0!</v>
      </c>
    </row>
    <row r="4" spans="1:9" ht="18.600000000000001">
      <c r="A4" s="207" t="str">
        <f>'2-Kosten totaal'!A4</f>
        <v>Calculatie onderdeel</v>
      </c>
      <c r="B4" s="46" t="str">
        <f ca="1">MID(CELL("bestandsnaam",$C$9),SEARCH("]",CELL("bestandsnaam",$C$9),1)+1,256)</f>
        <v>8-Additionele kosten</v>
      </c>
      <c r="D4" s="157" t="s">
        <v>158</v>
      </c>
      <c r="E4" s="158"/>
      <c r="F4" s="158"/>
      <c r="G4" s="159"/>
      <c r="H4" s="280" t="e">
        <f>'6-Opbouw uurtarief productie'!E53</f>
        <v>#DIV/0!</v>
      </c>
    </row>
    <row r="5" spans="1:9" ht="18.600000000000001">
      <c r="A5" s="207" t="str">
        <f>'2-Kosten totaal'!A5</f>
        <v>Gebouw/plaats</v>
      </c>
      <c r="B5" s="160" t="str">
        <f>'2-Kosten totaal'!B5</f>
        <v>Enkhuizen</v>
      </c>
      <c r="D5" s="157" t="s">
        <v>159</v>
      </c>
      <c r="E5" s="158"/>
      <c r="F5" s="158"/>
      <c r="G5" s="159"/>
      <c r="H5" s="280">
        <v>0</v>
      </c>
    </row>
    <row r="6" spans="1:9" ht="18.600000000000001">
      <c r="A6" s="207" t="str">
        <f>'2-Kosten totaal'!A6</f>
        <v>Referentie nummer</v>
      </c>
      <c r="B6" s="160" t="str">
        <f>'2-Kosten totaal'!B6</f>
        <v>TN481900</v>
      </c>
      <c r="D6" s="157" t="s">
        <v>159</v>
      </c>
      <c r="E6" s="158"/>
      <c r="F6" s="158"/>
      <c r="G6" s="159"/>
      <c r="H6" s="280">
        <v>0</v>
      </c>
    </row>
    <row r="7" spans="1:9" ht="15" customHeight="1">
      <c r="A7" s="207" t="str">
        <f>'2-Kosten totaal'!A7</f>
        <v>Naam dienstverlener</v>
      </c>
      <c r="B7" s="160">
        <f>'2-Kosten totaal'!B7</f>
        <v>0</v>
      </c>
      <c r="D7" s="157" t="s">
        <v>159</v>
      </c>
      <c r="E7" s="158"/>
      <c r="F7" s="158"/>
      <c r="G7" s="159"/>
      <c r="H7" s="280">
        <v>0</v>
      </c>
      <c r="I7" s="22"/>
    </row>
    <row r="8" spans="1:9" ht="18.600000000000001">
      <c r="A8" s="207" t="str">
        <f>'2-Kosten totaal'!A8</f>
        <v>Prijspeil</v>
      </c>
      <c r="B8" s="281">
        <f>'2-Kosten totaal'!B8</f>
        <v>45839</v>
      </c>
      <c r="D8" s="157" t="s">
        <v>159</v>
      </c>
      <c r="E8" s="158"/>
      <c r="F8" s="158"/>
      <c r="G8" s="159"/>
      <c r="H8" s="280">
        <v>0</v>
      </c>
      <c r="I8" s="22"/>
    </row>
    <row r="10" spans="1:9" ht="32.4">
      <c r="A10" s="423" t="s">
        <v>15</v>
      </c>
      <c r="B10" s="423" t="s">
        <v>160</v>
      </c>
      <c r="C10" s="423" t="s">
        <v>161</v>
      </c>
      <c r="D10" s="423" t="s">
        <v>162</v>
      </c>
      <c r="E10" s="423" t="s">
        <v>163</v>
      </c>
      <c r="F10" s="423" t="s">
        <v>164</v>
      </c>
      <c r="G10" s="423" t="s">
        <v>165</v>
      </c>
      <c r="H10" s="423" t="s">
        <v>166</v>
      </c>
    </row>
    <row r="11" spans="1:9">
      <c r="A11" s="289" t="s">
        <v>416</v>
      </c>
      <c r="B11" s="70" t="s">
        <v>412</v>
      </c>
      <c r="C11" s="424" t="s">
        <v>415</v>
      </c>
      <c r="D11" s="476">
        <f>20*5</f>
        <v>100</v>
      </c>
      <c r="E11" s="474"/>
      <c r="F11" s="425">
        <f>E11*D11</f>
        <v>0</v>
      </c>
      <c r="G11" s="426" t="e">
        <f>H2</f>
        <v>#DIV/0!</v>
      </c>
      <c r="H11" s="225" t="e">
        <f>G11*F11</f>
        <v>#DIV/0!</v>
      </c>
      <c r="I11" s="490"/>
    </row>
    <row r="12" spans="1:9">
      <c r="A12" s="475"/>
      <c r="B12" s="478"/>
      <c r="C12" s="476"/>
      <c r="D12" s="476"/>
      <c r="E12" s="283"/>
      <c r="F12" s="485"/>
      <c r="G12" s="426"/>
      <c r="H12" s="486"/>
      <c r="I12" s="490"/>
    </row>
    <row r="13" spans="1:9">
      <c r="A13" s="475"/>
      <c r="B13" s="478"/>
      <c r="C13" s="476"/>
      <c r="D13" s="476"/>
      <c r="E13" s="283"/>
      <c r="F13" s="485"/>
      <c r="G13" s="426"/>
      <c r="H13" s="486"/>
      <c r="I13" s="490"/>
    </row>
    <row r="14" spans="1:9">
      <c r="A14" s="475"/>
      <c r="B14" s="478"/>
      <c r="C14" s="476"/>
      <c r="D14" s="476"/>
      <c r="E14" s="283"/>
      <c r="F14" s="485"/>
      <c r="G14" s="426"/>
      <c r="H14" s="486"/>
      <c r="I14" s="487"/>
    </row>
    <row r="15" spans="1:9">
      <c r="A15" s="475"/>
      <c r="B15" s="478"/>
      <c r="C15" s="476"/>
      <c r="D15" s="476"/>
      <c r="E15" s="283"/>
      <c r="F15" s="485"/>
      <c r="G15" s="426"/>
      <c r="H15" s="486"/>
      <c r="I15" s="487"/>
    </row>
    <row r="16" spans="1:9">
      <c r="A16" s="289"/>
      <c r="B16" s="70"/>
      <c r="C16" s="424"/>
      <c r="D16" s="424"/>
      <c r="E16" s="283"/>
      <c r="F16" s="425"/>
      <c r="G16" s="426"/>
      <c r="H16" s="225"/>
    </row>
    <row r="17" spans="1:8">
      <c r="A17" s="289"/>
      <c r="B17" s="70"/>
      <c r="C17" s="424"/>
      <c r="D17" s="424"/>
      <c r="E17" s="283"/>
      <c r="F17" s="425"/>
      <c r="G17" s="426"/>
      <c r="H17" s="225"/>
    </row>
    <row r="18" spans="1:8">
      <c r="A18" s="289"/>
      <c r="B18" s="70"/>
      <c r="C18" s="424"/>
      <c r="D18" s="424"/>
      <c r="E18" s="283"/>
      <c r="F18" s="425"/>
      <c r="G18" s="426"/>
      <c r="H18" s="225"/>
    </row>
    <row r="19" spans="1:8">
      <c r="A19" s="289"/>
      <c r="B19" s="70"/>
      <c r="C19" s="424"/>
      <c r="D19" s="424"/>
      <c r="E19" s="283"/>
      <c r="F19" s="425"/>
      <c r="G19" s="426"/>
      <c r="H19" s="225"/>
    </row>
    <row r="20" spans="1:8">
      <c r="H20" s="242"/>
    </row>
    <row r="21" spans="1:8">
      <c r="A21" s="349" t="s">
        <v>21</v>
      </c>
      <c r="B21" s="361"/>
      <c r="C21" s="361"/>
      <c r="D21" s="361"/>
      <c r="E21" s="361"/>
      <c r="F21" s="427">
        <f>SUM(F11:F19)</f>
        <v>0</v>
      </c>
      <c r="G21" s="361"/>
      <c r="H21" s="276" t="e">
        <f>SUM(H11:H20)</f>
        <v>#DIV/0!</v>
      </c>
    </row>
    <row r="26" spans="1:8" s="12" customFormat="1">
      <c r="A26" s="55"/>
      <c r="B26" s="55"/>
      <c r="C26" s="55"/>
      <c r="D26" s="55"/>
      <c r="E26" s="55"/>
      <c r="F26" s="55"/>
      <c r="G26" s="55"/>
      <c r="H26" s="55"/>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0"/>
  <sheetViews>
    <sheetView showGridLines="0" showZeros="0" zoomScale="80" zoomScaleNormal="80" zoomScaleSheetLayoutView="75" zoomScalePageLayoutView="50" workbookViewId="0">
      <pane ySplit="10" topLeftCell="A25" activePane="bottomLeft" state="frozen"/>
      <selection activeCell="F5" sqref="F5"/>
      <selection pane="bottomLeft" activeCell="I52" sqref="I52"/>
    </sheetView>
  </sheetViews>
  <sheetFormatPr defaultColWidth="11.44140625" defaultRowHeight="13.2"/>
  <cols>
    <col min="1" max="1" width="93" style="55" bestFit="1" customWidth="1"/>
    <col min="2" max="2" width="20.33203125" style="55" customWidth="1"/>
    <col min="3" max="6" width="17.5546875" style="55" customWidth="1"/>
    <col min="7" max="16384" width="11.44140625" style="2"/>
  </cols>
  <sheetData>
    <row r="1" spans="1:6" ht="16.2">
      <c r="A1" s="428" t="s">
        <v>4</v>
      </c>
      <c r="B1" s="161"/>
      <c r="C1" s="161"/>
      <c r="D1" s="162"/>
    </row>
    <row r="2" spans="1:6" ht="16.2">
      <c r="A2" s="195"/>
    </row>
    <row r="3" spans="1:6" ht="18.600000000000001">
      <c r="A3" s="191" t="str">
        <f>'2-Kosten totaal'!A3</f>
        <v>Naam opdrachtgever</v>
      </c>
      <c r="B3" s="46" t="str">
        <f>'2-Kosten totaal'!B3</f>
        <v>RSG Enkhuizen</v>
      </c>
      <c r="C3" s="163"/>
      <c r="D3" s="163"/>
    </row>
    <row r="4" spans="1:6" ht="18.600000000000001">
      <c r="A4" s="191" t="str">
        <f>'2-Kosten totaal'!A4</f>
        <v>Calculatie onderdeel</v>
      </c>
      <c r="B4" s="46" t="str">
        <f ca="1">MID(CELL("bestandsnaam",$C$9),SEARCH("]",CELL("bestandsnaam",$C$9),1)+1,256)</f>
        <v>9-Afroepprijs</v>
      </c>
      <c r="C4" s="164"/>
      <c r="D4" s="165"/>
    </row>
    <row r="5" spans="1:6" ht="18.600000000000001">
      <c r="A5" s="191" t="str">
        <f>'2-Kosten totaal'!A5</f>
        <v>Gebouw/plaats</v>
      </c>
      <c r="B5" s="46" t="str">
        <f>'2-Kosten totaal'!B5</f>
        <v>Enkhuizen</v>
      </c>
      <c r="C5" s="164"/>
      <c r="D5" s="165"/>
    </row>
    <row r="6" spans="1:6" ht="18.600000000000001">
      <c r="A6" s="191" t="str">
        <f>'2-Kosten totaal'!A6</f>
        <v>Referentie nummer</v>
      </c>
      <c r="B6" s="46" t="str">
        <f>'2-Kosten totaal'!B6</f>
        <v>TN481900</v>
      </c>
      <c r="C6" s="164"/>
      <c r="D6" s="165"/>
    </row>
    <row r="7" spans="1:6" ht="18.600000000000001">
      <c r="A7" s="191" t="str">
        <f>'2-Kosten totaal'!A7</f>
        <v>Naam dienstverlener</v>
      </c>
      <c r="B7" s="46">
        <f>'2-Kosten totaal'!B7</f>
        <v>0</v>
      </c>
      <c r="C7" s="164"/>
      <c r="D7" s="165"/>
    </row>
    <row r="8" spans="1:6" ht="18.600000000000001">
      <c r="A8" s="191" t="str">
        <f>'2-Kosten totaal'!A8</f>
        <v>Prijspeil</v>
      </c>
      <c r="B8" s="251">
        <f>'2-Kosten totaal'!B8</f>
        <v>45839</v>
      </c>
      <c r="C8" s="164"/>
      <c r="D8" s="165"/>
    </row>
    <row r="9" spans="1:6" ht="15.6">
      <c r="A9" s="166"/>
      <c r="B9" s="167"/>
      <c r="C9" s="164"/>
      <c r="D9" s="165"/>
    </row>
    <row r="10" spans="1:6">
      <c r="A10" s="168"/>
      <c r="B10" s="169"/>
      <c r="C10" s="169"/>
      <c r="D10" s="169"/>
    </row>
    <row r="11" spans="1:6" ht="18.600000000000001">
      <c r="A11" s="429" t="s">
        <v>167</v>
      </c>
      <c r="B11" s="430"/>
      <c r="C11" s="430"/>
      <c r="D11" s="431"/>
      <c r="E11" s="431"/>
      <c r="F11" s="432"/>
    </row>
    <row r="13" spans="1:6">
      <c r="A13" s="433"/>
      <c r="B13" s="434"/>
      <c r="C13" s="525" t="s">
        <v>168</v>
      </c>
      <c r="D13" s="526"/>
      <c r="E13" s="526"/>
      <c r="F13" s="527"/>
    </row>
    <row r="14" spans="1:6">
      <c r="A14" s="435" t="s">
        <v>169</v>
      </c>
      <c r="B14" s="435" t="s">
        <v>170</v>
      </c>
      <c r="C14" s="436" t="s">
        <v>171</v>
      </c>
      <c r="D14" s="424" t="s">
        <v>172</v>
      </c>
      <c r="E14" s="424" t="s">
        <v>173</v>
      </c>
      <c r="F14" s="424" t="s">
        <v>174</v>
      </c>
    </row>
    <row r="15" spans="1:6">
      <c r="A15" s="437" t="s">
        <v>175</v>
      </c>
      <c r="B15" s="437" t="s">
        <v>176</v>
      </c>
      <c r="C15" s="438">
        <v>0</v>
      </c>
      <c r="D15" s="438">
        <v>0</v>
      </c>
      <c r="E15" s="438">
        <v>0</v>
      </c>
      <c r="F15" s="438">
        <v>0</v>
      </c>
    </row>
    <row r="16" spans="1:6">
      <c r="A16" s="437" t="s">
        <v>177</v>
      </c>
      <c r="B16" s="437" t="s">
        <v>176</v>
      </c>
      <c r="C16" s="438">
        <v>0</v>
      </c>
      <c r="D16" s="438">
        <v>0</v>
      </c>
      <c r="E16" s="438">
        <v>0</v>
      </c>
      <c r="F16" s="438">
        <v>0</v>
      </c>
    </row>
    <row r="17" spans="1:6">
      <c r="A17" s="437" t="s">
        <v>178</v>
      </c>
      <c r="B17" s="437" t="s">
        <v>179</v>
      </c>
      <c r="C17" s="438">
        <v>0</v>
      </c>
      <c r="D17" s="438">
        <v>0</v>
      </c>
      <c r="E17" s="438">
        <v>0</v>
      </c>
      <c r="F17" s="438">
        <v>0</v>
      </c>
    </row>
    <row r="18" spans="1:6">
      <c r="A18" s="437" t="s">
        <v>370</v>
      </c>
      <c r="B18" s="437" t="s">
        <v>179</v>
      </c>
      <c r="C18" s="438">
        <v>0</v>
      </c>
      <c r="D18" s="438">
        <v>0</v>
      </c>
      <c r="E18" s="438">
        <v>0</v>
      </c>
      <c r="F18" s="438">
        <v>0</v>
      </c>
    </row>
    <row r="19" spans="1:6">
      <c r="A19" s="435" t="s">
        <v>180</v>
      </c>
      <c r="B19" s="439"/>
      <c r="C19" s="438">
        <v>0</v>
      </c>
      <c r="D19" s="438">
        <v>0</v>
      </c>
      <c r="E19" s="438">
        <v>0</v>
      </c>
      <c r="F19" s="438">
        <v>0</v>
      </c>
    </row>
    <row r="20" spans="1:6">
      <c r="A20" s="435" t="s">
        <v>181</v>
      </c>
      <c r="B20" s="439"/>
      <c r="C20" s="438">
        <v>0</v>
      </c>
      <c r="D20" s="438">
        <v>0</v>
      </c>
      <c r="E20" s="438">
        <v>0</v>
      </c>
      <c r="F20" s="438">
        <v>0</v>
      </c>
    </row>
    <row r="21" spans="1:6">
      <c r="A21" s="170"/>
      <c r="B21" s="170"/>
      <c r="C21" s="170"/>
      <c r="D21" s="161"/>
    </row>
    <row r="22" spans="1:6" ht="18.600000000000001">
      <c r="A22" s="429" t="s">
        <v>182</v>
      </c>
      <c r="B22" s="440"/>
      <c r="C22" s="440"/>
      <c r="D22" s="440"/>
      <c r="E22" s="440"/>
      <c r="F22" s="441"/>
    </row>
    <row r="23" spans="1:6">
      <c r="A23" s="171"/>
      <c r="B23" s="170"/>
      <c r="C23" s="170"/>
      <c r="D23" s="161"/>
      <c r="E23" s="525" t="s">
        <v>183</v>
      </c>
      <c r="F23" s="527"/>
    </row>
    <row r="24" spans="1:6">
      <c r="A24" s="435" t="s">
        <v>184</v>
      </c>
      <c r="B24" s="442" t="s">
        <v>170</v>
      </c>
      <c r="C24" s="443"/>
      <c r="D24" s="444"/>
      <c r="E24" s="445" t="s">
        <v>185</v>
      </c>
      <c r="F24" s="445" t="s">
        <v>186</v>
      </c>
    </row>
    <row r="25" spans="1:6">
      <c r="A25" s="437" t="s">
        <v>187</v>
      </c>
      <c r="B25" s="439" t="s">
        <v>188</v>
      </c>
      <c r="C25" s="190"/>
      <c r="D25" s="190"/>
      <c r="E25" s="438">
        <v>0</v>
      </c>
      <c r="F25" s="438">
        <v>0</v>
      </c>
    </row>
    <row r="26" spans="1:6">
      <c r="A26" s="437" t="s">
        <v>189</v>
      </c>
      <c r="B26" s="439" t="s">
        <v>188</v>
      </c>
      <c r="C26" s="446"/>
      <c r="D26" s="446"/>
      <c r="E26" s="438">
        <v>0</v>
      </c>
      <c r="F26" s="438">
        <v>0</v>
      </c>
    </row>
    <row r="27" spans="1:6">
      <c r="A27" s="437" t="s">
        <v>190</v>
      </c>
      <c r="B27" s="439" t="s">
        <v>188</v>
      </c>
      <c r="C27" s="446"/>
      <c r="D27" s="446"/>
      <c r="E27" s="438">
        <v>0</v>
      </c>
      <c r="F27" s="438">
        <v>0</v>
      </c>
    </row>
    <row r="28" spans="1:6">
      <c r="A28" s="437" t="s">
        <v>191</v>
      </c>
      <c r="B28" s="439" t="s">
        <v>188</v>
      </c>
      <c r="C28" s="447"/>
      <c r="D28" s="446"/>
      <c r="E28" s="438">
        <v>0</v>
      </c>
      <c r="F28" s="438">
        <v>0</v>
      </c>
    </row>
    <row r="29" spans="1:6">
      <c r="A29" s="437" t="s">
        <v>192</v>
      </c>
      <c r="B29" s="439" t="s">
        <v>188</v>
      </c>
      <c r="C29" s="447"/>
      <c r="D29" s="446"/>
      <c r="E29" s="438">
        <v>0</v>
      </c>
      <c r="F29" s="438">
        <v>0</v>
      </c>
    </row>
    <row r="30" spans="1:6">
      <c r="A30" s="172"/>
      <c r="B30" s="173"/>
      <c r="C30" s="173"/>
      <c r="D30" s="172"/>
    </row>
    <row r="31" spans="1:6" ht="18.600000000000001">
      <c r="A31" s="429" t="s">
        <v>193</v>
      </c>
      <c r="B31" s="440"/>
      <c r="C31" s="440"/>
      <c r="D31" s="440"/>
      <c r="E31" s="440"/>
      <c r="F31" s="441"/>
    </row>
    <row r="32" spans="1:6">
      <c r="A32" s="448"/>
      <c r="B32" s="448"/>
      <c r="C32" s="448"/>
      <c r="D32" s="448"/>
    </row>
    <row r="33" spans="1:6" ht="26.4">
      <c r="A33" s="449" t="s">
        <v>194</v>
      </c>
      <c r="B33" s="450" t="s">
        <v>170</v>
      </c>
      <c r="C33" s="443"/>
      <c r="D33" s="444"/>
      <c r="E33" s="451" t="s">
        <v>195</v>
      </c>
      <c r="F33" s="452" t="s">
        <v>196</v>
      </c>
    </row>
    <row r="34" spans="1:6">
      <c r="A34" s="437" t="s">
        <v>197</v>
      </c>
      <c r="B34" s="439" t="s">
        <v>188</v>
      </c>
      <c r="C34" s="190"/>
      <c r="D34" s="190"/>
      <c r="E34" s="438">
        <v>0</v>
      </c>
      <c r="F34" s="438">
        <v>0</v>
      </c>
    </row>
    <row r="35" spans="1:6">
      <c r="A35" s="437" t="s">
        <v>198</v>
      </c>
      <c r="B35" s="439" t="s">
        <v>188</v>
      </c>
      <c r="C35" s="446"/>
      <c r="D35" s="446"/>
      <c r="E35" s="438">
        <v>0</v>
      </c>
      <c r="F35" s="438">
        <v>0</v>
      </c>
    </row>
    <row r="36" spans="1:6">
      <c r="A36" s="437" t="s">
        <v>199</v>
      </c>
      <c r="B36" s="439" t="s">
        <v>188</v>
      </c>
      <c r="C36" s="447"/>
      <c r="D36" s="446"/>
      <c r="E36" s="438">
        <v>0</v>
      </c>
      <c r="F36" s="438">
        <v>0</v>
      </c>
    </row>
    <row r="37" spans="1:6">
      <c r="A37" s="437" t="s">
        <v>200</v>
      </c>
      <c r="B37" s="439" t="s">
        <v>188</v>
      </c>
      <c r="C37" s="447"/>
      <c r="D37" s="446"/>
      <c r="E37" s="438">
        <v>0</v>
      </c>
      <c r="F37" s="438">
        <v>0</v>
      </c>
    </row>
    <row r="38" spans="1:6">
      <c r="A38" s="437" t="s">
        <v>201</v>
      </c>
      <c r="B38" s="439" t="s">
        <v>188</v>
      </c>
      <c r="C38" s="447"/>
      <c r="D38" s="446"/>
      <c r="E38" s="438">
        <v>0</v>
      </c>
      <c r="F38" s="438">
        <v>0</v>
      </c>
    </row>
    <row r="40" spans="1:6" ht="18.600000000000001">
      <c r="A40" s="429" t="s">
        <v>202</v>
      </c>
      <c r="B40" s="440"/>
      <c r="C40" s="440"/>
      <c r="D40" s="440"/>
      <c r="E40" s="440"/>
      <c r="F40" s="441"/>
    </row>
    <row r="41" spans="1:6">
      <c r="A41" s="171"/>
      <c r="B41" s="170"/>
      <c r="C41" s="170"/>
      <c r="D41" s="161"/>
    </row>
    <row r="42" spans="1:6">
      <c r="A42" s="435" t="s">
        <v>169</v>
      </c>
      <c r="B42" s="433" t="s">
        <v>170</v>
      </c>
      <c r="C42" s="448"/>
      <c r="D42" s="448"/>
      <c r="E42" s="448"/>
      <c r="F42" s="453" t="s">
        <v>203</v>
      </c>
    </row>
    <row r="43" spans="1:6">
      <c r="A43" s="437" t="s">
        <v>204</v>
      </c>
      <c r="B43" s="174" t="s">
        <v>156</v>
      </c>
      <c r="C43" s="174"/>
      <c r="D43" s="174"/>
      <c r="E43" s="174"/>
      <c r="F43" s="438">
        <v>0</v>
      </c>
    </row>
    <row r="44" spans="1:6">
      <c r="A44" s="437" t="s">
        <v>204</v>
      </c>
      <c r="B44" s="174" t="s">
        <v>157</v>
      </c>
      <c r="C44" s="174"/>
      <c r="D44" s="174"/>
      <c r="E44" s="174"/>
      <c r="F44" s="438">
        <v>0</v>
      </c>
    </row>
    <row r="45" spans="1:6">
      <c r="A45" s="437" t="s">
        <v>204</v>
      </c>
      <c r="B45" s="174" t="s">
        <v>158</v>
      </c>
      <c r="C45" s="174"/>
      <c r="D45" s="174"/>
      <c r="E45" s="174"/>
      <c r="F45" s="438">
        <v>0</v>
      </c>
    </row>
    <row r="46" spans="1:6">
      <c r="A46" s="437" t="s">
        <v>205</v>
      </c>
      <c r="B46" s="174" t="s">
        <v>156</v>
      </c>
      <c r="C46" s="174"/>
      <c r="D46" s="174"/>
      <c r="E46" s="174"/>
      <c r="F46" s="438">
        <v>0</v>
      </c>
    </row>
    <row r="47" spans="1:6">
      <c r="A47" s="437" t="s">
        <v>379</v>
      </c>
      <c r="B47" s="174"/>
      <c r="C47" s="174"/>
      <c r="D47" s="174"/>
      <c r="E47" s="174"/>
      <c r="F47" s="438"/>
    </row>
    <row r="48" spans="1:6">
      <c r="A48" s="170"/>
      <c r="B48" s="161"/>
      <c r="C48" s="161"/>
      <c r="D48" s="170"/>
    </row>
    <row r="49" spans="1:4" ht="15.6">
      <c r="A49" s="212" t="s">
        <v>206</v>
      </c>
      <c r="B49" s="161"/>
      <c r="C49" s="161"/>
      <c r="D49" s="170"/>
    </row>
    <row r="50" spans="1:4">
      <c r="A50" s="170" t="s">
        <v>207</v>
      </c>
    </row>
    <row r="51" spans="1:4">
      <c r="A51" s="170" t="s">
        <v>208</v>
      </c>
      <c r="B51" s="161"/>
      <c r="C51" s="161"/>
      <c r="D51" s="170"/>
    </row>
    <row r="53" spans="1:4" ht="12.75" customHeight="1">
      <c r="A53" s="170"/>
      <c r="B53" s="161"/>
      <c r="C53" s="161"/>
      <c r="D53" s="170"/>
    </row>
    <row r="54" spans="1:4">
      <c r="A54" s="170"/>
      <c r="B54" s="161"/>
      <c r="C54" s="161"/>
      <c r="D54" s="170"/>
    </row>
    <row r="55" spans="1:4">
      <c r="A55" s="170"/>
      <c r="B55" s="161"/>
      <c r="C55" s="161"/>
      <c r="D55" s="170"/>
    </row>
    <row r="57" spans="1:4">
      <c r="A57" s="175"/>
      <c r="B57" s="161"/>
      <c r="C57" s="161"/>
      <c r="D57" s="161"/>
    </row>
    <row r="58" spans="1:4">
      <c r="A58" s="175"/>
    </row>
    <row r="59" spans="1:4">
      <c r="A59" s="175"/>
    </row>
    <row r="60" spans="1:4">
      <c r="A60" s="175"/>
    </row>
  </sheetData>
  <mergeCells count="2">
    <mergeCell ref="C13:F13"/>
    <mergeCell ref="E23:F23"/>
  </mergeCells>
  <phoneticPr fontId="11"/>
  <conditionalFormatting sqref="E25:F38">
    <cfRule type="cellIs" dxfId="1" priority="3" stopIfTrue="1" operator="equal">
      <formula>"nvt"</formula>
    </cfRule>
  </conditionalFormatting>
  <conditionalFormatting sqref="F43:F4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2bdcc3f3-49a5-47c4-ae00-3e6a3f4b5f23"/>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96af1940-cf19-4b50-92f4-053594182cfa"/>
    <ds:schemaRef ds:uri="http://www.w3.org/XML/1998/namespace"/>
  </ds:schemaRefs>
</ds:datastoreItem>
</file>

<file path=customXml/itemProps3.xml><?xml version="1.0" encoding="utf-8"?>
<ds:datastoreItem xmlns:ds="http://schemas.openxmlformats.org/officeDocument/2006/customXml" ds:itemID="{B8D13046-561B-4374-8503-F1C9C7357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16</vt:i4>
      </vt:variant>
    </vt:vector>
  </HeadingPairs>
  <TitlesOfParts>
    <vt:vector size="26" baseType="lpstr">
      <vt:lpstr>1-Uitgangspunten</vt:lpstr>
      <vt:lpstr>2-Kosten totaal</vt:lpstr>
      <vt:lpstr>3-Productie normen</vt:lpstr>
      <vt:lpstr>4-Basis ruimtestaat</vt:lpstr>
      <vt:lpstr>5-Premies en opslagen</vt:lpstr>
      <vt:lpstr>6-Opbouw uurtarief productie</vt:lpstr>
      <vt:lpstr>7-Opbouw uurtarief toezicht</vt:lpstr>
      <vt:lpstr>8-Additionele kosten</vt:lpstr>
      <vt:lpstr>9-Afroepprijs</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totaal'!Afdrukbereik</vt:lpstr>
      <vt:lpstr>'4-Basis ruimtestaat'!Afdrukbereik</vt:lpstr>
      <vt:lpstr>'5-Premies en opslagen'!Afdrukbereik</vt:lpstr>
      <vt:lpstr>'6-Opbouw uurtarief productie'!Afdrukbereik</vt:lpstr>
      <vt:lpstr>'9-Afroepprijs'!Afdrukbereik</vt:lpstr>
      <vt:lpstr>'10-Vloeronderhoud'!Afdruktitels</vt:lpstr>
      <vt:lpstr>'2-Kosten totaal'!Afdruktitels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cp:lastModifiedBy>
  <cp:revision/>
  <dcterms:created xsi:type="dcterms:W3CDTF">1999-10-05T12:28:40Z</dcterms:created>
  <dcterms:modified xsi:type="dcterms:W3CDTF">2024-09-09T11:15:33Z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