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https://premarkadvies.sharepoint.com/sites/Premark/Gedeelde documenten/ASKO/IKC Tuindorp/2022/2023_nieuwbouw/1-voorbereiding/2024_Aanbesteding bouwkundig/b-aannemerselectie/Uploaden Tendernet Tuindorp/"/>
    </mc:Choice>
  </mc:AlternateContent>
  <xr:revisionPtr revIDLastSave="3" documentId="8_{75B017F2-F7A6-40A9-850D-D0B4E281424F}" xr6:coauthVersionLast="47" xr6:coauthVersionMax="47" xr10:uidLastSave="{6ED633DC-477B-458B-A7E2-0DB8240230A3}"/>
  <workbookProtection workbookAlgorithmName="SHA-512" workbookHashValue="XI352IsseArnsx5SqyWMjWWZKBBIEk2p033F5x59JyFKJwR2GrIN56kaJHD0cYMHXHJf0RAsGX+1ZRWOwd3beA==" workbookSaltValue="5HNw7EnavzSaEl8RpckrUA==" workbookSpinCount="100000" lockStructure="1"/>
  <bookViews>
    <workbookView xWindow="3225" yWindow="1395" windowWidth="24345" windowHeight="11385" firstSheet="1" activeTab="1" xr2:uid="{00000000-000D-0000-FFFF-FFFF00000000}"/>
  </bookViews>
  <sheets>
    <sheet name="basis" sheetId="4" state="hidden" r:id="rId1"/>
    <sheet name="A1" sheetId="5" r:id="rId2"/>
    <sheet name="A2" sheetId="6" r:id="rId3"/>
    <sheet name="A3" sheetId="7" r:id="rId4"/>
    <sheet name="A4-a" sheetId="8" r:id="rId5"/>
    <sheet name="A4-b" sheetId="9" r:id="rId6"/>
    <sheet name="A4-c" sheetId="10" r:id="rId7"/>
    <sheet name="A4-d" sheetId="14" r:id="rId8"/>
    <sheet name="A5" sheetId="15" r:id="rId9"/>
    <sheet name="A6" sheetId="2" r:id="rId10"/>
    <sheet name="A7" sheetId="3" r:id="rId11"/>
  </sheets>
  <definedNames>
    <definedName name="_xlnm._FilterDatabase" localSheetId="4" hidden="1">'A4-a'!$B$13:$E$13</definedName>
    <definedName name="_xlnm._FilterDatabase" localSheetId="10" hidden="1">'A7'!$A$9:$C$32</definedName>
    <definedName name="_xlnm.Print_Area" localSheetId="1">'A1'!$B$1:$K$59</definedName>
    <definedName name="_xlnm.Print_Area" localSheetId="2">'A2'!$B$1:$K$46</definedName>
    <definedName name="_xlnm.Print_Area" localSheetId="3">'A3'!$B$1:$K$36</definedName>
    <definedName name="_xlnm.Print_Area" localSheetId="4">'A4-a'!$B$1:$J$38</definedName>
    <definedName name="_xlnm.Print_Area" localSheetId="5">'A4-b'!$B$1:$J$40</definedName>
    <definedName name="_xlnm.Print_Area" localSheetId="6">'A4-c'!$B$1:$J$38</definedName>
    <definedName name="_xlnm.Print_Area" localSheetId="7">'A4-d'!$B$1:$J$38</definedName>
    <definedName name="_xlnm.Print_Area" localSheetId="8">'A5'!$B$1:$J$32</definedName>
    <definedName name="_xlnm.Print_Area" localSheetId="9">'A6'!$A$1:$M$29</definedName>
    <definedName name="_xlnm.Print_Area" localSheetId="10">'A7'!$B$2:$L$32</definedName>
    <definedName name="Z_086F4F81_5F9A_4D79_ABED_02168858C282_.wvu.Cols" localSheetId="1" hidden="1">'A1'!$L:$R</definedName>
    <definedName name="Z_086F4F81_5F9A_4D79_ABED_02168858C282_.wvu.Cols" localSheetId="3" hidden="1">'A3'!$K:$K</definedName>
    <definedName name="Z_086F4F81_5F9A_4D79_ABED_02168858C282_.wvu.Cols" localSheetId="4" hidden="1">'A4-a'!$K:$K</definedName>
    <definedName name="Z_086F4F81_5F9A_4D79_ABED_02168858C282_.wvu.Cols" localSheetId="5" hidden="1">'A4-b'!$K:$K</definedName>
    <definedName name="Z_086F4F81_5F9A_4D79_ABED_02168858C282_.wvu.Cols" localSheetId="6" hidden="1">'A4-c'!$K:$K</definedName>
    <definedName name="Z_086F4F81_5F9A_4D79_ABED_02168858C282_.wvu.Cols" localSheetId="7" hidden="1">'A4-d'!$K:$K</definedName>
    <definedName name="Z_086F4F81_5F9A_4D79_ABED_02168858C282_.wvu.Cols" localSheetId="8" hidden="1">'A5'!$K:$K</definedName>
    <definedName name="Z_086F4F81_5F9A_4D79_ABED_02168858C282_.wvu.Cols" localSheetId="9" hidden="1">'A6'!$N:$S</definedName>
    <definedName name="Z_086F4F81_5F9A_4D79_ABED_02168858C282_.wvu.PrintArea" localSheetId="1" hidden="1">'A1'!$B$1:$K$59</definedName>
    <definedName name="Z_086F4F81_5F9A_4D79_ABED_02168858C282_.wvu.PrintArea" localSheetId="2" hidden="1">'A2'!$B$1:$K$46</definedName>
    <definedName name="Z_086F4F81_5F9A_4D79_ABED_02168858C282_.wvu.PrintArea" localSheetId="3" hidden="1">'A3'!$B$1:$K$36</definedName>
    <definedName name="Z_086F4F81_5F9A_4D79_ABED_02168858C282_.wvu.PrintArea" localSheetId="4" hidden="1">'A4-a'!$B$1:$J$38</definedName>
    <definedName name="Z_086F4F81_5F9A_4D79_ABED_02168858C282_.wvu.PrintArea" localSheetId="5" hidden="1">'A4-b'!$B$1:$J$40</definedName>
    <definedName name="Z_086F4F81_5F9A_4D79_ABED_02168858C282_.wvu.PrintArea" localSheetId="6" hidden="1">'A4-c'!$B$1:$J$38</definedName>
    <definedName name="Z_086F4F81_5F9A_4D79_ABED_02168858C282_.wvu.PrintArea" localSheetId="7" hidden="1">'A4-d'!$B$1:$J$38</definedName>
    <definedName name="Z_086F4F81_5F9A_4D79_ABED_02168858C282_.wvu.PrintArea" localSheetId="8" hidden="1">'A5'!$B$1:$J$32</definedName>
    <definedName name="Z_086F4F81_5F9A_4D79_ABED_02168858C282_.wvu.PrintArea" localSheetId="9" hidden="1">'A6'!$A$1:$M$29</definedName>
    <definedName name="Z_086F4F81_5F9A_4D79_ABED_02168858C282_.wvu.PrintArea" localSheetId="10" hidden="1">'A7'!$C$2:$L$32</definedName>
    <definedName name="Z_086F4F81_5F9A_4D79_ABED_02168858C282_.wvu.Rows" localSheetId="3" hidden="1">'A3'!$5:$6</definedName>
    <definedName name="Z_086F4F81_5F9A_4D79_ABED_02168858C282_.wvu.Rows" localSheetId="10" hidden="1">'A7'!$20:$21</definedName>
  </definedNames>
  <calcPr calcId="191028"/>
  <customWorkbookViews>
    <customWorkbookView name="aannemer" guid="{086F4F81-5F9A-4D79-ABED-02168858C282}" maximized="1" windowWidth="1676" windowHeight="82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5" l="1"/>
  <c r="K46" i="5"/>
  <c r="L46" i="5"/>
  <c r="M46" i="5"/>
  <c r="N46" i="5"/>
  <c r="O46" i="5"/>
  <c r="P46" i="5"/>
  <c r="Q46" i="5"/>
  <c r="R46" i="5"/>
  <c r="J33" i="8"/>
  <c r="J23" i="15" l="1"/>
  <c r="J19" i="15"/>
  <c r="D2" i="5"/>
  <c r="D2" i="6"/>
  <c r="C2" i="8"/>
  <c r="L14" i="3"/>
  <c r="K14" i="3"/>
  <c r="K15" i="3"/>
  <c r="B27" i="15"/>
  <c r="L15" i="15"/>
  <c r="J15" i="15"/>
  <c r="L13" i="15"/>
  <c r="J9" i="15"/>
  <c r="J13" i="15"/>
  <c r="L9" i="15"/>
  <c r="B33" i="14"/>
  <c r="L23" i="9"/>
  <c r="L23" i="8"/>
  <c r="C30" i="15"/>
  <c r="C32" i="15"/>
  <c r="C1" i="15"/>
  <c r="B2" i="15"/>
  <c r="C2" i="15"/>
  <c r="G48" i="4"/>
  <c r="G22" i="3"/>
  <c r="F22" i="3"/>
  <c r="J13" i="8"/>
  <c r="J13" i="10"/>
  <c r="J21" i="10"/>
  <c r="J21" i="14"/>
  <c r="J13" i="9"/>
  <c r="J23" i="14"/>
  <c r="L21" i="14"/>
  <c r="J9" i="14"/>
  <c r="L9" i="14"/>
  <c r="K25" i="3"/>
  <c r="E22" i="3"/>
  <c r="D22" i="3"/>
  <c r="C38" i="14"/>
  <c r="C36" i="14"/>
  <c r="J33" i="14"/>
  <c r="H22" i="3" s="1"/>
  <c r="C32" i="14"/>
  <c r="C2" i="14"/>
  <c r="B2" i="14"/>
  <c r="C1" i="14"/>
  <c r="M22" i="3"/>
  <c r="J9" i="10"/>
  <c r="L16" i="7"/>
  <c r="D17" i="7" s="1"/>
  <c r="D16" i="7"/>
  <c r="Q16" i="7" s="1"/>
  <c r="K11" i="2"/>
  <c r="J11" i="2"/>
  <c r="I11" i="2"/>
  <c r="G11" i="2"/>
  <c r="J30" i="15" l="1"/>
  <c r="K23" i="3" s="1"/>
  <c r="K28" i="3"/>
  <c r="L28" i="3" s="1"/>
  <c r="K27" i="3"/>
  <c r="C26" i="3"/>
  <c r="F11" i="2"/>
  <c r="O11" i="2"/>
  <c r="O10" i="2"/>
  <c r="B33" i="10"/>
  <c r="L33" i="9"/>
  <c r="J70" i="4"/>
  <c r="J33" i="9" s="1"/>
  <c r="G47" i="4"/>
  <c r="B33" i="9"/>
  <c r="J9" i="8" l="1"/>
  <c r="J23" i="8" l="1"/>
  <c r="J23" i="9"/>
  <c r="J23" i="10"/>
  <c r="L27" i="3" l="1"/>
  <c r="C6" i="3"/>
  <c r="P10" i="4"/>
  <c r="P11" i="4" s="1"/>
  <c r="H56" i="5"/>
  <c r="Q56" i="5" s="1"/>
  <c r="M28" i="3" l="1"/>
  <c r="M27" i="3"/>
  <c r="G21" i="3"/>
  <c r="G20" i="3"/>
  <c r="E20" i="3"/>
  <c r="G19" i="3"/>
  <c r="F20" i="3"/>
  <c r="F19" i="3"/>
  <c r="F21" i="3"/>
  <c r="E21" i="3"/>
  <c r="E19" i="3"/>
  <c r="D21" i="3"/>
  <c r="D20" i="3"/>
  <c r="D19" i="3"/>
  <c r="H20" i="3"/>
  <c r="L21" i="10" l="1"/>
  <c r="L9" i="10"/>
  <c r="C38" i="10"/>
  <c r="C36" i="10"/>
  <c r="J33" i="10"/>
  <c r="H21" i="3" s="1"/>
  <c r="C32" i="10"/>
  <c r="C2" i="10"/>
  <c r="B2" i="10"/>
  <c r="C1" i="10"/>
  <c r="L9" i="9"/>
  <c r="J9" i="9"/>
  <c r="L21" i="9"/>
  <c r="J21" i="9"/>
  <c r="B33" i="8"/>
  <c r="C40" i="9"/>
  <c r="C38" i="9"/>
  <c r="C32" i="9"/>
  <c r="C34" i="9" s="1"/>
  <c r="C2" i="9"/>
  <c r="B2" i="9"/>
  <c r="C1" i="9"/>
  <c r="H19" i="3"/>
  <c r="G53" i="4"/>
  <c r="G51" i="4"/>
  <c r="G52" i="4"/>
  <c r="G50" i="4"/>
  <c r="L21" i="8"/>
  <c r="J21" i="8"/>
  <c r="G20" i="4"/>
  <c r="L9" i="8"/>
  <c r="G21" i="4" l="1"/>
  <c r="G22" i="4" s="1"/>
  <c r="G23" i="4" s="1"/>
  <c r="G24" i="4" s="1"/>
  <c r="G25" i="4" s="1"/>
  <c r="L13" i="9" s="1"/>
  <c r="J36" i="9"/>
  <c r="G49" i="4"/>
  <c r="J36" i="10"/>
  <c r="K21" i="3" s="1"/>
  <c r="J38" i="9"/>
  <c r="K20" i="3" s="1"/>
  <c r="J36" i="8"/>
  <c r="J13" i="14" l="1"/>
  <c r="J36" i="14" s="1"/>
  <c r="K22" i="3" s="1"/>
  <c r="L23" i="14"/>
  <c r="L13" i="8"/>
  <c r="L13" i="14"/>
  <c r="L13" i="10"/>
  <c r="L23" i="10"/>
  <c r="K29" i="3"/>
  <c r="L29" i="3" s="1"/>
  <c r="K30" i="3"/>
  <c r="L30" i="3" s="1"/>
  <c r="C32" i="8" l="1"/>
  <c r="C38" i="8"/>
  <c r="C36" i="8"/>
  <c r="B2" i="8"/>
  <c r="C1" i="8"/>
  <c r="B7" i="2"/>
  <c r="B6" i="2"/>
  <c r="B5" i="2"/>
  <c r="B3" i="2"/>
  <c r="D5" i="3"/>
  <c r="C3" i="3"/>
  <c r="B2" i="2" s="1"/>
  <c r="C4" i="3"/>
  <c r="C5" i="3"/>
  <c r="B4" i="2" s="1"/>
  <c r="B20" i="7"/>
  <c r="K26" i="3"/>
  <c r="L26" i="3" s="1"/>
  <c r="M26" i="3" s="1"/>
  <c r="L10" i="3"/>
  <c r="M10" i="3" s="1"/>
  <c r="L11" i="3"/>
  <c r="M11" i="3" s="1"/>
  <c r="L12" i="3"/>
  <c r="M12" i="3" s="1"/>
  <c r="L13" i="3"/>
  <c r="M13" i="3" s="1"/>
  <c r="L17" i="3"/>
  <c r="M17" i="3" s="1"/>
  <c r="M5" i="5"/>
  <c r="B7" i="5" s="1"/>
  <c r="M9" i="5"/>
  <c r="K16" i="3" s="1"/>
  <c r="L20" i="7"/>
  <c r="D21" i="7" s="1"/>
  <c r="L18" i="7"/>
  <c r="D19" i="7" s="1"/>
  <c r="L14" i="7"/>
  <c r="D15" i="7" s="1"/>
  <c r="L12" i="7"/>
  <c r="D13" i="7" s="1"/>
  <c r="L8" i="7"/>
  <c r="B26" i="7"/>
  <c r="C2" i="7"/>
  <c r="C1" i="7"/>
  <c r="D20" i="7"/>
  <c r="Q20" i="7" s="1"/>
  <c r="D18" i="7"/>
  <c r="Q18" i="7" s="1"/>
  <c r="D14" i="7"/>
  <c r="Q14" i="7" s="1"/>
  <c r="D12" i="7"/>
  <c r="Q12" i="7" s="1"/>
  <c r="D8" i="7"/>
  <c r="Q8" i="7" s="1"/>
  <c r="E31" i="7"/>
  <c r="D31" i="7" s="1"/>
  <c r="E29" i="7"/>
  <c r="D29" i="7" s="1"/>
  <c r="D33" i="7"/>
  <c r="Q33" i="7" s="1"/>
  <c r="B2" i="7"/>
  <c r="D36" i="6"/>
  <c r="Q36" i="6" s="1"/>
  <c r="D27" i="6"/>
  <c r="Q27" i="6" s="1"/>
  <c r="D25" i="6"/>
  <c r="Q25" i="6" s="1"/>
  <c r="D23" i="6"/>
  <c r="Q23" i="6" s="1"/>
  <c r="D21" i="6"/>
  <c r="Q21" i="6" s="1"/>
  <c r="D18" i="6"/>
  <c r="Q18" i="6" s="1"/>
  <c r="D16" i="6"/>
  <c r="Q16" i="6" s="1"/>
  <c r="D14" i="6"/>
  <c r="Q14" i="6" s="1"/>
  <c r="D12" i="6"/>
  <c r="Q12" i="6" s="1"/>
  <c r="D10" i="6"/>
  <c r="Q10" i="6" s="1"/>
  <c r="D8" i="6"/>
  <c r="Q8" i="6" s="1"/>
  <c r="M16" i="5"/>
  <c r="M18" i="5"/>
  <c r="M20" i="5"/>
  <c r="M22" i="5"/>
  <c r="M24" i="5"/>
  <c r="M27" i="5"/>
  <c r="M29" i="5"/>
  <c r="M31" i="5"/>
  <c r="M33" i="5"/>
  <c r="M36" i="5"/>
  <c r="M38" i="5"/>
  <c r="M40" i="5"/>
  <c r="M42" i="5"/>
  <c r="M14" i="5"/>
  <c r="D14" i="5"/>
  <c r="Q14" i="5" s="1"/>
  <c r="D51" i="5"/>
  <c r="Q51" i="5" s="1"/>
  <c r="D42" i="5"/>
  <c r="Q42" i="5" s="1"/>
  <c r="D40" i="5"/>
  <c r="Q40" i="5" s="1"/>
  <c r="D38" i="5"/>
  <c r="Q38" i="5" s="1"/>
  <c r="D36" i="5"/>
  <c r="Q36" i="5" s="1"/>
  <c r="D33" i="5"/>
  <c r="Q33" i="5" s="1"/>
  <c r="D31" i="5"/>
  <c r="Q31" i="5" s="1"/>
  <c r="D29" i="5"/>
  <c r="Q29" i="5" s="1"/>
  <c r="D27" i="5"/>
  <c r="Q27" i="5" s="1"/>
  <c r="D24" i="5"/>
  <c r="Q24" i="5" s="1"/>
  <c r="D22" i="5"/>
  <c r="Q22" i="5" s="1"/>
  <c r="D20" i="5"/>
  <c r="Q20" i="5" s="1"/>
  <c r="D18" i="5"/>
  <c r="Q18" i="5" s="1"/>
  <c r="D16" i="5"/>
  <c r="Q16" i="5" s="1"/>
  <c r="E34" i="6"/>
  <c r="D34" i="6" s="1"/>
  <c r="E32" i="6"/>
  <c r="D32" i="6" s="1"/>
  <c r="B2" i="6"/>
  <c r="D1" i="6"/>
  <c r="E49" i="5"/>
  <c r="E47" i="5"/>
  <c r="D1" i="5"/>
  <c r="B2" i="5"/>
  <c r="M25" i="3"/>
  <c r="F10" i="2"/>
  <c r="M19" i="3"/>
  <c r="M20" i="3"/>
  <c r="M21" i="3"/>
  <c r="R10" i="2"/>
  <c r="R11" i="2"/>
  <c r="R12" i="2"/>
  <c r="R13" i="2"/>
  <c r="O15" i="2"/>
  <c r="R15" i="2"/>
  <c r="F15" i="2"/>
  <c r="O16" i="2"/>
  <c r="R16" i="2"/>
  <c r="F16" i="2"/>
  <c r="N16" i="2" s="1"/>
  <c r="O17" i="2"/>
  <c r="R17" i="2"/>
  <c r="F17" i="2"/>
  <c r="K13" i="3"/>
  <c r="K12" i="3"/>
  <c r="K11" i="3"/>
  <c r="K10" i="3"/>
  <c r="F12" i="2"/>
  <c r="F13" i="2"/>
  <c r="N13" i="2" s="1"/>
  <c r="O13" i="2" s="1"/>
  <c r="F18" i="2"/>
  <c r="N18" i="2"/>
  <c r="O18" i="2"/>
  <c r="P18" i="2"/>
  <c r="Q18" i="2"/>
  <c r="R18" i="2"/>
  <c r="Q40" i="7" l="1"/>
  <c r="B40" i="7" s="1"/>
  <c r="N10" i="2"/>
  <c r="P10" i="2" s="1"/>
  <c r="Q41" i="6"/>
  <c r="B41" i="6" s="1"/>
  <c r="P13" i="2"/>
  <c r="Q13" i="2" s="1"/>
  <c r="P16" i="2"/>
  <c r="Q16" i="2" s="1"/>
  <c r="N12" i="2"/>
  <c r="O12" i="2" s="1"/>
  <c r="N11" i="2"/>
  <c r="N17" i="2"/>
  <c r="P17" i="2" s="1"/>
  <c r="Q17" i="2" s="1"/>
  <c r="L17" i="2" s="1"/>
  <c r="M17" i="2" s="1"/>
  <c r="N15" i="2"/>
  <c r="P15" i="2" s="1"/>
  <c r="Q15" i="2" s="1"/>
  <c r="L15" i="2" s="1"/>
  <c r="M15" i="2" s="1"/>
  <c r="E46" i="5"/>
  <c r="K4" i="6"/>
  <c r="B11" i="5"/>
  <c r="U16" i="3"/>
  <c r="L16" i="3"/>
  <c r="M16" i="3" s="1"/>
  <c r="C9" i="5"/>
  <c r="Q9" i="5" s="1"/>
  <c r="B10" i="5"/>
  <c r="C16" i="3"/>
  <c r="I46" i="5"/>
  <c r="B45" i="5"/>
  <c r="L15" i="3"/>
  <c r="M15" i="3" s="1"/>
  <c r="C5" i="5"/>
  <c r="Q5" i="5" s="1"/>
  <c r="B6" i="5"/>
  <c r="B8" i="5"/>
  <c r="K19" i="3"/>
  <c r="L18" i="2"/>
  <c r="M18" i="2" s="1"/>
  <c r="Q10" i="2" l="1"/>
  <c r="L10" i="2" s="1"/>
  <c r="M10" i="2" s="1"/>
  <c r="P11" i="2"/>
  <c r="Q11" i="2" s="1"/>
  <c r="L11" i="2" s="1"/>
  <c r="P12" i="2"/>
  <c r="Q12" i="2" s="1"/>
  <c r="M31" i="3"/>
  <c r="Q57" i="5"/>
  <c r="B57" i="5" s="1"/>
  <c r="E38" i="7"/>
  <c r="L13" i="2"/>
  <c r="M13" i="2" s="1"/>
  <c r="L16" i="2"/>
  <c r="M16" i="2" s="1"/>
  <c r="M35" i="3"/>
  <c r="L12" i="2" l="1"/>
  <c r="M12" i="2" s="1"/>
  <c r="M11" i="2"/>
  <c r="L19" i="2" l="1"/>
  <c r="M19" i="2"/>
  <c r="M26" i="2" s="1"/>
  <c r="M25" i="2" l="1"/>
  <c r="L27" i="2" s="1"/>
  <c r="G31" i="3" l="1"/>
  <c r="K31" i="3" s="1"/>
  <c r="K32" i="3" s="1"/>
  <c r="L3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 van Iersel</author>
  </authors>
  <commentList>
    <comment ref="E27" authorId="0" shapeId="0" xr:uid="{AE6D8F53-F723-45C3-9EF5-2319BE1014C0}">
      <text>
        <r>
          <rPr>
            <sz val="9"/>
            <color indexed="81"/>
            <rFont val="Tahoma"/>
            <family val="2"/>
          </rPr>
          <t xml:space="preserve">Vul de naam in zoals ook vermeld is op de inschrijving Kamer van Koophandel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 van Iersel</author>
  </authors>
  <commentList>
    <comment ref="E11" authorId="0" shapeId="0" xr:uid="{00000000-0006-0000-0500-000001000000}">
      <text>
        <r>
          <rPr>
            <b/>
            <sz val="9"/>
            <color indexed="81"/>
            <rFont val="Tahoma"/>
            <family val="2"/>
          </rPr>
          <t>vul het door u gehanteerde uurloon in voor timmerlieden</t>
        </r>
      </text>
    </comment>
  </commentList>
</comments>
</file>

<file path=xl/sharedStrings.xml><?xml version="1.0" encoding="utf-8"?>
<sst xmlns="http://schemas.openxmlformats.org/spreadsheetml/2006/main" count="554" uniqueCount="274">
  <si>
    <t>GEGEVENS</t>
  </si>
  <si>
    <t>REFERENTIE</t>
  </si>
  <si>
    <t>A5</t>
  </si>
  <si>
    <t>LIJST 05</t>
  </si>
  <si>
    <t>werknummer</t>
  </si>
  <si>
    <t>2024.TUIN.01</t>
  </si>
  <si>
    <t>LIJST 01</t>
  </si>
  <si>
    <t>a</t>
  </si>
  <si>
    <t>b</t>
  </si>
  <si>
    <t>c</t>
  </si>
  <si>
    <t>d</t>
  </si>
  <si>
    <t>maak keus</t>
  </si>
  <si>
    <t>opdrachtgever</t>
  </si>
  <si>
    <t>ASKO</t>
  </si>
  <si>
    <t>Anderlechtlaan 1</t>
  </si>
  <si>
    <t>maak uw keus</t>
  </si>
  <si>
    <t>ja</t>
  </si>
  <si>
    <t>omschrijving</t>
  </si>
  <si>
    <t>Amsterdam</t>
  </si>
  <si>
    <t>utiliteitsbouw</t>
  </si>
  <si>
    <t>nee</t>
  </si>
  <si>
    <t>Behorende bij selectieleidraad nieuwbouw IKC Tuindorp</t>
  </si>
  <si>
    <t>Dhr. Ing. W.G. Keizer</t>
  </si>
  <si>
    <t>voortgezet onderwijs</t>
  </si>
  <si>
    <t>datum document:</t>
  </si>
  <si>
    <t>primair onderwijs</t>
  </si>
  <si>
    <t>BOEKJAAR</t>
  </si>
  <si>
    <t>min.omzet</t>
  </si>
  <si>
    <t>zorgsector</t>
  </si>
  <si>
    <t>start</t>
  </si>
  <si>
    <t>woningbouw</t>
  </si>
  <si>
    <t>oplevering</t>
  </si>
  <si>
    <t>gymaccomodatie</t>
  </si>
  <si>
    <t>bouwsom</t>
  </si>
  <si>
    <t>…</t>
  </si>
  <si>
    <t>werkadres</t>
  </si>
  <si>
    <t>Kometensingel 52, 1033BW Amsterdam</t>
  </si>
  <si>
    <t>BTW</t>
  </si>
  <si>
    <t>anders</t>
  </si>
  <si>
    <t>UITSLAG</t>
  </si>
  <si>
    <t>VOORWAARDEN</t>
  </si>
  <si>
    <t>A</t>
  </si>
  <si>
    <t>Het gerealseerde gebouw komt qua omvang (BVO) en aanneemsom overeen met de opgave en is gerealiseerd in een wijk of buurt waarbij de infrastructuur nog in aanleg is</t>
  </si>
  <si>
    <t>LIJST 02</t>
  </si>
  <si>
    <t>B</t>
  </si>
  <si>
    <t>Het grealiseerde gebouw voldoet aan de volgende eisen t.a.v. BENG en Frisse Scholen</t>
  </si>
  <si>
    <t>C</t>
  </si>
  <si>
    <t>Het gerealseerde gebouw komt qua omvang (BVO) en aanneemsom overeen met de opgave en er is sprake van meerdere opdrachtgevers</t>
  </si>
  <si>
    <t>D</t>
  </si>
  <si>
    <t>Het gerealseerde gebouw komt qua omvang (BVO) en aanneemsom overeen met de opgave en is ook in combinatie met renovatie gebouwd</t>
  </si>
  <si>
    <t xml:space="preserve">De bevoegde persoon is werkzaam bij het gedadigde bedrijf en/of combinatie en heeft bepaalde werkzaamheden uitgevoerd zoals beschreven in A5 </t>
  </si>
  <si>
    <t>LIJST 03</t>
  </si>
  <si>
    <t>door opdrachtgever</t>
  </si>
  <si>
    <t>door architect</t>
  </si>
  <si>
    <t>door bouwmanager</t>
  </si>
  <si>
    <t>niet aanwezig</t>
  </si>
  <si>
    <t>..</t>
  </si>
  <si>
    <t>START PUNTEN</t>
  </si>
  <si>
    <t>LIJST 04</t>
  </si>
  <si>
    <t>Frisse school klasse C</t>
  </si>
  <si>
    <t>Frisse school klasse B</t>
  </si>
  <si>
    <t>Frisse Sch.B+BENG</t>
  </si>
  <si>
    <t>Frisse Sch. B+BENG+GASLOOS</t>
  </si>
  <si>
    <t>Frisse Sch. B+ENG+GASLOOS</t>
  </si>
  <si>
    <t>BIJLAGE A1</t>
  </si>
  <si>
    <t>LIJST 1</t>
  </si>
  <si>
    <t xml:space="preserve">AANMELDINGSFORMULIER A1 </t>
  </si>
  <si>
    <t>CONTROLE</t>
  </si>
  <si>
    <t xml:space="preserve">IDENTIFICATIEGEGEVENS </t>
  </si>
  <si>
    <t>antwoorden</t>
  </si>
  <si>
    <t>aanmelding als één zelfstandig bedrijf;</t>
  </si>
  <si>
    <t>maakt u gebruik van de inzet van derden om te voldoen aan de eisen die in de selectieledraad zijn gesteld?</t>
  </si>
  <si>
    <t>Gegevens gegadigde</t>
  </si>
  <si>
    <t>●</t>
  </si>
  <si>
    <t xml:space="preserve">Algemene bedrijfsgegevens </t>
  </si>
  <si>
    <t>Naam onderneming:</t>
  </si>
  <si>
    <t>Vestigingsadres:</t>
  </si>
  <si>
    <t>Postadres:</t>
  </si>
  <si>
    <t>Telefoon:</t>
  </si>
  <si>
    <t>Rechtsvorm:</t>
  </si>
  <si>
    <t>B.T.W. registratienummer:</t>
  </si>
  <si>
    <t xml:space="preserve">Rechtsgeldig vertegenwoordiger van de onderneming </t>
  </si>
  <si>
    <t>Volledige naam:</t>
  </si>
  <si>
    <t>Functie:</t>
  </si>
  <si>
    <t>Telefoonnummer:</t>
  </si>
  <si>
    <t>E-mailadres:</t>
  </si>
  <si>
    <t>Contactpersoon tijdens de selectie en gunningsfase</t>
  </si>
  <si>
    <t>Naam contactpersoon:</t>
  </si>
  <si>
    <t xml:space="preserve">Ondertekening </t>
  </si>
  <si>
    <t>Naam vertegenwoordiger:</t>
  </si>
  <si>
    <t>datum:</t>
  </si>
  <si>
    <t>Handtekening:</t>
  </si>
  <si>
    <t>penvoerder?</t>
  </si>
  <si>
    <t>BIJLAGE A2</t>
  </si>
  <si>
    <t>AANMELDINGSFORMULIER A2</t>
  </si>
  <si>
    <t>ALLEEN INVULLEN BIJ INZET VAN DERDEN</t>
  </si>
  <si>
    <t>VERKLARING IN TE ZETTEN DERDEN</t>
  </si>
  <si>
    <t>Gegevens in te zetten derden</t>
  </si>
  <si>
    <t>Ondergetekende verklaart dat de onder onderdeel A1 van dit aanmeldingsformulier vermelde gegadigde na gunning van de opdracht daadwerkelijk over de ervaring en middelen van ondergetekende kan beschikken.</t>
  </si>
  <si>
    <t>BIJLAGE A3</t>
  </si>
  <si>
    <t>EIGEN VERKLARING FINANCIELE DRAAGKRACHT</t>
  </si>
  <si>
    <t>In te vullen door de gegadigde / penvoerder</t>
  </si>
  <si>
    <t>U wordt verzocht de gegevens te vermelden per einde van het laatst afgesloten boekjaar. Als zich belangrijke wijzigingen hebben voorgedaan na afloop van het boekjaar moet u deze tevens  vermelden.</t>
  </si>
  <si>
    <t>antwoord</t>
  </si>
  <si>
    <t>Laatst afgesloten boekjaar:</t>
  </si>
  <si>
    <t>LIJST 2</t>
  </si>
  <si>
    <t>VRAAG</t>
  </si>
  <si>
    <t>ANTWOORD</t>
  </si>
  <si>
    <t>OPMERKING</t>
  </si>
  <si>
    <t>Kunt u een bankverklaring overleggen ter hoogte van 5% van de aanneemsom, geldig tot het einde van de onderhoudstermijn</t>
  </si>
  <si>
    <t>Alleen na het verzoek aanbestedende dienst daarvan inzenden: een passende bankverklaring.</t>
  </si>
  <si>
    <t xml:space="preserve">Kunt u een bewijs van verzekering tegen beroepsrisico’s overleggen zoals vermeld in paragraaf 43B van de UAV 2012 </t>
  </si>
  <si>
    <t>Alleen na het verzoek aanbestedende dienst daarvan inzenden: een bewijs van verzekering.</t>
  </si>
  <si>
    <t>Bent in het bezit van gedragsverklaring Aanbesteden van het Ministerie van Justitie of heeft men deze recent aangevraagd?</t>
  </si>
  <si>
    <t>Alleen na het verzoek aanbestedende dienst daarvan inzenden: VOG aanbesteding</t>
  </si>
  <si>
    <t>Kunt u balansen of uittreksels van balansen van de laatste drie afgesloten boekjaren van de onderneming overleggen?</t>
  </si>
  <si>
    <t xml:space="preserve">Alleen na een verzoek daartoe inzenden:
balansen of uittreksels uit de balansen van de onderneming, als in het land van vestiging van de onderneming bekendmaking van balansen voorschrijft.
</t>
  </si>
  <si>
    <t xml:space="preserve">Alleen na een verzoek van de aanbestedende dienst daartoe inzenden:
een verklaring van uw accountant betreffende de omzet van de onderneming.
</t>
  </si>
  <si>
    <t>Indien u bij 1 van bovenstaande vragen met nee hebt geantwoord dan volgt in principe uitsluiting.  Hieronder kunt u desgewenst een aanvullende verklaring afgeven waarom 1 van de vragen met nee is beantwoord.</t>
  </si>
  <si>
    <t>aanvullende verklaring:</t>
  </si>
  <si>
    <t xml:space="preserve">Ondergetekende verklaart alle vragen volledig en naar waarheid te hebben beantwoord en dat  de in dit vragenformulier verstrekte inlichtingen met de werkelijkheid overeenstemmen en juist en volledig zijn.
Ondergetekende is ermee bekend en stemt daarmee in dat de aanbesteder de Eigen verklaring en de overgelegde bewijzen en bijlagen eventueel verifieert of zal laten verifiëren door het Bureau Bevordering Integriteitsbeoordelingen door het Openbaar Bestuur (hierna: Bureau BIBOB). Ondergetekende zal, indien de aanbesteder tot verificatie van de gegevens wenst over te gaan, daaraan zijn medewerking verlenen. Ondergetekende zal eveneens zijn medewerking verlenen aan een uit te voeren onderzoek naar de 'herkomst van middelen' door de aanbesteder of namens deze door het Bureau BIBOB.
</t>
  </si>
  <si>
    <t>BIJLAGE A4-a</t>
  </si>
  <si>
    <t>MODELBLAD REFERENTIE - RELATIE</t>
  </si>
  <si>
    <t>PUNTEN</t>
  </si>
  <si>
    <t>naam van het project:</t>
  </si>
  <si>
    <t>Aard van het project</t>
  </si>
  <si>
    <t xml:space="preserve">Periode: </t>
  </si>
  <si>
    <t>Beschrijving werkzaamheden, inclusief omschrijving situatie bouwterrein en omgeving tijdens bouw:</t>
  </si>
  <si>
    <t>Jaar van oplevering:</t>
  </si>
  <si>
    <t>locatie bouwwerk</t>
  </si>
  <si>
    <t>Naam opdrachtgever(s):</t>
  </si>
  <si>
    <t>contactpersoon bij opdrachtgever</t>
  </si>
  <si>
    <t>Tevredenheidsverklaring</t>
  </si>
  <si>
    <t>Omvang van het project:</t>
  </si>
  <si>
    <t>bouwsom, exclusief btw</t>
  </si>
  <si>
    <t>Uitgevoerd als hoofdaannemer?</t>
  </si>
  <si>
    <t>De feitelijk uitgevoerde werkzaamheden door uw onderneming indien er sprake was van een uitvoering in combinatie:</t>
  </si>
  <si>
    <t xml:space="preserve">Aanvullende documentatie/informatie </t>
  </si>
  <si>
    <t>toegevoegd:</t>
  </si>
  <si>
    <t>SCORE</t>
  </si>
  <si>
    <t>BIJLAGE A4-b</t>
  </si>
  <si>
    <t>MODELBLAD REFERENTIE - ENERGIE</t>
  </si>
  <si>
    <t>Beschrijving werkzaamheden:</t>
  </si>
  <si>
    <t>BIJLAGE A4-c</t>
  </si>
  <si>
    <t>MODELBLAD REFERENTIE - OMVANG</t>
  </si>
  <si>
    <t>ja=30 punten / nee=0 punten</t>
  </si>
  <si>
    <t>BIJLAGE A4-d</t>
  </si>
  <si>
    <t>MODELBLAD REFERENTIE - RENOVATIE</t>
  </si>
  <si>
    <t>BIJLAGE A5</t>
  </si>
  <si>
    <t>BEOORDELING ERVARING UITVOERENDE PERSOON (PROJECTLEIDER)</t>
  </si>
  <si>
    <t>Naam van de uitvoerende persoon:</t>
  </si>
  <si>
    <t>Ervaring in soorgelijke functie</t>
  </si>
  <si>
    <t>Beschrijving werkzaamheden soorgelijk project:</t>
  </si>
  <si>
    <t>Ervaring in soortgelijke omvang</t>
  </si>
  <si>
    <t>Oplevering project soorgelijke omvang</t>
  </si>
  <si>
    <t>Beschrijving werkzaamheden project soortgelijke omvang:</t>
  </si>
  <si>
    <t>Heeft gewerkt aan een BENG project</t>
  </si>
  <si>
    <t>Beschrijving werkzaamheden BENG:</t>
  </si>
  <si>
    <t>Heeft gewerkt aan een renovatie/nieuwbouw combinatie project</t>
  </si>
  <si>
    <t>Beschrijving werkzaamheden renovatie/nieuwbouw combinatie project:</t>
  </si>
  <si>
    <t>Bijlage 6: staart- en indirecte kosten</t>
  </si>
  <si>
    <t>met ja of nee aangeven welke opslagen van toepassing zijn</t>
  </si>
  <si>
    <t>algemene bedrijfskosten</t>
  </si>
  <si>
    <t>AK over door opdrachtgever ingebrachte onderaanneming</t>
  </si>
  <si>
    <t>risico</t>
  </si>
  <si>
    <t>winst</t>
  </si>
  <si>
    <t>overige opslagen</t>
  </si>
  <si>
    <t>totaal opslagen</t>
  </si>
  <si>
    <t>totaal</t>
  </si>
  <si>
    <t>in te vullen door inschrijver</t>
  </si>
  <si>
    <t>werknr:</t>
  </si>
  <si>
    <t>bedrijf</t>
  </si>
  <si>
    <t>naam</t>
  </si>
  <si>
    <t>Nummer</t>
  </si>
  <si>
    <t>Omschrijving</t>
  </si>
  <si>
    <t>Aantal</t>
  </si>
  <si>
    <t>1h</t>
  </si>
  <si>
    <t>Kosten/1h</t>
  </si>
  <si>
    <t>Totaal bedrag</t>
  </si>
  <si>
    <t>e</t>
  </si>
  <si>
    <t>f</t>
  </si>
  <si>
    <t>g</t>
  </si>
  <si>
    <t>h</t>
  </si>
  <si>
    <t>i</t>
  </si>
  <si>
    <t>00</t>
  </si>
  <si>
    <t>UITGANGSPUNTEN</t>
  </si>
  <si>
    <t>uitgangspunt geschatte 'kale' bouwkosten</t>
  </si>
  <si>
    <t>pst</t>
  </si>
  <si>
    <t>-</t>
  </si>
  <si>
    <t>00.01-e</t>
  </si>
  <si>
    <t>uitgangspunt geschatte uren timmerlieden (vul uurloon in)</t>
  </si>
  <si>
    <t>uur</t>
  </si>
  <si>
    <t>door opdrachtgever ingebrachte onderaannemers/ derden</t>
  </si>
  <si>
    <t xml:space="preserve">stelposten </t>
  </si>
  <si>
    <t>de bouwtijd wordt gesteld op 60 weken</t>
  </si>
  <si>
    <t>00.01-a</t>
  </si>
  <si>
    <t>kosten projectleider (compleet)</t>
  </si>
  <si>
    <t>weken</t>
  </si>
  <si>
    <t>00.01-b</t>
  </si>
  <si>
    <t>kosten werkvoorbreiding (compleet)</t>
  </si>
  <si>
    <t>00.01-c</t>
  </si>
  <si>
    <t>kosten uitvoering (compleet)</t>
  </si>
  <si>
    <t>00.01-d</t>
  </si>
  <si>
    <t>overige indirecte kosten (indien van toepassing)</t>
  </si>
  <si>
    <t>TOTALEN</t>
  </si>
  <si>
    <t>k</t>
  </si>
  <si>
    <t>ALGEMENE BEDRIJFSKOSTEN</t>
  </si>
  <si>
    <t>vul % in</t>
  </si>
  <si>
    <t>l</t>
  </si>
  <si>
    <t>AK over door opdrachtgever ingebrachte onderaannemers</t>
  </si>
  <si>
    <t>m</t>
  </si>
  <si>
    <t>RISICO</t>
  </si>
  <si>
    <t>n</t>
  </si>
  <si>
    <t>WINST</t>
  </si>
  <si>
    <t>o</t>
  </si>
  <si>
    <t>OVERIGE door de opdrachtnemer opgenomen opslagen</t>
  </si>
  <si>
    <t>SUBTOTAAL</t>
  </si>
  <si>
    <t>Q</t>
  </si>
  <si>
    <t>CARPOLIS</t>
  </si>
  <si>
    <t>INSCHRIJVINGSBEDRAG  EXCLUSIEF B.T.W.</t>
  </si>
  <si>
    <t>Door het ondertekenen van de bijlage A1 geeft u aan dat dit document onderdeel uitmaakt van uw inschrijving</t>
  </si>
  <si>
    <t>Bijlage 7 - CHECKLIST</t>
  </si>
  <si>
    <t>LIJST</t>
  </si>
  <si>
    <t>bedrijf:</t>
  </si>
  <si>
    <t>inzet derden</t>
  </si>
  <si>
    <t>p</t>
  </si>
  <si>
    <t>Vraag</t>
  </si>
  <si>
    <t>punten</t>
  </si>
  <si>
    <t>A1 tm A6</t>
  </si>
  <si>
    <t>Zijn alle ingediende stukken rechtsgeldig ondertekend?</t>
  </si>
  <si>
    <t>nee=uitsluiting / ja=10 punten</t>
  </si>
  <si>
    <t>NvI</t>
  </si>
  <si>
    <t>Heeft u de nota van wijzigingen ontvangen en verwerkt?</t>
  </si>
  <si>
    <t>A1</t>
  </si>
  <si>
    <t>Heeft u formulier A1 volledig ingevuld en ondertekend?</t>
  </si>
  <si>
    <t>A2</t>
  </si>
  <si>
    <t>Heeft u een recent uittreksel KvK ingediend waaruit wij op kunnen maken dat de documenten rechtsgelding zijn ondertekend?</t>
  </si>
  <si>
    <t>Heeft CV van de uitvoerende persoon (projectleider) aangeleverd</t>
  </si>
  <si>
    <t>A8</t>
  </si>
  <si>
    <t>A4</t>
  </si>
  <si>
    <t>Type bouw</t>
  </si>
  <si>
    <t>Bouwkosten excl. BTW</t>
  </si>
  <si>
    <t>Jaar oplevering</t>
  </si>
  <si>
    <t>Extra punten</t>
  </si>
  <si>
    <t>4-a</t>
  </si>
  <si>
    <t>Referentie 1</t>
  </si>
  <si>
    <t>zie voor beoordeling A4-a</t>
  </si>
  <si>
    <t>4-b</t>
  </si>
  <si>
    <t>Referentie 2</t>
  </si>
  <si>
    <t>zie voor beoordeling A4-b</t>
  </si>
  <si>
    <t>4-c</t>
  </si>
  <si>
    <t>Referentie 3</t>
  </si>
  <si>
    <t>zie voor beoordeling A4-c</t>
  </si>
  <si>
    <t>4-d</t>
  </si>
  <si>
    <t>Referentie 4</t>
  </si>
  <si>
    <t>zie voor beoordeling A4-d</t>
  </si>
  <si>
    <t>Het resultaat van het ingevulde tabblad A5_Beoordeling ervaring uitvoerende persoon</t>
  </si>
  <si>
    <t>zie voor beoordeling A5</t>
  </si>
  <si>
    <t>Bent u bereid in de vakanties van 2025 door te werken?</t>
  </si>
  <si>
    <t>nee=0 punten / ja=30 punten</t>
  </si>
  <si>
    <t>Hoeveel voorbereidingstijd denkt u nodig te hebben na definitieve opdracht tot start bouw (bindend)</t>
  </si>
  <si>
    <t>in weken:</t>
  </si>
  <si>
    <t>=20 minus uw antwoord / 2</t>
  </si>
  <si>
    <t>Hoeveel bouwtijd (in weken) denkt u nodig te hebben voor de realisatie van het project (bindend)</t>
  </si>
  <si>
    <t>=60 minus uw antwoord / 2</t>
  </si>
  <si>
    <t>Heeft u capaciteit om een definitieve begroting af te ronden binnen 3 weken na voorlopige de gunning</t>
  </si>
  <si>
    <t>Bent u bereid, zonder vergoeding,  om deel te nemen aan het bouwteam om te komen tot een uitvoering binnen het vastgestelde budget</t>
  </si>
  <si>
    <t xml:space="preserve">Het resultaat van het ingevulde tabblad A6_begroting </t>
  </si>
  <si>
    <t>exclusief BTW</t>
  </si>
  <si>
    <t>=budget minus bedrag op A6/1000</t>
  </si>
  <si>
    <t>HET RESULTAAT VAN UW INSCHRIJVING</t>
  </si>
  <si>
    <t>Nieuwbouw +Renovatie IKC Tuindorp</t>
  </si>
  <si>
    <t>ja=10 punten / nee=0 punten</t>
  </si>
  <si>
    <t>Heeft u de uniforme eigen verklaring volledig ingevuld en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</si>
</sst>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_-* #,##0_-;_-* #,##0\-;_-* &quot;-&quot;??_-;_-@_-"/>
  </numFmts>
  <fonts count="21">
    <font>
      <sz val="10"/>
      <name val="Abadi MT Condensed Light"/>
    </font>
    <font>
      <sz val="10"/>
      <name val="Abadi MT Condensed Light"/>
      <family val="2"/>
    </font>
    <font>
      <sz val="10"/>
      <name val="Gill Sans MT"/>
      <family val="2"/>
    </font>
    <font>
      <b/>
      <sz val="10"/>
      <name val="Gill Sans MT"/>
      <family val="2"/>
    </font>
    <font>
      <sz val="8"/>
      <name val="Gill Sans MT"/>
      <family val="2"/>
    </font>
    <font>
      <b/>
      <sz val="9"/>
      <name val="Gill Sans MT"/>
      <family val="2"/>
    </font>
    <font>
      <sz val="9"/>
      <name val="Gill Sans MT"/>
      <family val="2"/>
    </font>
    <font>
      <b/>
      <sz val="14"/>
      <color theme="4" tint="-0.249977111117893"/>
      <name val="Gill Sans MT"/>
      <family val="2"/>
    </font>
    <font>
      <b/>
      <sz val="10"/>
      <color rgb="FFC00000"/>
      <name val="Gill Sans MT"/>
      <family val="2"/>
    </font>
    <font>
      <b/>
      <sz val="11"/>
      <color rgb="FFC00000"/>
      <name val="Gill Sans MT"/>
      <family val="2"/>
    </font>
    <font>
      <sz val="10"/>
      <color rgb="FFC00000"/>
      <name val="Gill Sans MT"/>
      <family val="2"/>
    </font>
    <font>
      <u/>
      <sz val="10"/>
      <name val="Gill Sans MT"/>
      <family val="2"/>
    </font>
    <font>
      <b/>
      <sz val="10"/>
      <color theme="4" tint="-0.249977111117893"/>
      <name val="Gill Sans MT"/>
      <family val="2"/>
    </font>
    <font>
      <b/>
      <sz val="10"/>
      <color theme="4" tint="-0.499984740745262"/>
      <name val="Gill Sans MT"/>
      <family val="2"/>
    </font>
    <font>
      <sz val="12"/>
      <color rgb="FFC00000"/>
      <name val="Gill Sans MT"/>
      <family val="2"/>
    </font>
    <font>
      <b/>
      <sz val="8"/>
      <color rgb="FFC00000"/>
      <name val="Gill Sans MT"/>
      <family val="2"/>
    </font>
    <font>
      <b/>
      <sz val="12"/>
      <color rgb="FFC00000"/>
      <name val="Gill Sans MT"/>
      <family val="2"/>
    </font>
    <font>
      <b/>
      <sz val="10"/>
      <color rgb="FFFF0000"/>
      <name val="Gill Sans MT"/>
      <family val="2"/>
    </font>
    <font>
      <b/>
      <sz val="9"/>
      <color indexed="81"/>
      <name val="Tahoma"/>
      <family val="2"/>
    </font>
    <font>
      <b/>
      <sz val="10"/>
      <name val="Arial"/>
      <family val="2"/>
    </font>
    <font>
      <sz val="9"/>
      <color indexed="81"/>
      <name val="Tahoma"/>
      <family val="2"/>
    </font>
  </fonts>
  <fills count="9">
    <fill>
      <patternFill patternType="none"/>
    </fill>
    <fill>
      <patternFill patternType="gray125"/>
    </fill>
    <fill>
      <patternFill patternType="solid">
        <fgColor indexed="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s>
  <borders count="6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theme="4" tint="-0.499984740745262"/>
      </left>
      <right/>
      <top style="thin">
        <color theme="4" tint="-0.499984740745262"/>
      </top>
      <bottom/>
      <diagonal/>
    </border>
    <border>
      <left/>
      <right/>
      <top style="thin">
        <color theme="4" tint="-0.499984740745262"/>
      </top>
      <bottom/>
      <diagonal/>
    </border>
    <border>
      <left style="thin">
        <color indexed="64"/>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indexed="64"/>
      </bottom>
      <diagonal/>
    </border>
    <border>
      <left style="thin">
        <color theme="4" tint="-0.499984740745262"/>
      </left>
      <right/>
      <top style="thin">
        <color indexed="64"/>
      </top>
      <bottom style="thin">
        <color indexed="64"/>
      </bottom>
      <diagonal/>
    </border>
    <border>
      <left style="thin">
        <color theme="4" tint="-0.499984740745262"/>
      </left>
      <right style="thin">
        <color indexed="64"/>
      </right>
      <top style="thin">
        <color indexed="64"/>
      </top>
      <bottom/>
      <diagonal/>
    </border>
    <border>
      <left style="thin">
        <color theme="4" tint="-0.499984740745262"/>
      </left>
      <right style="thin">
        <color indexed="64"/>
      </right>
      <top/>
      <bottom/>
      <diagonal/>
    </border>
    <border>
      <left/>
      <right style="thin">
        <color theme="4" tint="-0.499984740745262"/>
      </right>
      <top style="thin">
        <color indexed="64"/>
      </top>
      <bottom style="thin">
        <color indexed="64"/>
      </bottom>
      <diagonal/>
    </border>
    <border>
      <left/>
      <right style="thin">
        <color theme="4" tint="-0.499984740745262"/>
      </right>
      <top/>
      <bottom style="thin">
        <color indexed="64"/>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medium">
        <color indexed="64"/>
      </left>
      <right/>
      <top/>
      <bottom style="thin">
        <color theme="4" tint="-0.499984740745262"/>
      </bottom>
      <diagonal/>
    </border>
    <border>
      <left/>
      <right style="thin">
        <color theme="4" tint="-0.499984740745262"/>
      </right>
      <top/>
      <bottom style="thin">
        <color theme="4" tint="-0.499984740745262"/>
      </bottom>
      <diagonal/>
    </border>
    <border>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auto="1"/>
      </right>
      <top style="hair">
        <color indexed="64"/>
      </top>
      <bottom/>
      <diagonal/>
    </border>
    <border>
      <left style="hair">
        <color indexed="64"/>
      </left>
      <right/>
      <top/>
      <bottom/>
      <diagonal/>
    </border>
    <border>
      <left/>
      <right style="hair">
        <color indexed="64"/>
      </right>
      <top/>
      <bottom/>
      <diagonal/>
    </border>
    <border>
      <left style="dotted">
        <color rgb="FF000000"/>
      </left>
      <right style="dotted">
        <color rgb="FF000000"/>
      </right>
      <top/>
      <bottom/>
      <diagonal/>
    </border>
    <border>
      <left style="hair">
        <color indexed="64"/>
      </left>
      <right/>
      <top/>
      <bottom style="thin">
        <color indexed="64"/>
      </bottom>
      <diagonal/>
    </border>
    <border>
      <left style="dotted">
        <color rgb="FF000000"/>
      </left>
      <right style="dotted">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hair">
        <color indexed="64"/>
      </left>
      <right style="thin">
        <color rgb="FF000000"/>
      </right>
      <top/>
      <bottom/>
      <diagonal/>
    </border>
    <border>
      <left style="hair">
        <color indexed="64"/>
      </left>
      <right style="thin">
        <color rgb="FF000000"/>
      </right>
      <top/>
      <bottom style="thin">
        <color indexed="64"/>
      </bottom>
      <diagonal/>
    </border>
    <border>
      <left/>
      <right style="thin">
        <color rgb="FF000000"/>
      </right>
      <top style="thin">
        <color rgb="FF000000"/>
      </top>
      <bottom style="thin">
        <color rgb="FF000000"/>
      </bottom>
      <diagonal/>
    </border>
    <border>
      <left/>
      <right/>
      <top style="thin">
        <color indexed="64"/>
      </top>
      <bottom style="thin">
        <color rgb="FF000000"/>
      </bottom>
      <diagonal/>
    </border>
    <border>
      <left style="hair">
        <color indexed="64"/>
      </left>
      <right/>
      <top style="thin">
        <color rgb="FF000000"/>
      </top>
      <bottom style="thin">
        <color rgb="FF000000"/>
      </bottom>
      <diagonal/>
    </border>
    <border>
      <left/>
      <right/>
      <top style="thin">
        <color rgb="FF000000"/>
      </top>
      <bottom style="thin">
        <color indexed="64"/>
      </bottom>
      <diagonal/>
    </border>
    <border>
      <left style="hair">
        <color indexed="64"/>
      </left>
      <right/>
      <top style="thin">
        <color rgb="FF000000"/>
      </top>
      <bottom style="thin">
        <color indexed="64"/>
      </bottom>
      <diagonal/>
    </border>
    <border>
      <left style="thin">
        <color indexed="64"/>
      </left>
      <right/>
      <top/>
      <bottom style="thin">
        <color rgb="FF000000"/>
      </bottom>
      <diagonal/>
    </border>
    <border>
      <left style="hair">
        <color indexed="64"/>
      </left>
      <right style="hair">
        <color auto="1"/>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305">
    <xf numFmtId="0" fontId="0" fillId="0" borderId="0" xfId="0"/>
    <xf numFmtId="0" fontId="2" fillId="2" borderId="0" xfId="0" applyFont="1" applyFill="1"/>
    <xf numFmtId="0" fontId="2" fillId="0" borderId="0" xfId="0" applyFont="1"/>
    <xf numFmtId="0" fontId="2" fillId="0" borderId="0" xfId="0" applyFont="1" applyAlignment="1">
      <alignment horizontal="right"/>
    </xf>
    <xf numFmtId="0" fontId="4" fillId="0" borderId="0" xfId="0" applyFont="1" applyAlignment="1">
      <alignment horizontal="right"/>
    </xf>
    <xf numFmtId="0" fontId="4" fillId="0" borderId="0" xfId="0" applyFont="1"/>
    <xf numFmtId="164" fontId="6" fillId="0" borderId="4" xfId="1" applyFont="1" applyFill="1" applyBorder="1"/>
    <xf numFmtId="0" fontId="6" fillId="0" borderId="0" xfId="0" applyFont="1"/>
    <xf numFmtId="0" fontId="6" fillId="0" borderId="0" xfId="0" applyFont="1" applyAlignment="1">
      <alignment horizontal="right"/>
    </xf>
    <xf numFmtId="165" fontId="6" fillId="0" borderId="0" xfId="1" applyNumberFormat="1" applyFont="1" applyFill="1" applyBorder="1"/>
    <xf numFmtId="0" fontId="6" fillId="0" borderId="0" xfId="0" applyFont="1" applyAlignment="1">
      <alignment horizontal="left"/>
    </xf>
    <xf numFmtId="0" fontId="6" fillId="0" borderId="10" xfId="0" applyFont="1" applyBorder="1"/>
    <xf numFmtId="0" fontId="6" fillId="0" borderId="11" xfId="0" applyFont="1" applyBorder="1"/>
    <xf numFmtId="49" fontId="6" fillId="0" borderId="0" xfId="0" applyNumberFormat="1" applyFont="1" applyAlignment="1">
      <alignment horizontal="left"/>
    </xf>
    <xf numFmtId="0" fontId="2" fillId="0" borderId="0" xfId="0" applyFont="1" applyProtection="1">
      <protection hidden="1"/>
    </xf>
    <xf numFmtId="0" fontId="6" fillId="0" borderId="0" xfId="0" applyFont="1" applyAlignment="1">
      <alignment horizontal="center"/>
    </xf>
    <xf numFmtId="0" fontId="6" fillId="0" borderId="14" xfId="0" applyFont="1" applyBorder="1"/>
    <xf numFmtId="0" fontId="3" fillId="0" borderId="0" xfId="0" applyFont="1"/>
    <xf numFmtId="10" fontId="5" fillId="3" borderId="6" xfId="2" applyNumberFormat="1" applyFont="1" applyFill="1" applyBorder="1" applyProtection="1">
      <protection locked="0"/>
    </xf>
    <xf numFmtId="164" fontId="6" fillId="3" borderId="4" xfId="1" applyFont="1" applyFill="1" applyBorder="1" applyAlignment="1" applyProtection="1">
      <alignment horizontal="center"/>
      <protection locked="0"/>
    </xf>
    <xf numFmtId="164" fontId="5" fillId="3" borderId="10" xfId="1" applyFont="1" applyFill="1" applyBorder="1" applyProtection="1">
      <protection locked="0"/>
    </xf>
    <xf numFmtId="164" fontId="5" fillId="3" borderId="11" xfId="1" applyFont="1" applyFill="1" applyBorder="1" applyProtection="1">
      <protection locked="0"/>
    </xf>
    <xf numFmtId="0" fontId="2" fillId="0" borderId="16" xfId="0" applyFont="1" applyBorder="1" applyAlignment="1">
      <alignment horizontal="right"/>
    </xf>
    <xf numFmtId="0" fontId="2" fillId="0" borderId="16" xfId="0" applyFont="1" applyBorder="1"/>
    <xf numFmtId="0" fontId="5" fillId="0" borderId="10" xfId="0" applyFont="1" applyBorder="1" applyAlignment="1">
      <alignment horizontal="right"/>
    </xf>
    <xf numFmtId="0" fontId="2" fillId="0" borderId="17" xfId="0" applyFont="1" applyBorder="1"/>
    <xf numFmtId="164" fontId="2" fillId="0" borderId="4" xfId="1" applyFont="1" applyFill="1" applyBorder="1" applyAlignment="1">
      <alignment textRotation="90"/>
    </xf>
    <xf numFmtId="0" fontId="2" fillId="0" borderId="4" xfId="1" applyNumberFormat="1" applyFont="1" applyFill="1" applyBorder="1" applyAlignment="1"/>
    <xf numFmtId="0" fontId="2" fillId="0" borderId="10" xfId="0" applyFont="1" applyBorder="1"/>
    <xf numFmtId="164" fontId="6" fillId="0" borderId="0" xfId="1" applyFont="1" applyFill="1" applyBorder="1" applyAlignment="1" applyProtection="1">
      <alignment horizontal="center"/>
      <protection locked="0"/>
    </xf>
    <xf numFmtId="165" fontId="6" fillId="0" borderId="0" xfId="0" applyNumberFormat="1" applyFont="1"/>
    <xf numFmtId="165" fontId="5" fillId="0" borderId="0" xfId="0" applyNumberFormat="1" applyFont="1"/>
    <xf numFmtId="164" fontId="2" fillId="0" borderId="0" xfId="1" applyFont="1" applyFill="1" applyBorder="1" applyAlignment="1" applyProtection="1">
      <alignment textRotation="90" wrapText="1"/>
      <protection hidden="1"/>
    </xf>
    <xf numFmtId="0" fontId="2" fillId="0" borderId="0" xfId="0" applyFont="1" applyAlignment="1" applyProtection="1">
      <alignment textRotation="90" wrapText="1"/>
      <protection hidden="1"/>
    </xf>
    <xf numFmtId="0" fontId="2" fillId="0" borderId="0" xfId="0" applyFont="1" applyAlignment="1" applyProtection="1">
      <alignment textRotation="90"/>
      <protection hidden="1"/>
    </xf>
    <xf numFmtId="0" fontId="6" fillId="0" borderId="4" xfId="0" applyFont="1" applyBorder="1" applyAlignment="1">
      <alignment horizontal="right"/>
    </xf>
    <xf numFmtId="0" fontId="9" fillId="0" borderId="0" xfId="0" applyFont="1" applyAlignment="1">
      <alignment horizontal="left"/>
    </xf>
    <xf numFmtId="0" fontId="9" fillId="0" borderId="10" xfId="0" applyFont="1" applyBorder="1" applyAlignment="1">
      <alignment horizontal="center"/>
    </xf>
    <xf numFmtId="0" fontId="2" fillId="0" borderId="28" xfId="0" applyFont="1" applyBorder="1"/>
    <xf numFmtId="49" fontId="2" fillId="0" borderId="28" xfId="0" applyNumberFormat="1" applyFont="1" applyBorder="1"/>
    <xf numFmtId="0" fontId="3" fillId="5" borderId="0" xfId="0" applyFont="1" applyFill="1"/>
    <xf numFmtId="0" fontId="2" fillId="5" borderId="0" xfId="0" applyFont="1" applyFill="1"/>
    <xf numFmtId="0" fontId="2" fillId="0" borderId="0" xfId="0" applyFont="1" applyAlignment="1">
      <alignment horizontal="left"/>
    </xf>
    <xf numFmtId="0" fontId="11" fillId="0" borderId="0" xfId="0" applyFont="1"/>
    <xf numFmtId="0" fontId="12" fillId="0" borderId="0" xfId="0" applyFont="1"/>
    <xf numFmtId="0" fontId="13" fillId="0" borderId="0" xfId="0" applyFont="1"/>
    <xf numFmtId="0" fontId="2" fillId="0" borderId="0" xfId="0" applyFont="1" applyAlignment="1">
      <alignment vertical="top"/>
    </xf>
    <xf numFmtId="0" fontId="3" fillId="5" borderId="0" xfId="0" applyFont="1" applyFill="1" applyProtection="1">
      <protection locked="0"/>
    </xf>
    <xf numFmtId="0" fontId="2" fillId="5" borderId="0" xfId="0" applyFont="1" applyFill="1" applyProtection="1">
      <protection locked="0"/>
    </xf>
    <xf numFmtId="0" fontId="2" fillId="5" borderId="0" xfId="0" applyFont="1" applyFill="1" applyAlignment="1" applyProtection="1">
      <alignment horizontal="left"/>
      <protection locked="0"/>
    </xf>
    <xf numFmtId="0" fontId="10" fillId="0" borderId="0" xfId="0" applyFont="1" applyAlignment="1">
      <alignment horizontal="right"/>
    </xf>
    <xf numFmtId="0" fontId="14" fillId="0" borderId="0" xfId="0" applyFont="1" applyAlignment="1">
      <alignment horizontal="right" vertical="center"/>
    </xf>
    <xf numFmtId="0" fontId="2" fillId="5" borderId="39" xfId="0" applyFont="1" applyFill="1" applyBorder="1" applyProtection="1">
      <protection locked="0"/>
    </xf>
    <xf numFmtId="164" fontId="6" fillId="3" borderId="10" xfId="1" applyFont="1" applyFill="1" applyBorder="1" applyAlignment="1" applyProtection="1">
      <alignment horizontal="center"/>
      <protection locked="0"/>
    </xf>
    <xf numFmtId="164" fontId="6" fillId="3" borderId="9" xfId="1" applyFont="1" applyFill="1" applyBorder="1" applyAlignment="1" applyProtection="1">
      <alignment horizontal="center"/>
      <protection locked="0"/>
    </xf>
    <xf numFmtId="0" fontId="2" fillId="0" borderId="10" xfId="0" applyFont="1" applyBorder="1" applyAlignment="1">
      <alignment horizontal="right"/>
    </xf>
    <xf numFmtId="0" fontId="0" fillId="7" borderId="0" xfId="0" applyFill="1"/>
    <xf numFmtId="0" fontId="2" fillId="0" borderId="5" xfId="0" applyFont="1" applyBorder="1"/>
    <xf numFmtId="10" fontId="5" fillId="0" borderId="0" xfId="2" applyNumberFormat="1" applyFont="1" applyFill="1" applyBorder="1" applyAlignment="1" applyProtection="1">
      <alignment horizontal="right"/>
    </xf>
    <xf numFmtId="10" fontId="5" fillId="0" borderId="0" xfId="2" applyNumberFormat="1" applyFont="1" applyFill="1" applyBorder="1" applyProtection="1"/>
    <xf numFmtId="0" fontId="2" fillId="0" borderId="0" xfId="1" applyNumberFormat="1" applyFont="1" applyFill="1" applyBorder="1" applyAlignment="1" applyProtection="1"/>
    <xf numFmtId="164" fontId="6" fillId="0" borderId="0" xfId="0" applyNumberFormat="1" applyFont="1"/>
    <xf numFmtId="165" fontId="5" fillId="0" borderId="0" xfId="1" applyNumberFormat="1" applyFont="1" applyFill="1" applyBorder="1" applyProtection="1"/>
    <xf numFmtId="0" fontId="2" fillId="0" borderId="0" xfId="1" applyNumberFormat="1" applyFont="1" applyFill="1" applyBorder="1" applyAlignment="1" applyProtection="1">
      <alignment horizontal="right"/>
    </xf>
    <xf numFmtId="164" fontId="3" fillId="0" borderId="0" xfId="0" applyNumberFormat="1" applyFont="1"/>
    <xf numFmtId="0" fontId="19" fillId="7" borderId="0" xfId="0" applyFont="1" applyFill="1"/>
    <xf numFmtId="0" fontId="0" fillId="0" borderId="3" xfId="0" applyBorder="1"/>
    <xf numFmtId="0" fontId="0" fillId="0" borderId="4" xfId="0" applyBorder="1"/>
    <xf numFmtId="0" fontId="0" fillId="0" borderId="14" xfId="0" applyBorder="1"/>
    <xf numFmtId="0" fontId="0" fillId="0" borderId="5" xfId="0" applyBorder="1"/>
    <xf numFmtId="0" fontId="0" fillId="0" borderId="43" xfId="0" applyBorder="1"/>
    <xf numFmtId="0" fontId="2" fillId="0" borderId="4" xfId="0" applyFont="1" applyBorder="1"/>
    <xf numFmtId="0" fontId="2" fillId="5" borderId="1" xfId="0" applyFont="1" applyFill="1" applyBorder="1"/>
    <xf numFmtId="0" fontId="2" fillId="5" borderId="4" xfId="0" applyFont="1" applyFill="1" applyBorder="1"/>
    <xf numFmtId="0" fontId="2" fillId="5" borderId="5" xfId="0" applyFont="1" applyFill="1" applyBorder="1"/>
    <xf numFmtId="0" fontId="2" fillId="5" borderId="6" xfId="0" applyFont="1" applyFill="1" applyBorder="1"/>
    <xf numFmtId="0" fontId="2" fillId="5" borderId="2" xfId="0" applyFont="1" applyFill="1" applyBorder="1"/>
    <xf numFmtId="0" fontId="2" fillId="5" borderId="4" xfId="0" applyFont="1" applyFill="1" applyBorder="1" applyAlignment="1">
      <alignment horizontal="left"/>
    </xf>
    <xf numFmtId="0" fontId="0" fillId="5" borderId="1" xfId="0" applyFill="1" applyBorder="1"/>
    <xf numFmtId="0" fontId="0" fillId="5" borderId="3" xfId="0" applyFill="1" applyBorder="1"/>
    <xf numFmtId="0" fontId="2" fillId="5" borderId="4" xfId="0" applyFont="1" applyFill="1" applyBorder="1" applyAlignment="1">
      <alignment horizontal="center"/>
    </xf>
    <xf numFmtId="0" fontId="0" fillId="5" borderId="4" xfId="0" applyFill="1" applyBorder="1"/>
    <xf numFmtId="0" fontId="0" fillId="5" borderId="5" xfId="0" applyFill="1" applyBorder="1"/>
    <xf numFmtId="0" fontId="0" fillId="0" borderId="9" xfId="0" applyBorder="1"/>
    <xf numFmtId="0" fontId="0" fillId="0" borderId="11" xfId="0" applyBorder="1"/>
    <xf numFmtId="0" fontId="2" fillId="0" borderId="0" xfId="1" applyNumberFormat="1" applyFont="1" applyFill="1" applyBorder="1" applyAlignment="1"/>
    <xf numFmtId="165" fontId="5" fillId="0" borderId="0" xfId="1" applyNumberFormat="1" applyFont="1" applyFill="1" applyBorder="1" applyAlignment="1" applyProtection="1">
      <alignment horizontal="right"/>
    </xf>
    <xf numFmtId="2" fontId="5" fillId="0" borderId="0" xfId="2" applyNumberFormat="1" applyFont="1" applyFill="1" applyBorder="1" applyAlignment="1" applyProtection="1">
      <alignment horizontal="right"/>
    </xf>
    <xf numFmtId="0" fontId="0" fillId="3" borderId="13" xfId="0" applyFill="1" applyBorder="1"/>
    <xf numFmtId="0" fontId="2" fillId="3" borderId="7" xfId="0" applyFont="1" applyFill="1" applyBorder="1"/>
    <xf numFmtId="0" fontId="0" fillId="0" borderId="10" xfId="0" applyBorder="1"/>
    <xf numFmtId="0" fontId="2" fillId="3" borderId="10" xfId="0" applyFont="1" applyFill="1" applyBorder="1" applyAlignment="1" applyProtection="1">
      <alignment horizontal="center"/>
      <protection locked="0"/>
    </xf>
    <xf numFmtId="0" fontId="6" fillId="0" borderId="9" xfId="0" applyFont="1" applyBorder="1"/>
    <xf numFmtId="14" fontId="6" fillId="0" borderId="10" xfId="0" applyNumberFormat="1" applyFont="1" applyBorder="1" applyAlignment="1">
      <alignment horizontal="left"/>
    </xf>
    <xf numFmtId="3" fontId="6" fillId="0" borderId="10" xfId="0" applyNumberFormat="1" applyFont="1" applyBorder="1"/>
    <xf numFmtId="0" fontId="2" fillId="0" borderId="4" xfId="0" applyFont="1" applyBorder="1" applyAlignment="1">
      <alignment horizontal="left"/>
    </xf>
    <xf numFmtId="0" fontId="2" fillId="5" borderId="8" xfId="0" applyFont="1" applyFill="1" applyBorder="1"/>
    <xf numFmtId="14" fontId="6" fillId="0" borderId="10" xfId="0" quotePrefix="1" applyNumberFormat="1" applyFont="1" applyBorder="1" applyAlignment="1">
      <alignment horizontal="right"/>
    </xf>
    <xf numFmtId="165" fontId="5" fillId="4" borderId="8" xfId="1" applyNumberFormat="1" applyFont="1" applyFill="1" applyBorder="1" applyAlignment="1" applyProtection="1">
      <alignment horizontal="right"/>
    </xf>
    <xf numFmtId="0" fontId="2" fillId="5" borderId="48" xfId="0" applyFont="1" applyFill="1" applyBorder="1" applyProtection="1">
      <protection locked="0"/>
    </xf>
    <xf numFmtId="14" fontId="6" fillId="0" borderId="10" xfId="0" applyNumberFormat="1" applyFont="1" applyBorder="1"/>
    <xf numFmtId="165" fontId="6" fillId="0" borderId="10" xfId="3" applyNumberFormat="1" applyFont="1" applyFill="1" applyBorder="1" applyAlignment="1">
      <alignment horizontal="left"/>
    </xf>
    <xf numFmtId="0" fontId="2" fillId="0" borderId="49" xfId="0" applyFont="1" applyBorder="1"/>
    <xf numFmtId="0" fontId="2" fillId="0" borderId="47" xfId="0" applyFont="1" applyBorder="1"/>
    <xf numFmtId="0" fontId="2" fillId="0" borderId="50" xfId="0" applyFont="1" applyBorder="1"/>
    <xf numFmtId="0" fontId="2" fillId="5" borderId="50" xfId="0" applyFont="1" applyFill="1" applyBorder="1"/>
    <xf numFmtId="0" fontId="2" fillId="5" borderId="51" xfId="0" applyFont="1" applyFill="1" applyBorder="1"/>
    <xf numFmtId="0" fontId="2" fillId="5" borderId="52" xfId="0" applyFont="1" applyFill="1" applyBorder="1"/>
    <xf numFmtId="0" fontId="2" fillId="0" borderId="53" xfId="0" applyFont="1" applyBorder="1" applyAlignment="1">
      <alignment horizontal="center"/>
    </xf>
    <xf numFmtId="0" fontId="2" fillId="0" borderId="54" xfId="0" applyFont="1" applyBorder="1"/>
    <xf numFmtId="0" fontId="2" fillId="0" borderId="55" xfId="0" applyFont="1" applyBorder="1"/>
    <xf numFmtId="0" fontId="2" fillId="5" borderId="56" xfId="0" applyFont="1" applyFill="1" applyBorder="1"/>
    <xf numFmtId="0" fontId="2" fillId="0" borderId="4" xfId="0" applyFont="1" applyBorder="1" applyAlignment="1">
      <alignment horizontal="center"/>
    </xf>
    <xf numFmtId="0" fontId="2" fillId="0" borderId="47" xfId="0" applyFont="1" applyBorder="1" applyAlignment="1">
      <alignment horizontal="center"/>
    </xf>
    <xf numFmtId="0" fontId="2" fillId="0" borderId="49" xfId="0" applyFont="1" applyBorder="1" applyAlignment="1">
      <alignment horizontal="center"/>
    </xf>
    <xf numFmtId="0" fontId="2" fillId="5" borderId="56" xfId="0" applyFont="1" applyFill="1" applyBorder="1" applyAlignment="1">
      <alignment horizontal="center" vertical="center"/>
    </xf>
    <xf numFmtId="0" fontId="2" fillId="5" borderId="58" xfId="0" applyFont="1" applyFill="1" applyBorder="1"/>
    <xf numFmtId="0" fontId="2" fillId="5" borderId="59" xfId="0" applyFont="1" applyFill="1" applyBorder="1"/>
    <xf numFmtId="0" fontId="2" fillId="5" borderId="60" xfId="0" applyFont="1" applyFill="1" applyBorder="1"/>
    <xf numFmtId="0" fontId="2" fillId="5" borderId="61" xfId="0" applyFont="1" applyFill="1" applyBorder="1" applyAlignment="1">
      <alignment horizontal="center"/>
    </xf>
    <xf numFmtId="0" fontId="2" fillId="4" borderId="4" xfId="0" applyFont="1" applyFill="1" applyBorder="1"/>
    <xf numFmtId="0" fontId="2" fillId="8" borderId="0" xfId="0" applyFont="1" applyFill="1" applyAlignment="1">
      <alignment horizontal="center" vertical="center"/>
    </xf>
    <xf numFmtId="0" fontId="2" fillId="8" borderId="0" xfId="0" applyFont="1" applyFill="1" applyAlignment="1">
      <alignment horizontal="center"/>
    </xf>
    <xf numFmtId="0" fontId="2" fillId="8" borderId="0" xfId="0" applyFont="1" applyFill="1"/>
    <xf numFmtId="0" fontId="0" fillId="8" borderId="0" xfId="0" applyFill="1"/>
    <xf numFmtId="0" fontId="2" fillId="5" borderId="9" xfId="0" applyFont="1" applyFill="1" applyBorder="1" applyAlignment="1">
      <alignment horizontal="center" vertical="center"/>
    </xf>
    <xf numFmtId="0" fontId="2" fillId="0" borderId="10" xfId="0" applyFont="1" applyBorder="1" applyAlignment="1">
      <alignment horizontal="center"/>
    </xf>
    <xf numFmtId="0" fontId="2" fillId="5" borderId="11" xfId="0" applyFont="1" applyFill="1" applyBorder="1"/>
    <xf numFmtId="0" fontId="2" fillId="8" borderId="0" xfId="0" applyFont="1" applyFill="1" applyAlignment="1">
      <alignment horizontal="left"/>
    </xf>
    <xf numFmtId="0" fontId="3" fillId="0" borderId="0" xfId="0" applyFont="1" applyAlignment="1">
      <alignment horizontal="left" vertical="top" wrapText="1"/>
    </xf>
    <xf numFmtId="0" fontId="2" fillId="4" borderId="1" xfId="0" applyFont="1" applyFill="1" applyBorder="1"/>
    <xf numFmtId="49" fontId="2" fillId="0" borderId="15" xfId="0" applyNumberFormat="1" applyFont="1" applyBorder="1" applyAlignment="1">
      <alignment horizontal="left"/>
    </xf>
    <xf numFmtId="0" fontId="7" fillId="0" borderId="16" xfId="0" applyFont="1" applyBorder="1" applyAlignment="1">
      <alignment horizontal="left"/>
    </xf>
    <xf numFmtId="0" fontId="2" fillId="4" borderId="17" xfId="0" applyFont="1" applyFill="1" applyBorder="1"/>
    <xf numFmtId="0" fontId="2" fillId="4" borderId="16" xfId="0" applyFont="1" applyFill="1" applyBorder="1"/>
    <xf numFmtId="0" fontId="2" fillId="4" borderId="18" xfId="0" applyFont="1" applyFill="1" applyBorder="1"/>
    <xf numFmtId="49" fontId="2" fillId="0" borderId="19" xfId="0" applyNumberFormat="1" applyFont="1" applyBorder="1" applyAlignment="1">
      <alignment horizontal="left"/>
    </xf>
    <xf numFmtId="49" fontId="3" fillId="0" borderId="19" xfId="0" applyNumberFormat="1" applyFont="1" applyBorder="1" applyAlignment="1">
      <alignment horizontal="left"/>
    </xf>
    <xf numFmtId="14" fontId="2" fillId="0" borderId="0" xfId="0" applyNumberFormat="1" applyFont="1" applyAlignment="1">
      <alignment horizontal="left"/>
    </xf>
    <xf numFmtId="0" fontId="2" fillId="3" borderId="8" xfId="0" applyFont="1" applyFill="1" applyBorder="1" applyAlignment="1">
      <alignment horizontal="right"/>
    </xf>
    <xf numFmtId="49" fontId="2" fillId="0" borderId="0" xfId="0" applyNumberFormat="1" applyFont="1"/>
    <xf numFmtId="49" fontId="2" fillId="0" borderId="21" xfId="0" applyNumberFormat="1" applyFont="1" applyBorder="1" applyAlignment="1">
      <alignment horizontal="left" vertical="top"/>
    </xf>
    <xf numFmtId="0" fontId="3" fillId="0" borderId="6" xfId="0" applyFont="1" applyBorder="1" applyAlignment="1">
      <alignment horizontal="left" vertical="top"/>
    </xf>
    <xf numFmtId="0" fontId="2" fillId="0" borderId="6" xfId="0" applyFont="1" applyBorder="1" applyAlignment="1">
      <alignment horizontal="right"/>
    </xf>
    <xf numFmtId="0" fontId="2" fillId="0" borderId="6" xfId="0" applyFont="1" applyBorder="1"/>
    <xf numFmtId="49" fontId="6" fillId="0" borderId="22" xfId="0" applyNumberFormat="1" applyFont="1" applyBorder="1" applyAlignment="1">
      <alignment horizontal="left"/>
    </xf>
    <xf numFmtId="0" fontId="6" fillId="0" borderId="7" xfId="0" applyFont="1" applyBorder="1" applyAlignment="1">
      <alignment horizontal="left"/>
    </xf>
    <xf numFmtId="0" fontId="6" fillId="0" borderId="7" xfId="0" applyFont="1" applyBorder="1" applyAlignment="1">
      <alignment horizontal="right"/>
    </xf>
    <xf numFmtId="164" fontId="6" fillId="0" borderId="4" xfId="1" applyFont="1" applyFill="1" applyBorder="1" applyAlignment="1" applyProtection="1">
      <alignment horizontal="center"/>
    </xf>
    <xf numFmtId="0" fontId="2" fillId="0" borderId="20" xfId="0" applyFont="1" applyBorder="1"/>
    <xf numFmtId="49" fontId="5" fillId="0" borderId="23" xfId="0" applyNumberFormat="1" applyFont="1" applyBorder="1" applyAlignment="1">
      <alignment horizontal="left"/>
    </xf>
    <xf numFmtId="0" fontId="5" fillId="0" borderId="0" xfId="0" applyFont="1" applyAlignment="1">
      <alignment horizontal="left"/>
    </xf>
    <xf numFmtId="0" fontId="6" fillId="0" borderId="9" xfId="0" applyFont="1" applyBorder="1" applyAlignment="1">
      <alignment horizontal="right"/>
    </xf>
    <xf numFmtId="0" fontId="6" fillId="0" borderId="9" xfId="0" applyFont="1" applyBorder="1" applyAlignment="1">
      <alignment horizontal="left"/>
    </xf>
    <xf numFmtId="164" fontId="6" fillId="0" borderId="4" xfId="1" applyFont="1" applyFill="1" applyBorder="1" applyProtection="1"/>
    <xf numFmtId="0" fontId="6" fillId="0" borderId="20" xfId="0" applyFont="1" applyBorder="1"/>
    <xf numFmtId="49" fontId="6" fillId="0" borderId="24" xfId="0" applyNumberFormat="1" applyFont="1" applyBorder="1" applyAlignment="1">
      <alignment horizontal="left"/>
    </xf>
    <xf numFmtId="0" fontId="6" fillId="0" borderId="10" xfId="0" applyFont="1" applyBorder="1" applyAlignment="1">
      <alignment horizontal="right"/>
    </xf>
    <xf numFmtId="0" fontId="6" fillId="0" borderId="10" xfId="0" applyFont="1" applyBorder="1" applyAlignment="1">
      <alignment horizontal="left"/>
    </xf>
    <xf numFmtId="43" fontId="5" fillId="0" borderId="10" xfId="1" applyNumberFormat="1" applyFont="1" applyFill="1" applyBorder="1" applyAlignment="1" applyProtection="1">
      <alignment horizontal="right"/>
    </xf>
    <xf numFmtId="164" fontId="6" fillId="0" borderId="0" xfId="0" applyNumberFormat="1" applyFont="1" applyAlignment="1">
      <alignment horizontal="right"/>
    </xf>
    <xf numFmtId="165" fontId="6" fillId="0" borderId="0" xfId="1" applyNumberFormat="1" applyFont="1" applyBorder="1" applyProtection="1"/>
    <xf numFmtId="165" fontId="6" fillId="0" borderId="20" xfId="1" applyNumberFormat="1" applyFont="1" applyBorder="1" applyProtection="1"/>
    <xf numFmtId="164" fontId="5" fillId="0" borderId="10" xfId="1" applyFont="1" applyFill="1" applyBorder="1" applyAlignment="1" applyProtection="1">
      <alignment horizontal="right"/>
    </xf>
    <xf numFmtId="0" fontId="6" fillId="0" borderId="24" xfId="0" applyFont="1" applyBorder="1"/>
    <xf numFmtId="165" fontId="6" fillId="0" borderId="0" xfId="1" applyNumberFormat="1" applyFont="1" applyFill="1" applyBorder="1" applyProtection="1"/>
    <xf numFmtId="0" fontId="6" fillId="0" borderId="11" xfId="0" applyFont="1" applyBorder="1" applyAlignment="1">
      <alignment horizontal="right"/>
    </xf>
    <xf numFmtId="0" fontId="5" fillId="0" borderId="12" xfId="0" applyFont="1" applyBorder="1" applyAlignment="1">
      <alignment horizontal="left"/>
    </xf>
    <xf numFmtId="0" fontId="6" fillId="0" borderId="12" xfId="0" applyFont="1" applyBorder="1" applyAlignment="1">
      <alignment horizontal="right"/>
    </xf>
    <xf numFmtId="0" fontId="6" fillId="0" borderId="12" xfId="0" applyFont="1" applyBorder="1" applyAlignment="1">
      <alignment horizontal="left"/>
    </xf>
    <xf numFmtId="164" fontId="5" fillId="0" borderId="7" xfId="1" applyFont="1" applyFill="1" applyBorder="1" applyAlignment="1" applyProtection="1">
      <alignment horizontal="right"/>
    </xf>
    <xf numFmtId="0" fontId="6" fillId="0" borderId="12" xfId="0" applyFont="1" applyBorder="1"/>
    <xf numFmtId="165" fontId="6" fillId="0" borderId="12" xfId="0" applyNumberFormat="1" applyFont="1" applyBorder="1"/>
    <xf numFmtId="165" fontId="5" fillId="0" borderId="25" xfId="0" applyNumberFormat="1" applyFont="1" applyBorder="1"/>
    <xf numFmtId="0" fontId="6" fillId="0" borderId="19" xfId="0" applyFont="1" applyBorder="1"/>
    <xf numFmtId="0" fontId="6" fillId="0" borderId="19" xfId="0" applyFont="1" applyBorder="1" applyAlignment="1">
      <alignment vertical="top"/>
    </xf>
    <xf numFmtId="0" fontId="6" fillId="0" borderId="0" xfId="0" applyFont="1" applyAlignment="1">
      <alignment wrapText="1"/>
    </xf>
    <xf numFmtId="0" fontId="6" fillId="0" borderId="21" xfId="0" applyFont="1" applyBorder="1"/>
    <xf numFmtId="0" fontId="6" fillId="0" borderId="6" xfId="0" applyFont="1" applyBorder="1"/>
    <xf numFmtId="165" fontId="5" fillId="0" borderId="6" xfId="1" applyNumberFormat="1" applyFont="1" applyFill="1" applyBorder="1" applyProtection="1"/>
    <xf numFmtId="0" fontId="6" fillId="0" borderId="6" xfId="0" applyFont="1" applyBorder="1" applyAlignment="1">
      <alignment horizontal="right"/>
    </xf>
    <xf numFmtId="0" fontId="6" fillId="0" borderId="26" xfId="0" applyFont="1" applyBorder="1"/>
    <xf numFmtId="49" fontId="6" fillId="0" borderId="19" xfId="0" applyNumberFormat="1" applyFont="1" applyBorder="1"/>
    <xf numFmtId="10" fontId="6" fillId="0" borderId="0" xfId="0" applyNumberFormat="1" applyFont="1"/>
    <xf numFmtId="165" fontId="6" fillId="0" borderId="20" xfId="0" applyNumberFormat="1" applyFont="1" applyBorder="1"/>
    <xf numFmtId="164" fontId="6" fillId="0" borderId="26" xfId="0" applyNumberFormat="1" applyFont="1" applyBorder="1"/>
    <xf numFmtId="0" fontId="6" fillId="0" borderId="27" xfId="0" applyFont="1" applyBorder="1"/>
    <xf numFmtId="0" fontId="6" fillId="0" borderId="28" xfId="0" applyFont="1" applyBorder="1"/>
    <xf numFmtId="165" fontId="5" fillId="0" borderId="28" xfId="1" applyNumberFormat="1" applyFont="1" applyFill="1" applyBorder="1" applyProtection="1"/>
    <xf numFmtId="0" fontId="2" fillId="0" borderId="28" xfId="0" applyFont="1" applyBorder="1" applyAlignment="1">
      <alignment horizontal="right"/>
    </xf>
    <xf numFmtId="0" fontId="6" fillId="0" borderId="28" xfId="0" applyFont="1" applyBorder="1" applyAlignment="1">
      <alignment horizontal="right"/>
    </xf>
    <xf numFmtId="164" fontId="3" fillId="0" borderId="0" xfId="0" applyNumberFormat="1" applyFont="1" applyAlignment="1">
      <alignment horizontal="right"/>
    </xf>
    <xf numFmtId="0" fontId="3" fillId="0" borderId="0" xfId="0" applyFont="1" applyAlignment="1">
      <alignment horizontal="right"/>
    </xf>
    <xf numFmtId="0" fontId="8" fillId="0" borderId="0" xfId="0" applyFont="1"/>
    <xf numFmtId="0" fontId="15" fillId="0" borderId="0" xfId="0" applyFont="1" applyAlignment="1">
      <alignment horizontal="right"/>
    </xf>
    <xf numFmtId="49" fontId="2" fillId="0" borderId="0" xfId="0" applyNumberFormat="1" applyFont="1" applyAlignment="1">
      <alignment horizontal="left"/>
    </xf>
    <xf numFmtId="49" fontId="4" fillId="0" borderId="0" xfId="0" applyNumberFormat="1" applyFont="1"/>
    <xf numFmtId="0" fontId="7" fillId="0" borderId="0" xfId="0" applyFont="1" applyAlignment="1">
      <alignment horizontal="left"/>
    </xf>
    <xf numFmtId="14" fontId="2" fillId="0" borderId="0" xfId="0" quotePrefix="1" applyNumberFormat="1" applyFont="1" applyAlignment="1">
      <alignment horizontal="left"/>
    </xf>
    <xf numFmtId="49" fontId="3" fillId="0" borderId="0" xfId="0" applyNumberFormat="1" applyFont="1" applyAlignment="1">
      <alignment horizontal="left"/>
    </xf>
    <xf numFmtId="49" fontId="2" fillId="0" borderId="21" xfId="0" applyNumberFormat="1" applyFont="1" applyBorder="1" applyAlignment="1">
      <alignment horizontal="left"/>
    </xf>
    <xf numFmtId="49" fontId="2" fillId="0" borderId="6" xfId="0" applyNumberFormat="1" applyFont="1" applyBorder="1" applyAlignment="1">
      <alignment horizontal="left"/>
    </xf>
    <xf numFmtId="49" fontId="6" fillId="0" borderId="8" xfId="0" applyNumberFormat="1" applyFont="1" applyBorder="1" applyAlignment="1">
      <alignment horizontal="left"/>
    </xf>
    <xf numFmtId="49" fontId="6" fillId="0" borderId="12" xfId="0" applyNumberFormat="1" applyFont="1" applyBorder="1" applyAlignment="1">
      <alignment horizontal="left"/>
    </xf>
    <xf numFmtId="0" fontId="2" fillId="0" borderId="13" xfId="0" applyFont="1" applyBorder="1"/>
    <xf numFmtId="0" fontId="6" fillId="0" borderId="8" xfId="0" applyFont="1" applyBorder="1" applyAlignment="1">
      <alignment horizontal="right"/>
    </xf>
    <xf numFmtId="0" fontId="6" fillId="0" borderId="14" xfId="0" applyFont="1" applyBorder="1" applyAlignment="1">
      <alignment horizontal="left"/>
    </xf>
    <xf numFmtId="0" fontId="5" fillId="0" borderId="9" xfId="0" applyFont="1" applyBorder="1" applyAlignment="1">
      <alignment horizontal="right"/>
    </xf>
    <xf numFmtId="0" fontId="9" fillId="0" borderId="9" xfId="0" applyFont="1" applyBorder="1" applyAlignment="1">
      <alignment horizontal="center"/>
    </xf>
    <xf numFmtId="49" fontId="2" fillId="0" borderId="37" xfId="0" applyNumberFormat="1" applyFont="1" applyBorder="1" applyAlignment="1">
      <alignment horizontal="left"/>
    </xf>
    <xf numFmtId="0" fontId="6" fillId="0" borderId="32" xfId="0" applyFont="1" applyBorder="1" applyAlignment="1">
      <alignment horizontal="left"/>
    </xf>
    <xf numFmtId="0" fontId="6" fillId="0" borderId="37" xfId="0" applyFont="1" applyBorder="1" applyAlignment="1">
      <alignment horizontal="left"/>
    </xf>
    <xf numFmtId="0" fontId="6" fillId="0" borderId="45" xfId="0" applyFont="1" applyBorder="1" applyAlignment="1">
      <alignment horizontal="left" wrapText="1"/>
    </xf>
    <xf numFmtId="49" fontId="5" fillId="0" borderId="0" xfId="0" applyNumberFormat="1" applyFont="1" applyAlignment="1">
      <alignment horizontal="left"/>
    </xf>
    <xf numFmtId="0" fontId="6" fillId="0" borderId="46" xfId="0" applyFont="1" applyBorder="1"/>
    <xf numFmtId="49" fontId="6" fillId="0" borderId="46" xfId="0" applyNumberFormat="1" applyFont="1" applyBorder="1" applyAlignment="1">
      <alignment horizontal="left"/>
    </xf>
    <xf numFmtId="49" fontId="5" fillId="0" borderId="5" xfId="0" applyNumberFormat="1" applyFont="1" applyBorder="1" applyAlignment="1">
      <alignment horizontal="left"/>
    </xf>
    <xf numFmtId="0" fontId="6" fillId="0" borderId="62" xfId="0" applyFont="1" applyBorder="1"/>
    <xf numFmtId="0" fontId="6" fillId="0" borderId="62" xfId="0" applyFont="1" applyBorder="1" applyAlignment="1">
      <alignment horizontal="left" vertical="center"/>
    </xf>
    <xf numFmtId="0" fontId="6" fillId="0" borderId="63" xfId="0" applyFont="1" applyBorder="1"/>
    <xf numFmtId="0" fontId="6" fillId="0" borderId="0" xfId="0" applyFont="1" applyAlignment="1">
      <alignment horizontal="left" vertical="center"/>
    </xf>
    <xf numFmtId="0" fontId="2" fillId="0" borderId="0" xfId="0" quotePrefix="1" applyFont="1"/>
    <xf numFmtId="49" fontId="5" fillId="0" borderId="0" xfId="0" applyNumberFormat="1" applyFont="1" applyAlignment="1">
      <alignment horizontal="right"/>
    </xf>
    <xf numFmtId="49" fontId="6" fillId="0" borderId="10" xfId="0" quotePrefix="1" applyNumberFormat="1" applyFont="1" applyBorder="1" applyAlignment="1">
      <alignment horizontal="left"/>
    </xf>
    <xf numFmtId="49" fontId="2" fillId="0" borderId="11" xfId="0" applyNumberFormat="1" applyFont="1" applyBorder="1" applyAlignment="1">
      <alignment horizontal="left"/>
    </xf>
    <xf numFmtId="0" fontId="5" fillId="0" borderId="6" xfId="0" applyFont="1" applyBorder="1"/>
    <xf numFmtId="164" fontId="5" fillId="0" borderId="6" xfId="1" applyFont="1" applyFill="1" applyBorder="1" applyAlignment="1" applyProtection="1"/>
    <xf numFmtId="0" fontId="2" fillId="0" borderId="11" xfId="0" applyFont="1" applyBorder="1"/>
    <xf numFmtId="0" fontId="2" fillId="0" borderId="13" xfId="0" applyFont="1" applyBorder="1" applyAlignment="1">
      <alignment horizontal="center"/>
    </xf>
    <xf numFmtId="49" fontId="3" fillId="4" borderId="7" xfId="0" applyNumberFormat="1" applyFont="1" applyFill="1" applyBorder="1" applyAlignment="1">
      <alignment horizontal="left"/>
    </xf>
    <xf numFmtId="0" fontId="5" fillId="4" borderId="12" xfId="0" applyFont="1" applyFill="1" applyBorder="1"/>
    <xf numFmtId="0" fontId="3" fillId="4" borderId="13" xfId="0" applyFont="1" applyFill="1" applyBorder="1"/>
    <xf numFmtId="0" fontId="6" fillId="0" borderId="4" xfId="0" applyFont="1" applyBorder="1"/>
    <xf numFmtId="0" fontId="9" fillId="4" borderId="8" xfId="0" applyFont="1" applyFill="1" applyBorder="1" applyAlignment="1">
      <alignment horizontal="center"/>
    </xf>
    <xf numFmtId="0" fontId="6" fillId="0" borderId="0" xfId="0" applyFont="1" applyAlignment="1">
      <alignment vertical="top"/>
    </xf>
    <xf numFmtId="0" fontId="2" fillId="0" borderId="0" xfId="0" applyFont="1" applyAlignment="1">
      <alignment horizontal="center"/>
    </xf>
    <xf numFmtId="49" fontId="6" fillId="0" borderId="0" xfId="0" applyNumberFormat="1" applyFont="1"/>
    <xf numFmtId="0" fontId="2" fillId="0" borderId="8" xfId="0" applyFont="1" applyBorder="1"/>
    <xf numFmtId="0" fontId="2" fillId="0" borderId="0" xfId="0" applyFont="1" applyAlignment="1">
      <alignment vertical="top" wrapText="1"/>
    </xf>
    <xf numFmtId="0" fontId="2" fillId="8" borderId="0" xfId="0" applyFont="1" applyFill="1" applyAlignment="1">
      <alignment horizontal="left" vertical="top" wrapText="1"/>
    </xf>
    <xf numFmtId="0" fontId="2" fillId="0" borderId="0" xfId="0" applyFont="1" applyAlignment="1">
      <alignment vertical="center"/>
    </xf>
    <xf numFmtId="0" fontId="2" fillId="0" borderId="0" xfId="0" applyFont="1" applyAlignment="1">
      <alignment horizontal="left" wrapText="1"/>
    </xf>
    <xf numFmtId="0" fontId="2" fillId="0" borderId="8" xfId="0" applyFont="1" applyBorder="1" applyAlignment="1">
      <alignment horizontal="right" wrapText="1"/>
    </xf>
    <xf numFmtId="0" fontId="2" fillId="0" borderId="0" xfId="0" applyFont="1" applyAlignment="1">
      <alignment vertical="center" wrapText="1"/>
    </xf>
    <xf numFmtId="49" fontId="6" fillId="0" borderId="0" xfId="0" applyNumberFormat="1" applyFont="1" applyAlignment="1">
      <alignment horizontal="left" vertical="center" wrapText="1"/>
    </xf>
    <xf numFmtId="0" fontId="2" fillId="0" borderId="8" xfId="0" applyFont="1" applyBorder="1" applyAlignment="1">
      <alignment horizontal="right" vertical="center" wrapText="1"/>
    </xf>
    <xf numFmtId="0" fontId="2" fillId="0" borderId="0" xfId="0" applyFont="1" applyAlignment="1">
      <alignment horizontal="left" vertical="top" wrapText="1"/>
    </xf>
    <xf numFmtId="0" fontId="3" fillId="0" borderId="44" xfId="0" applyFont="1" applyBorder="1"/>
    <xf numFmtId="0" fontId="2" fillId="0" borderId="0" xfId="0" applyFont="1" applyAlignment="1">
      <alignment wrapText="1"/>
    </xf>
    <xf numFmtId="0" fontId="2" fillId="0" borderId="6" xfId="0" applyFont="1" applyBorder="1" applyAlignment="1">
      <alignment horizontal="center"/>
    </xf>
    <xf numFmtId="0" fontId="2" fillId="6" borderId="7" xfId="0" applyFont="1" applyFill="1" applyBorder="1"/>
    <xf numFmtId="0" fontId="2" fillId="6" borderId="41" xfId="0" applyFont="1" applyFill="1" applyBorder="1"/>
    <xf numFmtId="0" fontId="2" fillId="6" borderId="12" xfId="0" applyFont="1" applyFill="1" applyBorder="1"/>
    <xf numFmtId="0" fontId="2" fillId="6" borderId="13" xfId="0" applyFont="1" applyFill="1" applyBorder="1"/>
    <xf numFmtId="0" fontId="2" fillId="0" borderId="37" xfId="0" applyFont="1" applyBorder="1"/>
    <xf numFmtId="0" fontId="14" fillId="0" borderId="38" xfId="0" applyFont="1" applyBorder="1" applyAlignment="1">
      <alignment horizontal="right" vertical="center"/>
    </xf>
    <xf numFmtId="0" fontId="14" fillId="0" borderId="0" xfId="0" applyFont="1" applyAlignment="1">
      <alignment horizontal="right" vertical="top"/>
    </xf>
    <xf numFmtId="0" fontId="10" fillId="0" borderId="0" xfId="0" applyFont="1" applyAlignment="1">
      <alignment horizontal="right" vertical="center"/>
    </xf>
    <xf numFmtId="0" fontId="16" fillId="0" borderId="0" xfId="0" applyFont="1"/>
    <xf numFmtId="0" fontId="3" fillId="0" borderId="6" xfId="0" applyFont="1" applyBorder="1"/>
    <xf numFmtId="0" fontId="2" fillId="0" borderId="0" xfId="0" applyFont="1" applyAlignment="1">
      <alignment horizontal="left" vertical="top"/>
    </xf>
    <xf numFmtId="0" fontId="2" fillId="5" borderId="57" xfId="0" applyFont="1" applyFill="1" applyBorder="1" applyAlignment="1">
      <alignment horizontal="center" vertical="center"/>
    </xf>
    <xf numFmtId="0" fontId="2" fillId="5" borderId="52" xfId="0" applyFont="1" applyFill="1" applyBorder="1" applyAlignment="1">
      <alignment horizontal="center" vertical="center"/>
    </xf>
    <xf numFmtId="0" fontId="2" fillId="5" borderId="0" xfId="0" applyFont="1" applyFill="1" applyAlignment="1" applyProtection="1">
      <alignment horizontal="left"/>
      <protection locked="0"/>
    </xf>
    <xf numFmtId="0" fontId="3"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vertical="top" wrapText="1"/>
    </xf>
    <xf numFmtId="0" fontId="2" fillId="5" borderId="0" xfId="0" applyFont="1" applyFill="1" applyAlignment="1" applyProtection="1">
      <alignment horizontal="center"/>
      <protection locked="0"/>
    </xf>
    <xf numFmtId="0" fontId="2" fillId="5" borderId="0" xfId="0" applyFont="1" applyFill="1" applyAlignment="1" applyProtection="1">
      <alignment horizontal="left" vertical="top"/>
      <protection locked="0"/>
    </xf>
    <xf numFmtId="0" fontId="2" fillId="0" borderId="0" xfId="0" applyFont="1" applyAlignment="1">
      <alignment horizontal="left" vertical="top" wrapText="1"/>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2" fillId="0" borderId="38" xfId="0" applyFont="1" applyBorder="1" applyAlignment="1">
      <alignment horizontal="left" vertical="top" wrapText="1"/>
    </xf>
    <xf numFmtId="0" fontId="2" fillId="0" borderId="40" xfId="0" applyFont="1" applyBorder="1" applyAlignment="1">
      <alignment horizontal="left" vertical="top" wrapText="1"/>
    </xf>
    <xf numFmtId="0" fontId="2" fillId="0" borderId="39" xfId="0" applyFont="1" applyBorder="1" applyAlignment="1">
      <alignment horizontal="left" vertical="top" wrapText="1"/>
    </xf>
    <xf numFmtId="0" fontId="2" fillId="0" borderId="35" xfId="0" applyFont="1" applyBorder="1" applyAlignment="1">
      <alignment horizontal="left" vertical="top" wrapText="1"/>
    </xf>
    <xf numFmtId="0" fontId="2" fillId="0" borderId="31" xfId="0" applyFont="1" applyBorder="1" applyAlignment="1">
      <alignment horizontal="left" vertical="top" wrapText="1"/>
    </xf>
    <xf numFmtId="0" fontId="2" fillId="0" borderId="36" xfId="0" applyFont="1" applyBorder="1" applyAlignment="1">
      <alignment horizontal="left" vertical="top" wrapText="1"/>
    </xf>
    <xf numFmtId="0" fontId="2" fillId="6" borderId="42" xfId="0" applyFont="1" applyFill="1" applyBorder="1" applyAlignment="1">
      <alignment horizontal="center"/>
    </xf>
    <xf numFmtId="0" fontId="2" fillId="6" borderId="41" xfId="0" applyFont="1" applyFill="1" applyBorder="1" applyAlignment="1">
      <alignment horizontal="center"/>
    </xf>
    <xf numFmtId="0" fontId="8" fillId="0" borderId="35" xfId="0" applyFont="1" applyBorder="1" applyAlignment="1">
      <alignment horizontal="center" vertical="top"/>
    </xf>
    <xf numFmtId="0" fontId="8" fillId="0" borderId="36" xfId="0" applyFont="1" applyBorder="1" applyAlignment="1">
      <alignment horizontal="center" vertical="top"/>
    </xf>
    <xf numFmtId="0" fontId="2" fillId="0" borderId="47" xfId="0" applyFont="1" applyBorder="1" applyAlignment="1">
      <alignment horizontal="left" vertical="top" wrapText="1"/>
    </xf>
    <xf numFmtId="0" fontId="2" fillId="0" borderId="48" xfId="0" applyFont="1" applyBorder="1" applyAlignment="1">
      <alignment horizontal="left" vertical="top" wrapText="1"/>
    </xf>
    <xf numFmtId="0" fontId="17" fillId="0" borderId="0" xfId="0" applyFont="1" applyAlignment="1">
      <alignment horizontal="right"/>
    </xf>
    <xf numFmtId="0" fontId="3" fillId="5" borderId="0" xfId="0" applyFont="1" applyFill="1" applyAlignment="1" applyProtection="1">
      <alignment horizontal="left"/>
      <protection locked="0"/>
    </xf>
    <xf numFmtId="0" fontId="2" fillId="0" borderId="0" xfId="0" applyFont="1" applyAlignment="1">
      <alignment horizontal="left"/>
    </xf>
    <xf numFmtId="0" fontId="6" fillId="0" borderId="0" xfId="0" applyFont="1" applyAlignment="1">
      <alignment horizontal="left" vertical="top" wrapText="1"/>
    </xf>
    <xf numFmtId="14" fontId="2" fillId="5" borderId="0" xfId="0" applyNumberFormat="1" applyFont="1" applyFill="1" applyAlignment="1" applyProtection="1">
      <alignment horizontal="center"/>
      <protection locked="0"/>
    </xf>
    <xf numFmtId="0" fontId="2" fillId="5" borderId="0" xfId="0" applyFont="1" applyFill="1" applyAlignment="1" applyProtection="1">
      <alignment horizontal="center" vertical="top"/>
      <protection locked="0"/>
    </xf>
    <xf numFmtId="0" fontId="2" fillId="0" borderId="0" xfId="0" applyFont="1" applyAlignment="1">
      <alignment horizontal="center"/>
    </xf>
    <xf numFmtId="0" fontId="2" fillId="5" borderId="0" xfId="0" applyFont="1" applyFill="1" applyAlignment="1" applyProtection="1">
      <alignment horizontal="left" wrapText="1"/>
      <protection locked="0"/>
    </xf>
    <xf numFmtId="0" fontId="2" fillId="5" borderId="0" xfId="0" applyFont="1" applyFill="1" applyAlignment="1" applyProtection="1">
      <alignment horizontal="left" vertical="top" wrapText="1"/>
      <protection locked="0"/>
    </xf>
    <xf numFmtId="49" fontId="2" fillId="5" borderId="0" xfId="0" applyNumberFormat="1" applyFont="1" applyFill="1" applyAlignment="1" applyProtection="1">
      <alignment horizontal="left"/>
      <protection locked="0"/>
    </xf>
    <xf numFmtId="0" fontId="2" fillId="0" borderId="6" xfId="0" applyFont="1" applyBorder="1" applyAlignment="1">
      <alignment horizontal="left" vertical="top" wrapText="1"/>
    </xf>
    <xf numFmtId="0" fontId="2" fillId="5" borderId="0" xfId="0" applyFont="1" applyFill="1" applyAlignment="1" applyProtection="1">
      <alignment horizontal="left" vertical="center"/>
      <protection locked="0"/>
    </xf>
    <xf numFmtId="0" fontId="2" fillId="0" borderId="0" xfId="0" applyFont="1" applyAlignment="1" applyProtection="1">
      <alignment horizontal="center" textRotation="90"/>
      <protection hidden="1"/>
    </xf>
    <xf numFmtId="164" fontId="2" fillId="0" borderId="4" xfId="1" applyFont="1" applyFill="1" applyBorder="1" applyAlignment="1" applyProtection="1">
      <alignment horizontal="center" textRotation="90" wrapText="1"/>
    </xf>
    <xf numFmtId="0" fontId="2" fillId="0" borderId="0" xfId="0" applyFont="1" applyAlignment="1">
      <alignment horizontal="center" textRotation="90" wrapText="1"/>
    </xf>
    <xf numFmtId="0" fontId="2" fillId="0" borderId="0" xfId="0" applyFont="1" applyAlignment="1">
      <alignment horizontal="center" textRotation="90"/>
    </xf>
    <xf numFmtId="164" fontId="3" fillId="4" borderId="29" xfId="0" applyNumberFormat="1" applyFont="1" applyFill="1" applyBorder="1" applyAlignment="1">
      <alignment horizontal="right"/>
    </xf>
    <xf numFmtId="0" fontId="3" fillId="4" borderId="30" xfId="0" applyFont="1" applyFill="1" applyBorder="1" applyAlignment="1">
      <alignment horizontal="right"/>
    </xf>
    <xf numFmtId="0" fontId="2" fillId="0" borderId="20" xfId="0" applyFont="1" applyBorder="1" applyAlignment="1">
      <alignment horizontal="center" textRotation="90"/>
    </xf>
    <xf numFmtId="164" fontId="2" fillId="0" borderId="0" xfId="1" applyFont="1" applyFill="1" applyBorder="1" applyAlignment="1" applyProtection="1">
      <alignment horizontal="center" textRotation="90" wrapText="1"/>
      <protection hidden="1"/>
    </xf>
    <xf numFmtId="0" fontId="2" fillId="0" borderId="0" xfId="0" applyFont="1" applyAlignment="1" applyProtection="1">
      <alignment horizontal="center" textRotation="90" wrapText="1"/>
      <protection hidden="1"/>
    </xf>
  </cellXfs>
  <cellStyles count="4">
    <cellStyle name="Komma" xfId="1" builtinId="3"/>
    <cellStyle name="Komma 2" xfId="3" xr:uid="{C5854600-3B3A-4F8C-80E0-4DDEFAA67802}"/>
    <cellStyle name="Procent" xfId="2" builtinId="5"/>
    <cellStyle name="Standaard" xfId="0" builtinId="0"/>
  </cellStyles>
  <dxfs count="4">
    <dxf>
      <fill>
        <patternFill>
          <bgColor rgb="FFFF0000"/>
        </patternFill>
      </fill>
    </dxf>
    <dxf>
      <fill>
        <patternFill>
          <bgColor rgb="FFFF0000"/>
        </patternFill>
      </fill>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U70"/>
  <sheetViews>
    <sheetView showGridLines="0" topLeftCell="A23" workbookViewId="0">
      <selection activeCell="P18" sqref="P18"/>
    </sheetView>
  </sheetViews>
  <sheetFormatPr defaultRowHeight="12.75"/>
  <cols>
    <col min="1" max="1" width="14.42578125" customWidth="1"/>
    <col min="2" max="2" width="40.28515625" customWidth="1"/>
    <col min="3" max="3" width="18.140625" customWidth="1"/>
    <col min="4" max="5" width="14.42578125" customWidth="1"/>
    <col min="6" max="6" width="2.5703125" customWidth="1"/>
    <col min="7" max="7" width="18.28515625" customWidth="1"/>
    <col min="8" max="8" width="3.7109375" customWidth="1"/>
    <col min="13" max="13" width="8.85546875" style="124" bestFit="1" customWidth="1"/>
    <col min="15" max="15" width="3.5703125" customWidth="1"/>
  </cols>
  <sheetData>
    <row r="2" spans="1:21" ht="15">
      <c r="A2" s="65" t="s">
        <v>0</v>
      </c>
      <c r="B2" s="56"/>
      <c r="G2" s="72"/>
      <c r="H2" s="76"/>
      <c r="I2" s="261" t="s">
        <v>1</v>
      </c>
      <c r="J2" s="261"/>
      <c r="K2" s="261"/>
      <c r="L2" s="115"/>
      <c r="M2" s="121"/>
      <c r="N2" s="125" t="s">
        <v>2</v>
      </c>
      <c r="P2" s="78" t="s">
        <v>3</v>
      </c>
      <c r="Q2" s="79"/>
    </row>
    <row r="3" spans="1:21" ht="15.75">
      <c r="A3" s="41" t="s">
        <v>4</v>
      </c>
      <c r="B3" s="92" t="s">
        <v>5</v>
      </c>
      <c r="C3" s="71"/>
      <c r="E3" s="2"/>
      <c r="G3" s="73" t="s">
        <v>6</v>
      </c>
      <c r="H3" s="73"/>
      <c r="I3" s="112" t="s">
        <v>7</v>
      </c>
      <c r="J3" s="113" t="s">
        <v>8</v>
      </c>
      <c r="K3" s="114" t="s">
        <v>9</v>
      </c>
      <c r="L3" s="108" t="s">
        <v>10</v>
      </c>
      <c r="M3" s="122"/>
      <c r="N3" s="126"/>
      <c r="P3" s="80" t="s">
        <v>11</v>
      </c>
      <c r="Q3" s="83">
        <v>0</v>
      </c>
    </row>
    <row r="4" spans="1:21" ht="15.75">
      <c r="A4" s="41" t="s">
        <v>12</v>
      </c>
      <c r="B4" s="11" t="s">
        <v>13</v>
      </c>
      <c r="C4" s="71" t="s">
        <v>14</v>
      </c>
      <c r="E4" s="2"/>
      <c r="G4" s="73" t="s">
        <v>15</v>
      </c>
      <c r="H4" s="73">
        <v>1</v>
      </c>
      <c r="I4" s="71">
        <v>0</v>
      </c>
      <c r="J4" s="103">
        <v>0</v>
      </c>
      <c r="K4" s="102">
        <v>0</v>
      </c>
      <c r="L4" s="109">
        <v>0</v>
      </c>
      <c r="M4" s="123"/>
      <c r="N4" s="28">
        <v>0</v>
      </c>
      <c r="P4" s="81" t="s">
        <v>16</v>
      </c>
      <c r="Q4" s="28">
        <v>10</v>
      </c>
    </row>
    <row r="5" spans="1:21" ht="15.75">
      <c r="A5" s="41" t="s">
        <v>17</v>
      </c>
      <c r="B5" s="11" t="s">
        <v>271</v>
      </c>
      <c r="C5" s="71" t="s">
        <v>18</v>
      </c>
      <c r="E5" s="2"/>
      <c r="G5" s="73" t="s">
        <v>19</v>
      </c>
      <c r="H5" s="73">
        <v>2</v>
      </c>
      <c r="I5" s="71">
        <v>35</v>
      </c>
      <c r="J5" s="103">
        <v>40</v>
      </c>
      <c r="K5" s="102">
        <v>40</v>
      </c>
      <c r="L5" s="103">
        <v>40</v>
      </c>
      <c r="M5" s="123"/>
      <c r="N5" s="28">
        <v>20</v>
      </c>
      <c r="P5" s="82" t="s">
        <v>20</v>
      </c>
      <c r="Q5" s="84">
        <v>0</v>
      </c>
    </row>
    <row r="6" spans="1:21" ht="15.75">
      <c r="A6" s="41" t="s">
        <v>17</v>
      </c>
      <c r="B6" s="11" t="s">
        <v>21</v>
      </c>
      <c r="C6" s="71" t="s">
        <v>22</v>
      </c>
      <c r="E6" s="2"/>
      <c r="G6" s="73" t="s">
        <v>23</v>
      </c>
      <c r="H6" s="73">
        <v>3</v>
      </c>
      <c r="I6" s="71">
        <v>45</v>
      </c>
      <c r="J6" s="103">
        <v>50</v>
      </c>
      <c r="K6" s="102">
        <v>50</v>
      </c>
      <c r="L6" s="109">
        <v>50</v>
      </c>
      <c r="M6" s="123"/>
      <c r="N6" s="28">
        <v>20</v>
      </c>
    </row>
    <row r="7" spans="1:21" ht="15.75">
      <c r="A7" s="41" t="s">
        <v>24</v>
      </c>
      <c r="B7" s="93">
        <v>45537</v>
      </c>
      <c r="C7" s="71"/>
      <c r="E7" s="2"/>
      <c r="G7" s="73" t="s">
        <v>25</v>
      </c>
      <c r="H7" s="73">
        <v>4</v>
      </c>
      <c r="I7" s="71">
        <v>50</v>
      </c>
      <c r="J7" s="103">
        <v>50</v>
      </c>
      <c r="K7" s="102">
        <v>50</v>
      </c>
      <c r="L7" s="109">
        <v>50</v>
      </c>
      <c r="M7" s="123"/>
      <c r="N7" s="28">
        <v>20</v>
      </c>
      <c r="P7" s="78" t="s">
        <v>26</v>
      </c>
      <c r="Q7" s="79"/>
    </row>
    <row r="8" spans="1:21" ht="15.75">
      <c r="A8" s="41" t="s">
        <v>27</v>
      </c>
      <c r="B8" s="94">
        <v>10000000</v>
      </c>
      <c r="C8" s="71">
        <v>2</v>
      </c>
      <c r="E8" s="2"/>
      <c r="G8" s="73" t="s">
        <v>28</v>
      </c>
      <c r="H8" s="73">
        <v>5</v>
      </c>
      <c r="I8" s="71">
        <v>30</v>
      </c>
      <c r="J8" s="103">
        <v>40</v>
      </c>
      <c r="K8" s="102">
        <v>10</v>
      </c>
      <c r="L8" s="103">
        <v>40</v>
      </c>
      <c r="M8" s="123"/>
      <c r="N8" s="28">
        <v>10</v>
      </c>
      <c r="P8" s="80" t="s">
        <v>11</v>
      </c>
      <c r="Q8" s="83"/>
    </row>
    <row r="9" spans="1:21" ht="15.75">
      <c r="A9" s="41" t="s">
        <v>29</v>
      </c>
      <c r="B9" s="97">
        <v>45778</v>
      </c>
      <c r="C9" s="71"/>
      <c r="E9" s="2"/>
      <c r="G9" s="73" t="s">
        <v>30</v>
      </c>
      <c r="H9" s="73">
        <v>6</v>
      </c>
      <c r="I9" s="71">
        <v>0</v>
      </c>
      <c r="J9" s="103">
        <v>0</v>
      </c>
      <c r="K9" s="102">
        <v>0</v>
      </c>
      <c r="L9" s="109">
        <v>0</v>
      </c>
      <c r="M9" s="123"/>
      <c r="N9" s="28">
        <v>0</v>
      </c>
      <c r="P9" s="80">
        <v>2023</v>
      </c>
      <c r="Q9" s="28">
        <v>0</v>
      </c>
    </row>
    <row r="10" spans="1:21" ht="15.75">
      <c r="A10" s="41" t="s">
        <v>31</v>
      </c>
      <c r="B10" s="100">
        <v>46235</v>
      </c>
      <c r="C10" s="71"/>
      <c r="E10" s="2"/>
      <c r="G10" s="73" t="s">
        <v>32</v>
      </c>
      <c r="H10" s="73">
        <v>7</v>
      </c>
      <c r="I10" s="71">
        <v>10</v>
      </c>
      <c r="J10" s="103">
        <v>40</v>
      </c>
      <c r="K10" s="102">
        <v>10</v>
      </c>
      <c r="L10" s="103">
        <v>40</v>
      </c>
      <c r="M10" s="123"/>
      <c r="N10" s="28">
        <v>10</v>
      </c>
      <c r="P10" s="80">
        <f>P9-1</f>
        <v>2022</v>
      </c>
      <c r="Q10" s="90">
        <v>0</v>
      </c>
    </row>
    <row r="11" spans="1:21" ht="15.75">
      <c r="A11" s="41" t="s">
        <v>33</v>
      </c>
      <c r="B11" s="101">
        <v>10250000</v>
      </c>
      <c r="C11" s="71"/>
      <c r="E11" s="2"/>
      <c r="G11" s="73" t="s">
        <v>34</v>
      </c>
      <c r="H11" s="73">
        <v>8</v>
      </c>
      <c r="I11" s="71">
        <v>0</v>
      </c>
      <c r="J11" s="103">
        <v>0</v>
      </c>
      <c r="K11" s="102">
        <v>0</v>
      </c>
      <c r="L11" s="109">
        <v>0</v>
      </c>
      <c r="M11" s="123"/>
      <c r="N11" s="28">
        <v>0</v>
      </c>
      <c r="P11" s="80">
        <f t="shared" ref="P11" si="0">P10-1</f>
        <v>2021</v>
      </c>
      <c r="Q11" s="90">
        <v>0</v>
      </c>
    </row>
    <row r="12" spans="1:21" ht="15.75">
      <c r="A12" s="41" t="s">
        <v>35</v>
      </c>
      <c r="B12" s="12" t="s">
        <v>36</v>
      </c>
      <c r="C12" s="95"/>
      <c r="E12" s="2"/>
      <c r="G12" s="73" t="s">
        <v>34</v>
      </c>
      <c r="H12" s="73">
        <v>9</v>
      </c>
      <c r="I12" s="71">
        <v>0</v>
      </c>
      <c r="J12" s="103">
        <v>0</v>
      </c>
      <c r="K12" s="102">
        <v>0</v>
      </c>
      <c r="L12" s="109">
        <v>0</v>
      </c>
      <c r="M12" s="123"/>
      <c r="N12" s="28">
        <v>0</v>
      </c>
      <c r="P12" s="80"/>
      <c r="Q12" s="90"/>
    </row>
    <row r="13" spans="1:21" ht="15">
      <c r="A13" s="96" t="s">
        <v>37</v>
      </c>
      <c r="B13" s="28">
        <v>0.21</v>
      </c>
      <c r="E13" s="2"/>
      <c r="G13" s="73" t="s">
        <v>38</v>
      </c>
      <c r="H13" s="73">
        <v>10</v>
      </c>
      <c r="I13" s="57">
        <v>0</v>
      </c>
      <c r="J13" s="104">
        <v>0</v>
      </c>
      <c r="K13" s="102">
        <v>0</v>
      </c>
      <c r="L13" s="110">
        <v>0</v>
      </c>
      <c r="M13" s="123"/>
      <c r="N13" s="28">
        <v>0</v>
      </c>
      <c r="P13" s="119"/>
      <c r="Q13" s="84"/>
    </row>
    <row r="14" spans="1:21" ht="15">
      <c r="G14" s="74" t="s">
        <v>39</v>
      </c>
      <c r="H14" s="75"/>
      <c r="I14" s="75"/>
      <c r="J14" s="105"/>
      <c r="K14" s="106"/>
      <c r="L14" s="111"/>
      <c r="M14" s="123"/>
      <c r="N14" s="127"/>
    </row>
    <row r="16" spans="1:21" ht="15">
      <c r="A16" t="s">
        <v>40</v>
      </c>
      <c r="C16" t="s">
        <v>41</v>
      </c>
      <c r="G16" s="72"/>
      <c r="H16" s="76"/>
      <c r="I16" s="261" t="s">
        <v>1</v>
      </c>
      <c r="J16" s="261"/>
      <c r="K16" s="261"/>
      <c r="L16" s="115"/>
      <c r="M16" s="121"/>
      <c r="N16" s="125" t="s">
        <v>2</v>
      </c>
      <c r="P16" s="123"/>
      <c r="Q16" s="123"/>
      <c r="R16" s="121"/>
      <c r="S16" s="121"/>
      <c r="T16" s="121"/>
      <c r="U16" s="121"/>
    </row>
    <row r="17" spans="1:21" ht="15">
      <c r="A17" t="s">
        <v>41</v>
      </c>
      <c r="B17" s="2" t="s">
        <v>42</v>
      </c>
      <c r="G17" s="73" t="s">
        <v>43</v>
      </c>
      <c r="H17" s="73"/>
      <c r="I17" s="112" t="s">
        <v>7</v>
      </c>
      <c r="J17" s="113" t="s">
        <v>8</v>
      </c>
      <c r="K17" s="114" t="s">
        <v>9</v>
      </c>
      <c r="L17" s="108" t="s">
        <v>10</v>
      </c>
      <c r="M17" s="122"/>
      <c r="N17" s="126"/>
      <c r="P17" s="123"/>
      <c r="Q17" s="123"/>
      <c r="R17" s="122"/>
      <c r="S17" s="122"/>
      <c r="T17" s="122"/>
      <c r="U17" s="122"/>
    </row>
    <row r="18" spans="1:21" ht="15">
      <c r="A18" t="s">
        <v>44</v>
      </c>
      <c r="B18" s="2" t="s">
        <v>45</v>
      </c>
      <c r="G18" s="73" t="s">
        <v>15</v>
      </c>
      <c r="H18" s="73">
        <v>1</v>
      </c>
      <c r="I18" s="71">
        <v>0</v>
      </c>
      <c r="J18" s="103">
        <v>0</v>
      </c>
      <c r="K18" s="102">
        <v>0</v>
      </c>
      <c r="L18" s="109">
        <v>0</v>
      </c>
      <c r="M18" s="123"/>
      <c r="N18" s="28">
        <v>0</v>
      </c>
      <c r="P18" s="123"/>
      <c r="Q18" s="123"/>
      <c r="R18" s="123"/>
      <c r="S18" s="123"/>
      <c r="T18" s="123"/>
      <c r="U18" s="123"/>
    </row>
    <row r="19" spans="1:21" ht="15">
      <c r="A19" t="s">
        <v>46</v>
      </c>
      <c r="B19" s="2" t="s">
        <v>47</v>
      </c>
      <c r="G19" s="77">
        <v>2024</v>
      </c>
      <c r="H19" s="73">
        <v>2</v>
      </c>
      <c r="I19" s="71">
        <v>40</v>
      </c>
      <c r="J19" s="103">
        <v>40</v>
      </c>
      <c r="K19" s="102">
        <v>40</v>
      </c>
      <c r="L19" s="109">
        <v>40</v>
      </c>
      <c r="M19" s="123"/>
      <c r="N19" s="28">
        <v>20</v>
      </c>
      <c r="P19" s="128"/>
      <c r="Q19" s="123"/>
      <c r="R19" s="123"/>
      <c r="S19" s="123"/>
      <c r="T19" s="123"/>
      <c r="U19" s="123"/>
    </row>
    <row r="20" spans="1:21" ht="15">
      <c r="A20" t="s">
        <v>48</v>
      </c>
      <c r="B20" s="2" t="s">
        <v>49</v>
      </c>
      <c r="G20" s="77">
        <f t="shared" ref="G20:G25" si="1">G19-1</f>
        <v>2023</v>
      </c>
      <c r="H20" s="73">
        <v>3</v>
      </c>
      <c r="I20" s="71">
        <v>40</v>
      </c>
      <c r="J20" s="103">
        <v>40</v>
      </c>
      <c r="K20" s="102">
        <v>40</v>
      </c>
      <c r="L20" s="109">
        <v>40</v>
      </c>
      <c r="M20" s="123"/>
      <c r="N20" s="28">
        <v>20</v>
      </c>
      <c r="P20" s="128"/>
      <c r="Q20" s="123"/>
      <c r="R20" s="123"/>
      <c r="S20" s="123"/>
      <c r="T20" s="123"/>
      <c r="U20" s="123"/>
    </row>
    <row r="21" spans="1:21" ht="15">
      <c r="G21" s="77">
        <f t="shared" si="1"/>
        <v>2022</v>
      </c>
      <c r="H21" s="73">
        <v>4</v>
      </c>
      <c r="I21" s="71">
        <v>40</v>
      </c>
      <c r="J21" s="103">
        <v>40</v>
      </c>
      <c r="K21" s="102">
        <v>40</v>
      </c>
      <c r="L21" s="109">
        <v>40</v>
      </c>
      <c r="M21" s="123"/>
      <c r="N21" s="28">
        <v>20</v>
      </c>
      <c r="P21" s="128"/>
      <c r="Q21" s="123"/>
      <c r="R21" s="123"/>
      <c r="S21" s="123"/>
      <c r="T21" s="123"/>
      <c r="U21" s="123"/>
    </row>
    <row r="22" spans="1:21" ht="15">
      <c r="A22" t="s">
        <v>2</v>
      </c>
      <c r="B22" s="2" t="s">
        <v>50</v>
      </c>
      <c r="G22" s="77">
        <f t="shared" si="1"/>
        <v>2021</v>
      </c>
      <c r="H22" s="73">
        <v>5</v>
      </c>
      <c r="I22" s="71">
        <v>40</v>
      </c>
      <c r="J22" s="103">
        <v>40</v>
      </c>
      <c r="K22" s="102">
        <v>40</v>
      </c>
      <c r="L22" s="109">
        <v>40</v>
      </c>
      <c r="M22" s="123"/>
      <c r="N22" s="28">
        <v>20</v>
      </c>
      <c r="P22" s="128"/>
      <c r="Q22" s="123"/>
      <c r="R22" s="123"/>
      <c r="S22" s="123"/>
      <c r="T22" s="123"/>
      <c r="U22" s="123"/>
    </row>
    <row r="23" spans="1:21" ht="15">
      <c r="G23" s="77">
        <f t="shared" si="1"/>
        <v>2020</v>
      </c>
      <c r="H23" s="73">
        <v>6</v>
      </c>
      <c r="I23" s="71">
        <v>40</v>
      </c>
      <c r="J23" s="103">
        <v>40</v>
      </c>
      <c r="K23" s="102">
        <v>40</v>
      </c>
      <c r="L23" s="109">
        <v>40</v>
      </c>
      <c r="M23" s="123"/>
      <c r="N23" s="28">
        <v>20</v>
      </c>
      <c r="P23" s="128"/>
      <c r="Q23" s="123"/>
      <c r="R23" s="123"/>
      <c r="S23" s="123"/>
      <c r="T23" s="123"/>
      <c r="U23" s="123"/>
    </row>
    <row r="24" spans="1:21" ht="15">
      <c r="G24" s="77">
        <f t="shared" si="1"/>
        <v>2019</v>
      </c>
      <c r="H24" s="73">
        <v>7</v>
      </c>
      <c r="I24" s="71">
        <v>40</v>
      </c>
      <c r="J24" s="103">
        <v>40</v>
      </c>
      <c r="K24" s="102">
        <v>40</v>
      </c>
      <c r="L24" s="109">
        <v>40</v>
      </c>
      <c r="M24" s="123"/>
      <c r="N24" s="28">
        <v>0</v>
      </c>
      <c r="P24" s="128"/>
      <c r="Q24" s="123"/>
      <c r="R24" s="123"/>
      <c r="S24" s="123"/>
      <c r="T24" s="123"/>
      <c r="U24" s="123"/>
    </row>
    <row r="25" spans="1:21" ht="15">
      <c r="G25" s="77">
        <f t="shared" si="1"/>
        <v>2018</v>
      </c>
      <c r="H25" s="73">
        <v>8</v>
      </c>
      <c r="I25" s="71">
        <v>40</v>
      </c>
      <c r="J25" s="103">
        <v>40</v>
      </c>
      <c r="K25" s="102">
        <v>40</v>
      </c>
      <c r="L25" s="109">
        <v>40</v>
      </c>
      <c r="M25" s="123"/>
      <c r="N25" s="28">
        <v>0</v>
      </c>
      <c r="P25" s="128"/>
      <c r="Q25" s="123"/>
      <c r="R25" s="123"/>
      <c r="S25" s="123"/>
      <c r="T25" s="123"/>
      <c r="U25" s="123"/>
    </row>
    <row r="26" spans="1:21" ht="15">
      <c r="G26" s="77">
        <v>2017</v>
      </c>
      <c r="H26" s="73">
        <v>9</v>
      </c>
      <c r="I26" s="71">
        <v>0</v>
      </c>
      <c r="J26" s="103">
        <v>0</v>
      </c>
      <c r="K26" s="102">
        <v>0</v>
      </c>
      <c r="L26" s="109">
        <v>0</v>
      </c>
      <c r="M26" s="123"/>
      <c r="N26" s="28">
        <v>0</v>
      </c>
      <c r="P26" s="128"/>
      <c r="Q26" s="123"/>
      <c r="R26" s="123"/>
      <c r="S26" s="123"/>
      <c r="T26" s="123"/>
      <c r="U26" s="123"/>
    </row>
    <row r="27" spans="1:21" ht="15">
      <c r="G27" s="73" t="s">
        <v>38</v>
      </c>
      <c r="H27" s="73">
        <v>10</v>
      </c>
      <c r="I27" s="57">
        <v>0</v>
      </c>
      <c r="J27" s="103">
        <v>0</v>
      </c>
      <c r="K27" s="102">
        <v>0</v>
      </c>
      <c r="L27" s="109">
        <v>0</v>
      </c>
      <c r="M27" s="123"/>
      <c r="N27" s="28">
        <v>0</v>
      </c>
      <c r="P27" s="123"/>
      <c r="Q27" s="123"/>
      <c r="R27" s="123"/>
      <c r="S27" s="123"/>
      <c r="T27" s="123"/>
      <c r="U27" s="123"/>
    </row>
    <row r="28" spans="1:21" ht="15">
      <c r="G28" s="74" t="s">
        <v>39</v>
      </c>
      <c r="H28" s="75"/>
      <c r="I28" s="75"/>
      <c r="J28" s="118"/>
      <c r="K28" s="106"/>
      <c r="L28" s="111"/>
      <c r="M28" s="123"/>
      <c r="N28" s="127"/>
      <c r="P28" s="123"/>
      <c r="Q28" s="123"/>
      <c r="R28" s="123"/>
      <c r="S28" s="123"/>
      <c r="T28" s="123"/>
      <c r="U28" s="123"/>
    </row>
    <row r="30" spans="1:21" ht="15">
      <c r="G30" s="72"/>
      <c r="H30" s="76"/>
      <c r="I30" s="261" t="s">
        <v>1</v>
      </c>
      <c r="J30" s="261"/>
      <c r="K30" s="261"/>
      <c r="L30" s="115"/>
      <c r="M30" s="121"/>
      <c r="N30" s="125" t="s">
        <v>2</v>
      </c>
    </row>
    <row r="31" spans="1:21" ht="15">
      <c r="G31" s="73" t="s">
        <v>51</v>
      </c>
      <c r="H31" s="73"/>
      <c r="I31" s="112" t="s">
        <v>7</v>
      </c>
      <c r="J31" s="113" t="s">
        <v>8</v>
      </c>
      <c r="K31" s="114" t="s">
        <v>9</v>
      </c>
      <c r="L31" s="108" t="s">
        <v>10</v>
      </c>
      <c r="M31" s="122"/>
      <c r="N31" s="55">
        <v>0</v>
      </c>
    </row>
    <row r="32" spans="1:21" ht="15">
      <c r="G32" s="73" t="s">
        <v>11</v>
      </c>
      <c r="H32" s="73">
        <v>1</v>
      </c>
      <c r="I32" s="71">
        <v>0</v>
      </c>
      <c r="J32" s="103">
        <v>0</v>
      </c>
      <c r="K32" s="102">
        <v>0</v>
      </c>
      <c r="L32" s="109">
        <v>0</v>
      </c>
      <c r="M32" s="123"/>
      <c r="N32" s="28">
        <v>0</v>
      </c>
    </row>
    <row r="33" spans="7:17" ht="15">
      <c r="G33" s="77" t="s">
        <v>52</v>
      </c>
      <c r="H33" s="73">
        <v>2</v>
      </c>
      <c r="I33" s="71">
        <v>50</v>
      </c>
      <c r="J33" s="103">
        <v>50</v>
      </c>
      <c r="K33" s="102">
        <v>50</v>
      </c>
      <c r="L33" s="109">
        <v>50</v>
      </c>
      <c r="M33" s="123"/>
      <c r="N33" s="28">
        <v>0</v>
      </c>
    </row>
    <row r="34" spans="7:17" ht="15">
      <c r="G34" s="77" t="s">
        <v>53</v>
      </c>
      <c r="H34" s="73">
        <v>3</v>
      </c>
      <c r="I34" s="71">
        <v>30</v>
      </c>
      <c r="J34" s="103">
        <v>30</v>
      </c>
      <c r="K34" s="102">
        <v>30</v>
      </c>
      <c r="L34" s="109">
        <v>30</v>
      </c>
      <c r="M34" s="123"/>
      <c r="N34" s="28">
        <v>0</v>
      </c>
    </row>
    <row r="35" spans="7:17" ht="15">
      <c r="G35" s="77" t="s">
        <v>54</v>
      </c>
      <c r="H35" s="73">
        <v>4</v>
      </c>
      <c r="I35" s="71">
        <v>40</v>
      </c>
      <c r="J35" s="103">
        <v>40</v>
      </c>
      <c r="K35" s="102">
        <v>40</v>
      </c>
      <c r="L35" s="109">
        <v>40</v>
      </c>
      <c r="M35" s="123"/>
      <c r="N35" s="28">
        <v>0</v>
      </c>
    </row>
    <row r="36" spans="7:17" ht="15">
      <c r="G36" s="77" t="s">
        <v>55</v>
      </c>
      <c r="H36" s="73">
        <v>5</v>
      </c>
      <c r="I36" s="71">
        <v>0</v>
      </c>
      <c r="J36" s="103">
        <v>0</v>
      </c>
      <c r="K36" s="102">
        <v>0</v>
      </c>
      <c r="L36" s="109">
        <v>0</v>
      </c>
      <c r="M36" s="123"/>
      <c r="N36" s="28">
        <v>0</v>
      </c>
    </row>
    <row r="37" spans="7:17" ht="15">
      <c r="G37" s="77" t="s">
        <v>56</v>
      </c>
      <c r="H37" s="73">
        <v>6</v>
      </c>
      <c r="I37" s="71">
        <v>0</v>
      </c>
      <c r="J37" s="103">
        <v>0</v>
      </c>
      <c r="K37" s="102">
        <v>0</v>
      </c>
      <c r="L37" s="109">
        <v>0</v>
      </c>
      <c r="M37" s="123"/>
      <c r="N37" s="28">
        <v>0</v>
      </c>
    </row>
    <row r="38" spans="7:17" ht="15">
      <c r="G38" s="77" t="s">
        <v>56</v>
      </c>
      <c r="H38" s="73">
        <v>7</v>
      </c>
      <c r="I38" s="71">
        <v>0</v>
      </c>
      <c r="J38" s="103">
        <v>0</v>
      </c>
      <c r="K38" s="102">
        <v>0</v>
      </c>
      <c r="L38" s="109">
        <v>0</v>
      </c>
      <c r="M38" s="123"/>
      <c r="N38" s="28">
        <v>0</v>
      </c>
    </row>
    <row r="39" spans="7:17" ht="15">
      <c r="G39" s="77" t="s">
        <v>56</v>
      </c>
      <c r="H39" s="73">
        <v>8</v>
      </c>
      <c r="I39" s="71">
        <v>0</v>
      </c>
      <c r="J39" s="103">
        <v>0</v>
      </c>
      <c r="K39" s="102">
        <v>0</v>
      </c>
      <c r="L39" s="109">
        <v>0</v>
      </c>
      <c r="M39" s="123"/>
      <c r="N39" s="28">
        <v>0</v>
      </c>
    </row>
    <row r="40" spans="7:17" ht="15">
      <c r="G40" s="73" t="s">
        <v>56</v>
      </c>
      <c r="H40" s="73">
        <v>9</v>
      </c>
      <c r="I40" s="71">
        <v>0</v>
      </c>
      <c r="J40" s="103">
        <v>0</v>
      </c>
      <c r="K40" s="102">
        <v>0</v>
      </c>
      <c r="L40" s="109">
        <v>0</v>
      </c>
      <c r="M40" s="123"/>
      <c r="N40" s="28">
        <v>0</v>
      </c>
    </row>
    <row r="41" spans="7:17" ht="15">
      <c r="G41" s="73" t="s">
        <v>38</v>
      </c>
      <c r="H41" s="73">
        <v>10</v>
      </c>
      <c r="I41" s="71">
        <v>0</v>
      </c>
      <c r="J41" s="103">
        <v>0</v>
      </c>
      <c r="K41" s="102">
        <v>0</v>
      </c>
      <c r="L41" s="109">
        <v>0</v>
      </c>
      <c r="M41" s="123"/>
      <c r="N41" s="28">
        <v>0</v>
      </c>
    </row>
    <row r="42" spans="7:17" ht="15">
      <c r="G42" s="74" t="s">
        <v>39</v>
      </c>
      <c r="H42" s="75"/>
      <c r="I42" s="107"/>
      <c r="J42" s="116"/>
      <c r="K42" s="106"/>
      <c r="L42" s="111"/>
      <c r="M42" s="123"/>
      <c r="N42" s="127"/>
    </row>
    <row r="44" spans="7:17" ht="15">
      <c r="G44" s="72"/>
      <c r="H44" s="76"/>
      <c r="I44" s="261" t="s">
        <v>1</v>
      </c>
      <c r="J44" s="261"/>
      <c r="K44" s="261"/>
      <c r="L44" s="115"/>
      <c r="M44" s="121"/>
      <c r="N44" s="125" t="s">
        <v>2</v>
      </c>
      <c r="P44" s="89" t="s">
        <v>57</v>
      </c>
      <c r="Q44" s="88"/>
    </row>
    <row r="45" spans="7:17" ht="15">
      <c r="G45" s="73" t="s">
        <v>58</v>
      </c>
      <c r="H45" s="73"/>
      <c r="I45" s="112" t="s">
        <v>7</v>
      </c>
      <c r="J45" s="113" t="s">
        <v>8</v>
      </c>
      <c r="K45" s="114" t="s">
        <v>9</v>
      </c>
      <c r="L45" s="108" t="s">
        <v>10</v>
      </c>
      <c r="M45" s="122"/>
      <c r="N45" s="126"/>
      <c r="P45" s="130">
        <v>3</v>
      </c>
      <c r="Q45" s="66"/>
    </row>
    <row r="46" spans="7:17" ht="15">
      <c r="G46" s="73" t="s">
        <v>11</v>
      </c>
      <c r="H46" s="73">
        <v>1</v>
      </c>
      <c r="I46" s="71">
        <v>0</v>
      </c>
      <c r="J46" s="103">
        <v>0</v>
      </c>
      <c r="K46" s="102">
        <v>0</v>
      </c>
      <c r="L46" s="109">
        <v>0</v>
      </c>
      <c r="M46" s="123"/>
      <c r="N46" s="28">
        <v>0</v>
      </c>
      <c r="P46" s="120">
        <v>8</v>
      </c>
      <c r="Q46" s="68"/>
    </row>
    <row r="47" spans="7:17" ht="15">
      <c r="G47" s="77" t="str">
        <f>CONCATENATE("&lt; ",P45," miljoen")</f>
        <v>&lt; 3 miljoen</v>
      </c>
      <c r="H47" s="73">
        <v>2</v>
      </c>
      <c r="I47" s="71">
        <v>0</v>
      </c>
      <c r="J47" s="103">
        <v>0</v>
      </c>
      <c r="K47" s="102">
        <v>0</v>
      </c>
      <c r="L47" s="109">
        <v>0</v>
      </c>
      <c r="M47" s="123"/>
      <c r="N47" s="28">
        <v>0</v>
      </c>
      <c r="P47" s="120">
        <v>12</v>
      </c>
      <c r="Q47" s="68"/>
    </row>
    <row r="48" spans="7:17" ht="15">
      <c r="G48" s="77" t="str">
        <f>CONCATENATE("&gt; ",P45," mln en &lt; ",P46," mln")</f>
        <v>&gt; 3 mln en &lt; 8 mln</v>
      </c>
      <c r="H48" s="73">
        <v>3</v>
      </c>
      <c r="I48" s="71">
        <v>50</v>
      </c>
      <c r="J48" s="103">
        <v>40</v>
      </c>
      <c r="K48" s="102">
        <v>50</v>
      </c>
      <c r="L48" s="109">
        <v>40</v>
      </c>
      <c r="M48" s="123"/>
      <c r="N48" s="28">
        <v>10</v>
      </c>
      <c r="P48" s="120">
        <v>16</v>
      </c>
      <c r="Q48" s="68"/>
    </row>
    <row r="49" spans="7:17" ht="15">
      <c r="G49" s="77" t="str">
        <f t="shared" ref="G49:G52" si="2">CONCATENATE("&gt; ",P46," mln en &lt; ",P47," mln")</f>
        <v>&gt; 8 mln en &lt; 12 mln</v>
      </c>
      <c r="H49" s="73">
        <v>4</v>
      </c>
      <c r="I49" s="71">
        <v>60</v>
      </c>
      <c r="J49" s="103">
        <v>50</v>
      </c>
      <c r="K49" s="102">
        <v>60</v>
      </c>
      <c r="L49" s="109">
        <v>50</v>
      </c>
      <c r="M49" s="123"/>
      <c r="N49" s="28">
        <v>20</v>
      </c>
      <c r="P49" s="120">
        <v>20</v>
      </c>
      <c r="Q49" s="68"/>
    </row>
    <row r="50" spans="7:17" ht="15">
      <c r="G50" s="77" t="str">
        <f t="shared" si="2"/>
        <v>&gt; 12 mln en &lt; 16 mln</v>
      </c>
      <c r="H50" s="73">
        <v>5</v>
      </c>
      <c r="I50" s="71">
        <v>50</v>
      </c>
      <c r="J50" s="103">
        <v>50</v>
      </c>
      <c r="K50" s="102">
        <v>50</v>
      </c>
      <c r="L50" s="109">
        <v>50</v>
      </c>
      <c r="M50" s="123"/>
      <c r="N50" s="28">
        <v>20</v>
      </c>
      <c r="P50" s="120">
        <v>25</v>
      </c>
      <c r="Q50" s="68"/>
    </row>
    <row r="51" spans="7:17" ht="15">
      <c r="G51" s="77" t="str">
        <f>CONCATENATE("&gt; ",P48," mln en &lt; ",P49," mln")</f>
        <v>&gt; 16 mln en &lt; 20 mln</v>
      </c>
      <c r="H51" s="73">
        <v>6</v>
      </c>
      <c r="I51" s="71">
        <v>20</v>
      </c>
      <c r="J51" s="103">
        <v>40</v>
      </c>
      <c r="K51" s="102">
        <v>40</v>
      </c>
      <c r="L51" s="109">
        <v>40</v>
      </c>
      <c r="M51" s="123"/>
      <c r="N51" s="28">
        <v>10</v>
      </c>
      <c r="P51" s="71"/>
      <c r="Q51" s="68"/>
    </row>
    <row r="52" spans="7:17" ht="15">
      <c r="G52" s="77" t="str">
        <f t="shared" si="2"/>
        <v>&gt; 20 mln en &lt; 25 mln</v>
      </c>
      <c r="H52" s="73">
        <v>7</v>
      </c>
      <c r="I52" s="71">
        <v>0</v>
      </c>
      <c r="J52" s="103">
        <v>0</v>
      </c>
      <c r="K52" s="102">
        <v>30</v>
      </c>
      <c r="L52" s="109">
        <v>0</v>
      </c>
      <c r="M52" s="123"/>
      <c r="N52" s="28">
        <v>0</v>
      </c>
      <c r="P52" s="67"/>
      <c r="Q52" s="68"/>
    </row>
    <row r="53" spans="7:17" ht="15">
      <c r="G53" s="77" t="str">
        <f>CONCATENATE("&gt; ",P50," miljoen")</f>
        <v>&gt; 25 miljoen</v>
      </c>
      <c r="H53" s="73">
        <v>8</v>
      </c>
      <c r="I53" s="71">
        <v>0</v>
      </c>
      <c r="J53" s="103">
        <v>0</v>
      </c>
      <c r="K53" s="102">
        <v>0</v>
      </c>
      <c r="L53" s="109">
        <v>0</v>
      </c>
      <c r="M53" s="123"/>
      <c r="N53" s="28">
        <v>0</v>
      </c>
      <c r="P53" s="67"/>
      <c r="Q53" s="68"/>
    </row>
    <row r="54" spans="7:17" ht="15">
      <c r="G54" s="73" t="s">
        <v>56</v>
      </c>
      <c r="H54" s="73">
        <v>9</v>
      </c>
      <c r="I54" s="71">
        <v>0</v>
      </c>
      <c r="J54" s="103">
        <v>0</v>
      </c>
      <c r="K54" s="102">
        <v>0</v>
      </c>
      <c r="L54" s="109">
        <v>0</v>
      </c>
      <c r="M54" s="123"/>
      <c r="N54" s="28">
        <v>0</v>
      </c>
      <c r="P54" s="67"/>
      <c r="Q54" s="68"/>
    </row>
    <row r="55" spans="7:17" ht="15">
      <c r="G55" s="73" t="s">
        <v>38</v>
      </c>
      <c r="H55" s="73">
        <v>10</v>
      </c>
      <c r="I55" s="71">
        <v>0</v>
      </c>
      <c r="J55" s="103">
        <v>0</v>
      </c>
      <c r="K55" s="102">
        <v>0</v>
      </c>
      <c r="L55" s="109">
        <v>0</v>
      </c>
      <c r="M55" s="123"/>
      <c r="N55" s="28">
        <v>0</v>
      </c>
      <c r="P55" s="69"/>
      <c r="Q55" s="70"/>
    </row>
    <row r="56" spans="7:17" ht="15">
      <c r="G56" s="74" t="s">
        <v>39</v>
      </c>
      <c r="H56" s="75"/>
      <c r="I56" s="117"/>
      <c r="J56" s="118"/>
      <c r="K56" s="106"/>
      <c r="L56" s="111"/>
      <c r="M56" s="123"/>
      <c r="N56" s="127"/>
    </row>
    <row r="58" spans="7:17" ht="15">
      <c r="G58" s="72"/>
      <c r="H58" s="76"/>
      <c r="I58" s="262" t="s">
        <v>1</v>
      </c>
      <c r="J58" s="262"/>
      <c r="K58" s="262"/>
      <c r="L58" s="115"/>
      <c r="M58" s="121"/>
      <c r="N58" s="125" t="s">
        <v>2</v>
      </c>
    </row>
    <row r="59" spans="7:17" ht="15">
      <c r="G59" s="73" t="s">
        <v>3</v>
      </c>
      <c r="H59" s="73"/>
      <c r="I59" s="112" t="s">
        <v>7</v>
      </c>
      <c r="J59" s="113" t="s">
        <v>8</v>
      </c>
      <c r="K59" s="114" t="s">
        <v>9</v>
      </c>
      <c r="L59" s="108" t="s">
        <v>10</v>
      </c>
      <c r="M59" s="122"/>
      <c r="N59" s="126"/>
    </row>
    <row r="60" spans="7:17" ht="15">
      <c r="G60" s="73" t="s">
        <v>11</v>
      </c>
      <c r="H60" s="73">
        <v>1</v>
      </c>
      <c r="I60" s="71">
        <v>0</v>
      </c>
      <c r="J60" s="103">
        <v>0</v>
      </c>
      <c r="K60" s="102">
        <v>0</v>
      </c>
      <c r="L60" s="109">
        <v>0</v>
      </c>
      <c r="M60" s="123"/>
      <c r="N60" s="28">
        <v>0</v>
      </c>
    </row>
    <row r="61" spans="7:17" ht="15">
      <c r="G61" s="77" t="s">
        <v>59</v>
      </c>
      <c r="H61" s="73">
        <v>2</v>
      </c>
      <c r="I61" s="71">
        <v>0</v>
      </c>
      <c r="J61" s="103">
        <v>20</v>
      </c>
      <c r="K61" s="102">
        <v>0</v>
      </c>
      <c r="L61" s="109">
        <v>0</v>
      </c>
      <c r="M61" s="123"/>
      <c r="N61" s="28">
        <v>0</v>
      </c>
    </row>
    <row r="62" spans="7:17" ht="15">
      <c r="G62" s="77" t="s">
        <v>60</v>
      </c>
      <c r="H62" s="73">
        <v>3</v>
      </c>
      <c r="I62" s="71">
        <v>0</v>
      </c>
      <c r="J62" s="103">
        <v>40</v>
      </c>
      <c r="K62" s="102">
        <v>0</v>
      </c>
      <c r="L62" s="109">
        <v>0</v>
      </c>
      <c r="M62" s="123"/>
      <c r="N62" s="28">
        <v>0</v>
      </c>
    </row>
    <row r="63" spans="7:17" ht="15">
      <c r="G63" s="77" t="s">
        <v>61</v>
      </c>
      <c r="H63" s="73">
        <v>4</v>
      </c>
      <c r="I63" s="71">
        <v>0</v>
      </c>
      <c r="J63" s="103">
        <v>45</v>
      </c>
      <c r="K63" s="102">
        <v>0</v>
      </c>
      <c r="L63" s="109">
        <v>0</v>
      </c>
      <c r="M63" s="123"/>
      <c r="N63" s="28">
        <v>10</v>
      </c>
    </row>
    <row r="64" spans="7:17" ht="15">
      <c r="G64" s="77" t="s">
        <v>62</v>
      </c>
      <c r="H64" s="73">
        <v>5</v>
      </c>
      <c r="I64" s="71">
        <v>0</v>
      </c>
      <c r="J64" s="103">
        <v>60</v>
      </c>
      <c r="K64" s="102">
        <v>0</v>
      </c>
      <c r="L64" s="109">
        <v>0</v>
      </c>
      <c r="M64" s="123"/>
      <c r="N64" s="28">
        <v>10</v>
      </c>
    </row>
    <row r="65" spans="7:14" ht="15">
      <c r="G65" s="77" t="s">
        <v>63</v>
      </c>
      <c r="H65" s="73">
        <v>6</v>
      </c>
      <c r="I65" s="71">
        <v>0</v>
      </c>
      <c r="J65" s="103">
        <v>70</v>
      </c>
      <c r="K65" s="102">
        <v>0</v>
      </c>
      <c r="L65" s="109">
        <v>0</v>
      </c>
      <c r="M65" s="123"/>
      <c r="N65" s="28">
        <v>10</v>
      </c>
    </row>
    <row r="66" spans="7:14" ht="15">
      <c r="G66" s="77" t="s">
        <v>56</v>
      </c>
      <c r="H66" s="73">
        <v>7</v>
      </c>
      <c r="I66" s="71">
        <v>0</v>
      </c>
      <c r="J66" s="103">
        <v>0</v>
      </c>
      <c r="K66" s="102">
        <v>0</v>
      </c>
      <c r="L66" s="109">
        <v>0</v>
      </c>
      <c r="M66" s="123"/>
      <c r="N66" s="28">
        <v>0</v>
      </c>
    </row>
    <row r="67" spans="7:14" ht="15">
      <c r="G67" s="77" t="s">
        <v>56</v>
      </c>
      <c r="H67" s="73">
        <v>8</v>
      </c>
      <c r="I67" s="71">
        <v>0</v>
      </c>
      <c r="J67" s="103">
        <v>0</v>
      </c>
      <c r="K67" s="102">
        <v>0</v>
      </c>
      <c r="L67" s="109">
        <v>0</v>
      </c>
      <c r="M67" s="123"/>
      <c r="N67" s="28">
        <v>0</v>
      </c>
    </row>
    <row r="68" spans="7:14" ht="15">
      <c r="G68" s="73" t="s">
        <v>56</v>
      </c>
      <c r="H68" s="73">
        <v>9</v>
      </c>
      <c r="I68" s="71">
        <v>0</v>
      </c>
      <c r="J68" s="103">
        <v>0</v>
      </c>
      <c r="K68" s="102">
        <v>0</v>
      </c>
      <c r="L68" s="109">
        <v>0</v>
      </c>
      <c r="M68" s="123"/>
      <c r="N68" s="28">
        <v>0</v>
      </c>
    </row>
    <row r="69" spans="7:14" ht="15">
      <c r="G69" s="73" t="s">
        <v>38</v>
      </c>
      <c r="H69" s="73">
        <v>10</v>
      </c>
      <c r="I69" s="57">
        <v>0</v>
      </c>
      <c r="J69" s="103">
        <v>0</v>
      </c>
      <c r="K69" s="102">
        <v>0</v>
      </c>
      <c r="L69" s="109">
        <v>0</v>
      </c>
      <c r="M69" s="123"/>
      <c r="N69" s="28">
        <v>0</v>
      </c>
    </row>
    <row r="70" spans="7:14" ht="15">
      <c r="G70" s="74" t="s">
        <v>39</v>
      </c>
      <c r="H70" s="75"/>
      <c r="I70" s="75"/>
      <c r="J70" s="118">
        <f>VLOOKUP('A4-b'!C33,basis!G60:J69,4,FALSE)</f>
        <v>0</v>
      </c>
      <c r="K70" s="106"/>
      <c r="L70" s="111"/>
      <c r="M70" s="123"/>
      <c r="N70" s="127"/>
    </row>
  </sheetData>
  <sheetProtection selectLockedCells="1" selectUnlockedCells="1"/>
  <customSheetViews>
    <customSheetView guid="{086F4F81-5F9A-4D79-ABED-02168858C282}">
      <selection activeCell="C11" sqref="C11"/>
      <pageMargins left="0" right="0" top="0" bottom="0" header="0" footer="0"/>
    </customSheetView>
  </customSheetViews>
  <mergeCells count="5">
    <mergeCell ref="I2:K2"/>
    <mergeCell ref="I16:K16"/>
    <mergeCell ref="I30:K30"/>
    <mergeCell ref="I44:K44"/>
    <mergeCell ref="I58:K58"/>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S305"/>
  <sheetViews>
    <sheetView showGridLines="0" topLeftCell="B18" zoomScaleNormal="100" workbookViewId="0">
      <selection activeCell="E11" sqref="E11"/>
    </sheetView>
  </sheetViews>
  <sheetFormatPr defaultColWidth="13.7109375" defaultRowHeight="15"/>
  <cols>
    <col min="1" max="1" width="7.7109375" style="195" customWidth="1"/>
    <col min="2" max="2" width="44.42578125" style="2" customWidth="1"/>
    <col min="3" max="3" width="5.85546875" style="3" customWidth="1"/>
    <col min="4" max="4" width="6.42578125" style="2" customWidth="1"/>
    <col min="5" max="5" width="13.140625" style="3" customWidth="1"/>
    <col min="6" max="6" width="14.140625" style="3" customWidth="1"/>
    <col min="7" max="7" width="5" style="2" customWidth="1"/>
    <col min="8" max="8" width="5.42578125" style="2" customWidth="1"/>
    <col min="9" max="9" width="5" style="2" customWidth="1"/>
    <col min="10" max="10" width="5.140625" style="2" customWidth="1"/>
    <col min="11" max="11" width="5.28515625" style="2" customWidth="1"/>
    <col min="12" max="12" width="9.140625" style="2" customWidth="1"/>
    <col min="13" max="13" width="11" style="2" customWidth="1"/>
    <col min="14" max="19" width="13.85546875" style="2" hidden="1" customWidth="1"/>
    <col min="20" max="20" width="13.85546875" style="2" customWidth="1"/>
    <col min="21" max="16384" width="13.7109375" style="2"/>
  </cols>
  <sheetData>
    <row r="1" spans="1:19" ht="21.75">
      <c r="A1" s="131"/>
      <c r="B1" s="132" t="s">
        <v>160</v>
      </c>
      <c r="C1" s="22"/>
      <c r="D1" s="23"/>
      <c r="E1" s="22"/>
      <c r="F1" s="22"/>
      <c r="G1" s="133" t="s">
        <v>161</v>
      </c>
      <c r="H1" s="134"/>
      <c r="I1" s="134"/>
      <c r="J1" s="134"/>
      <c r="K1" s="134"/>
      <c r="L1" s="134"/>
      <c r="M1" s="135"/>
      <c r="S1" s="2" t="s">
        <v>20</v>
      </c>
    </row>
    <row r="2" spans="1:19">
      <c r="A2" s="136"/>
      <c r="B2" s="2" t="str">
        <f>'A7'!C3</f>
        <v>Behorende bij selectieleidraad nieuwbouw IKC Tuindorp</v>
      </c>
      <c r="G2" s="297" t="s">
        <v>162</v>
      </c>
      <c r="H2" s="298" t="s">
        <v>163</v>
      </c>
      <c r="I2" s="299" t="s">
        <v>164</v>
      </c>
      <c r="J2" s="299" t="s">
        <v>165</v>
      </c>
      <c r="K2" s="299" t="s">
        <v>166</v>
      </c>
      <c r="L2" s="299" t="s">
        <v>167</v>
      </c>
      <c r="M2" s="302" t="s">
        <v>168</v>
      </c>
      <c r="N2" s="303" t="s">
        <v>162</v>
      </c>
      <c r="O2" s="304" t="s">
        <v>163</v>
      </c>
      <c r="P2" s="296" t="s">
        <v>164</v>
      </c>
      <c r="Q2" s="296" t="s">
        <v>165</v>
      </c>
      <c r="R2" s="296" t="s">
        <v>166</v>
      </c>
      <c r="S2" s="2" t="s">
        <v>16</v>
      </c>
    </row>
    <row r="3" spans="1:19">
      <c r="A3" s="137" t="s">
        <v>90</v>
      </c>
      <c r="B3" s="138">
        <f>basis!B7</f>
        <v>45537</v>
      </c>
      <c r="C3" s="139"/>
      <c r="D3" s="17" t="s">
        <v>169</v>
      </c>
      <c r="G3" s="297"/>
      <c r="H3" s="298"/>
      <c r="I3" s="299"/>
      <c r="J3" s="299"/>
      <c r="K3" s="299"/>
      <c r="L3" s="299"/>
      <c r="M3" s="302"/>
      <c r="N3" s="303"/>
      <c r="O3" s="304"/>
      <c r="P3" s="296"/>
      <c r="Q3" s="296"/>
      <c r="R3" s="296"/>
    </row>
    <row r="4" spans="1:19">
      <c r="A4" s="137" t="s">
        <v>170</v>
      </c>
      <c r="B4" s="2" t="str">
        <f>'A7'!C5</f>
        <v>2024.TUIN.01</v>
      </c>
      <c r="G4" s="297"/>
      <c r="H4" s="298"/>
      <c r="I4" s="299"/>
      <c r="J4" s="299"/>
      <c r="K4" s="299"/>
      <c r="L4" s="299"/>
      <c r="M4" s="302"/>
      <c r="N4" s="303"/>
      <c r="O4" s="304"/>
      <c r="P4" s="296"/>
      <c r="Q4" s="296"/>
      <c r="R4" s="296"/>
    </row>
    <row r="5" spans="1:19">
      <c r="A5" s="136"/>
      <c r="B5" s="140" t="str">
        <f>basis!B5</f>
        <v>Nieuwbouw +Renovatie IKC Tuindorp</v>
      </c>
      <c r="G5" s="297"/>
      <c r="H5" s="298"/>
      <c r="I5" s="299"/>
      <c r="J5" s="299"/>
      <c r="K5" s="299"/>
      <c r="L5" s="299"/>
      <c r="M5" s="302"/>
      <c r="N5" s="303"/>
      <c r="O5" s="304"/>
      <c r="P5" s="296"/>
      <c r="Q5" s="296"/>
      <c r="R5" s="296"/>
    </row>
    <row r="6" spans="1:19">
      <c r="A6" s="136" t="s">
        <v>171</v>
      </c>
      <c r="B6" s="264">
        <f>'A1'!E14</f>
        <v>0</v>
      </c>
      <c r="C6" s="264"/>
      <c r="D6" s="264"/>
      <c r="E6" s="264"/>
      <c r="G6" s="297"/>
      <c r="H6" s="298"/>
      <c r="I6" s="299"/>
      <c r="J6" s="299"/>
      <c r="K6" s="299"/>
      <c r="L6" s="299"/>
      <c r="M6" s="302"/>
      <c r="N6" s="303"/>
      <c r="O6" s="304"/>
      <c r="P6" s="296"/>
      <c r="Q6" s="296"/>
      <c r="R6" s="296"/>
    </row>
    <row r="7" spans="1:19" ht="49.5" customHeight="1">
      <c r="A7" s="141" t="s">
        <v>172</v>
      </c>
      <c r="B7" s="142">
        <f>'A1'!E27</f>
        <v>0</v>
      </c>
      <c r="C7" s="143"/>
      <c r="D7" s="144"/>
      <c r="E7" s="143"/>
      <c r="F7" s="143"/>
      <c r="G7" s="297"/>
      <c r="H7" s="298"/>
      <c r="I7" s="299"/>
      <c r="J7" s="299"/>
      <c r="K7" s="299"/>
      <c r="L7" s="299"/>
      <c r="M7" s="302"/>
      <c r="N7" s="303"/>
      <c r="O7" s="304"/>
      <c r="P7" s="296"/>
      <c r="Q7" s="296"/>
      <c r="R7" s="296"/>
    </row>
    <row r="8" spans="1:19" ht="15.75">
      <c r="A8" s="145" t="s">
        <v>173</v>
      </c>
      <c r="B8" s="146" t="s">
        <v>174</v>
      </c>
      <c r="C8" s="147" t="s">
        <v>175</v>
      </c>
      <c r="D8" s="146" t="s">
        <v>176</v>
      </c>
      <c r="E8" s="147" t="s">
        <v>177</v>
      </c>
      <c r="F8" s="147" t="s">
        <v>178</v>
      </c>
      <c r="G8" s="148" t="s">
        <v>179</v>
      </c>
      <c r="H8" s="15" t="s">
        <v>180</v>
      </c>
      <c r="I8" s="15" t="s">
        <v>181</v>
      </c>
      <c r="J8" s="15" t="s">
        <v>182</v>
      </c>
      <c r="K8" s="15" t="s">
        <v>183</v>
      </c>
      <c r="M8" s="149"/>
      <c r="N8" s="14"/>
      <c r="O8" s="14"/>
      <c r="P8" s="14"/>
      <c r="Q8" s="14"/>
      <c r="R8" s="14"/>
    </row>
    <row r="9" spans="1:19" ht="15.75">
      <c r="A9" s="150" t="s">
        <v>184</v>
      </c>
      <c r="B9" s="151" t="s">
        <v>185</v>
      </c>
      <c r="C9" s="152"/>
      <c r="D9" s="153"/>
      <c r="E9" s="152"/>
      <c r="F9" s="8"/>
      <c r="G9" s="154"/>
      <c r="H9" s="7"/>
      <c r="I9" s="7"/>
      <c r="J9" s="7"/>
      <c r="K9" s="7"/>
      <c r="L9" s="7"/>
      <c r="M9" s="155"/>
      <c r="N9" s="14"/>
      <c r="O9" s="14"/>
      <c r="P9" s="14"/>
      <c r="Q9" s="14"/>
      <c r="R9" s="14"/>
    </row>
    <row r="10" spans="1:19" ht="15.75" customHeight="1">
      <c r="A10" s="156"/>
      <c r="B10" s="10" t="s">
        <v>186</v>
      </c>
      <c r="C10" s="157">
        <v>1</v>
      </c>
      <c r="D10" s="158" t="s">
        <v>187</v>
      </c>
      <c r="E10" s="159">
        <v>6750000</v>
      </c>
      <c r="F10" s="160">
        <f>C10*E10</f>
        <v>6750000</v>
      </c>
      <c r="G10" s="19"/>
      <c r="H10" s="148"/>
      <c r="I10" s="19"/>
      <c r="J10" s="19"/>
      <c r="K10" s="19"/>
      <c r="L10" s="161">
        <f>SUM(N10:R10)</f>
        <v>0</v>
      </c>
      <c r="M10" s="162">
        <f>L10+F10</f>
        <v>6750000</v>
      </c>
      <c r="N10" s="14">
        <f>IF(G10="ja",F10*$E$20,0)</f>
        <v>0</v>
      </c>
      <c r="O10" s="14">
        <f>IF(H10="ja",(F10+N10)*$E$21,0)</f>
        <v>0</v>
      </c>
      <c r="P10" s="14">
        <f>IF(I10="ja",(F10+O10+N10)*$E$22,0)</f>
        <v>0</v>
      </c>
      <c r="Q10" s="14">
        <f>IF(J10="ja",(F10+P10+O10+N10)*$E$23,0)</f>
        <v>0</v>
      </c>
      <c r="R10" s="14">
        <f>IF(K10="ja",(F10+Q10+P10+O10+N10)*$E$24,0)</f>
        <v>0</v>
      </c>
    </row>
    <row r="11" spans="1:19" ht="15.75" customHeight="1">
      <c r="A11" s="156" t="s">
        <v>189</v>
      </c>
      <c r="B11" s="10" t="s">
        <v>190</v>
      </c>
      <c r="C11" s="157">
        <v>5000</v>
      </c>
      <c r="D11" s="158" t="s">
        <v>191</v>
      </c>
      <c r="E11" s="20"/>
      <c r="F11" s="160">
        <f>C11*E11</f>
        <v>0</v>
      </c>
      <c r="G11" s="148">
        <f>G10</f>
        <v>0</v>
      </c>
      <c r="H11" s="148"/>
      <c r="I11" s="148">
        <f t="shared" ref="I11:K11" si="0">I10</f>
        <v>0</v>
      </c>
      <c r="J11" s="148">
        <f t="shared" si="0"/>
        <v>0</v>
      </c>
      <c r="K11" s="148">
        <f t="shared" si="0"/>
        <v>0</v>
      </c>
      <c r="L11" s="161">
        <f>SUM(N11:R11)</f>
        <v>0</v>
      </c>
      <c r="M11" s="162">
        <f>L11+F11</f>
        <v>0</v>
      </c>
      <c r="N11" s="14">
        <f>IF(G11="ja",F11*$E$20,0)</f>
        <v>0</v>
      </c>
      <c r="O11" s="14">
        <f>IF(H11="ja",(F11+N11)*$E$21,0)</f>
        <v>0</v>
      </c>
      <c r="P11" s="14">
        <f>IF(I11="ja",(F11+O11+N11)*$E$22,0)</f>
        <v>0</v>
      </c>
      <c r="Q11" s="14">
        <f>IF(J11="ja",(F11+P11+O11+N11)*$E$23,0)</f>
        <v>0</v>
      </c>
      <c r="R11" s="14">
        <f>IF(K11="ja",(F11+Q11+P11+O11+N11)*$E$24,0)</f>
        <v>0</v>
      </c>
    </row>
    <row r="12" spans="1:19" ht="15.75" customHeight="1">
      <c r="A12" s="156"/>
      <c r="B12" s="10" t="s">
        <v>192</v>
      </c>
      <c r="C12" s="157">
        <v>1</v>
      </c>
      <c r="D12" s="158" t="s">
        <v>187</v>
      </c>
      <c r="E12" s="163">
        <v>1750000</v>
      </c>
      <c r="F12" s="160">
        <f>C12*E12</f>
        <v>1750000</v>
      </c>
      <c r="G12" s="148"/>
      <c r="H12" s="19"/>
      <c r="I12" s="19"/>
      <c r="J12" s="19"/>
      <c r="K12" s="19"/>
      <c r="L12" s="161">
        <f>SUM(N12:R12)</f>
        <v>0</v>
      </c>
      <c r="M12" s="162">
        <f>L12+F12</f>
        <v>1750000</v>
      </c>
      <c r="N12" s="14">
        <f>IF(G12="ja",F12*$E$20,0)</f>
        <v>0</v>
      </c>
      <c r="O12" s="14">
        <f>IF(H12="ja",(F12+N12)*$E$21,0)</f>
        <v>0</v>
      </c>
      <c r="P12" s="14">
        <f>IF(I12="ja",(F12+O12+N12)*$E$22,0)</f>
        <v>0</v>
      </c>
      <c r="Q12" s="14">
        <f>IF(J12="ja",(F12+P12+O12+N12)*$E$23,0)</f>
        <v>0</v>
      </c>
      <c r="R12" s="14">
        <f>IF(K12="ja",(F12+Q12+P12+O12+N12)*$E$24,0)</f>
        <v>0</v>
      </c>
    </row>
    <row r="13" spans="1:19" ht="15.75" customHeight="1">
      <c r="A13" s="156"/>
      <c r="B13" s="2" t="s">
        <v>193</v>
      </c>
      <c r="C13" s="157">
        <v>1</v>
      </c>
      <c r="D13" s="158" t="s">
        <v>187</v>
      </c>
      <c r="E13" s="163">
        <v>100000</v>
      </c>
      <c r="F13" s="160">
        <f>C13*E13</f>
        <v>100000</v>
      </c>
      <c r="G13" s="19"/>
      <c r="H13" s="19"/>
      <c r="I13" s="19"/>
      <c r="J13" s="19"/>
      <c r="K13" s="19"/>
      <c r="L13" s="161">
        <f>SUM(N13:R13)</f>
        <v>0</v>
      </c>
      <c r="M13" s="162">
        <f>L13+F13</f>
        <v>100000</v>
      </c>
      <c r="N13" s="14">
        <f>IF(G13="ja",F13*$E$20,0)</f>
        <v>0</v>
      </c>
      <c r="O13" s="14">
        <f>IF(H13="ja",(F13+N13)*$E$21,0)</f>
        <v>0</v>
      </c>
      <c r="P13" s="14">
        <f>IF(I13="ja",(F13+O13+N13)*$E$22,0)</f>
        <v>0</v>
      </c>
      <c r="Q13" s="14">
        <f>IF(J13="ja",(F13+P13+O13+N13)*$E$23,0)</f>
        <v>0</v>
      </c>
      <c r="R13" s="14">
        <f>IF(K13="ja",(F13+Q13+P13+O13+N13)*$E$24,0)</f>
        <v>0</v>
      </c>
    </row>
    <row r="14" spans="1:19" ht="15.75">
      <c r="A14" s="156"/>
      <c r="B14" s="10" t="s">
        <v>194</v>
      </c>
      <c r="C14" s="157"/>
      <c r="D14" s="158"/>
      <c r="E14" s="157"/>
      <c r="F14" s="8"/>
      <c r="G14" s="154"/>
      <c r="H14" s="7"/>
      <c r="I14" s="7"/>
      <c r="J14" s="7"/>
      <c r="K14" s="7"/>
      <c r="L14" s="7"/>
      <c r="M14" s="155"/>
      <c r="N14" s="14"/>
      <c r="O14" s="14"/>
      <c r="P14" s="14"/>
      <c r="Q14" s="14"/>
      <c r="R14" s="14"/>
    </row>
    <row r="15" spans="1:19" ht="15.75">
      <c r="A15" s="164" t="s">
        <v>195</v>
      </c>
      <c r="B15" s="13" t="s">
        <v>196</v>
      </c>
      <c r="C15" s="11">
        <v>60</v>
      </c>
      <c r="D15" s="11" t="s">
        <v>197</v>
      </c>
      <c r="E15" s="20"/>
      <c r="F15" s="165">
        <f>C15*E15</f>
        <v>0</v>
      </c>
      <c r="G15" s="19"/>
      <c r="H15" s="19"/>
      <c r="I15" s="19"/>
      <c r="J15" s="19"/>
      <c r="K15" s="19"/>
      <c r="L15" s="161">
        <f>SUM(N15:R15)</f>
        <v>0</v>
      </c>
      <c r="M15" s="162">
        <f>L15+F15</f>
        <v>0</v>
      </c>
      <c r="N15" s="14">
        <f>IF(G15="ja",F15*$E$20,0)</f>
        <v>0</v>
      </c>
      <c r="O15" s="14">
        <f>IF(H15="ja",(F15+N15)*$E$21,0)</f>
        <v>0</v>
      </c>
      <c r="P15" s="14">
        <f>IF(I15="ja",(F15+O15+N15)*$E$22,0)</f>
        <v>0</v>
      </c>
      <c r="Q15" s="14">
        <f>IF(J15="ja",(F15+P15+O15+N15)*$E$23,0)</f>
        <v>0</v>
      </c>
      <c r="R15" s="14">
        <f>IF(K15="ja",(F15+Q15+P15+O15+N15)*$E$24,0)</f>
        <v>0</v>
      </c>
    </row>
    <row r="16" spans="1:19" ht="15.75">
      <c r="A16" s="164" t="s">
        <v>198</v>
      </c>
      <c r="B16" s="13" t="s">
        <v>199</v>
      </c>
      <c r="C16" s="11">
        <v>60</v>
      </c>
      <c r="D16" s="11" t="s">
        <v>197</v>
      </c>
      <c r="E16" s="20"/>
      <c r="F16" s="165">
        <f>C16*E16</f>
        <v>0</v>
      </c>
      <c r="G16" s="19"/>
      <c r="H16" s="19"/>
      <c r="I16" s="19"/>
      <c r="J16" s="19"/>
      <c r="K16" s="19"/>
      <c r="L16" s="161">
        <f>SUM(N16:R16)</f>
        <v>0</v>
      </c>
      <c r="M16" s="162">
        <f>L16+F16</f>
        <v>0</v>
      </c>
      <c r="N16" s="14">
        <f>IF(G16="ja",F16*$E$20,0)</f>
        <v>0</v>
      </c>
      <c r="O16" s="14">
        <f>IF(H16="ja",(F16+N16)*$E$21,0)</f>
        <v>0</v>
      </c>
      <c r="P16" s="14">
        <f>IF(I16="ja",(F16+O16+N16)*$E$22,0)</f>
        <v>0</v>
      </c>
      <c r="Q16" s="14">
        <f>IF(J16="ja",(F16+P16+O16+N16)*$E$23,0)</f>
        <v>0</v>
      </c>
      <c r="R16" s="14">
        <f>IF(K16="ja",(F16+Q16+P16+O16+N16)*$E$24,0)</f>
        <v>0</v>
      </c>
    </row>
    <row r="17" spans="1:18" ht="15.75">
      <c r="A17" s="164" t="s">
        <v>200</v>
      </c>
      <c r="B17" s="13" t="s">
        <v>201</v>
      </c>
      <c r="C17" s="157">
        <v>60</v>
      </c>
      <c r="D17" s="11" t="s">
        <v>197</v>
      </c>
      <c r="E17" s="20"/>
      <c r="F17" s="165">
        <f>C17*E17</f>
        <v>0</v>
      </c>
      <c r="G17" s="19"/>
      <c r="H17" s="19"/>
      <c r="I17" s="19"/>
      <c r="J17" s="19"/>
      <c r="K17" s="19"/>
      <c r="L17" s="161">
        <f>SUM(N17:R17)</f>
        <v>0</v>
      </c>
      <c r="M17" s="162">
        <f>L17+F17</f>
        <v>0</v>
      </c>
      <c r="N17" s="14">
        <f>IF(G17="ja",F17*$E$20,0)</f>
        <v>0</v>
      </c>
      <c r="O17" s="14">
        <f>IF(H17="ja",(F17+N17)*$E$21,0)</f>
        <v>0</v>
      </c>
      <c r="P17" s="14">
        <f>IF(I17="ja",(F17+O17+N17)*$E$22,0)</f>
        <v>0</v>
      </c>
      <c r="Q17" s="14">
        <f>IF(J17="ja",(F17+P17+O17+N17)*$E$23,0)</f>
        <v>0</v>
      </c>
      <c r="R17" s="14">
        <f>IF(K17="ja",(F17+Q17+P17+O17+N17)*$E$24,0)</f>
        <v>0</v>
      </c>
    </row>
    <row r="18" spans="1:18" ht="15.75">
      <c r="A18" s="164" t="s">
        <v>202</v>
      </c>
      <c r="B18" s="13" t="s">
        <v>203</v>
      </c>
      <c r="C18" s="166">
        <v>60</v>
      </c>
      <c r="D18" s="12" t="s">
        <v>197</v>
      </c>
      <c r="E18" s="21"/>
      <c r="F18" s="165">
        <f>C18*E18</f>
        <v>0</v>
      </c>
      <c r="G18" s="19"/>
      <c r="H18" s="19"/>
      <c r="I18" s="19"/>
      <c r="J18" s="19"/>
      <c r="K18" s="19"/>
      <c r="L18" s="161">
        <f>SUM(N18:R18)</f>
        <v>0</v>
      </c>
      <c r="M18" s="162">
        <f>L18+F18</f>
        <v>0</v>
      </c>
      <c r="N18" s="14">
        <f>IF(G18="ja",F18*$E$20,0)</f>
        <v>0</v>
      </c>
      <c r="O18" s="14">
        <f>IF(H18="ja",(F18+N18)*$E$21,0)</f>
        <v>0</v>
      </c>
      <c r="P18" s="14">
        <f>IF(I18="ja",(F18+O18+N18)*$E$22,0)</f>
        <v>0</v>
      </c>
      <c r="Q18" s="14">
        <f>IF(J18="ja",(F18+P18+O18+N18)*$E$23,0)</f>
        <v>0</v>
      </c>
      <c r="R18" s="14">
        <f>IF(K18="ja",(F18+Q18+P18+O18+N18)*$E$24,0)</f>
        <v>0</v>
      </c>
    </row>
    <row r="19" spans="1:18" ht="15.75">
      <c r="A19" s="145"/>
      <c r="B19" s="167" t="s">
        <v>204</v>
      </c>
      <c r="C19" s="168"/>
      <c r="D19" s="169"/>
      <c r="E19" s="168"/>
      <c r="F19" s="168"/>
      <c r="G19" s="170"/>
      <c r="H19" s="171"/>
      <c r="I19" s="171"/>
      <c r="J19" s="171"/>
      <c r="K19" s="171"/>
      <c r="L19" s="172">
        <f>SUM(L10:L18)</f>
        <v>0</v>
      </c>
      <c r="M19" s="173">
        <f>SUM(M10:M18)</f>
        <v>8600000</v>
      </c>
    </row>
    <row r="20" spans="1:18" ht="15.75">
      <c r="A20" s="174" t="s">
        <v>205</v>
      </c>
      <c r="B20" s="7" t="s">
        <v>206</v>
      </c>
      <c r="C20" s="2"/>
      <c r="D20" s="7"/>
      <c r="E20" s="18">
        <v>0</v>
      </c>
      <c r="F20" s="3" t="s">
        <v>207</v>
      </c>
      <c r="G20" s="62"/>
      <c r="H20" s="7"/>
      <c r="I20" s="7"/>
      <c r="J20" s="8"/>
      <c r="K20" s="7"/>
      <c r="L20" s="7"/>
      <c r="M20" s="155"/>
    </row>
    <row r="21" spans="1:18" ht="16.5" customHeight="1">
      <c r="A21" s="175" t="s">
        <v>208</v>
      </c>
      <c r="B21" s="176" t="s">
        <v>209</v>
      </c>
      <c r="C21" s="2"/>
      <c r="D21" s="7"/>
      <c r="E21" s="18">
        <v>0</v>
      </c>
      <c r="F21" s="3" t="s">
        <v>207</v>
      </c>
      <c r="G21" s="62"/>
      <c r="H21" s="7"/>
      <c r="I21" s="7"/>
      <c r="J21" s="8"/>
      <c r="K21" s="7"/>
      <c r="L21" s="7"/>
      <c r="M21" s="155"/>
    </row>
    <row r="22" spans="1:18" ht="15.75">
      <c r="A22" s="174" t="s">
        <v>210</v>
      </c>
      <c r="B22" s="7" t="s">
        <v>211</v>
      </c>
      <c r="C22" s="2"/>
      <c r="D22" s="7"/>
      <c r="E22" s="18">
        <v>0</v>
      </c>
      <c r="F22" s="3" t="s">
        <v>207</v>
      </c>
      <c r="G22" s="62"/>
      <c r="H22" s="7"/>
      <c r="I22" s="7"/>
      <c r="J22" s="8"/>
      <c r="K22" s="7"/>
      <c r="L22" s="7"/>
      <c r="M22" s="155"/>
    </row>
    <row r="23" spans="1:18" ht="15.75">
      <c r="A23" s="174" t="s">
        <v>212</v>
      </c>
      <c r="B23" s="7" t="s">
        <v>213</v>
      </c>
      <c r="C23" s="2"/>
      <c r="D23" s="7"/>
      <c r="E23" s="18">
        <v>0</v>
      </c>
      <c r="F23" s="3" t="s">
        <v>207</v>
      </c>
      <c r="G23" s="62"/>
      <c r="H23" s="7"/>
      <c r="I23" s="7"/>
      <c r="J23" s="7"/>
      <c r="K23" s="7"/>
      <c r="L23" s="7"/>
      <c r="M23" s="155"/>
    </row>
    <row r="24" spans="1:18" ht="15.75">
      <c r="A24" s="177" t="s">
        <v>214</v>
      </c>
      <c r="B24" s="178" t="s">
        <v>215</v>
      </c>
      <c r="C24" s="144"/>
      <c r="D24" s="178"/>
      <c r="E24" s="18">
        <v>0</v>
      </c>
      <c r="F24" s="143" t="s">
        <v>207</v>
      </c>
      <c r="G24" s="179"/>
      <c r="H24" s="180"/>
      <c r="I24" s="178"/>
      <c r="J24" s="180"/>
      <c r="K24" s="178"/>
      <c r="L24" s="178"/>
      <c r="M24" s="181"/>
    </row>
    <row r="25" spans="1:18" ht="15.75">
      <c r="A25" s="182" t="s">
        <v>216</v>
      </c>
      <c r="B25" s="7"/>
      <c r="C25" s="2"/>
      <c r="D25" s="7"/>
      <c r="E25" s="183"/>
      <c r="G25" s="62"/>
      <c r="H25" s="7"/>
      <c r="I25" s="7"/>
      <c r="J25" s="8"/>
      <c r="K25" s="7"/>
      <c r="L25" s="7"/>
      <c r="M25" s="184">
        <f>M19</f>
        <v>8600000</v>
      </c>
    </row>
    <row r="26" spans="1:18" ht="15.75">
      <c r="A26" s="177" t="s">
        <v>217</v>
      </c>
      <c r="B26" s="178" t="s">
        <v>218</v>
      </c>
      <c r="C26" s="144"/>
      <c r="D26" s="178"/>
      <c r="E26" s="18">
        <v>0</v>
      </c>
      <c r="F26" s="143" t="s">
        <v>207</v>
      </c>
      <c r="G26" s="179"/>
      <c r="H26" s="178"/>
      <c r="I26" s="178"/>
      <c r="J26" s="178"/>
      <c r="K26" s="178"/>
      <c r="L26" s="178"/>
      <c r="M26" s="185">
        <f>E26*M19</f>
        <v>0</v>
      </c>
    </row>
    <row r="27" spans="1:18" ht="15.75">
      <c r="A27" s="186" t="s">
        <v>219</v>
      </c>
      <c r="B27" s="187"/>
      <c r="C27" s="187"/>
      <c r="D27" s="187"/>
      <c r="E27" s="188"/>
      <c r="F27" s="189"/>
      <c r="G27" s="188"/>
      <c r="H27" s="187"/>
      <c r="I27" s="187"/>
      <c r="J27" s="190"/>
      <c r="K27" s="187"/>
      <c r="L27" s="300">
        <f>SUM(M25:M26)</f>
        <v>8600000</v>
      </c>
      <c r="M27" s="301"/>
    </row>
    <row r="28" spans="1:18" ht="7.5" customHeight="1">
      <c r="A28" s="7"/>
      <c r="B28" s="7"/>
      <c r="C28" s="7"/>
      <c r="D28" s="7"/>
      <c r="E28" s="62"/>
      <c r="G28" s="62"/>
      <c r="H28" s="7"/>
      <c r="I28" s="7"/>
      <c r="J28" s="8"/>
      <c r="K28" s="7"/>
      <c r="L28" s="191"/>
      <c r="M28" s="192"/>
    </row>
    <row r="29" spans="1:18">
      <c r="A29" s="193" t="s">
        <v>220</v>
      </c>
      <c r="B29" s="193"/>
      <c r="C29" s="193"/>
      <c r="D29" s="193"/>
      <c r="E29" s="193"/>
      <c r="F29" s="194"/>
      <c r="G29" s="193"/>
      <c r="H29" s="194"/>
    </row>
    <row r="30" spans="1:18">
      <c r="C30" s="2"/>
      <c r="E30" s="2"/>
      <c r="F30" s="4"/>
      <c r="G30" s="5"/>
      <c r="H30" s="4"/>
      <c r="J30" s="4"/>
    </row>
    <row r="31" spans="1:18">
      <c r="A31" s="2"/>
      <c r="C31" s="2"/>
      <c r="E31" s="2"/>
      <c r="F31" s="2"/>
    </row>
    <row r="32" spans="1:18">
      <c r="C32" s="2"/>
      <c r="E32" s="2"/>
      <c r="F32" s="4"/>
      <c r="G32" s="5"/>
      <c r="H32" s="4"/>
      <c r="J32" s="4"/>
    </row>
    <row r="33" spans="1:10">
      <c r="A33" s="2"/>
      <c r="C33" s="2"/>
      <c r="E33" s="2"/>
      <c r="F33" s="2"/>
      <c r="J33" s="4"/>
    </row>
    <row r="34" spans="1:10">
      <c r="A34" s="2"/>
      <c r="C34" s="2"/>
      <c r="E34" s="2"/>
      <c r="F34" s="2"/>
    </row>
    <row r="35" spans="1:10">
      <c r="A35" s="5"/>
      <c r="C35" s="2"/>
      <c r="E35" s="2"/>
      <c r="F35" s="4"/>
      <c r="G35" s="5"/>
      <c r="H35" s="4"/>
      <c r="J35" s="4"/>
    </row>
    <row r="36" spans="1:10">
      <c r="A36" s="196"/>
      <c r="C36" s="2"/>
      <c r="E36" s="2"/>
      <c r="F36" s="4"/>
      <c r="G36" s="5"/>
      <c r="H36" s="4"/>
      <c r="J36" s="4"/>
    </row>
    <row r="37" spans="1:10">
      <c r="A37" s="2"/>
      <c r="C37" s="2"/>
      <c r="E37" s="2"/>
      <c r="F37" s="2"/>
    </row>
    <row r="38" spans="1:10">
      <c r="A38" s="5"/>
      <c r="C38" s="2"/>
      <c r="E38" s="2"/>
      <c r="F38" s="4"/>
      <c r="G38" s="5"/>
      <c r="H38" s="4"/>
      <c r="J38" s="4"/>
    </row>
    <row r="39" spans="1:10">
      <c r="A39" s="5"/>
      <c r="C39" s="2"/>
      <c r="E39" s="2"/>
      <c r="F39" s="2"/>
      <c r="J39" s="4"/>
    </row>
    <row r="40" spans="1:10">
      <c r="C40" s="2"/>
      <c r="E40" s="2"/>
      <c r="F40" s="2"/>
      <c r="J40" s="4"/>
    </row>
    <row r="41" spans="1:10">
      <c r="A41" s="2"/>
      <c r="C41" s="2"/>
      <c r="E41" s="2"/>
      <c r="F41" s="2"/>
    </row>
    <row r="42" spans="1:10">
      <c r="A42" s="5"/>
      <c r="C42" s="2"/>
      <c r="E42" s="2"/>
      <c r="F42" s="4"/>
      <c r="G42" s="5"/>
      <c r="H42" s="4"/>
      <c r="J42" s="4"/>
    </row>
    <row r="43" spans="1:10">
      <c r="A43" s="5"/>
      <c r="C43" s="2"/>
      <c r="E43" s="2"/>
      <c r="F43" s="2"/>
      <c r="J43" s="4"/>
    </row>
    <row r="81" spans="14:16">
      <c r="N81" s="1"/>
      <c r="O81" s="1"/>
      <c r="P81" s="1"/>
    </row>
    <row r="82" spans="14:16">
      <c r="N82" s="1"/>
      <c r="O82" s="1"/>
      <c r="P82" s="1"/>
    </row>
    <row r="83" spans="14:16">
      <c r="N83" s="1"/>
      <c r="O83" s="1"/>
      <c r="P83" s="1"/>
    </row>
    <row r="84" spans="14:16">
      <c r="N84" s="1"/>
      <c r="O84" s="1"/>
      <c r="P84" s="1"/>
    </row>
    <row r="85" spans="14:16">
      <c r="N85" s="1"/>
      <c r="O85" s="1"/>
      <c r="P85" s="1"/>
    </row>
    <row r="86" spans="14:16">
      <c r="N86" s="1"/>
      <c r="O86" s="1"/>
      <c r="P86" s="1"/>
    </row>
    <row r="87" spans="14:16">
      <c r="N87" s="1"/>
      <c r="O87" s="1"/>
      <c r="P87" s="1"/>
    </row>
    <row r="88" spans="14:16">
      <c r="N88" s="1"/>
      <c r="O88" s="1"/>
      <c r="P88" s="1"/>
    </row>
    <row r="89" spans="14:16">
      <c r="N89" s="1"/>
      <c r="O89" s="1"/>
      <c r="P89" s="1"/>
    </row>
    <row r="90" spans="14:16">
      <c r="N90" s="1"/>
      <c r="O90" s="1"/>
      <c r="P90" s="1"/>
    </row>
    <row r="91" spans="14:16">
      <c r="N91" s="1"/>
      <c r="O91" s="1"/>
      <c r="P91" s="1"/>
    </row>
    <row r="92" spans="14:16">
      <c r="N92" s="1"/>
      <c r="O92" s="1"/>
      <c r="P92" s="1"/>
    </row>
    <row r="93" spans="14:16">
      <c r="N93" s="1"/>
      <c r="O93" s="1"/>
      <c r="P93" s="1"/>
    </row>
    <row r="94" spans="14:16">
      <c r="N94" s="1"/>
      <c r="O94" s="1"/>
      <c r="P94" s="1"/>
    </row>
    <row r="95" spans="14:16">
      <c r="N95" s="1"/>
      <c r="O95" s="1"/>
      <c r="P95" s="1"/>
    </row>
    <row r="96" spans="14:16">
      <c r="N96" s="1"/>
      <c r="O96" s="1"/>
      <c r="P96" s="1"/>
    </row>
    <row r="97" spans="14:16">
      <c r="N97" s="1"/>
      <c r="O97" s="1"/>
      <c r="P97" s="1"/>
    </row>
    <row r="98" spans="14:16">
      <c r="N98" s="1"/>
      <c r="O98" s="1"/>
      <c r="P98" s="1"/>
    </row>
    <row r="99" spans="14:16">
      <c r="N99" s="1"/>
      <c r="O99" s="1"/>
      <c r="P99" s="1"/>
    </row>
    <row r="100" spans="14:16">
      <c r="N100" s="1"/>
      <c r="O100" s="1"/>
      <c r="P100" s="1"/>
    </row>
    <row r="101" spans="14:16">
      <c r="N101" s="1"/>
      <c r="O101" s="1"/>
      <c r="P101" s="1"/>
    </row>
    <row r="102" spans="14:16">
      <c r="N102" s="1"/>
      <c r="O102" s="1"/>
      <c r="P102" s="1"/>
    </row>
    <row r="103" spans="14:16">
      <c r="N103" s="1"/>
      <c r="O103" s="1"/>
      <c r="P103" s="1"/>
    </row>
    <row r="104" spans="14:16">
      <c r="N104" s="1"/>
      <c r="O104" s="1"/>
      <c r="P104" s="1"/>
    </row>
    <row r="105" spans="14:16">
      <c r="N105" s="1"/>
      <c r="O105" s="1"/>
      <c r="P105" s="1"/>
    </row>
    <row r="106" spans="14:16">
      <c r="N106" s="1"/>
      <c r="O106" s="1"/>
      <c r="P106" s="1"/>
    </row>
    <row r="107" spans="14:16">
      <c r="N107" s="1"/>
      <c r="O107" s="1"/>
      <c r="P107" s="1"/>
    </row>
    <row r="108" spans="14:16">
      <c r="N108" s="1"/>
      <c r="O108" s="1"/>
      <c r="P108" s="1"/>
    </row>
    <row r="109" spans="14:16">
      <c r="N109" s="1"/>
      <c r="O109" s="1"/>
      <c r="P109" s="1"/>
    </row>
    <row r="110" spans="14:16">
      <c r="N110" s="1"/>
      <c r="O110" s="1"/>
      <c r="P110" s="1"/>
    </row>
    <row r="111" spans="14:16">
      <c r="N111" s="1"/>
      <c r="O111" s="1"/>
      <c r="P111" s="1"/>
    </row>
    <row r="112" spans="14:16">
      <c r="N112" s="1"/>
      <c r="O112" s="1"/>
      <c r="P112" s="1"/>
    </row>
    <row r="113" spans="14:16">
      <c r="N113" s="1"/>
      <c r="O113" s="1"/>
      <c r="P113" s="1"/>
    </row>
    <row r="114" spans="14:16">
      <c r="N114" s="1"/>
      <c r="O114" s="1"/>
      <c r="P114" s="1"/>
    </row>
    <row r="115" spans="14:16">
      <c r="N115" s="1"/>
      <c r="O115" s="1"/>
      <c r="P115" s="1"/>
    </row>
    <row r="116" spans="14:16">
      <c r="N116" s="1"/>
      <c r="O116" s="1"/>
      <c r="P116" s="1"/>
    </row>
    <row r="117" spans="14:16">
      <c r="N117" s="1"/>
      <c r="O117" s="1"/>
      <c r="P117" s="1"/>
    </row>
    <row r="118" spans="14:16">
      <c r="N118" s="1"/>
      <c r="O118" s="1"/>
      <c r="P118" s="1"/>
    </row>
    <row r="119" spans="14:16">
      <c r="N119" s="1"/>
      <c r="O119" s="1"/>
      <c r="P119" s="1"/>
    </row>
    <row r="120" spans="14:16">
      <c r="N120" s="1"/>
      <c r="O120" s="1"/>
      <c r="P120" s="1"/>
    </row>
    <row r="121" spans="14:16">
      <c r="N121" s="1"/>
      <c r="O121" s="1"/>
      <c r="P121" s="1"/>
    </row>
    <row r="122" spans="14:16">
      <c r="N122" s="1"/>
      <c r="O122" s="1"/>
      <c r="P122" s="1"/>
    </row>
    <row r="123" spans="14:16">
      <c r="N123" s="1"/>
      <c r="O123" s="1"/>
      <c r="P123" s="1"/>
    </row>
    <row r="124" spans="14:16">
      <c r="N124" s="1"/>
      <c r="O124" s="1"/>
      <c r="P124" s="1"/>
    </row>
    <row r="125" spans="14:16">
      <c r="N125" s="1"/>
      <c r="O125" s="1"/>
      <c r="P125" s="1"/>
    </row>
    <row r="126" spans="14:16">
      <c r="N126" s="1"/>
      <c r="O126" s="1"/>
      <c r="P126" s="1"/>
    </row>
    <row r="127" spans="14:16">
      <c r="N127" s="1"/>
      <c r="O127" s="1"/>
      <c r="P127" s="1"/>
    </row>
    <row r="128" spans="14:16">
      <c r="N128" s="1"/>
      <c r="O128" s="1"/>
      <c r="P128" s="1"/>
    </row>
    <row r="129" spans="14:16">
      <c r="N129" s="1"/>
      <c r="O129" s="1"/>
      <c r="P129" s="1"/>
    </row>
    <row r="130" spans="14:16">
      <c r="N130" s="1"/>
      <c r="O130" s="1"/>
      <c r="P130" s="1"/>
    </row>
    <row r="131" spans="14:16">
      <c r="N131" s="1"/>
      <c r="O131" s="1"/>
      <c r="P131" s="1"/>
    </row>
    <row r="132" spans="14:16">
      <c r="N132" s="1"/>
      <c r="O132" s="1"/>
      <c r="P132" s="1"/>
    </row>
    <row r="133" spans="14:16">
      <c r="N133" s="1"/>
      <c r="O133" s="1"/>
      <c r="P133" s="1"/>
    </row>
    <row r="134" spans="14:16">
      <c r="N134" s="1"/>
      <c r="O134" s="1"/>
      <c r="P134" s="1"/>
    </row>
    <row r="135" spans="14:16">
      <c r="N135" s="1"/>
      <c r="O135" s="1"/>
      <c r="P135" s="1"/>
    </row>
    <row r="136" spans="14:16">
      <c r="N136" s="1"/>
      <c r="O136" s="1"/>
      <c r="P136" s="1"/>
    </row>
    <row r="137" spans="14:16">
      <c r="N137" s="1"/>
      <c r="O137" s="1"/>
      <c r="P137" s="1"/>
    </row>
    <row r="138" spans="14:16">
      <c r="N138" s="1"/>
      <c r="O138" s="1"/>
      <c r="P138" s="1"/>
    </row>
    <row r="139" spans="14:16">
      <c r="N139" s="1"/>
      <c r="O139" s="1"/>
      <c r="P139" s="1"/>
    </row>
    <row r="140" spans="14:16">
      <c r="N140" s="1"/>
      <c r="O140" s="1"/>
      <c r="P140" s="1"/>
    </row>
    <row r="141" spans="14:16">
      <c r="N141" s="1"/>
      <c r="O141" s="1"/>
      <c r="P141" s="1"/>
    </row>
    <row r="142" spans="14:16">
      <c r="N142" s="1"/>
      <c r="O142" s="1"/>
      <c r="P142" s="1"/>
    </row>
    <row r="143" spans="14:16">
      <c r="N143" s="1"/>
      <c r="O143" s="1"/>
      <c r="P143" s="1"/>
    </row>
    <row r="144" spans="14:16">
      <c r="N144" s="1"/>
      <c r="O144" s="1"/>
      <c r="P144" s="1"/>
    </row>
    <row r="145" spans="14:16">
      <c r="N145" s="1"/>
      <c r="O145" s="1"/>
      <c r="P145" s="1"/>
    </row>
    <row r="146" spans="14:16">
      <c r="N146" s="1"/>
      <c r="O146" s="1"/>
      <c r="P146" s="1"/>
    </row>
    <row r="147" spans="14:16">
      <c r="N147" s="1"/>
      <c r="O147" s="1"/>
      <c r="P147" s="1"/>
    </row>
    <row r="148" spans="14:16">
      <c r="N148" s="1"/>
      <c r="O148" s="1"/>
      <c r="P148" s="1"/>
    </row>
    <row r="149" spans="14:16">
      <c r="N149" s="1"/>
      <c r="O149" s="1"/>
      <c r="P149" s="1"/>
    </row>
    <row r="150" spans="14:16">
      <c r="N150" s="1"/>
      <c r="O150" s="1"/>
      <c r="P150" s="1"/>
    </row>
    <row r="151" spans="14:16">
      <c r="N151" s="1"/>
      <c r="O151" s="1"/>
      <c r="P151" s="1"/>
    </row>
    <row r="152" spans="14:16">
      <c r="N152" s="1"/>
      <c r="O152" s="1"/>
      <c r="P152" s="1"/>
    </row>
    <row r="153" spans="14:16">
      <c r="N153" s="1"/>
      <c r="O153" s="1"/>
      <c r="P153" s="1"/>
    </row>
    <row r="154" spans="14:16">
      <c r="N154" s="1"/>
      <c r="O154" s="1"/>
      <c r="P154" s="1"/>
    </row>
    <row r="155" spans="14:16">
      <c r="N155" s="1"/>
      <c r="O155" s="1"/>
      <c r="P155" s="1"/>
    </row>
    <row r="156" spans="14:16">
      <c r="N156" s="1"/>
      <c r="O156" s="1"/>
      <c r="P156" s="1"/>
    </row>
    <row r="157" spans="14:16">
      <c r="N157" s="1"/>
      <c r="O157" s="1"/>
      <c r="P157" s="1"/>
    </row>
    <row r="158" spans="14:16">
      <c r="N158" s="1"/>
      <c r="O158" s="1"/>
      <c r="P158" s="1"/>
    </row>
    <row r="159" spans="14:16">
      <c r="N159" s="1"/>
      <c r="O159" s="1"/>
      <c r="P159" s="1"/>
    </row>
    <row r="160" spans="14:16">
      <c r="N160" s="1"/>
      <c r="O160" s="1"/>
      <c r="P160" s="1"/>
    </row>
    <row r="161" spans="14:16">
      <c r="N161" s="1"/>
      <c r="O161" s="1"/>
      <c r="P161" s="1"/>
    </row>
    <row r="162" spans="14:16">
      <c r="N162" s="1"/>
      <c r="O162" s="1"/>
      <c r="P162" s="1"/>
    </row>
    <row r="163" spans="14:16">
      <c r="N163" s="1"/>
      <c r="O163" s="1"/>
      <c r="P163" s="1"/>
    </row>
    <row r="164" spans="14:16">
      <c r="N164" s="1"/>
      <c r="O164" s="1"/>
      <c r="P164" s="1"/>
    </row>
    <row r="165" spans="14:16">
      <c r="N165" s="1"/>
      <c r="O165" s="1"/>
      <c r="P165" s="1"/>
    </row>
    <row r="166" spans="14:16">
      <c r="N166" s="1"/>
      <c r="O166" s="1"/>
      <c r="P166" s="1"/>
    </row>
    <row r="167" spans="14:16">
      <c r="N167" s="1"/>
      <c r="O167" s="1"/>
      <c r="P167" s="1"/>
    </row>
    <row r="168" spans="14:16">
      <c r="N168" s="1"/>
      <c r="O168" s="1"/>
      <c r="P168" s="1"/>
    </row>
    <row r="169" spans="14:16">
      <c r="N169" s="1"/>
      <c r="O169" s="1"/>
      <c r="P169" s="1"/>
    </row>
    <row r="170" spans="14:16">
      <c r="N170" s="1"/>
      <c r="O170" s="1"/>
      <c r="P170" s="1"/>
    </row>
    <row r="171" spans="14:16">
      <c r="N171" s="1"/>
      <c r="O171" s="1"/>
      <c r="P171" s="1"/>
    </row>
    <row r="172" spans="14:16">
      <c r="N172" s="1"/>
      <c r="O172" s="1"/>
      <c r="P172" s="1"/>
    </row>
    <row r="173" spans="14:16">
      <c r="N173" s="1"/>
      <c r="O173" s="1"/>
      <c r="P173" s="1"/>
    </row>
    <row r="174" spans="14:16">
      <c r="N174" s="1"/>
      <c r="O174" s="1"/>
      <c r="P174" s="1"/>
    </row>
    <row r="175" spans="14:16">
      <c r="N175" s="1"/>
      <c r="O175" s="1"/>
      <c r="P175" s="1"/>
    </row>
    <row r="176" spans="14:16">
      <c r="N176" s="1"/>
      <c r="O176" s="1"/>
      <c r="P176" s="1"/>
    </row>
    <row r="177" spans="14:16">
      <c r="N177" s="1"/>
      <c r="O177" s="1"/>
      <c r="P177" s="1"/>
    </row>
    <row r="178" spans="14:16">
      <c r="N178" s="1"/>
      <c r="O178" s="1"/>
      <c r="P178" s="1"/>
    </row>
    <row r="179" spans="14:16">
      <c r="N179" s="1"/>
      <c r="O179" s="1"/>
      <c r="P179" s="1"/>
    </row>
    <row r="180" spans="14:16">
      <c r="N180" s="1"/>
      <c r="O180" s="1"/>
      <c r="P180" s="1"/>
    </row>
    <row r="181" spans="14:16">
      <c r="N181" s="1"/>
      <c r="O181" s="1"/>
      <c r="P181" s="1"/>
    </row>
    <row r="182" spans="14:16">
      <c r="N182" s="1"/>
      <c r="O182" s="1"/>
      <c r="P182" s="1"/>
    </row>
    <row r="183" spans="14:16">
      <c r="N183" s="1"/>
      <c r="O183" s="1"/>
      <c r="P183" s="1"/>
    </row>
    <row r="184" spans="14:16">
      <c r="N184" s="1"/>
      <c r="O184" s="1"/>
      <c r="P184" s="1"/>
    </row>
    <row r="185" spans="14:16">
      <c r="N185" s="1"/>
      <c r="O185" s="1"/>
      <c r="P185" s="1"/>
    </row>
    <row r="186" spans="14:16">
      <c r="N186" s="1"/>
      <c r="O186" s="1"/>
      <c r="P186" s="1"/>
    </row>
    <row r="187" spans="14:16">
      <c r="N187" s="1"/>
      <c r="O187" s="1"/>
      <c r="P187" s="1"/>
    </row>
    <row r="188" spans="14:16">
      <c r="N188" s="1"/>
      <c r="O188" s="1"/>
      <c r="P188" s="1"/>
    </row>
    <row r="189" spans="14:16">
      <c r="N189" s="1"/>
      <c r="O189" s="1"/>
      <c r="P189" s="1"/>
    </row>
    <row r="190" spans="14:16">
      <c r="N190" s="1"/>
      <c r="O190" s="1"/>
      <c r="P190" s="1"/>
    </row>
    <row r="191" spans="14:16">
      <c r="N191" s="1"/>
      <c r="O191" s="1"/>
      <c r="P191" s="1"/>
    </row>
    <row r="192" spans="14:16">
      <c r="N192" s="1"/>
      <c r="O192" s="1"/>
      <c r="P192" s="1"/>
    </row>
    <row r="193" spans="14:16">
      <c r="N193" s="1"/>
      <c r="O193" s="1"/>
      <c r="P193" s="1"/>
    </row>
    <row r="194" spans="14:16">
      <c r="N194" s="1"/>
      <c r="O194" s="1"/>
      <c r="P194" s="1"/>
    </row>
    <row r="195" spans="14:16">
      <c r="N195" s="1"/>
      <c r="O195" s="1"/>
      <c r="P195" s="1"/>
    </row>
    <row r="196" spans="14:16">
      <c r="N196" s="1"/>
      <c r="O196" s="1"/>
      <c r="P196" s="1"/>
    </row>
    <row r="197" spans="14:16">
      <c r="N197" s="1"/>
      <c r="O197" s="1"/>
      <c r="P197" s="1"/>
    </row>
    <row r="198" spans="14:16">
      <c r="N198" s="1"/>
      <c r="O198" s="1"/>
      <c r="P198" s="1"/>
    </row>
    <row r="199" spans="14:16">
      <c r="N199" s="1"/>
      <c r="O199" s="1"/>
      <c r="P199" s="1"/>
    </row>
    <row r="200" spans="14:16">
      <c r="N200" s="1"/>
      <c r="O200" s="1"/>
      <c r="P200" s="1"/>
    </row>
    <row r="201" spans="14:16">
      <c r="N201" s="1"/>
      <c r="O201" s="1"/>
      <c r="P201" s="1"/>
    </row>
    <row r="202" spans="14:16">
      <c r="N202" s="1"/>
      <c r="O202" s="1"/>
      <c r="P202" s="1"/>
    </row>
    <row r="203" spans="14:16">
      <c r="N203" s="1"/>
      <c r="O203" s="1"/>
      <c r="P203" s="1"/>
    </row>
    <row r="204" spans="14:16">
      <c r="N204" s="1"/>
      <c r="O204" s="1"/>
      <c r="P204" s="1"/>
    </row>
    <row r="205" spans="14:16">
      <c r="N205" s="1"/>
      <c r="O205" s="1"/>
      <c r="P205" s="1"/>
    </row>
    <row r="206" spans="14:16">
      <c r="N206" s="1"/>
      <c r="O206" s="1"/>
      <c r="P206" s="1"/>
    </row>
    <row r="207" spans="14:16">
      <c r="N207" s="1"/>
      <c r="O207" s="1"/>
      <c r="P207" s="1"/>
    </row>
    <row r="208" spans="14:16">
      <c r="N208" s="1"/>
      <c r="O208" s="1"/>
      <c r="P208" s="1"/>
    </row>
    <row r="209" spans="14:16">
      <c r="N209" s="1"/>
      <c r="O209" s="1"/>
      <c r="P209" s="1"/>
    </row>
    <row r="210" spans="14:16">
      <c r="N210" s="1"/>
      <c r="O210" s="1"/>
      <c r="P210" s="1"/>
    </row>
    <row r="211" spans="14:16">
      <c r="N211" s="1"/>
      <c r="O211" s="1"/>
      <c r="P211" s="1"/>
    </row>
    <row r="212" spans="14:16">
      <c r="N212" s="1"/>
      <c r="O212" s="1"/>
      <c r="P212" s="1"/>
    </row>
    <row r="213" spans="14:16">
      <c r="N213" s="1"/>
      <c r="O213" s="1"/>
      <c r="P213" s="1"/>
    </row>
    <row r="214" spans="14:16">
      <c r="N214" s="1"/>
      <c r="O214" s="1"/>
      <c r="P214" s="1"/>
    </row>
    <row r="215" spans="14:16">
      <c r="N215" s="1"/>
      <c r="O215" s="1"/>
      <c r="P215" s="1"/>
    </row>
    <row r="216" spans="14:16">
      <c r="N216" s="1"/>
      <c r="O216" s="1"/>
      <c r="P216" s="1"/>
    </row>
    <row r="217" spans="14:16">
      <c r="N217" s="1"/>
      <c r="O217" s="1"/>
      <c r="P217" s="1"/>
    </row>
    <row r="218" spans="14:16">
      <c r="N218" s="1"/>
      <c r="O218" s="1"/>
      <c r="P218" s="1"/>
    </row>
    <row r="219" spans="14:16">
      <c r="N219" s="1"/>
      <c r="O219" s="1"/>
      <c r="P219" s="1"/>
    </row>
    <row r="220" spans="14:16">
      <c r="N220" s="1"/>
      <c r="O220" s="1"/>
      <c r="P220" s="1"/>
    </row>
    <row r="221" spans="14:16">
      <c r="N221" s="1"/>
      <c r="O221" s="1"/>
      <c r="P221" s="1"/>
    </row>
    <row r="222" spans="14:16">
      <c r="N222" s="1"/>
      <c r="O222" s="1"/>
      <c r="P222" s="1"/>
    </row>
    <row r="223" spans="14:16">
      <c r="N223" s="1"/>
      <c r="O223" s="1"/>
      <c r="P223" s="1"/>
    </row>
    <row r="224" spans="14:16">
      <c r="N224" s="1"/>
      <c r="O224" s="1"/>
      <c r="P224" s="1"/>
    </row>
    <row r="225" spans="14:16">
      <c r="N225" s="1"/>
      <c r="O225" s="1"/>
      <c r="P225" s="1"/>
    </row>
    <row r="226" spans="14:16">
      <c r="N226" s="1"/>
      <c r="O226" s="1"/>
      <c r="P226" s="1"/>
    </row>
    <row r="227" spans="14:16">
      <c r="N227" s="1"/>
      <c r="O227" s="1"/>
      <c r="P227" s="1"/>
    </row>
    <row r="228" spans="14:16">
      <c r="N228" s="1"/>
      <c r="O228" s="1"/>
      <c r="P228" s="1"/>
    </row>
    <row r="229" spans="14:16">
      <c r="N229" s="1"/>
      <c r="O229" s="1"/>
      <c r="P229" s="1"/>
    </row>
    <row r="230" spans="14:16">
      <c r="N230" s="1"/>
      <c r="O230" s="1"/>
      <c r="P230" s="1"/>
    </row>
    <row r="231" spans="14:16">
      <c r="N231" s="1"/>
      <c r="O231" s="1"/>
      <c r="P231" s="1"/>
    </row>
    <row r="232" spans="14:16">
      <c r="N232" s="1"/>
      <c r="O232" s="1"/>
      <c r="P232" s="1"/>
    </row>
    <row r="233" spans="14:16">
      <c r="N233" s="1"/>
      <c r="O233" s="1"/>
      <c r="P233" s="1"/>
    </row>
    <row r="234" spans="14:16">
      <c r="N234" s="1"/>
      <c r="O234" s="1"/>
      <c r="P234" s="1"/>
    </row>
    <row r="235" spans="14:16">
      <c r="N235" s="1"/>
      <c r="O235" s="1"/>
      <c r="P235" s="1"/>
    </row>
    <row r="236" spans="14:16">
      <c r="N236" s="1"/>
      <c r="O236" s="1"/>
      <c r="P236" s="1"/>
    </row>
    <row r="237" spans="14:16">
      <c r="N237" s="1"/>
      <c r="O237" s="1"/>
      <c r="P237" s="1"/>
    </row>
    <row r="238" spans="14:16">
      <c r="N238" s="1"/>
      <c r="O238" s="1"/>
      <c r="P238" s="1"/>
    </row>
    <row r="239" spans="14:16">
      <c r="N239" s="1"/>
      <c r="O239" s="1"/>
      <c r="P239" s="1"/>
    </row>
    <row r="240" spans="14:16">
      <c r="N240" s="1"/>
      <c r="O240" s="1"/>
      <c r="P240" s="1"/>
    </row>
    <row r="241" spans="14:16">
      <c r="N241" s="1"/>
      <c r="O241" s="1"/>
      <c r="P241" s="1"/>
    </row>
    <row r="242" spans="14:16">
      <c r="N242" s="1"/>
      <c r="O242" s="1"/>
      <c r="P242" s="1"/>
    </row>
    <row r="243" spans="14:16">
      <c r="N243" s="1"/>
      <c r="O243" s="1"/>
      <c r="P243" s="1"/>
    </row>
    <row r="244" spans="14:16">
      <c r="N244" s="1"/>
      <c r="O244" s="1"/>
      <c r="P244" s="1"/>
    </row>
    <row r="245" spans="14:16">
      <c r="N245" s="1"/>
      <c r="O245" s="1"/>
      <c r="P245" s="1"/>
    </row>
    <row r="246" spans="14:16">
      <c r="N246" s="1"/>
      <c r="O246" s="1"/>
      <c r="P246" s="1"/>
    </row>
    <row r="247" spans="14:16">
      <c r="N247" s="1"/>
      <c r="O247" s="1"/>
      <c r="P247" s="1"/>
    </row>
    <row r="248" spans="14:16">
      <c r="N248" s="1"/>
      <c r="O248" s="1"/>
      <c r="P248" s="1"/>
    </row>
    <row r="249" spans="14:16">
      <c r="N249" s="1"/>
      <c r="O249" s="1"/>
      <c r="P249" s="1"/>
    </row>
    <row r="250" spans="14:16">
      <c r="N250" s="1"/>
      <c r="O250" s="1"/>
      <c r="P250" s="1"/>
    </row>
    <row r="251" spans="14:16">
      <c r="N251" s="1"/>
      <c r="O251" s="1"/>
      <c r="P251" s="1"/>
    </row>
    <row r="252" spans="14:16">
      <c r="N252" s="1"/>
      <c r="O252" s="1"/>
      <c r="P252" s="1"/>
    </row>
    <row r="253" spans="14:16">
      <c r="N253" s="1"/>
      <c r="O253" s="1"/>
      <c r="P253" s="1"/>
    </row>
    <row r="254" spans="14:16">
      <c r="N254" s="1"/>
      <c r="O254" s="1"/>
      <c r="P254" s="1"/>
    </row>
    <row r="255" spans="14:16">
      <c r="N255" s="1"/>
      <c r="O255" s="1"/>
      <c r="P255" s="1"/>
    </row>
    <row r="256" spans="14:16">
      <c r="N256" s="1"/>
      <c r="O256" s="1"/>
      <c r="P256" s="1"/>
    </row>
    <row r="257" spans="14:16">
      <c r="N257" s="1"/>
      <c r="O257" s="1"/>
      <c r="P257" s="1"/>
    </row>
    <row r="258" spans="14:16">
      <c r="N258" s="1"/>
      <c r="O258" s="1"/>
      <c r="P258" s="1"/>
    </row>
    <row r="259" spans="14:16">
      <c r="N259" s="1"/>
      <c r="O259" s="1"/>
      <c r="P259" s="1"/>
    </row>
    <row r="260" spans="14:16">
      <c r="N260" s="1"/>
      <c r="O260" s="1"/>
      <c r="P260" s="1"/>
    </row>
    <row r="261" spans="14:16">
      <c r="N261" s="1"/>
      <c r="O261" s="1"/>
      <c r="P261" s="1"/>
    </row>
    <row r="262" spans="14:16">
      <c r="N262" s="1"/>
      <c r="O262" s="1"/>
      <c r="P262" s="1"/>
    </row>
    <row r="263" spans="14:16">
      <c r="N263" s="1"/>
      <c r="O263" s="1"/>
      <c r="P263" s="1"/>
    </row>
    <row r="264" spans="14:16">
      <c r="N264" s="1"/>
      <c r="O264" s="1"/>
      <c r="P264" s="1"/>
    </row>
    <row r="265" spans="14:16">
      <c r="N265" s="1"/>
      <c r="O265" s="1"/>
      <c r="P265" s="1"/>
    </row>
    <row r="266" spans="14:16">
      <c r="N266" s="1"/>
      <c r="O266" s="1"/>
      <c r="P266" s="1"/>
    </row>
    <row r="267" spans="14:16">
      <c r="N267" s="1"/>
      <c r="O267" s="1"/>
      <c r="P267" s="1"/>
    </row>
    <row r="268" spans="14:16">
      <c r="N268" s="1"/>
      <c r="O268" s="1"/>
      <c r="P268" s="1"/>
    </row>
    <row r="269" spans="14:16">
      <c r="N269" s="1"/>
      <c r="O269" s="1"/>
      <c r="P269" s="1"/>
    </row>
    <row r="270" spans="14:16">
      <c r="N270" s="1"/>
      <c r="O270" s="1"/>
      <c r="P270" s="1"/>
    </row>
    <row r="271" spans="14:16">
      <c r="N271" s="1"/>
      <c r="O271" s="1"/>
      <c r="P271" s="1"/>
    </row>
    <row r="272" spans="14:16">
      <c r="N272" s="1"/>
      <c r="O272" s="1"/>
      <c r="P272" s="1"/>
    </row>
    <row r="273" spans="14:16">
      <c r="N273" s="1"/>
      <c r="O273" s="1"/>
      <c r="P273" s="1"/>
    </row>
    <row r="274" spans="14:16">
      <c r="N274" s="1"/>
      <c r="O274" s="1"/>
      <c r="P274" s="1"/>
    </row>
    <row r="275" spans="14:16">
      <c r="N275" s="1"/>
      <c r="O275" s="1"/>
      <c r="P275" s="1"/>
    </row>
    <row r="276" spans="14:16">
      <c r="N276" s="1"/>
      <c r="O276" s="1"/>
      <c r="P276" s="1"/>
    </row>
    <row r="277" spans="14:16">
      <c r="N277" s="1"/>
      <c r="O277" s="1"/>
      <c r="P277" s="1"/>
    </row>
    <row r="278" spans="14:16">
      <c r="N278" s="1"/>
      <c r="O278" s="1"/>
      <c r="P278" s="1"/>
    </row>
    <row r="279" spans="14:16">
      <c r="N279" s="1"/>
      <c r="O279" s="1"/>
      <c r="P279" s="1"/>
    </row>
    <row r="280" spans="14:16">
      <c r="N280" s="1"/>
      <c r="O280" s="1"/>
      <c r="P280" s="1"/>
    </row>
    <row r="281" spans="14:16">
      <c r="N281" s="1"/>
      <c r="O281" s="1"/>
      <c r="P281" s="1"/>
    </row>
    <row r="282" spans="14:16">
      <c r="N282" s="1"/>
      <c r="O282" s="1"/>
      <c r="P282" s="1"/>
    </row>
    <row r="283" spans="14:16">
      <c r="N283" s="1"/>
      <c r="O283" s="1"/>
      <c r="P283" s="1"/>
    </row>
    <row r="284" spans="14:16">
      <c r="N284" s="1"/>
      <c r="O284" s="1"/>
      <c r="P284" s="1"/>
    </row>
    <row r="285" spans="14:16">
      <c r="N285" s="1"/>
      <c r="O285" s="1"/>
      <c r="P285" s="1"/>
    </row>
    <row r="286" spans="14:16">
      <c r="N286" s="1"/>
      <c r="O286" s="1"/>
      <c r="P286" s="1"/>
    </row>
    <row r="287" spans="14:16">
      <c r="N287" s="1"/>
      <c r="O287" s="1"/>
      <c r="P287" s="1"/>
    </row>
    <row r="288" spans="14:16">
      <c r="N288" s="1"/>
      <c r="O288" s="1"/>
      <c r="P288" s="1"/>
    </row>
    <row r="289" spans="14:16">
      <c r="N289" s="1"/>
      <c r="O289" s="1"/>
      <c r="P289" s="1"/>
    </row>
    <row r="290" spans="14:16">
      <c r="N290" s="1"/>
      <c r="O290" s="1"/>
      <c r="P290" s="1"/>
    </row>
    <row r="291" spans="14:16">
      <c r="N291" s="1"/>
      <c r="O291" s="1"/>
      <c r="P291" s="1"/>
    </row>
    <row r="292" spans="14:16">
      <c r="N292" s="1"/>
      <c r="O292" s="1"/>
      <c r="P292" s="1"/>
    </row>
    <row r="293" spans="14:16">
      <c r="N293" s="1"/>
      <c r="O293" s="1"/>
      <c r="P293" s="1"/>
    </row>
    <row r="294" spans="14:16">
      <c r="N294" s="1"/>
      <c r="O294" s="1"/>
      <c r="P294" s="1"/>
    </row>
    <row r="295" spans="14:16">
      <c r="N295" s="1"/>
      <c r="O295" s="1"/>
      <c r="P295" s="1"/>
    </row>
    <row r="296" spans="14:16">
      <c r="N296" s="1"/>
      <c r="O296" s="1"/>
      <c r="P296" s="1"/>
    </row>
    <row r="297" spans="14:16">
      <c r="N297" s="1"/>
      <c r="O297" s="1"/>
      <c r="P297" s="1"/>
    </row>
    <row r="298" spans="14:16">
      <c r="N298" s="1"/>
      <c r="O298" s="1"/>
      <c r="P298" s="1"/>
    </row>
    <row r="299" spans="14:16">
      <c r="N299" s="1"/>
      <c r="O299" s="1"/>
      <c r="P299" s="1"/>
    </row>
    <row r="300" spans="14:16">
      <c r="N300" s="1"/>
      <c r="O300" s="1"/>
      <c r="P300" s="1"/>
    </row>
    <row r="301" spans="14:16">
      <c r="N301" s="1"/>
      <c r="O301" s="1"/>
      <c r="P301" s="1"/>
    </row>
    <row r="302" spans="14:16">
      <c r="N302" s="1"/>
      <c r="O302" s="1"/>
      <c r="P302" s="1"/>
    </row>
    <row r="303" spans="14:16">
      <c r="N303" s="1"/>
      <c r="O303" s="1"/>
      <c r="P303" s="1"/>
    </row>
    <row r="304" spans="14:16">
      <c r="N304" s="1"/>
      <c r="O304" s="1"/>
      <c r="P304" s="1"/>
    </row>
    <row r="305" spans="14:16">
      <c r="N305" s="1"/>
      <c r="O305" s="1"/>
      <c r="P305" s="1"/>
    </row>
  </sheetData>
  <sheetProtection algorithmName="SHA-512" hashValue="xray6VY4zZ+WxlepPMSTnM2DKhtIF5bDx63RhvW3gu3S0SeI/hwjqyFFeN1Xrka2SmF9eVdbGXMbNvJa3EJEZg==" saltValue="yecEZ5tHIjr3KHARCpoQBw==" spinCount="100000" sheet="1" selectLockedCells="1"/>
  <protectedRanges>
    <protectedRange sqref="E26 E20:E24" name="Bereik2"/>
  </protectedRanges>
  <customSheetViews>
    <customSheetView guid="{086F4F81-5F9A-4D79-ABED-02168858C282}" showPageBreaks="1" showGridLines="0" printArea="1" hiddenColumns="1">
      <selection activeCell="E22" sqref="E22"/>
      <pageMargins left="0" right="0" top="0" bottom="0" header="0" footer="0"/>
      <pageSetup paperSize="9" orientation="landscape" horizontalDpi="300" verticalDpi="300" r:id="rId1"/>
      <headerFooter alignWithMargins="0">
        <oddFooter>&amp;L____________________________________________
&amp;"Gill Sans MT,Standaard"&amp;9door het ondertekenen van de uniforme verklaring geeft u aan  dat dit document onderdeel is van de inschrijving</oddFooter>
      </headerFooter>
    </customSheetView>
  </customSheetViews>
  <mergeCells count="14">
    <mergeCell ref="L27:M27"/>
    <mergeCell ref="B6:E6"/>
    <mergeCell ref="M2:M7"/>
    <mergeCell ref="N2:N7"/>
    <mergeCell ref="O2:O7"/>
    <mergeCell ref="P2:P7"/>
    <mergeCell ref="Q2:Q7"/>
    <mergeCell ref="R2:R7"/>
    <mergeCell ref="G2:G7"/>
    <mergeCell ref="H2:H7"/>
    <mergeCell ref="I2:I7"/>
    <mergeCell ref="J2:J7"/>
    <mergeCell ref="K2:K7"/>
    <mergeCell ref="L2:L7"/>
  </mergeCells>
  <dataValidations count="4">
    <dataValidation type="decimal" allowBlank="1" showInputMessage="1" showErrorMessage="1" sqref="E26 E20:E24" xr:uid="{00000000-0002-0000-0500-000000000000}">
      <formula1>0</formula1>
      <formula2>1</formula2>
    </dataValidation>
    <dataValidation type="decimal" allowBlank="1" showInputMessage="1" showErrorMessage="1" sqref="E15:E18" xr:uid="{00000000-0002-0000-0500-000001000000}">
      <formula1>0</formula1>
      <formula2>10000</formula2>
    </dataValidation>
    <dataValidation type="list" allowBlank="1" showInputMessage="1" showErrorMessage="1" sqref="G10 I10:K10 G13:J13 G15:K18 K12:K13 H12:J12" xr:uid="{00000000-0002-0000-0500-000002000000}">
      <formula1>$S$1:$S$2</formula1>
    </dataValidation>
    <dataValidation type="decimal" allowBlank="1" showInputMessage="1" showErrorMessage="1" sqref="E11" xr:uid="{00000000-0002-0000-0500-000003000000}">
      <formula1>0</formula1>
      <formula2>100</formula2>
    </dataValidation>
  </dataValidations>
  <pageMargins left="0.74803149606299213" right="0.55118110236220474" top="0.59055118110236227" bottom="0.98425196850393704" header="0.51181102362204722" footer="0.51181102362204722"/>
  <pageSetup paperSize="9" scale="63" orientation="portrait" horizontalDpi="300" verticalDpi="300" r:id="rId2"/>
  <headerFooter alignWithMargins="0"/>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filterMode="1">
    <pageSetUpPr fitToPage="1"/>
  </sheetPr>
  <dimension ref="A1:AG316"/>
  <sheetViews>
    <sheetView showGridLines="0" topLeftCell="B13" zoomScaleNormal="100" zoomScaleSheetLayoutView="100" workbookViewId="0">
      <selection activeCell="I16" sqref="I16"/>
    </sheetView>
  </sheetViews>
  <sheetFormatPr defaultColWidth="13.7109375" defaultRowHeight="15"/>
  <cols>
    <col min="1" max="1" width="3.7109375" style="2" hidden="1" customWidth="1"/>
    <col min="2" max="2" width="7.7109375" style="195" customWidth="1"/>
    <col min="3" max="3" width="16.5703125" style="195" customWidth="1"/>
    <col min="4" max="4" width="19" style="195" customWidth="1"/>
    <col min="5" max="5" width="19.7109375" style="195" customWidth="1"/>
    <col min="6" max="6" width="22.7109375" style="195" customWidth="1"/>
    <col min="7" max="7" width="13.140625" style="195" customWidth="1"/>
    <col min="8" max="8" width="13.7109375" style="2" customWidth="1"/>
    <col min="9" max="9" width="5.85546875" style="3" customWidth="1"/>
    <col min="10" max="10" width="3.42578125" style="2" customWidth="1"/>
    <col min="11" max="11" width="12.140625" style="3" customWidth="1"/>
    <col min="12" max="12" width="3.140625" style="3" customWidth="1"/>
    <col min="13" max="13" width="6.5703125" style="3" hidden="1" customWidth="1"/>
    <col min="14" max="14" width="21.7109375" style="2" hidden="1" customWidth="1"/>
    <col min="15" max="15" width="5.42578125" style="2" hidden="1" customWidth="1"/>
    <col min="16" max="16" width="5" style="2" hidden="1" customWidth="1"/>
    <col min="17" max="17" width="5.140625" style="2" hidden="1" customWidth="1"/>
    <col min="18" max="18" width="5.28515625" style="2" hidden="1" customWidth="1"/>
    <col min="19" max="19" width="9.140625" style="2" hidden="1" customWidth="1"/>
    <col min="20" max="20" width="11" style="2" hidden="1" customWidth="1"/>
    <col min="21" max="27" width="13.85546875" style="2" customWidth="1"/>
    <col min="28" max="16384" width="13.7109375" style="2"/>
  </cols>
  <sheetData>
    <row r="1" spans="1:33">
      <c r="Z1" s="221"/>
    </row>
    <row r="2" spans="1:33" ht="21.75">
      <c r="B2" s="136"/>
      <c r="C2" s="197" t="s">
        <v>221</v>
      </c>
      <c r="M2" s="22"/>
      <c r="N2" s="25"/>
      <c r="O2" s="23"/>
      <c r="P2" s="23"/>
      <c r="Q2" s="23"/>
      <c r="T2" s="2" t="s">
        <v>222</v>
      </c>
    </row>
    <row r="3" spans="1:33" ht="15" customHeight="1">
      <c r="B3" s="136"/>
      <c r="C3" s="2" t="str">
        <f>basis!B6</f>
        <v>Behorende bij selectieleidraad nieuwbouw IKC Tuindorp</v>
      </c>
      <c r="H3" s="192" t="s">
        <v>169</v>
      </c>
      <c r="I3" s="139"/>
      <c r="T3" s="2" t="s">
        <v>188</v>
      </c>
      <c r="U3" s="32"/>
      <c r="V3" s="33"/>
      <c r="W3" s="34"/>
      <c r="X3" s="34"/>
      <c r="Y3" s="34"/>
    </row>
    <row r="4" spans="1:33">
      <c r="B4" s="137" t="s">
        <v>90</v>
      </c>
      <c r="C4" s="198">
        <f>basis!B7</f>
        <v>45537</v>
      </c>
      <c r="D4" s="199"/>
      <c r="E4" s="199"/>
      <c r="F4" s="199"/>
      <c r="N4" s="27"/>
      <c r="T4" s="2" t="s">
        <v>16</v>
      </c>
      <c r="U4" s="32"/>
      <c r="V4" s="33"/>
      <c r="W4" s="34"/>
      <c r="X4" s="34"/>
      <c r="Y4" s="34"/>
    </row>
    <row r="5" spans="1:33">
      <c r="B5" s="137" t="s">
        <v>170</v>
      </c>
      <c r="C5" s="2" t="str">
        <f>basis!B3</f>
        <v>2024.TUIN.01</v>
      </c>
      <c r="D5" s="199" t="str">
        <f>basis!B5</f>
        <v>Nieuwbouw +Renovatie IKC Tuindorp</v>
      </c>
      <c r="E5" s="199"/>
      <c r="F5" s="199"/>
      <c r="G5" s="199"/>
      <c r="N5" s="27"/>
      <c r="T5" s="2" t="s">
        <v>20</v>
      </c>
      <c r="U5" s="32"/>
      <c r="V5" s="33"/>
      <c r="W5" s="34"/>
      <c r="X5" s="34"/>
      <c r="Y5" s="34"/>
    </row>
    <row r="6" spans="1:33">
      <c r="B6" s="137" t="s">
        <v>223</v>
      </c>
      <c r="C6" s="264">
        <f>'A1'!E14</f>
        <v>0</v>
      </c>
      <c r="D6" s="264"/>
      <c r="E6" s="264"/>
      <c r="N6" s="27"/>
      <c r="U6" s="32"/>
      <c r="V6" s="33"/>
      <c r="W6" s="34"/>
      <c r="X6" s="34"/>
      <c r="Y6" s="34"/>
    </row>
    <row r="7" spans="1:33" ht="7.5" customHeight="1">
      <c r="B7" s="136"/>
      <c r="N7" s="27"/>
      <c r="U7" s="32"/>
      <c r="V7" s="33"/>
      <c r="W7" s="34"/>
      <c r="X7" s="34"/>
      <c r="Y7" s="34"/>
    </row>
    <row r="8" spans="1:33" ht="3" customHeight="1">
      <c r="B8" s="200"/>
      <c r="C8" s="201"/>
      <c r="D8" s="201"/>
      <c r="E8" s="201"/>
      <c r="F8" s="201"/>
      <c r="G8" s="201"/>
      <c r="H8" s="144"/>
      <c r="I8" s="143"/>
      <c r="K8" s="143"/>
      <c r="L8" s="143"/>
      <c r="N8" s="26"/>
      <c r="U8" s="32"/>
      <c r="V8" s="33"/>
      <c r="W8" s="34"/>
      <c r="X8" s="34"/>
      <c r="Y8" s="34"/>
      <c r="AG8" s="2" t="s">
        <v>224</v>
      </c>
    </row>
    <row r="9" spans="1:33" ht="15.75">
      <c r="A9" s="2" t="s">
        <v>225</v>
      </c>
      <c r="B9" s="202" t="s">
        <v>173</v>
      </c>
      <c r="C9" s="146" t="s">
        <v>226</v>
      </c>
      <c r="D9" s="203"/>
      <c r="E9" s="203"/>
      <c r="F9" s="203"/>
      <c r="G9" s="203"/>
      <c r="H9" s="204"/>
      <c r="I9" s="205"/>
      <c r="J9" s="10"/>
      <c r="K9" s="147" t="s">
        <v>227</v>
      </c>
      <c r="L9" s="205"/>
      <c r="M9" s="35"/>
      <c r="N9" s="25"/>
      <c r="O9" s="23"/>
      <c r="P9" s="23"/>
      <c r="Q9" s="23"/>
      <c r="R9" s="15"/>
      <c r="U9" s="14"/>
      <c r="V9" s="14"/>
      <c r="W9" s="14"/>
      <c r="X9" s="14"/>
      <c r="Y9" s="14"/>
    </row>
    <row r="10" spans="1:33" ht="17.25">
      <c r="A10" s="2" t="s">
        <v>225</v>
      </c>
      <c r="B10" s="11" t="s">
        <v>228</v>
      </c>
      <c r="C10" s="10" t="s">
        <v>229</v>
      </c>
      <c r="D10" s="151"/>
      <c r="E10" s="151"/>
      <c r="F10" s="151"/>
      <c r="G10" s="151"/>
      <c r="I10" s="54" t="s">
        <v>188</v>
      </c>
      <c r="J10" s="206"/>
      <c r="K10" s="207" t="str">
        <f>IF(I10&lt;&gt;"ja","uitsluiting",10)</f>
        <v>uitsluiting</v>
      </c>
      <c r="L10" s="208" t="str">
        <f>IF(I10&lt;&gt;"ja","!","")</f>
        <v>!</v>
      </c>
      <c r="M10" s="36">
        <f>IF(L10="!",1,0)</f>
        <v>1</v>
      </c>
      <c r="R10" s="7"/>
      <c r="S10" s="7"/>
      <c r="T10" s="7"/>
      <c r="U10" s="2" t="s">
        <v>230</v>
      </c>
      <c r="V10" s="14"/>
      <c r="W10" s="14"/>
      <c r="X10" s="14"/>
      <c r="Y10" s="14"/>
    </row>
    <row r="11" spans="1:33" ht="17.25">
      <c r="A11" s="2" t="s">
        <v>225</v>
      </c>
      <c r="B11" s="11" t="s">
        <v>231</v>
      </c>
      <c r="C11" s="10" t="s">
        <v>232</v>
      </c>
      <c r="D11" s="10"/>
      <c r="E11" s="10"/>
      <c r="F11" s="10"/>
      <c r="G11" s="10"/>
      <c r="I11" s="53" t="s">
        <v>188</v>
      </c>
      <c r="J11" s="206"/>
      <c r="K11" s="24" t="str">
        <f>IF(I11&lt;&gt;"ja","uitsluiting",10)</f>
        <v>uitsluiting</v>
      </c>
      <c r="L11" s="37" t="str">
        <f>IF(I11&lt;&gt;"ja","!","")</f>
        <v>!</v>
      </c>
      <c r="M11" s="36">
        <f t="shared" ref="M11:M28" si="0">IF(L11="!",1,0)</f>
        <v>1</v>
      </c>
      <c r="N11" s="27"/>
      <c r="R11" s="29"/>
      <c r="S11" s="9"/>
      <c r="T11" s="9"/>
      <c r="U11" s="2" t="s">
        <v>230</v>
      </c>
      <c r="V11" s="14"/>
      <c r="W11" s="14"/>
      <c r="X11" s="14"/>
      <c r="Y11" s="14"/>
    </row>
    <row r="12" spans="1:33" ht="17.25">
      <c r="A12" s="2" t="s">
        <v>225</v>
      </c>
      <c r="B12" s="11" t="s">
        <v>233</v>
      </c>
      <c r="C12" s="10" t="s">
        <v>234</v>
      </c>
      <c r="D12" s="10"/>
      <c r="E12" s="10"/>
      <c r="F12" s="10"/>
      <c r="G12" s="10"/>
      <c r="I12" s="53" t="s">
        <v>188</v>
      </c>
      <c r="J12" s="206"/>
      <c r="K12" s="24" t="str">
        <f>IF(I12&lt;&gt;"ja","uitsluiting",10)</f>
        <v>uitsluiting</v>
      </c>
      <c r="L12" s="37" t="str">
        <f t="shared" ref="L12:L14" si="1">IF(I12&lt;&gt;"ja","!","")</f>
        <v>!</v>
      </c>
      <c r="M12" s="36">
        <f t="shared" si="0"/>
        <v>1</v>
      </c>
      <c r="N12" s="27"/>
      <c r="R12" s="29"/>
      <c r="S12" s="9"/>
      <c r="T12" s="9"/>
      <c r="U12" s="2" t="s">
        <v>230</v>
      </c>
      <c r="V12" s="14"/>
      <c r="W12" s="14"/>
      <c r="X12" s="14"/>
      <c r="Y12" s="14"/>
    </row>
    <row r="13" spans="1:33" ht="17.25">
      <c r="A13" s="2" t="s">
        <v>225</v>
      </c>
      <c r="B13" s="11" t="s">
        <v>235</v>
      </c>
      <c r="C13" s="10" t="s">
        <v>236</v>
      </c>
      <c r="D13" s="10"/>
      <c r="E13" s="10"/>
      <c r="F13" s="10"/>
      <c r="G13" s="10"/>
      <c r="I13" s="53" t="s">
        <v>188</v>
      </c>
      <c r="J13" s="206"/>
      <c r="K13" s="24" t="str">
        <f t="shared" ref="K13:K30" si="2">IF(I13&lt;&gt;"ja","uitsluiting",10)</f>
        <v>uitsluiting</v>
      </c>
      <c r="L13" s="37" t="str">
        <f t="shared" si="1"/>
        <v>!</v>
      </c>
      <c r="M13" s="36">
        <f t="shared" si="0"/>
        <v>1</v>
      </c>
      <c r="N13" s="27"/>
      <c r="R13" s="29"/>
      <c r="S13" s="9"/>
      <c r="T13" s="9"/>
      <c r="U13" s="2" t="s">
        <v>230</v>
      </c>
      <c r="V13" s="14"/>
      <c r="W13" s="14"/>
      <c r="X13" s="14"/>
      <c r="Y13" s="14"/>
    </row>
    <row r="14" spans="1:33" ht="17.25">
      <c r="A14" s="2" t="s">
        <v>225</v>
      </c>
      <c r="B14" s="11" t="s">
        <v>2</v>
      </c>
      <c r="C14" s="10" t="s">
        <v>237</v>
      </c>
      <c r="D14" s="2"/>
      <c r="E14" s="2"/>
      <c r="F14" s="2"/>
      <c r="G14" s="2"/>
      <c r="I14" s="53" t="s">
        <v>188</v>
      </c>
      <c r="J14" s="206"/>
      <c r="K14" s="24" t="str">
        <f t="shared" si="2"/>
        <v>uitsluiting</v>
      </c>
      <c r="L14" s="37" t="str">
        <f t="shared" si="1"/>
        <v>!</v>
      </c>
      <c r="M14" s="36"/>
      <c r="N14" s="27"/>
      <c r="R14" s="29"/>
      <c r="S14" s="9"/>
      <c r="T14" s="9"/>
      <c r="U14" s="2" t="s">
        <v>230</v>
      </c>
      <c r="V14" s="14"/>
      <c r="W14" s="14"/>
      <c r="X14" s="14"/>
      <c r="Y14" s="14"/>
    </row>
    <row r="15" spans="1:33" ht="17.25">
      <c r="A15" s="2" t="s">
        <v>225</v>
      </c>
      <c r="B15" s="11" t="s">
        <v>238</v>
      </c>
      <c r="C15" s="10" t="s">
        <v>273</v>
      </c>
      <c r="D15" s="10"/>
      <c r="E15" s="10"/>
      <c r="F15" s="10"/>
      <c r="G15" s="10"/>
      <c r="I15" s="53" t="s">
        <v>188</v>
      </c>
      <c r="J15" s="206"/>
      <c r="K15" s="24" t="str">
        <f t="shared" si="2"/>
        <v>uitsluiting</v>
      </c>
      <c r="L15" s="37" t="str">
        <f>IF(K15="uitsluiting","!","")</f>
        <v>!</v>
      </c>
      <c r="M15" s="36">
        <f t="shared" si="0"/>
        <v>1</v>
      </c>
      <c r="N15" s="6"/>
      <c r="O15" s="7"/>
      <c r="P15" s="7"/>
      <c r="Q15" s="7"/>
      <c r="R15" s="7"/>
      <c r="S15" s="7"/>
      <c r="T15" s="7"/>
      <c r="U15" s="2" t="s">
        <v>230</v>
      </c>
      <c r="V15" s="14"/>
      <c r="W15" s="14"/>
      <c r="X15" s="14"/>
      <c r="Y15" s="14"/>
    </row>
    <row r="16" spans="1:33" ht="17.25">
      <c r="A16" s="2" t="s">
        <v>225</v>
      </c>
      <c r="B16" s="11"/>
      <c r="C16" s="10" t="str">
        <f>IF('A1'!M9=1,"Heeft de in te zetten derde aanmeldingsformulier A2 volledig ingevuld en ondertekend?"," ")</f>
        <v xml:space="preserve"> </v>
      </c>
      <c r="D16" s="10"/>
      <c r="E16" s="10"/>
      <c r="F16" s="10"/>
      <c r="G16" s="10"/>
      <c r="I16" s="53" t="s">
        <v>188</v>
      </c>
      <c r="J16" s="16"/>
      <c r="K16" s="24" t="str">
        <f>IF(AND('A1'!M9=1,I16="nee"),"uitsluiting","")</f>
        <v/>
      </c>
      <c r="L16" s="37" t="str">
        <f>IF(K16="uitsluiting","!","")</f>
        <v/>
      </c>
      <c r="M16" s="36">
        <f t="shared" si="0"/>
        <v>0</v>
      </c>
      <c r="R16" s="29"/>
      <c r="S16" s="9"/>
      <c r="T16" s="9"/>
      <c r="U16" s="10" t="str">
        <f>IF('A1'!M9=1,"nee=uitsluiting / ja= 0 punten"," ")</f>
        <v xml:space="preserve"> </v>
      </c>
      <c r="V16" s="14"/>
      <c r="W16" s="14"/>
      <c r="X16" s="14"/>
      <c r="Y16" s="14"/>
    </row>
    <row r="17" spans="1:25" ht="8.25" customHeight="1">
      <c r="A17" s="2" t="s">
        <v>225</v>
      </c>
      <c r="B17" s="11"/>
      <c r="I17" s="28"/>
      <c r="J17" s="16"/>
      <c r="K17" s="24"/>
      <c r="L17" s="37" t="str">
        <f>IF(K17="uitsluiting","!","")</f>
        <v/>
      </c>
      <c r="M17" s="36">
        <f t="shared" si="0"/>
        <v>0</v>
      </c>
      <c r="N17" s="27"/>
      <c r="R17" s="29"/>
      <c r="S17" s="9"/>
      <c r="T17" s="9"/>
      <c r="V17" s="14"/>
      <c r="W17" s="14"/>
      <c r="X17" s="14"/>
      <c r="Y17" s="14"/>
    </row>
    <row r="18" spans="1:25" ht="21" customHeight="1">
      <c r="A18" s="2" t="s">
        <v>225</v>
      </c>
      <c r="B18" s="11" t="s">
        <v>239</v>
      </c>
      <c r="C18" s="209"/>
      <c r="D18" s="210" t="s">
        <v>240</v>
      </c>
      <c r="E18" s="210" t="s">
        <v>132</v>
      </c>
      <c r="F18" s="210" t="s">
        <v>241</v>
      </c>
      <c r="G18" s="211" t="s">
        <v>242</v>
      </c>
      <c r="H18" s="212" t="s">
        <v>243</v>
      </c>
      <c r="I18" s="28"/>
      <c r="J18" s="16"/>
      <c r="K18" s="24"/>
      <c r="L18" s="37"/>
      <c r="M18" s="36"/>
      <c r="N18" s="27"/>
      <c r="R18" s="29"/>
      <c r="S18" s="9"/>
      <c r="T18" s="9"/>
      <c r="V18" s="14"/>
      <c r="W18" s="14"/>
      <c r="X18" s="14"/>
      <c r="Y18" s="14"/>
    </row>
    <row r="19" spans="1:25" ht="17.25">
      <c r="A19" s="2" t="s">
        <v>225</v>
      </c>
      <c r="B19" s="11" t="s">
        <v>244</v>
      </c>
      <c r="C19" s="213" t="s">
        <v>245</v>
      </c>
      <c r="D19" s="214" t="str">
        <f>'A4-a'!C$9</f>
        <v>maak uw keus</v>
      </c>
      <c r="E19" s="214" t="str">
        <f>'A4-a'!C$21</f>
        <v>maak keus</v>
      </c>
      <c r="F19" s="214" t="str">
        <f>'A4-a'!C$23</f>
        <v>maak keus</v>
      </c>
      <c r="G19" s="215" t="str">
        <f>'A4-a'!C$13</f>
        <v>maak uw keus</v>
      </c>
      <c r="H19" s="214">
        <f>'A4-a'!J$33</f>
        <v>0</v>
      </c>
      <c r="I19" s="28"/>
      <c r="J19" s="16"/>
      <c r="K19" s="24">
        <f>'A4-a'!J36</f>
        <v>0</v>
      </c>
      <c r="L19" s="37"/>
      <c r="M19" s="36">
        <f t="shared" si="0"/>
        <v>0</v>
      </c>
      <c r="N19" s="27"/>
      <c r="R19" s="29"/>
      <c r="S19" s="9"/>
      <c r="T19" s="9"/>
      <c r="U19" s="2" t="s">
        <v>246</v>
      </c>
      <c r="V19" s="14"/>
      <c r="W19" s="14"/>
      <c r="X19" s="14"/>
      <c r="Y19" s="14"/>
    </row>
    <row r="20" spans="1:25" ht="17.25">
      <c r="A20" s="2" t="s">
        <v>225</v>
      </c>
      <c r="B20" s="11" t="s">
        <v>247</v>
      </c>
      <c r="C20" s="213" t="s">
        <v>248</v>
      </c>
      <c r="D20" s="214" t="str">
        <f>'A4-b'!C$9</f>
        <v>maak uw keus</v>
      </c>
      <c r="E20" s="214" t="str">
        <f>'A4-b'!C$21</f>
        <v>maak keus</v>
      </c>
      <c r="F20" s="214" t="str">
        <f>'A4-b'!C$23</f>
        <v>maak keus</v>
      </c>
      <c r="G20" s="215" t="str">
        <f>'A4-b'!C$13</f>
        <v>maak uw keus</v>
      </c>
      <c r="H20" s="214">
        <f>'A4-b'!J$33</f>
        <v>0</v>
      </c>
      <c r="I20" s="28"/>
      <c r="J20" s="16"/>
      <c r="K20" s="24">
        <f>'A4-b'!J38</f>
        <v>0</v>
      </c>
      <c r="L20" s="37"/>
      <c r="M20" s="36">
        <f t="shared" si="0"/>
        <v>0</v>
      </c>
      <c r="R20" s="29"/>
      <c r="S20" s="9"/>
      <c r="T20" s="9"/>
      <c r="U20" s="2" t="s">
        <v>249</v>
      </c>
      <c r="V20" s="14"/>
      <c r="W20" s="14"/>
      <c r="X20" s="14"/>
      <c r="Y20" s="14"/>
    </row>
    <row r="21" spans="1:25" ht="17.25">
      <c r="A21" s="2" t="s">
        <v>225</v>
      </c>
      <c r="B21" s="11" t="s">
        <v>250</v>
      </c>
      <c r="C21" s="213" t="s">
        <v>251</v>
      </c>
      <c r="D21" s="214" t="str">
        <f>'A4-c'!C$9</f>
        <v>maak uw keus</v>
      </c>
      <c r="E21" s="214" t="str">
        <f>'A4-c'!C$21</f>
        <v>maak keus</v>
      </c>
      <c r="F21" s="214" t="str">
        <f>'A4-c'!C$23</f>
        <v>maak keus</v>
      </c>
      <c r="G21" s="215" t="str">
        <f>'A4-c'!C$13</f>
        <v>maak uw keus</v>
      </c>
      <c r="H21" s="214">
        <f>'A4-c'!J$33</f>
        <v>0</v>
      </c>
      <c r="I21" s="28"/>
      <c r="J21" s="16"/>
      <c r="K21" s="24">
        <f>'A4-c'!J36</f>
        <v>0</v>
      </c>
      <c r="L21" s="37"/>
      <c r="M21" s="36">
        <f t="shared" si="0"/>
        <v>0</v>
      </c>
      <c r="R21" s="29"/>
      <c r="S21" s="9"/>
      <c r="T21" s="9"/>
      <c r="U21" s="2" t="s">
        <v>252</v>
      </c>
      <c r="V21" s="14"/>
      <c r="W21" s="14"/>
      <c r="X21" s="14"/>
      <c r="Y21" s="14"/>
    </row>
    <row r="22" spans="1:25" ht="17.25">
      <c r="A22" s="2" t="s">
        <v>225</v>
      </c>
      <c r="B22" s="11" t="s">
        <v>253</v>
      </c>
      <c r="C22" s="216" t="s">
        <v>254</v>
      </c>
      <c r="D22" s="217" t="str">
        <f>'A4-d'!C$9</f>
        <v>maak uw keus</v>
      </c>
      <c r="E22" s="217" t="str">
        <f>'A4-d'!C$21</f>
        <v>maak keus</v>
      </c>
      <c r="F22" s="217" t="str">
        <f>'A4-d'!C$23</f>
        <v>maak keus</v>
      </c>
      <c r="G22" s="218" t="str">
        <f>'A4-d'!C$13</f>
        <v>maak uw keus</v>
      </c>
      <c r="H22" s="219">
        <f>'A4-d'!J$33</f>
        <v>0</v>
      </c>
      <c r="I22" s="28"/>
      <c r="J22" s="16"/>
      <c r="K22" s="24">
        <f>'A4-d'!J36</f>
        <v>0</v>
      </c>
      <c r="L22" s="37"/>
      <c r="M22" s="36">
        <f t="shared" ref="M22" si="3">IF(L22="!",1,0)</f>
        <v>0</v>
      </c>
      <c r="R22" s="29"/>
      <c r="S22" s="9"/>
      <c r="T22" s="9"/>
      <c r="U22" s="2" t="s">
        <v>255</v>
      </c>
      <c r="V22" s="14"/>
      <c r="W22" s="14"/>
      <c r="X22" s="14"/>
      <c r="Y22" s="14"/>
    </row>
    <row r="23" spans="1:25" ht="17.25">
      <c r="B23" s="11" t="s">
        <v>2</v>
      </c>
      <c r="C23" s="7" t="s">
        <v>256</v>
      </c>
      <c r="D23" s="7"/>
      <c r="E23" s="7"/>
      <c r="F23" s="7"/>
      <c r="G23" s="220"/>
      <c r="H23" s="7"/>
      <c r="I23" s="28"/>
      <c r="J23" s="16"/>
      <c r="K23" s="24">
        <f>'A5'!J30</f>
        <v>0</v>
      </c>
      <c r="L23" s="37"/>
      <c r="M23" s="2" t="s">
        <v>257</v>
      </c>
      <c r="R23" s="29"/>
      <c r="S23" s="9"/>
      <c r="T23" s="9"/>
      <c r="U23" s="2" t="s">
        <v>257</v>
      </c>
      <c r="V23" s="14"/>
      <c r="W23" s="14"/>
      <c r="X23" s="14"/>
      <c r="Y23" s="14"/>
    </row>
    <row r="24" spans="1:25" ht="17.25">
      <c r="A24" s="2" t="s">
        <v>225</v>
      </c>
      <c r="B24" s="11"/>
      <c r="C24" s="213"/>
      <c r="D24" s="7"/>
      <c r="E24" s="7"/>
      <c r="F24" s="7"/>
      <c r="G24" s="220"/>
      <c r="H24" s="7"/>
      <c r="I24" s="28"/>
      <c r="J24" s="16"/>
      <c r="K24" s="24"/>
      <c r="L24" s="37"/>
      <c r="M24" s="36"/>
      <c r="R24" s="29"/>
      <c r="S24" s="9"/>
      <c r="T24" s="9"/>
      <c r="V24" s="14"/>
      <c r="W24" s="14"/>
      <c r="X24" s="14"/>
      <c r="Y24" s="14"/>
    </row>
    <row r="25" spans="1:25" ht="17.25">
      <c r="A25" s="2" t="s">
        <v>225</v>
      </c>
      <c r="B25" s="11"/>
      <c r="C25" s="7" t="s">
        <v>258</v>
      </c>
      <c r="D25" s="7"/>
      <c r="E25" s="7"/>
      <c r="G25" s="7"/>
      <c r="H25" s="13"/>
      <c r="I25" s="53"/>
      <c r="J25" s="16"/>
      <c r="K25" s="24">
        <f>IF(I25="ja",30,0)</f>
        <v>0</v>
      </c>
      <c r="L25" s="37"/>
      <c r="M25" s="36">
        <f t="shared" si="0"/>
        <v>0</v>
      </c>
      <c r="R25" s="29"/>
      <c r="S25" s="9"/>
      <c r="T25" s="9"/>
      <c r="U25" s="2" t="s">
        <v>259</v>
      </c>
      <c r="V25" s="14"/>
      <c r="W25" s="14"/>
      <c r="X25" s="14"/>
      <c r="Y25" s="14"/>
    </row>
    <row r="26" spans="1:25" ht="17.25" hidden="1">
      <c r="A26" s="2" t="s">
        <v>212</v>
      </c>
      <c r="B26" s="11"/>
      <c r="C26" s="7" t="str">
        <f>CONCATENATE("Bent u in staat om de werkzaamheden, zoals omschreven in de leidraad, bij een start op ",basis!B9,", voor ",basis!B10," af te ronden")</f>
        <v>Bent u in staat om de werkzaamheden, zoals omschreven in de leidraad, bij een start op 45778, voor 46235 af te ronden</v>
      </c>
      <c r="D26" s="7"/>
      <c r="E26" s="7"/>
      <c r="F26" s="7"/>
      <c r="G26" s="7"/>
      <c r="H26" s="13"/>
      <c r="I26" s="53" t="s">
        <v>188</v>
      </c>
      <c r="J26" s="16"/>
      <c r="K26" s="24" t="str">
        <f t="shared" si="2"/>
        <v>uitsluiting</v>
      </c>
      <c r="L26" s="37" t="str">
        <f>IF(K26="uitsluiting","!","")</f>
        <v>!</v>
      </c>
      <c r="M26" s="36">
        <f t="shared" si="0"/>
        <v>1</v>
      </c>
      <c r="R26" s="29"/>
      <c r="S26" s="9"/>
      <c r="T26" s="9"/>
      <c r="U26" s="2" t="s">
        <v>230</v>
      </c>
      <c r="V26" s="14"/>
      <c r="W26" s="14"/>
      <c r="X26" s="14"/>
      <c r="Y26" s="14"/>
    </row>
    <row r="27" spans="1:25" ht="17.25">
      <c r="A27" s="2" t="s">
        <v>225</v>
      </c>
      <c r="B27" s="11"/>
      <c r="C27" s="7" t="s">
        <v>260</v>
      </c>
      <c r="D27" s="7"/>
      <c r="E27" s="7"/>
      <c r="F27" s="7"/>
      <c r="G27" s="7"/>
      <c r="H27" s="222" t="s">
        <v>261</v>
      </c>
      <c r="I27" s="91"/>
      <c r="J27" s="16"/>
      <c r="K27" s="24" t="str">
        <f>IF(I27=0,"vul in!",ROUNDUP((20-I27)/2,0))</f>
        <v>vul in!</v>
      </c>
      <c r="L27" s="37" t="str">
        <f>IF(K27="vul in!","!","")</f>
        <v>!</v>
      </c>
      <c r="M27" s="36">
        <f t="shared" si="0"/>
        <v>1</v>
      </c>
      <c r="R27" s="29"/>
      <c r="S27" s="9"/>
      <c r="T27" s="9"/>
      <c r="U27" s="223" t="s">
        <v>262</v>
      </c>
      <c r="V27" s="14"/>
      <c r="W27" s="14"/>
      <c r="X27" s="14"/>
      <c r="Y27" s="14"/>
    </row>
    <row r="28" spans="1:25" ht="17.25">
      <c r="A28" s="2" t="s">
        <v>225</v>
      </c>
      <c r="B28" s="11"/>
      <c r="C28" s="7" t="s">
        <v>263</v>
      </c>
      <c r="D28" s="7"/>
      <c r="E28" s="7"/>
      <c r="F28" s="7"/>
      <c r="G28" s="7"/>
      <c r="H28" s="222" t="s">
        <v>261</v>
      </c>
      <c r="I28" s="91"/>
      <c r="J28" s="16"/>
      <c r="K28" s="24" t="str">
        <f>IF(I28=0,"vul in!",ROUNDUP(60-I28/2,0))</f>
        <v>vul in!</v>
      </c>
      <c r="L28" s="37" t="str">
        <f>IF(K28="vul in!","!","")</f>
        <v>!</v>
      </c>
      <c r="M28" s="36">
        <f t="shared" si="0"/>
        <v>1</v>
      </c>
      <c r="R28" s="29"/>
      <c r="S28" s="9"/>
      <c r="T28" s="9"/>
      <c r="U28" s="223" t="s">
        <v>264</v>
      </c>
      <c r="V28" s="14"/>
      <c r="W28" s="14"/>
      <c r="X28" s="14"/>
      <c r="Y28" s="14"/>
    </row>
    <row r="29" spans="1:25" ht="17.25" hidden="1">
      <c r="A29" s="2" t="s">
        <v>212</v>
      </c>
      <c r="B29" s="11"/>
      <c r="C29" s="7" t="s">
        <v>265</v>
      </c>
      <c r="D29" s="7"/>
      <c r="E29" s="7"/>
      <c r="F29" s="7"/>
      <c r="G29" s="7"/>
      <c r="H29" s="13"/>
      <c r="I29" s="53"/>
      <c r="J29" s="16"/>
      <c r="K29" s="24" t="str">
        <f t="shared" si="2"/>
        <v>uitsluiting</v>
      </c>
      <c r="L29" s="37" t="str">
        <f t="shared" ref="L29:L30" si="4">IF(K29="uitsluiting","!","")</f>
        <v>!</v>
      </c>
      <c r="M29" s="36"/>
      <c r="R29" s="29"/>
      <c r="S29" s="9"/>
      <c r="T29" s="9"/>
      <c r="U29" s="2" t="s">
        <v>230</v>
      </c>
      <c r="V29" s="14"/>
      <c r="W29" s="14"/>
      <c r="X29" s="14"/>
      <c r="Y29" s="14"/>
    </row>
    <row r="30" spans="1:25" ht="17.25" hidden="1">
      <c r="A30" s="2" t="s">
        <v>212</v>
      </c>
      <c r="B30" s="11"/>
      <c r="C30" s="7" t="s">
        <v>266</v>
      </c>
      <c r="D30" s="7"/>
      <c r="E30" s="7"/>
      <c r="F30" s="7"/>
      <c r="G30" s="7"/>
      <c r="H30" s="13"/>
      <c r="I30" s="53" t="s">
        <v>188</v>
      </c>
      <c r="J30" s="16"/>
      <c r="K30" s="24" t="str">
        <f t="shared" si="2"/>
        <v>uitsluiting</v>
      </c>
      <c r="L30" s="37" t="str">
        <f t="shared" si="4"/>
        <v>!</v>
      </c>
      <c r="M30" s="36"/>
      <c r="R30" s="29"/>
      <c r="S30" s="9"/>
      <c r="T30" s="9"/>
      <c r="U30" s="2" t="s">
        <v>230</v>
      </c>
      <c r="V30" s="14"/>
      <c r="W30" s="14"/>
      <c r="X30" s="14"/>
      <c r="Y30" s="14"/>
    </row>
    <row r="31" spans="1:25" ht="15.75">
      <c r="A31" s="2" t="s">
        <v>225</v>
      </c>
      <c r="B31" s="224"/>
      <c r="C31" s="225" t="s">
        <v>267</v>
      </c>
      <c r="D31" s="178"/>
      <c r="E31" s="178"/>
      <c r="F31" s="178"/>
      <c r="G31" s="226">
        <f>SUM('A6'!M25:M26)</f>
        <v>8600000</v>
      </c>
      <c r="H31" s="178" t="s">
        <v>268</v>
      </c>
      <c r="I31" s="227"/>
      <c r="J31" s="7"/>
      <c r="K31" s="207">
        <f>FLOOR((basis!B11-G31)/1000,2)</f>
        <v>1650</v>
      </c>
      <c r="L31" s="228"/>
      <c r="M31" s="8">
        <f>SUBTOTAL(9,M10:M30)</f>
        <v>7</v>
      </c>
      <c r="R31" s="7"/>
      <c r="S31" s="30"/>
      <c r="T31" s="31"/>
      <c r="U31" s="221" t="s">
        <v>269</v>
      </c>
    </row>
    <row r="32" spans="1:25" ht="17.25">
      <c r="A32" s="2" t="s">
        <v>225</v>
      </c>
      <c r="B32" s="229"/>
      <c r="C32" s="230" t="s">
        <v>270</v>
      </c>
      <c r="D32" s="230"/>
      <c r="E32" s="230"/>
      <c r="F32" s="230"/>
      <c r="G32" s="230"/>
      <c r="H32" s="230"/>
      <c r="I32" s="231"/>
      <c r="J32" s="232"/>
      <c r="K32" s="98" t="str">
        <f>IF(M31&lt;&gt;0,"uitsluiting",SUBTOTAL(9,K10:K31))</f>
        <v>uitsluiting</v>
      </c>
      <c r="L32" s="233" t="str">
        <f>IF(K32="uitsluiting","!","")</f>
        <v>!</v>
      </c>
      <c r="R32" s="7"/>
      <c r="S32" s="7"/>
      <c r="T32" s="7"/>
    </row>
    <row r="33" spans="2:20" ht="16.5" customHeight="1">
      <c r="B33" s="234"/>
      <c r="C33" s="234"/>
      <c r="D33" s="234"/>
      <c r="E33" s="234"/>
      <c r="F33" s="234"/>
      <c r="G33" s="234"/>
      <c r="H33" s="176"/>
      <c r="I33" s="2"/>
      <c r="J33" s="7"/>
      <c r="K33" s="87"/>
      <c r="L33" s="235"/>
      <c r="N33" s="85"/>
      <c r="R33" s="7"/>
      <c r="S33" s="7"/>
      <c r="T33" s="7"/>
    </row>
    <row r="34" spans="2:20" ht="15.75">
      <c r="B34" s="7"/>
      <c r="C34" s="7"/>
      <c r="D34" s="7"/>
      <c r="E34" s="7"/>
      <c r="F34" s="7"/>
      <c r="G34" s="7"/>
      <c r="H34" s="7"/>
      <c r="I34" s="2"/>
      <c r="J34" s="7"/>
      <c r="K34" s="58"/>
      <c r="L34" s="235"/>
      <c r="N34" s="60"/>
      <c r="R34" s="7"/>
      <c r="S34" s="7"/>
      <c r="T34" s="7"/>
    </row>
    <row r="35" spans="2:20" ht="15.75">
      <c r="M35" s="3">
        <f>SUM(M9:M30)</f>
        <v>8</v>
      </c>
      <c r="N35" s="60"/>
      <c r="R35" s="7"/>
      <c r="S35" s="7"/>
      <c r="T35" s="7"/>
    </row>
    <row r="36" spans="2:20" ht="15.75">
      <c r="B36" s="7"/>
      <c r="C36" s="7"/>
      <c r="D36" s="7"/>
      <c r="E36" s="7"/>
      <c r="F36" s="7"/>
      <c r="G36" s="7"/>
      <c r="H36" s="7"/>
      <c r="I36" s="2"/>
      <c r="J36" s="7"/>
      <c r="K36" s="59"/>
      <c r="N36" s="60"/>
      <c r="R36" s="7"/>
      <c r="S36" s="7"/>
      <c r="T36" s="7"/>
    </row>
    <row r="37" spans="2:20" ht="15.75">
      <c r="B37" s="236"/>
      <c r="C37" s="236"/>
      <c r="D37" s="236"/>
      <c r="E37" s="236"/>
      <c r="F37" s="236"/>
      <c r="G37" s="236"/>
      <c r="H37" s="7"/>
      <c r="I37" s="2"/>
      <c r="J37" s="7"/>
      <c r="K37" s="183"/>
      <c r="N37" s="60"/>
      <c r="O37" s="7"/>
      <c r="P37" s="7"/>
      <c r="Q37" s="8"/>
      <c r="R37" s="7"/>
      <c r="S37" s="7"/>
      <c r="T37" s="30"/>
    </row>
    <row r="38" spans="2:20" ht="15.75">
      <c r="B38" s="7"/>
      <c r="C38" s="7"/>
      <c r="D38" s="7"/>
      <c r="E38" s="7"/>
      <c r="F38" s="7"/>
      <c r="G38" s="7"/>
      <c r="H38" s="7"/>
      <c r="I38" s="2"/>
      <c r="J38" s="7"/>
      <c r="K38" s="59"/>
      <c r="N38" s="60"/>
      <c r="O38" s="7"/>
      <c r="P38" s="7"/>
      <c r="Q38" s="8"/>
      <c r="R38" s="7"/>
      <c r="S38" s="7"/>
      <c r="T38" s="61"/>
    </row>
    <row r="39" spans="2:20" ht="15.75">
      <c r="B39" s="7"/>
      <c r="C39" s="7"/>
      <c r="D39" s="7"/>
      <c r="E39" s="7"/>
      <c r="F39" s="7"/>
      <c r="G39" s="7"/>
      <c r="H39" s="7"/>
      <c r="I39" s="7"/>
      <c r="J39" s="7"/>
      <c r="K39" s="62"/>
      <c r="N39" s="63"/>
      <c r="O39" s="7"/>
      <c r="P39" s="7"/>
      <c r="Q39" s="7"/>
      <c r="R39" s="7"/>
      <c r="S39" s="64"/>
      <c r="T39" s="17"/>
    </row>
    <row r="40" spans="2:20" ht="15.75">
      <c r="B40" s="2"/>
      <c r="C40" s="2"/>
      <c r="D40" s="2"/>
      <c r="E40" s="2"/>
      <c r="F40" s="2"/>
      <c r="G40" s="2"/>
      <c r="I40" s="2"/>
      <c r="K40" s="2"/>
      <c r="L40" s="4"/>
      <c r="M40" s="4"/>
      <c r="N40" s="63"/>
      <c r="O40" s="8"/>
      <c r="P40" s="7"/>
      <c r="Q40" s="8"/>
    </row>
    <row r="41" spans="2:20" ht="15.75">
      <c r="I41" s="2"/>
      <c r="K41" s="2"/>
      <c r="L41" s="4"/>
      <c r="M41" s="4"/>
      <c r="N41" s="62"/>
      <c r="O41" s="7"/>
      <c r="P41" s="7"/>
      <c r="Q41" s="8"/>
    </row>
    <row r="42" spans="2:20" ht="15.75">
      <c r="B42" s="2"/>
      <c r="C42" s="2"/>
      <c r="D42" s="2"/>
      <c r="E42" s="2"/>
      <c r="F42" s="2"/>
      <c r="G42" s="2"/>
      <c r="I42" s="2"/>
      <c r="K42" s="2"/>
      <c r="L42" s="2"/>
      <c r="M42" s="2"/>
      <c r="N42" s="86"/>
      <c r="O42" s="7"/>
      <c r="P42" s="7"/>
      <c r="Q42" s="7"/>
    </row>
    <row r="43" spans="2:20" ht="15.75">
      <c r="I43" s="2"/>
      <c r="K43" s="2"/>
      <c r="L43" s="4"/>
      <c r="M43" s="4"/>
      <c r="N43" s="62"/>
      <c r="O43" s="7"/>
      <c r="P43" s="7"/>
      <c r="Q43" s="8"/>
    </row>
    <row r="44" spans="2:20">
      <c r="B44" s="2"/>
      <c r="C44" s="2"/>
      <c r="D44" s="2"/>
      <c r="E44" s="2"/>
      <c r="F44" s="2"/>
      <c r="G44" s="2"/>
      <c r="I44" s="2"/>
      <c r="K44" s="2"/>
      <c r="L44" s="2"/>
      <c r="M44" s="2"/>
      <c r="Q44" s="4"/>
    </row>
    <row r="45" spans="2:20">
      <c r="B45" s="2"/>
      <c r="C45" s="2"/>
      <c r="D45" s="2"/>
      <c r="E45" s="2"/>
      <c r="F45" s="2"/>
      <c r="G45" s="2"/>
      <c r="I45" s="2"/>
      <c r="K45" s="2"/>
      <c r="L45" s="2"/>
      <c r="M45" s="2"/>
    </row>
    <row r="46" spans="2:20">
      <c r="B46" s="5"/>
      <c r="C46" s="5"/>
      <c r="D46" s="5"/>
      <c r="E46" s="5"/>
      <c r="F46" s="5"/>
      <c r="G46" s="5"/>
      <c r="I46" s="2"/>
      <c r="K46" s="2"/>
      <c r="L46" s="4"/>
      <c r="M46" s="4"/>
      <c r="N46" s="5"/>
      <c r="O46" s="4"/>
      <c r="Q46" s="4"/>
    </row>
    <row r="47" spans="2:20">
      <c r="B47" s="196"/>
      <c r="C47" s="196"/>
      <c r="D47" s="196"/>
      <c r="E47" s="196"/>
      <c r="F47" s="196"/>
      <c r="G47" s="196"/>
      <c r="I47" s="2"/>
      <c r="K47" s="2"/>
      <c r="L47" s="4"/>
      <c r="M47" s="4"/>
      <c r="N47" s="5"/>
      <c r="O47" s="4"/>
      <c r="Q47" s="4"/>
    </row>
    <row r="48" spans="2:20">
      <c r="B48" s="2"/>
      <c r="C48" s="2"/>
      <c r="D48" s="2"/>
      <c r="E48" s="2"/>
      <c r="F48" s="2"/>
      <c r="G48" s="2"/>
      <c r="I48" s="2"/>
      <c r="K48" s="2"/>
      <c r="L48" s="2"/>
      <c r="M48" s="2"/>
    </row>
    <row r="49" spans="2:17">
      <c r="B49" s="5"/>
      <c r="C49" s="5"/>
      <c r="D49" s="5"/>
      <c r="E49" s="5"/>
      <c r="F49" s="5"/>
      <c r="G49" s="5"/>
      <c r="I49" s="2"/>
      <c r="K49" s="2"/>
      <c r="L49" s="4"/>
      <c r="M49" s="4"/>
      <c r="N49" s="5"/>
      <c r="O49" s="4"/>
      <c r="Q49" s="4"/>
    </row>
    <row r="50" spans="2:17">
      <c r="B50" s="5"/>
      <c r="C50" s="5"/>
      <c r="D50" s="5"/>
      <c r="E50" s="5"/>
      <c r="F50" s="5"/>
      <c r="G50" s="5"/>
      <c r="I50" s="2"/>
      <c r="K50" s="2"/>
      <c r="L50" s="2"/>
      <c r="M50" s="2"/>
      <c r="Q50" s="4"/>
    </row>
    <row r="51" spans="2:17">
      <c r="I51" s="2"/>
      <c r="K51" s="2"/>
      <c r="L51" s="2"/>
      <c r="M51" s="2"/>
      <c r="Q51" s="4"/>
    </row>
    <row r="52" spans="2:17">
      <c r="B52" s="2"/>
      <c r="C52" s="2"/>
      <c r="D52" s="2"/>
      <c r="E52" s="2"/>
      <c r="F52" s="2"/>
      <c r="G52" s="2"/>
      <c r="I52" s="2"/>
      <c r="K52" s="2"/>
      <c r="L52" s="2"/>
      <c r="M52" s="2"/>
    </row>
    <row r="53" spans="2:17">
      <c r="B53" s="5"/>
      <c r="C53" s="5"/>
      <c r="D53" s="5"/>
      <c r="E53" s="5"/>
      <c r="F53" s="5"/>
      <c r="G53" s="5"/>
      <c r="I53" s="2"/>
      <c r="K53" s="2"/>
      <c r="L53" s="4"/>
      <c r="M53" s="4"/>
      <c r="N53" s="5"/>
      <c r="O53" s="4"/>
      <c r="Q53" s="4"/>
    </row>
    <row r="54" spans="2:17">
      <c r="B54" s="5"/>
      <c r="C54" s="5"/>
      <c r="D54" s="5"/>
      <c r="E54" s="5"/>
      <c r="F54" s="5"/>
      <c r="G54" s="5"/>
      <c r="I54" s="2"/>
      <c r="K54" s="2"/>
      <c r="L54" s="2"/>
      <c r="M54" s="2"/>
      <c r="Q54" s="4"/>
    </row>
    <row r="92" spans="15:17">
      <c r="O92" s="1"/>
      <c r="P92" s="1"/>
      <c r="Q92" s="1"/>
    </row>
    <row r="93" spans="15:17">
      <c r="O93" s="1"/>
      <c r="P93" s="1"/>
      <c r="Q93" s="1"/>
    </row>
    <row r="94" spans="15:17">
      <c r="O94" s="1"/>
      <c r="P94" s="1"/>
      <c r="Q94" s="1"/>
    </row>
    <row r="95" spans="15:17">
      <c r="O95" s="1"/>
      <c r="P95" s="1"/>
      <c r="Q95" s="1"/>
    </row>
    <row r="96" spans="15:17">
      <c r="O96" s="1"/>
      <c r="P96" s="1"/>
      <c r="Q96" s="1"/>
    </row>
    <row r="97" spans="15:17">
      <c r="O97" s="1"/>
      <c r="P97" s="1"/>
      <c r="Q97" s="1"/>
    </row>
    <row r="98" spans="15:17">
      <c r="O98" s="1"/>
      <c r="P98" s="1"/>
      <c r="Q98" s="1"/>
    </row>
    <row r="99" spans="15:17">
      <c r="O99" s="1"/>
      <c r="P99" s="1"/>
      <c r="Q99" s="1"/>
    </row>
    <row r="100" spans="15:17">
      <c r="O100" s="1"/>
      <c r="P100" s="1"/>
      <c r="Q100" s="1"/>
    </row>
    <row r="101" spans="15:17">
      <c r="O101" s="1"/>
      <c r="P101" s="1"/>
      <c r="Q101" s="1"/>
    </row>
    <row r="102" spans="15:17">
      <c r="O102" s="1"/>
      <c r="P102" s="1"/>
      <c r="Q102" s="1"/>
    </row>
    <row r="103" spans="15:17">
      <c r="O103" s="1"/>
      <c r="P103" s="1"/>
      <c r="Q103" s="1"/>
    </row>
    <row r="104" spans="15:17">
      <c r="O104" s="1"/>
      <c r="P104" s="1"/>
      <c r="Q104" s="1"/>
    </row>
    <row r="105" spans="15:17">
      <c r="O105" s="1"/>
      <c r="P105" s="1"/>
      <c r="Q105" s="1"/>
    </row>
    <row r="106" spans="15:17">
      <c r="O106" s="1"/>
      <c r="P106" s="1"/>
      <c r="Q106" s="1"/>
    </row>
    <row r="107" spans="15:17">
      <c r="O107" s="1"/>
      <c r="P107" s="1"/>
      <c r="Q107" s="1"/>
    </row>
    <row r="108" spans="15:17">
      <c r="O108" s="1"/>
      <c r="P108" s="1"/>
      <c r="Q108" s="1"/>
    </row>
    <row r="109" spans="15:17">
      <c r="O109" s="1"/>
      <c r="P109" s="1"/>
      <c r="Q109" s="1"/>
    </row>
    <row r="110" spans="15:17">
      <c r="O110" s="1"/>
      <c r="P110" s="1"/>
      <c r="Q110" s="1"/>
    </row>
    <row r="111" spans="15:17">
      <c r="O111" s="1"/>
      <c r="P111" s="1"/>
      <c r="Q111" s="1"/>
    </row>
    <row r="112" spans="15:17">
      <c r="O112" s="1"/>
      <c r="P112" s="1"/>
      <c r="Q112" s="1"/>
    </row>
    <row r="113" spans="15:17">
      <c r="O113" s="1"/>
      <c r="P113" s="1"/>
      <c r="Q113" s="1"/>
    </row>
    <row r="114" spans="15:17">
      <c r="O114" s="1"/>
      <c r="P114" s="1"/>
      <c r="Q114" s="1"/>
    </row>
    <row r="115" spans="15:17">
      <c r="O115" s="1"/>
      <c r="P115" s="1"/>
      <c r="Q115" s="1"/>
    </row>
    <row r="116" spans="15:17">
      <c r="O116" s="1"/>
      <c r="P116" s="1"/>
      <c r="Q116" s="1"/>
    </row>
    <row r="117" spans="15:17">
      <c r="O117" s="1"/>
      <c r="P117" s="1"/>
      <c r="Q117" s="1"/>
    </row>
    <row r="118" spans="15:17">
      <c r="O118" s="1"/>
      <c r="P118" s="1"/>
      <c r="Q118" s="1"/>
    </row>
    <row r="119" spans="15:17">
      <c r="O119" s="1"/>
      <c r="P119" s="1"/>
      <c r="Q119" s="1"/>
    </row>
    <row r="120" spans="15:17">
      <c r="O120" s="1"/>
      <c r="P120" s="1"/>
      <c r="Q120" s="1"/>
    </row>
    <row r="121" spans="15:17">
      <c r="O121" s="1"/>
      <c r="P121" s="1"/>
      <c r="Q121" s="1"/>
    </row>
    <row r="122" spans="15:17">
      <c r="O122" s="1"/>
      <c r="P122" s="1"/>
      <c r="Q122" s="1"/>
    </row>
    <row r="123" spans="15:17">
      <c r="O123" s="1"/>
      <c r="P123" s="1"/>
      <c r="Q123" s="1"/>
    </row>
    <row r="124" spans="15:17">
      <c r="O124" s="1"/>
      <c r="P124" s="1"/>
      <c r="Q124" s="1"/>
    </row>
    <row r="125" spans="15:17">
      <c r="O125" s="1"/>
      <c r="P125" s="1"/>
      <c r="Q125" s="1"/>
    </row>
    <row r="126" spans="15:17">
      <c r="O126" s="1"/>
      <c r="P126" s="1"/>
      <c r="Q126" s="1"/>
    </row>
    <row r="127" spans="15:17">
      <c r="O127" s="1"/>
      <c r="P127" s="1"/>
      <c r="Q127" s="1"/>
    </row>
    <row r="128" spans="15:17">
      <c r="O128" s="1"/>
      <c r="P128" s="1"/>
      <c r="Q128" s="1"/>
    </row>
    <row r="129" spans="15:17">
      <c r="O129" s="1"/>
      <c r="P129" s="1"/>
      <c r="Q129" s="1"/>
    </row>
    <row r="130" spans="15:17">
      <c r="O130" s="1"/>
      <c r="P130" s="1"/>
      <c r="Q130" s="1"/>
    </row>
    <row r="131" spans="15:17">
      <c r="O131" s="1"/>
      <c r="P131" s="1"/>
      <c r="Q131" s="1"/>
    </row>
    <row r="132" spans="15:17">
      <c r="O132" s="1"/>
      <c r="P132" s="1"/>
      <c r="Q132" s="1"/>
    </row>
    <row r="133" spans="15:17">
      <c r="O133" s="1"/>
      <c r="P133" s="1"/>
      <c r="Q133" s="1"/>
    </row>
    <row r="134" spans="15:17">
      <c r="O134" s="1"/>
      <c r="P134" s="1"/>
      <c r="Q134" s="1"/>
    </row>
    <row r="135" spans="15:17">
      <c r="O135" s="1"/>
      <c r="P135" s="1"/>
      <c r="Q135" s="1"/>
    </row>
    <row r="136" spans="15:17">
      <c r="O136" s="1"/>
      <c r="P136" s="1"/>
      <c r="Q136" s="1"/>
    </row>
    <row r="137" spans="15:17">
      <c r="O137" s="1"/>
      <c r="P137" s="1"/>
      <c r="Q137" s="1"/>
    </row>
    <row r="138" spans="15:17">
      <c r="O138" s="1"/>
      <c r="P138" s="1"/>
      <c r="Q138" s="1"/>
    </row>
    <row r="139" spans="15:17">
      <c r="O139" s="1"/>
      <c r="P139" s="1"/>
      <c r="Q139" s="1"/>
    </row>
    <row r="140" spans="15:17">
      <c r="O140" s="1"/>
      <c r="P140" s="1"/>
      <c r="Q140" s="1"/>
    </row>
    <row r="141" spans="15:17">
      <c r="O141" s="1"/>
      <c r="P141" s="1"/>
      <c r="Q141" s="1"/>
    </row>
    <row r="142" spans="15:17">
      <c r="O142" s="1"/>
      <c r="P142" s="1"/>
      <c r="Q142" s="1"/>
    </row>
    <row r="143" spans="15:17">
      <c r="O143" s="1"/>
      <c r="P143" s="1"/>
      <c r="Q143" s="1"/>
    </row>
    <row r="144" spans="15:17">
      <c r="O144" s="1"/>
      <c r="P144" s="1"/>
      <c r="Q144" s="1"/>
    </row>
    <row r="145" spans="15:17">
      <c r="O145" s="1"/>
      <c r="P145" s="1"/>
      <c r="Q145" s="1"/>
    </row>
    <row r="146" spans="15:17">
      <c r="O146" s="1"/>
      <c r="P146" s="1"/>
      <c r="Q146" s="1"/>
    </row>
    <row r="147" spans="15:17">
      <c r="O147" s="1"/>
      <c r="P147" s="1"/>
      <c r="Q147" s="1"/>
    </row>
    <row r="148" spans="15:17">
      <c r="O148" s="1"/>
      <c r="P148" s="1"/>
      <c r="Q148" s="1"/>
    </row>
    <row r="149" spans="15:17">
      <c r="O149" s="1"/>
      <c r="P149" s="1"/>
      <c r="Q149" s="1"/>
    </row>
    <row r="150" spans="15:17">
      <c r="O150" s="1"/>
      <c r="P150" s="1"/>
      <c r="Q150" s="1"/>
    </row>
    <row r="151" spans="15:17">
      <c r="O151" s="1"/>
      <c r="P151" s="1"/>
      <c r="Q151" s="1"/>
    </row>
    <row r="152" spans="15:17">
      <c r="O152" s="1"/>
      <c r="P152" s="1"/>
      <c r="Q152" s="1"/>
    </row>
    <row r="153" spans="15:17">
      <c r="O153" s="1"/>
      <c r="P153" s="1"/>
      <c r="Q153" s="1"/>
    </row>
    <row r="154" spans="15:17">
      <c r="O154" s="1"/>
      <c r="P154" s="1"/>
      <c r="Q154" s="1"/>
    </row>
    <row r="155" spans="15:17">
      <c r="O155" s="1"/>
      <c r="P155" s="1"/>
      <c r="Q155" s="1"/>
    </row>
    <row r="156" spans="15:17">
      <c r="O156" s="1"/>
      <c r="P156" s="1"/>
      <c r="Q156" s="1"/>
    </row>
    <row r="157" spans="15:17">
      <c r="O157" s="1"/>
      <c r="P157" s="1"/>
      <c r="Q157" s="1"/>
    </row>
    <row r="158" spans="15:17">
      <c r="O158" s="1"/>
      <c r="P158" s="1"/>
      <c r="Q158" s="1"/>
    </row>
    <row r="159" spans="15:17">
      <c r="O159" s="1"/>
      <c r="P159" s="1"/>
      <c r="Q159" s="1"/>
    </row>
    <row r="160" spans="15:17">
      <c r="O160" s="1"/>
      <c r="P160" s="1"/>
      <c r="Q160" s="1"/>
    </row>
    <row r="161" spans="15:17">
      <c r="O161" s="1"/>
      <c r="P161" s="1"/>
      <c r="Q161" s="1"/>
    </row>
    <row r="162" spans="15:17">
      <c r="O162" s="1"/>
      <c r="P162" s="1"/>
      <c r="Q162" s="1"/>
    </row>
    <row r="163" spans="15:17">
      <c r="O163" s="1"/>
      <c r="P163" s="1"/>
      <c r="Q163" s="1"/>
    </row>
    <row r="164" spans="15:17">
      <c r="O164" s="1"/>
      <c r="P164" s="1"/>
      <c r="Q164" s="1"/>
    </row>
    <row r="165" spans="15:17">
      <c r="O165" s="1"/>
      <c r="P165" s="1"/>
      <c r="Q165" s="1"/>
    </row>
    <row r="166" spans="15:17">
      <c r="O166" s="1"/>
      <c r="P166" s="1"/>
      <c r="Q166" s="1"/>
    </row>
    <row r="167" spans="15:17">
      <c r="O167" s="1"/>
      <c r="P167" s="1"/>
      <c r="Q167" s="1"/>
    </row>
    <row r="168" spans="15:17">
      <c r="O168" s="1"/>
      <c r="P168" s="1"/>
      <c r="Q168" s="1"/>
    </row>
    <row r="169" spans="15:17">
      <c r="O169" s="1"/>
      <c r="P169" s="1"/>
      <c r="Q169" s="1"/>
    </row>
    <row r="170" spans="15:17">
      <c r="O170" s="1"/>
      <c r="P170" s="1"/>
      <c r="Q170" s="1"/>
    </row>
    <row r="171" spans="15:17">
      <c r="O171" s="1"/>
      <c r="P171" s="1"/>
      <c r="Q171" s="1"/>
    </row>
    <row r="172" spans="15:17">
      <c r="O172" s="1"/>
      <c r="P172" s="1"/>
      <c r="Q172" s="1"/>
    </row>
    <row r="173" spans="15:17">
      <c r="O173" s="1"/>
      <c r="P173" s="1"/>
      <c r="Q173" s="1"/>
    </row>
    <row r="174" spans="15:17">
      <c r="O174" s="1"/>
      <c r="P174" s="1"/>
      <c r="Q174" s="1"/>
    </row>
    <row r="175" spans="15:17">
      <c r="O175" s="1"/>
      <c r="P175" s="1"/>
      <c r="Q175" s="1"/>
    </row>
    <row r="176" spans="15:17">
      <c r="O176" s="1"/>
      <c r="P176" s="1"/>
      <c r="Q176" s="1"/>
    </row>
    <row r="177" spans="15:17">
      <c r="O177" s="1"/>
      <c r="P177" s="1"/>
      <c r="Q177" s="1"/>
    </row>
    <row r="178" spans="15:17">
      <c r="O178" s="1"/>
      <c r="P178" s="1"/>
      <c r="Q178" s="1"/>
    </row>
    <row r="179" spans="15:17">
      <c r="O179" s="1"/>
      <c r="P179" s="1"/>
      <c r="Q179" s="1"/>
    </row>
    <row r="180" spans="15:17">
      <c r="O180" s="1"/>
      <c r="P180" s="1"/>
      <c r="Q180" s="1"/>
    </row>
    <row r="181" spans="15:17">
      <c r="O181" s="1"/>
      <c r="P181" s="1"/>
      <c r="Q181" s="1"/>
    </row>
    <row r="182" spans="15:17">
      <c r="O182" s="1"/>
      <c r="P182" s="1"/>
      <c r="Q182" s="1"/>
    </row>
    <row r="183" spans="15:17">
      <c r="O183" s="1"/>
      <c r="P183" s="1"/>
      <c r="Q183" s="1"/>
    </row>
    <row r="184" spans="15:17">
      <c r="O184" s="1"/>
      <c r="P184" s="1"/>
      <c r="Q184" s="1"/>
    </row>
    <row r="185" spans="15:17">
      <c r="O185" s="1"/>
      <c r="P185" s="1"/>
      <c r="Q185" s="1"/>
    </row>
    <row r="186" spans="15:17">
      <c r="O186" s="1"/>
      <c r="P186" s="1"/>
      <c r="Q186" s="1"/>
    </row>
    <row r="187" spans="15:17">
      <c r="O187" s="1"/>
      <c r="P187" s="1"/>
      <c r="Q187" s="1"/>
    </row>
    <row r="188" spans="15:17">
      <c r="O188" s="1"/>
      <c r="P188" s="1"/>
      <c r="Q188" s="1"/>
    </row>
    <row r="189" spans="15:17">
      <c r="O189" s="1"/>
      <c r="P189" s="1"/>
      <c r="Q189" s="1"/>
    </row>
    <row r="190" spans="15:17">
      <c r="O190" s="1"/>
      <c r="P190" s="1"/>
      <c r="Q190" s="1"/>
    </row>
    <row r="191" spans="15:17">
      <c r="O191" s="1"/>
      <c r="P191" s="1"/>
      <c r="Q191" s="1"/>
    </row>
    <row r="192" spans="15:17">
      <c r="O192" s="1"/>
      <c r="P192" s="1"/>
      <c r="Q192" s="1"/>
    </row>
    <row r="193" spans="15:17">
      <c r="O193" s="1"/>
      <c r="P193" s="1"/>
      <c r="Q193" s="1"/>
    </row>
    <row r="194" spans="15:17">
      <c r="O194" s="1"/>
      <c r="P194" s="1"/>
      <c r="Q194" s="1"/>
    </row>
    <row r="195" spans="15:17">
      <c r="O195" s="1"/>
      <c r="P195" s="1"/>
      <c r="Q195" s="1"/>
    </row>
    <row r="196" spans="15:17">
      <c r="O196" s="1"/>
      <c r="P196" s="1"/>
      <c r="Q196" s="1"/>
    </row>
    <row r="197" spans="15:17">
      <c r="O197" s="1"/>
      <c r="P197" s="1"/>
      <c r="Q197" s="1"/>
    </row>
    <row r="198" spans="15:17">
      <c r="O198" s="1"/>
      <c r="P198" s="1"/>
      <c r="Q198" s="1"/>
    </row>
    <row r="199" spans="15:17">
      <c r="O199" s="1"/>
      <c r="P199" s="1"/>
      <c r="Q199" s="1"/>
    </row>
    <row r="200" spans="15:17">
      <c r="O200" s="1"/>
      <c r="P200" s="1"/>
      <c r="Q200" s="1"/>
    </row>
    <row r="201" spans="15:17">
      <c r="O201" s="1"/>
      <c r="P201" s="1"/>
      <c r="Q201" s="1"/>
    </row>
    <row r="202" spans="15:17">
      <c r="O202" s="1"/>
      <c r="P202" s="1"/>
      <c r="Q202" s="1"/>
    </row>
    <row r="203" spans="15:17">
      <c r="O203" s="1"/>
      <c r="P203" s="1"/>
      <c r="Q203" s="1"/>
    </row>
    <row r="204" spans="15:17">
      <c r="O204" s="1"/>
      <c r="P204" s="1"/>
      <c r="Q204" s="1"/>
    </row>
    <row r="205" spans="15:17">
      <c r="O205" s="1"/>
      <c r="P205" s="1"/>
      <c r="Q205" s="1"/>
    </row>
    <row r="206" spans="15:17">
      <c r="O206" s="1"/>
      <c r="P206" s="1"/>
      <c r="Q206" s="1"/>
    </row>
    <row r="207" spans="15:17">
      <c r="O207" s="1"/>
      <c r="P207" s="1"/>
      <c r="Q207" s="1"/>
    </row>
    <row r="208" spans="15:17">
      <c r="O208" s="1"/>
      <c r="P208" s="1"/>
      <c r="Q208" s="1"/>
    </row>
    <row r="209" spans="15:17">
      <c r="O209" s="1"/>
      <c r="P209" s="1"/>
      <c r="Q209" s="1"/>
    </row>
    <row r="210" spans="15:17">
      <c r="O210" s="1"/>
      <c r="P210" s="1"/>
      <c r="Q210" s="1"/>
    </row>
    <row r="211" spans="15:17">
      <c r="O211" s="1"/>
      <c r="P211" s="1"/>
      <c r="Q211" s="1"/>
    </row>
    <row r="212" spans="15:17">
      <c r="O212" s="1"/>
      <c r="P212" s="1"/>
      <c r="Q212" s="1"/>
    </row>
    <row r="213" spans="15:17">
      <c r="O213" s="1"/>
      <c r="P213" s="1"/>
      <c r="Q213" s="1"/>
    </row>
    <row r="214" spans="15:17">
      <c r="O214" s="1"/>
      <c r="P214" s="1"/>
      <c r="Q214" s="1"/>
    </row>
    <row r="215" spans="15:17">
      <c r="O215" s="1"/>
      <c r="P215" s="1"/>
      <c r="Q215" s="1"/>
    </row>
    <row r="216" spans="15:17">
      <c r="O216" s="1"/>
      <c r="P216" s="1"/>
      <c r="Q216" s="1"/>
    </row>
    <row r="217" spans="15:17">
      <c r="O217" s="1"/>
      <c r="P217" s="1"/>
      <c r="Q217" s="1"/>
    </row>
    <row r="218" spans="15:17">
      <c r="O218" s="1"/>
      <c r="P218" s="1"/>
      <c r="Q218" s="1"/>
    </row>
    <row r="219" spans="15:17">
      <c r="O219" s="1"/>
      <c r="P219" s="1"/>
      <c r="Q219" s="1"/>
    </row>
    <row r="220" spans="15:17">
      <c r="O220" s="1"/>
      <c r="P220" s="1"/>
      <c r="Q220" s="1"/>
    </row>
    <row r="221" spans="15:17">
      <c r="O221" s="1"/>
      <c r="P221" s="1"/>
      <c r="Q221" s="1"/>
    </row>
    <row r="222" spans="15:17">
      <c r="O222" s="1"/>
      <c r="P222" s="1"/>
      <c r="Q222" s="1"/>
    </row>
    <row r="223" spans="15:17">
      <c r="O223" s="1"/>
      <c r="P223" s="1"/>
      <c r="Q223" s="1"/>
    </row>
    <row r="224" spans="15:17">
      <c r="O224" s="1"/>
      <c r="P224" s="1"/>
      <c r="Q224" s="1"/>
    </row>
    <row r="225" spans="15:17">
      <c r="O225" s="1"/>
      <c r="P225" s="1"/>
      <c r="Q225" s="1"/>
    </row>
    <row r="226" spans="15:17">
      <c r="O226" s="1"/>
      <c r="P226" s="1"/>
      <c r="Q226" s="1"/>
    </row>
    <row r="227" spans="15:17">
      <c r="O227" s="1"/>
      <c r="P227" s="1"/>
      <c r="Q227" s="1"/>
    </row>
    <row r="228" spans="15:17">
      <c r="O228" s="1"/>
      <c r="P228" s="1"/>
      <c r="Q228" s="1"/>
    </row>
    <row r="229" spans="15:17">
      <c r="O229" s="1"/>
      <c r="P229" s="1"/>
      <c r="Q229" s="1"/>
    </row>
    <row r="230" spans="15:17">
      <c r="O230" s="1"/>
      <c r="P230" s="1"/>
      <c r="Q230" s="1"/>
    </row>
    <row r="231" spans="15:17">
      <c r="O231" s="1"/>
      <c r="P231" s="1"/>
      <c r="Q231" s="1"/>
    </row>
    <row r="232" spans="15:17">
      <c r="O232" s="1"/>
      <c r="P232" s="1"/>
      <c r="Q232" s="1"/>
    </row>
    <row r="233" spans="15:17">
      <c r="O233" s="1"/>
      <c r="P233" s="1"/>
      <c r="Q233" s="1"/>
    </row>
    <row r="234" spans="15:17">
      <c r="O234" s="1"/>
      <c r="P234" s="1"/>
      <c r="Q234" s="1"/>
    </row>
    <row r="235" spans="15:17">
      <c r="O235" s="1"/>
      <c r="P235" s="1"/>
      <c r="Q235" s="1"/>
    </row>
    <row r="236" spans="15:17">
      <c r="O236" s="1"/>
      <c r="P236" s="1"/>
      <c r="Q236" s="1"/>
    </row>
    <row r="237" spans="15:17">
      <c r="O237" s="1"/>
      <c r="P237" s="1"/>
      <c r="Q237" s="1"/>
    </row>
    <row r="238" spans="15:17">
      <c r="O238" s="1"/>
      <c r="P238" s="1"/>
      <c r="Q238" s="1"/>
    </row>
    <row r="239" spans="15:17">
      <c r="O239" s="1"/>
      <c r="P239" s="1"/>
      <c r="Q239" s="1"/>
    </row>
    <row r="240" spans="15:17">
      <c r="O240" s="1"/>
      <c r="P240" s="1"/>
      <c r="Q240" s="1"/>
    </row>
    <row r="241" spans="15:17">
      <c r="O241" s="1"/>
      <c r="P241" s="1"/>
      <c r="Q241" s="1"/>
    </row>
    <row r="242" spans="15:17">
      <c r="O242" s="1"/>
      <c r="P242" s="1"/>
      <c r="Q242" s="1"/>
    </row>
    <row r="243" spans="15:17">
      <c r="O243" s="1"/>
      <c r="P243" s="1"/>
      <c r="Q243" s="1"/>
    </row>
    <row r="244" spans="15:17">
      <c r="O244" s="1"/>
      <c r="P244" s="1"/>
      <c r="Q244" s="1"/>
    </row>
    <row r="245" spans="15:17">
      <c r="O245" s="1"/>
      <c r="P245" s="1"/>
      <c r="Q245" s="1"/>
    </row>
    <row r="246" spans="15:17">
      <c r="O246" s="1"/>
      <c r="P246" s="1"/>
      <c r="Q246" s="1"/>
    </row>
    <row r="247" spans="15:17">
      <c r="O247" s="1"/>
      <c r="P247" s="1"/>
      <c r="Q247" s="1"/>
    </row>
    <row r="248" spans="15:17">
      <c r="O248" s="1"/>
      <c r="P248" s="1"/>
      <c r="Q248" s="1"/>
    </row>
    <row r="249" spans="15:17">
      <c r="O249" s="1"/>
      <c r="P249" s="1"/>
      <c r="Q249" s="1"/>
    </row>
    <row r="250" spans="15:17">
      <c r="O250" s="1"/>
      <c r="P250" s="1"/>
      <c r="Q250" s="1"/>
    </row>
    <row r="251" spans="15:17">
      <c r="O251" s="1"/>
      <c r="P251" s="1"/>
      <c r="Q251" s="1"/>
    </row>
    <row r="252" spans="15:17">
      <c r="O252" s="1"/>
      <c r="P252" s="1"/>
      <c r="Q252" s="1"/>
    </row>
    <row r="253" spans="15:17">
      <c r="O253" s="1"/>
      <c r="P253" s="1"/>
      <c r="Q253" s="1"/>
    </row>
    <row r="254" spans="15:17">
      <c r="O254" s="1"/>
      <c r="P254" s="1"/>
      <c r="Q254" s="1"/>
    </row>
    <row r="255" spans="15:17">
      <c r="O255" s="1"/>
      <c r="P255" s="1"/>
      <c r="Q255" s="1"/>
    </row>
    <row r="256" spans="15:17">
      <c r="O256" s="1"/>
      <c r="P256" s="1"/>
      <c r="Q256" s="1"/>
    </row>
    <row r="257" spans="15:17">
      <c r="O257" s="1"/>
      <c r="P257" s="1"/>
      <c r="Q257" s="1"/>
    </row>
    <row r="258" spans="15:17">
      <c r="O258" s="1"/>
      <c r="P258" s="1"/>
      <c r="Q258" s="1"/>
    </row>
    <row r="259" spans="15:17">
      <c r="O259" s="1"/>
      <c r="P259" s="1"/>
      <c r="Q259" s="1"/>
    </row>
    <row r="260" spans="15:17">
      <c r="O260" s="1"/>
      <c r="P260" s="1"/>
      <c r="Q260" s="1"/>
    </row>
    <row r="261" spans="15:17">
      <c r="O261" s="1"/>
      <c r="P261" s="1"/>
      <c r="Q261" s="1"/>
    </row>
    <row r="262" spans="15:17">
      <c r="O262" s="1"/>
      <c r="P262" s="1"/>
      <c r="Q262" s="1"/>
    </row>
    <row r="263" spans="15:17">
      <c r="O263" s="1"/>
      <c r="P263" s="1"/>
      <c r="Q263" s="1"/>
    </row>
    <row r="264" spans="15:17">
      <c r="O264" s="1"/>
      <c r="P264" s="1"/>
      <c r="Q264" s="1"/>
    </row>
    <row r="265" spans="15:17">
      <c r="O265" s="1"/>
      <c r="P265" s="1"/>
      <c r="Q265" s="1"/>
    </row>
    <row r="266" spans="15:17">
      <c r="O266" s="1"/>
      <c r="P266" s="1"/>
      <c r="Q266" s="1"/>
    </row>
    <row r="267" spans="15:17">
      <c r="O267" s="1"/>
      <c r="P267" s="1"/>
      <c r="Q267" s="1"/>
    </row>
    <row r="268" spans="15:17">
      <c r="O268" s="1"/>
      <c r="P268" s="1"/>
      <c r="Q268" s="1"/>
    </row>
    <row r="269" spans="15:17">
      <c r="O269" s="1"/>
      <c r="P269" s="1"/>
      <c r="Q269" s="1"/>
    </row>
    <row r="270" spans="15:17">
      <c r="O270" s="1"/>
      <c r="P270" s="1"/>
      <c r="Q270" s="1"/>
    </row>
    <row r="271" spans="15:17">
      <c r="O271" s="1"/>
      <c r="P271" s="1"/>
      <c r="Q271" s="1"/>
    </row>
    <row r="272" spans="15:17">
      <c r="O272" s="1"/>
      <c r="P272" s="1"/>
      <c r="Q272" s="1"/>
    </row>
    <row r="273" spans="15:17">
      <c r="O273" s="1"/>
      <c r="P273" s="1"/>
      <c r="Q273" s="1"/>
    </row>
    <row r="274" spans="15:17">
      <c r="O274" s="1"/>
      <c r="P274" s="1"/>
      <c r="Q274" s="1"/>
    </row>
    <row r="275" spans="15:17">
      <c r="O275" s="1"/>
      <c r="P275" s="1"/>
      <c r="Q275" s="1"/>
    </row>
    <row r="276" spans="15:17">
      <c r="O276" s="1"/>
      <c r="P276" s="1"/>
      <c r="Q276" s="1"/>
    </row>
    <row r="277" spans="15:17">
      <c r="O277" s="1"/>
      <c r="P277" s="1"/>
      <c r="Q277" s="1"/>
    </row>
    <row r="278" spans="15:17">
      <c r="O278" s="1"/>
      <c r="P278" s="1"/>
      <c r="Q278" s="1"/>
    </row>
    <row r="279" spans="15:17">
      <c r="O279" s="1"/>
      <c r="P279" s="1"/>
      <c r="Q279" s="1"/>
    </row>
    <row r="280" spans="15:17">
      <c r="O280" s="1"/>
      <c r="P280" s="1"/>
      <c r="Q280" s="1"/>
    </row>
    <row r="281" spans="15:17">
      <c r="O281" s="1"/>
      <c r="P281" s="1"/>
      <c r="Q281" s="1"/>
    </row>
    <row r="282" spans="15:17">
      <c r="O282" s="1"/>
      <c r="P282" s="1"/>
      <c r="Q282" s="1"/>
    </row>
    <row r="283" spans="15:17">
      <c r="O283" s="1"/>
      <c r="P283" s="1"/>
      <c r="Q283" s="1"/>
    </row>
    <row r="284" spans="15:17">
      <c r="O284" s="1"/>
      <c r="P284" s="1"/>
      <c r="Q284" s="1"/>
    </row>
    <row r="285" spans="15:17">
      <c r="O285" s="1"/>
      <c r="P285" s="1"/>
      <c r="Q285" s="1"/>
    </row>
    <row r="286" spans="15:17">
      <c r="O286" s="1"/>
      <c r="P286" s="1"/>
      <c r="Q286" s="1"/>
    </row>
    <row r="287" spans="15:17">
      <c r="O287" s="1"/>
      <c r="P287" s="1"/>
      <c r="Q287" s="1"/>
    </row>
    <row r="288" spans="15:17">
      <c r="O288" s="1"/>
      <c r="P288" s="1"/>
      <c r="Q288" s="1"/>
    </row>
    <row r="289" spans="15:17">
      <c r="O289" s="1"/>
      <c r="P289" s="1"/>
      <c r="Q289" s="1"/>
    </row>
    <row r="290" spans="15:17">
      <c r="O290" s="1"/>
      <c r="P290" s="1"/>
      <c r="Q290" s="1"/>
    </row>
    <row r="291" spans="15:17">
      <c r="O291" s="1"/>
      <c r="P291" s="1"/>
      <c r="Q291" s="1"/>
    </row>
    <row r="292" spans="15:17">
      <c r="O292" s="1"/>
      <c r="P292" s="1"/>
      <c r="Q292" s="1"/>
    </row>
    <row r="293" spans="15:17">
      <c r="O293" s="1"/>
      <c r="P293" s="1"/>
      <c r="Q293" s="1"/>
    </row>
    <row r="294" spans="15:17">
      <c r="O294" s="1"/>
      <c r="P294" s="1"/>
      <c r="Q294" s="1"/>
    </row>
    <row r="295" spans="15:17">
      <c r="O295" s="1"/>
      <c r="P295" s="1"/>
      <c r="Q295" s="1"/>
    </row>
    <row r="296" spans="15:17">
      <c r="O296" s="1"/>
      <c r="P296" s="1"/>
      <c r="Q296" s="1"/>
    </row>
    <row r="297" spans="15:17">
      <c r="O297" s="1"/>
      <c r="P297" s="1"/>
      <c r="Q297" s="1"/>
    </row>
    <row r="298" spans="15:17">
      <c r="O298" s="1"/>
      <c r="P298" s="1"/>
      <c r="Q298" s="1"/>
    </row>
    <row r="299" spans="15:17">
      <c r="O299" s="1"/>
      <c r="P299" s="1"/>
      <c r="Q299" s="1"/>
    </row>
    <row r="300" spans="15:17">
      <c r="O300" s="1"/>
      <c r="P300" s="1"/>
      <c r="Q300" s="1"/>
    </row>
    <row r="301" spans="15:17">
      <c r="O301" s="1"/>
      <c r="P301" s="1"/>
      <c r="Q301" s="1"/>
    </row>
    <row r="302" spans="15:17">
      <c r="O302" s="1"/>
      <c r="P302" s="1"/>
      <c r="Q302" s="1"/>
    </row>
    <row r="303" spans="15:17">
      <c r="O303" s="1"/>
      <c r="P303" s="1"/>
      <c r="Q303" s="1"/>
    </row>
    <row r="304" spans="15:17">
      <c r="O304" s="1"/>
      <c r="P304" s="1"/>
      <c r="Q304" s="1"/>
    </row>
    <row r="305" spans="15:17">
      <c r="O305" s="1"/>
      <c r="P305" s="1"/>
      <c r="Q305" s="1"/>
    </row>
    <row r="306" spans="15:17">
      <c r="O306" s="1"/>
      <c r="P306" s="1"/>
      <c r="Q306" s="1"/>
    </row>
    <row r="307" spans="15:17">
      <c r="O307" s="1"/>
      <c r="P307" s="1"/>
      <c r="Q307" s="1"/>
    </row>
    <row r="308" spans="15:17">
      <c r="O308" s="1"/>
      <c r="P308" s="1"/>
      <c r="Q308" s="1"/>
    </row>
    <row r="309" spans="15:17">
      <c r="O309" s="1"/>
      <c r="P309" s="1"/>
      <c r="Q309" s="1"/>
    </row>
    <row r="310" spans="15:17">
      <c r="O310" s="1"/>
      <c r="P310" s="1"/>
      <c r="Q310" s="1"/>
    </row>
    <row r="311" spans="15:17">
      <c r="O311" s="1"/>
      <c r="P311" s="1"/>
      <c r="Q311" s="1"/>
    </row>
    <row r="312" spans="15:17">
      <c r="O312" s="1"/>
      <c r="P312" s="1"/>
      <c r="Q312" s="1"/>
    </row>
    <row r="313" spans="15:17">
      <c r="O313" s="1"/>
      <c r="P313" s="1"/>
      <c r="Q313" s="1"/>
    </row>
    <row r="314" spans="15:17">
      <c r="O314" s="1"/>
      <c r="P314" s="1"/>
      <c r="Q314" s="1"/>
    </row>
    <row r="315" spans="15:17">
      <c r="O315" s="1"/>
      <c r="P315" s="1"/>
      <c r="Q315" s="1"/>
    </row>
    <row r="316" spans="15:17">
      <c r="O316" s="1"/>
      <c r="P316" s="1"/>
      <c r="Q316" s="1"/>
    </row>
  </sheetData>
  <sheetProtection algorithmName="SHA-512" hashValue="jcoqoiGTu5LewQm0+MnDFlY2AsVRFR9kelmkW5mUYcrZKE26h27eN30b9UxUEbSeCvRxQOeeXiCuZP0yOzsXkQ==" saltValue="EX3QO7u2qDk2AemYT/s25g==" spinCount="100000" sheet="1" selectLockedCells="1"/>
  <protectedRanges>
    <protectedRange sqref="K38 K31:K34 K36" name="Bereik2"/>
  </protectedRanges>
  <autoFilter ref="A9:C32" xr:uid="{300D2172-97DC-4752-BAF3-B9CADBE349B6}">
    <filterColumn colId="0">
      <filters>
        <filter val="p"/>
      </filters>
    </filterColumn>
  </autoFilter>
  <customSheetViews>
    <customSheetView guid="{086F4F81-5F9A-4D79-ABED-02168858C282}" showPageBreaks="1" showGridLines="0" fitToPage="1" printArea="1" hiddenRows="1" topLeftCell="A10">
      <selection activeCell="M42" sqref="M42"/>
      <pageMargins left="0" right="0" top="0" bottom="0" header="0" footer="0"/>
      <pageSetup paperSize="9" orientation="landscape" horizontalDpi="300" verticalDpi="300" r:id="rId1"/>
      <headerFooter alignWithMargins="0"/>
    </customSheetView>
  </customSheetViews>
  <mergeCells count="1">
    <mergeCell ref="C6:E6"/>
  </mergeCells>
  <dataValidations count="4">
    <dataValidation type="list" allowBlank="1" showInputMessage="1" showErrorMessage="1" sqref="R11:R14 R16:R30" xr:uid="{00000000-0002-0000-0600-000000000000}">
      <formula1>$Z$1:$Z$3</formula1>
    </dataValidation>
    <dataValidation type="decimal" allowBlank="1" showInputMessage="1" showErrorMessage="1" sqref="K38 K36 K34" xr:uid="{00000000-0002-0000-0600-000001000000}">
      <formula1>0</formula1>
      <formula2>1</formula2>
    </dataValidation>
    <dataValidation type="list" allowBlank="1" showInputMessage="1" showErrorMessage="1" sqref="I10:I16 I25:I26 I29:I30" xr:uid="{00000000-0002-0000-0600-000005000000}">
      <formula1>$T$3:$T$5</formula1>
    </dataValidation>
    <dataValidation type="decimal" allowBlank="1" showInputMessage="1" showErrorMessage="1" sqref="I27:I28" xr:uid="{4F384193-EEA0-44ED-8B1E-81EE25893126}">
      <formula1>0</formula1>
      <formula2>106</formula2>
    </dataValidation>
  </dataValidations>
  <pageMargins left="0.74803149606299213" right="0.55118110236220474" top="0.59055118110236227" bottom="0.98425196850393704" header="0.51181102362204722" footer="0.51181102362204722"/>
  <pageSetup paperSize="9" scale="65" orientation="portrait"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R62"/>
  <sheetViews>
    <sheetView showGridLines="0" tabSelected="1" zoomScaleNormal="100" workbookViewId="0">
      <selection activeCell="B9" sqref="B9"/>
    </sheetView>
  </sheetViews>
  <sheetFormatPr defaultColWidth="9.140625" defaultRowHeight="15"/>
  <cols>
    <col min="1" max="1" width="2.85546875" style="2" customWidth="1"/>
    <col min="2" max="2" width="13.28515625" style="2" customWidth="1"/>
    <col min="3" max="3" width="7" style="2" customWidth="1"/>
    <col min="4" max="4" width="3.140625" style="2" customWidth="1"/>
    <col min="5" max="7" width="9.140625" style="2"/>
    <col min="8" max="8" width="5.28515625" style="2" customWidth="1"/>
    <col min="9" max="10" width="9.140625" style="2"/>
    <col min="11" max="11" width="11.28515625" style="2" customWidth="1"/>
    <col min="12" max="12" width="9.140625" style="2" hidden="1" customWidth="1"/>
    <col min="13" max="13" width="11.28515625" style="2" hidden="1" customWidth="1"/>
    <col min="14" max="18" width="9.140625" style="2" hidden="1" customWidth="1"/>
    <col min="19" max="16384" width="9.140625" style="2"/>
  </cols>
  <sheetData>
    <row r="1" spans="2:17">
      <c r="B1" s="17" t="s">
        <v>64</v>
      </c>
      <c r="D1" s="2" t="str">
        <f>basis!B6</f>
        <v>Behorende bij selectieleidraad nieuwbouw IKC Tuindorp</v>
      </c>
    </row>
    <row r="2" spans="2:17">
      <c r="B2" s="38" t="str">
        <f>basis!B3</f>
        <v>2024.TUIN.01</v>
      </c>
      <c r="C2" s="39"/>
      <c r="D2" s="2" t="str">
        <f>basis!B5</f>
        <v>Nieuwbouw +Renovatie IKC Tuindorp</v>
      </c>
      <c r="E2" s="38"/>
      <c r="F2" s="38"/>
      <c r="G2" s="38"/>
      <c r="H2" s="38"/>
      <c r="I2" s="38"/>
      <c r="J2" s="38"/>
      <c r="K2" s="38"/>
      <c r="N2" s="2" t="s">
        <v>65</v>
      </c>
    </row>
    <row r="3" spans="2:17">
      <c r="B3" s="40" t="s">
        <v>66</v>
      </c>
      <c r="C3" s="41"/>
      <c r="D3" s="41"/>
      <c r="E3" s="41"/>
      <c r="F3" s="41"/>
      <c r="G3" s="41"/>
      <c r="H3" s="41"/>
      <c r="I3" s="41"/>
      <c r="J3" s="41"/>
      <c r="K3" s="41"/>
      <c r="N3" s="2" t="s">
        <v>11</v>
      </c>
      <c r="Q3" s="2" t="s">
        <v>67</v>
      </c>
    </row>
    <row r="4" spans="2:17">
      <c r="B4" s="2" t="s">
        <v>68</v>
      </c>
      <c r="M4" s="2" t="s">
        <v>69</v>
      </c>
      <c r="N4" s="2" t="s">
        <v>16</v>
      </c>
    </row>
    <row r="5" spans="2:17" ht="19.5">
      <c r="B5" s="47" t="s">
        <v>11</v>
      </c>
      <c r="C5" s="258" t="str">
        <f>IF(M5=0," ●","")</f>
        <v xml:space="preserve"> ●</v>
      </c>
      <c r="D5" s="2" t="s">
        <v>70</v>
      </c>
      <c r="M5" s="2">
        <f>IF(B5="nee",2,IF(B5="ja",1,0))</f>
        <v>0</v>
      </c>
      <c r="N5" s="2" t="s">
        <v>20</v>
      </c>
      <c r="Q5" s="2">
        <f>IF(C5&lt;&gt;"",1,0)</f>
        <v>1</v>
      </c>
    </row>
    <row r="6" spans="2:17">
      <c r="B6" s="193" t="str">
        <f>IF(M5=2,"U meldt zich aan als combinatie",IF(M5=1,"U meldt zich aan als zelfstandig bedrijf",""))</f>
        <v/>
      </c>
    </row>
    <row r="7" spans="2:17">
      <c r="B7" s="17" t="str">
        <f>IF(M5=2,"Beide combinanten dienen Aanmeldingformulier A1 in te vullen","")</f>
        <v/>
      </c>
    </row>
    <row r="8" spans="2:17" ht="15" customHeight="1">
      <c r="B8" s="17" t="str">
        <f>IF(M5=2,"Combinant 1 wordt gezien als de penvoerder van de combinatie","")</f>
        <v/>
      </c>
      <c r="E8" s="248"/>
      <c r="F8" s="248"/>
      <c r="G8" s="248"/>
      <c r="H8" s="248"/>
      <c r="I8" s="248"/>
      <c r="J8" s="248"/>
      <c r="K8" s="248"/>
    </row>
    <row r="9" spans="2:17" ht="29.25" customHeight="1">
      <c r="B9" s="47" t="s">
        <v>11</v>
      </c>
      <c r="C9" s="258" t="str">
        <f>IF(M9=0," ●","")</f>
        <v xml:space="preserve"> ●</v>
      </c>
      <c r="D9" s="265" t="s">
        <v>71</v>
      </c>
      <c r="E9" s="265"/>
      <c r="F9" s="265"/>
      <c r="G9" s="265"/>
      <c r="H9" s="265"/>
      <c r="I9" s="265"/>
      <c r="J9" s="265"/>
      <c r="K9" s="265"/>
      <c r="M9" s="2">
        <f>IF(B9="nee",2,IF(B9="ja",1,0))</f>
        <v>0</v>
      </c>
      <c r="Q9" s="2">
        <f>IF(C9&lt;&gt;"",1,0)</f>
        <v>1</v>
      </c>
    </row>
    <row r="10" spans="2:17">
      <c r="B10" s="193" t="str">
        <f>IF(M9=1,"U maakt gebruik van derden",IF(M9=2,"U maakt geen gebruik van derden",""))</f>
        <v/>
      </c>
    </row>
    <row r="11" spans="2:17">
      <c r="B11" s="259" t="str">
        <f>IF(M9=1,"U dient formulier A2 volledig in te vullen","")</f>
        <v/>
      </c>
      <c r="C11" s="144"/>
      <c r="D11" s="144"/>
      <c r="E11" s="144"/>
      <c r="F11" s="144"/>
      <c r="G11" s="144"/>
      <c r="H11" s="144"/>
      <c r="I11" s="144"/>
      <c r="J11" s="144"/>
      <c r="K11" s="144"/>
    </row>
    <row r="12" spans="2:17" ht="19.5">
      <c r="B12" s="44" t="s">
        <v>72</v>
      </c>
      <c r="O12" s="51" t="s">
        <v>73</v>
      </c>
    </row>
    <row r="13" spans="2:17" ht="15" customHeight="1">
      <c r="B13" s="43" t="s">
        <v>74</v>
      </c>
    </row>
    <row r="14" spans="2:17" ht="15" customHeight="1">
      <c r="B14" s="2" t="s">
        <v>75</v>
      </c>
      <c r="D14" s="51" t="str">
        <f>IF(E14="","●","")</f>
        <v>●</v>
      </c>
      <c r="E14" s="263"/>
      <c r="F14" s="263"/>
      <c r="G14" s="263"/>
      <c r="H14" s="263"/>
      <c r="I14" s="263"/>
      <c r="J14" s="263"/>
      <c r="K14" s="263"/>
      <c r="M14" s="2">
        <f>IF(E14="",0,1)</f>
        <v>0</v>
      </c>
      <c r="Q14" s="2">
        <f>IF(D14&lt;&gt;"",1,0)</f>
        <v>1</v>
      </c>
    </row>
    <row r="15" spans="2:17" ht="5.0999999999999996" customHeight="1"/>
    <row r="16" spans="2:17" ht="15" customHeight="1">
      <c r="B16" s="2" t="s">
        <v>76</v>
      </c>
      <c r="D16" s="51" t="str">
        <f>IF(E16="","●","")</f>
        <v>●</v>
      </c>
      <c r="E16" s="263"/>
      <c r="F16" s="263"/>
      <c r="G16" s="263"/>
      <c r="H16" s="263"/>
      <c r="I16" s="263"/>
      <c r="J16" s="263"/>
      <c r="K16" s="263"/>
      <c r="M16" s="2">
        <f t="shared" ref="M16:M42" si="0">IF(E16="",0,1)</f>
        <v>0</v>
      </c>
      <c r="Q16" s="2">
        <f>IF(D16&lt;&gt;"",1,0)</f>
        <v>1</v>
      </c>
    </row>
    <row r="17" spans="2:17" ht="5.0999999999999996" customHeight="1"/>
    <row r="18" spans="2:17" ht="15" customHeight="1">
      <c r="B18" s="2" t="s">
        <v>77</v>
      </c>
      <c r="D18" s="51" t="str">
        <f>IF(E18="","●","")</f>
        <v>●</v>
      </c>
      <c r="E18" s="263"/>
      <c r="F18" s="263"/>
      <c r="G18" s="263"/>
      <c r="H18" s="263"/>
      <c r="I18" s="263"/>
      <c r="J18" s="263"/>
      <c r="K18" s="263"/>
      <c r="M18" s="2">
        <f t="shared" si="0"/>
        <v>0</v>
      </c>
      <c r="Q18" s="2">
        <f>IF(D18&lt;&gt;"",1,0)</f>
        <v>1</v>
      </c>
    </row>
    <row r="19" spans="2:17" ht="5.0999999999999996" customHeight="1"/>
    <row r="20" spans="2:17" ht="15" customHeight="1">
      <c r="B20" s="2" t="s">
        <v>78</v>
      </c>
      <c r="D20" s="51" t="str">
        <f>IF(E20="","●","")</f>
        <v>●</v>
      </c>
      <c r="E20" s="263"/>
      <c r="F20" s="263"/>
      <c r="G20" s="263"/>
      <c r="H20" s="263"/>
      <c r="I20" s="263"/>
      <c r="J20" s="263"/>
      <c r="K20" s="263"/>
      <c r="M20" s="2">
        <f t="shared" si="0"/>
        <v>0</v>
      </c>
      <c r="Q20" s="2">
        <f>IF(D20&lt;&gt;"",1,0)</f>
        <v>1</v>
      </c>
    </row>
    <row r="21" spans="2:17" ht="5.0999999999999996" customHeight="1"/>
    <row r="22" spans="2:17" ht="15" customHeight="1">
      <c r="B22" s="2" t="s">
        <v>79</v>
      </c>
      <c r="D22" s="51" t="str">
        <f>IF(E22="","●","")</f>
        <v>●</v>
      </c>
      <c r="E22" s="263"/>
      <c r="F22" s="263"/>
      <c r="G22" s="263"/>
      <c r="H22" s="263"/>
      <c r="I22" s="263"/>
      <c r="J22" s="263"/>
      <c r="K22" s="263"/>
      <c r="M22" s="2">
        <f t="shared" si="0"/>
        <v>0</v>
      </c>
      <c r="Q22" s="2">
        <f>IF(D22&lt;&gt;"",1,0)</f>
        <v>1</v>
      </c>
    </row>
    <row r="23" spans="2:17" ht="5.0999999999999996" customHeight="1"/>
    <row r="24" spans="2:17" ht="15" customHeight="1">
      <c r="B24" s="2" t="s">
        <v>80</v>
      </c>
      <c r="D24" s="51" t="str">
        <f>IF(E24="","●","")</f>
        <v>●</v>
      </c>
      <c r="E24" s="263"/>
      <c r="F24" s="263"/>
      <c r="G24" s="263"/>
      <c r="H24" s="263"/>
      <c r="I24" s="263"/>
      <c r="J24" s="263"/>
      <c r="K24" s="263"/>
      <c r="M24" s="2">
        <f t="shared" si="0"/>
        <v>0</v>
      </c>
      <c r="Q24" s="2">
        <f>IF(D24&lt;&gt;"",1,0)</f>
        <v>1</v>
      </c>
    </row>
    <row r="25" spans="2:17" ht="5.0999999999999996" customHeight="1"/>
    <row r="26" spans="2:17" ht="15" customHeight="1">
      <c r="B26" s="45" t="s">
        <v>81</v>
      </c>
    </row>
    <row r="27" spans="2:17" ht="15" customHeight="1">
      <c r="B27" s="2" t="s">
        <v>82</v>
      </c>
      <c r="D27" s="51" t="str">
        <f>IF(E27="","●","")</f>
        <v>●</v>
      </c>
      <c r="E27" s="263"/>
      <c r="F27" s="263"/>
      <c r="G27" s="263"/>
      <c r="H27" s="263"/>
      <c r="I27" s="263"/>
      <c r="J27" s="263"/>
      <c r="K27" s="263"/>
      <c r="M27" s="2">
        <f t="shared" si="0"/>
        <v>0</v>
      </c>
      <c r="Q27" s="2">
        <f>IF(D27&lt;&gt;"",1,0)</f>
        <v>1</v>
      </c>
    </row>
    <row r="28" spans="2:17" ht="5.0999999999999996" customHeight="1"/>
    <row r="29" spans="2:17" ht="15" customHeight="1">
      <c r="B29" s="2" t="s">
        <v>83</v>
      </c>
      <c r="D29" s="51" t="str">
        <f>IF(E29="","●","")</f>
        <v>●</v>
      </c>
      <c r="E29" s="263"/>
      <c r="F29" s="263"/>
      <c r="G29" s="263"/>
      <c r="H29" s="263"/>
      <c r="I29" s="263"/>
      <c r="J29" s="263"/>
      <c r="K29" s="263"/>
      <c r="M29" s="2">
        <f t="shared" si="0"/>
        <v>0</v>
      </c>
      <c r="Q29" s="2">
        <f>IF(D29&lt;&gt;"",1,0)</f>
        <v>1</v>
      </c>
    </row>
    <row r="30" spans="2:17" ht="5.0999999999999996" customHeight="1"/>
    <row r="31" spans="2:17" ht="15" customHeight="1">
      <c r="B31" s="2" t="s">
        <v>84</v>
      </c>
      <c r="D31" s="51" t="str">
        <f>IF(E31="","●","")</f>
        <v>●</v>
      </c>
      <c r="E31" s="263"/>
      <c r="F31" s="263"/>
      <c r="G31" s="263"/>
      <c r="H31" s="263"/>
      <c r="I31" s="263"/>
      <c r="J31" s="263"/>
      <c r="K31" s="263"/>
      <c r="M31" s="2">
        <f t="shared" si="0"/>
        <v>0</v>
      </c>
      <c r="Q31" s="2">
        <f>IF(D31&lt;&gt;"",1,0)</f>
        <v>1</v>
      </c>
    </row>
    <row r="32" spans="2:17" ht="5.0999999999999996" customHeight="1"/>
    <row r="33" spans="2:18" ht="15" customHeight="1">
      <c r="B33" s="2" t="s">
        <v>85</v>
      </c>
      <c r="D33" s="51" t="str">
        <f>IF(E33="","●","")</f>
        <v>●</v>
      </c>
      <c r="E33" s="263"/>
      <c r="F33" s="263"/>
      <c r="G33" s="263"/>
      <c r="H33" s="263"/>
      <c r="I33" s="263"/>
      <c r="J33" s="263"/>
      <c r="K33" s="263"/>
      <c r="M33" s="2">
        <f t="shared" si="0"/>
        <v>0</v>
      </c>
      <c r="Q33" s="2">
        <f>IF(D33&lt;&gt;"",1,0)</f>
        <v>1</v>
      </c>
    </row>
    <row r="34" spans="2:18" ht="9" customHeight="1"/>
    <row r="35" spans="2:18" ht="15" customHeight="1">
      <c r="B35" s="45" t="s">
        <v>86</v>
      </c>
    </row>
    <row r="36" spans="2:18" ht="15" customHeight="1">
      <c r="B36" s="2" t="s">
        <v>87</v>
      </c>
      <c r="D36" s="51" t="str">
        <f>IF(E36="","●","")</f>
        <v>●</v>
      </c>
      <c r="E36" s="263"/>
      <c r="F36" s="263"/>
      <c r="G36" s="263"/>
      <c r="H36" s="263"/>
      <c r="I36" s="263"/>
      <c r="J36" s="263"/>
      <c r="K36" s="263"/>
      <c r="M36" s="2">
        <f t="shared" si="0"/>
        <v>0</v>
      </c>
      <c r="Q36" s="2">
        <f>IF(D36&lt;&gt;"",1,0)</f>
        <v>1</v>
      </c>
    </row>
    <row r="37" spans="2:18" ht="5.0999999999999996" customHeight="1"/>
    <row r="38" spans="2:18" ht="15" customHeight="1">
      <c r="B38" s="2" t="s">
        <v>83</v>
      </c>
      <c r="D38" s="51" t="str">
        <f>IF(E38="","●","")</f>
        <v>●</v>
      </c>
      <c r="E38" s="263"/>
      <c r="F38" s="263"/>
      <c r="G38" s="263"/>
      <c r="H38" s="263"/>
      <c r="I38" s="263"/>
      <c r="J38" s="263"/>
      <c r="K38" s="263"/>
      <c r="M38" s="2">
        <f t="shared" si="0"/>
        <v>0</v>
      </c>
      <c r="Q38" s="2">
        <f>IF(D38&lt;&gt;"",1,0)</f>
        <v>1</v>
      </c>
    </row>
    <row r="39" spans="2:18" ht="5.0999999999999996" customHeight="1"/>
    <row r="40" spans="2:18" ht="15" customHeight="1">
      <c r="B40" s="2" t="s">
        <v>85</v>
      </c>
      <c r="D40" s="51" t="str">
        <f>IF(E40="","●","")</f>
        <v>●</v>
      </c>
      <c r="E40" s="263"/>
      <c r="F40" s="263"/>
      <c r="G40" s="263"/>
      <c r="H40" s="263"/>
      <c r="I40" s="263"/>
      <c r="J40" s="263"/>
      <c r="K40" s="263"/>
      <c r="M40" s="2">
        <f t="shared" si="0"/>
        <v>0</v>
      </c>
      <c r="Q40" s="2">
        <f>IF(D40&lt;&gt;"",1,0)</f>
        <v>1</v>
      </c>
    </row>
    <row r="41" spans="2:18" ht="5.0999999999999996" customHeight="1"/>
    <row r="42" spans="2:18" ht="15" customHeight="1">
      <c r="B42" s="2" t="s">
        <v>84</v>
      </c>
      <c r="D42" s="51" t="str">
        <f>IF(E42="","●","")</f>
        <v>●</v>
      </c>
      <c r="E42" s="263"/>
      <c r="F42" s="263"/>
      <c r="G42" s="263"/>
      <c r="H42" s="263"/>
      <c r="I42" s="263"/>
      <c r="J42" s="263"/>
      <c r="K42" s="263"/>
      <c r="M42" s="2">
        <f t="shared" si="0"/>
        <v>0</v>
      </c>
      <c r="Q42" s="2">
        <f>IF(D42&lt;&gt;"",1,0)</f>
        <v>1</v>
      </c>
    </row>
    <row r="43" spans="2:18" ht="6.75" customHeight="1"/>
    <row r="44" spans="2:18">
      <c r="B44" s="45" t="s">
        <v>88</v>
      </c>
    </row>
    <row r="45" spans="2:18" ht="15.75" customHeight="1">
      <c r="B45" s="266" t="str">
        <f>IF(M5=2,"Zowel het aanmeldingsformulier van de combinatie als de aanmeldingsformulieren van elke combinant dienen hier door de rechtsgeldig vertegenwoordiger van elke combinant ondertekend te worden:","")</f>
        <v/>
      </c>
      <c r="C45" s="266"/>
      <c r="D45" s="266"/>
      <c r="E45" s="266"/>
      <c r="F45" s="266"/>
      <c r="G45" s="266"/>
      <c r="H45" s="266"/>
      <c r="I45" s="266"/>
      <c r="J45" s="266"/>
      <c r="K45" s="266"/>
    </row>
    <row r="46" spans="2:18" ht="20.25" customHeight="1">
      <c r="B46" s="129"/>
      <c r="C46" s="129"/>
      <c r="D46" s="129"/>
      <c r="E46" s="2" t="str">
        <f>IF(M5=2,"Combinant 1","")</f>
        <v/>
      </c>
      <c r="F46" s="129"/>
      <c r="G46" s="129"/>
      <c r="H46" s="129"/>
      <c r="I46" s="2" t="str">
        <f>IF(M5=2,"Combinant 2","")</f>
        <v/>
      </c>
      <c r="J46" s="2" t="str">
        <f t="shared" ref="J46:R46" si="1">IF(N5=2,"Combinant 2","")</f>
        <v/>
      </c>
      <c r="K46" s="2" t="str">
        <f t="shared" si="1"/>
        <v/>
      </c>
      <c r="L46" s="2" t="str">
        <f t="shared" si="1"/>
        <v/>
      </c>
      <c r="M46" s="2" t="str">
        <f t="shared" si="1"/>
        <v/>
      </c>
      <c r="N46" s="2" t="str">
        <f t="shared" si="1"/>
        <v/>
      </c>
      <c r="O46" s="2" t="str">
        <f t="shared" si="1"/>
        <v/>
      </c>
      <c r="P46" s="2" t="str">
        <f t="shared" si="1"/>
        <v/>
      </c>
      <c r="Q46" s="2" t="str">
        <f t="shared" si="1"/>
        <v/>
      </c>
      <c r="R46" s="2" t="str">
        <f t="shared" si="1"/>
        <v/>
      </c>
    </row>
    <row r="47" spans="2:18">
      <c r="B47" s="2" t="s">
        <v>75</v>
      </c>
      <c r="E47" s="17">
        <f>E14</f>
        <v>0</v>
      </c>
    </row>
    <row r="48" spans="2:18" ht="5.0999999999999996" customHeight="1">
      <c r="E48" s="17"/>
    </row>
    <row r="49" spans="2:17">
      <c r="B49" s="2" t="s">
        <v>89</v>
      </c>
      <c r="E49" s="17">
        <f>E27</f>
        <v>0</v>
      </c>
    </row>
    <row r="50" spans="2:17" ht="5.0999999999999996" customHeight="1">
      <c r="E50" s="17"/>
    </row>
    <row r="51" spans="2:17" ht="19.5">
      <c r="B51" s="2" t="s">
        <v>90</v>
      </c>
      <c r="D51" s="51" t="str">
        <f>IF(E51="","●","")</f>
        <v>●</v>
      </c>
      <c r="E51" s="267"/>
      <c r="F51" s="267"/>
      <c r="G51" s="267"/>
      <c r="Q51" s="2">
        <f>IF(D51&lt;&gt;"",1,0)</f>
        <v>1</v>
      </c>
    </row>
    <row r="52" spans="2:17" ht="5.0999999999999996" customHeight="1"/>
    <row r="53" spans="2:17">
      <c r="B53" s="2" t="s">
        <v>91</v>
      </c>
      <c r="E53" s="268"/>
      <c r="F53" s="268"/>
      <c r="G53" s="268"/>
    </row>
    <row r="54" spans="2:17">
      <c r="E54" s="268"/>
      <c r="F54" s="268"/>
      <c r="G54" s="268"/>
    </row>
    <row r="55" spans="2:17" ht="6" customHeight="1">
      <c r="E55" s="260"/>
      <c r="F55" s="260"/>
      <c r="G55" s="260"/>
      <c r="I55" s="260"/>
      <c r="J55" s="260"/>
      <c r="K55" s="260"/>
    </row>
    <row r="56" spans="2:17" ht="19.5">
      <c r="E56" s="2" t="s">
        <v>92</v>
      </c>
      <c r="G56" s="48" t="s">
        <v>11</v>
      </c>
      <c r="H56" s="51" t="str">
        <f>IF(G56="maak keus","●","")</f>
        <v>●</v>
      </c>
      <c r="Q56" s="2">
        <f>IF(H56&lt;&gt;"",1,0)</f>
        <v>1</v>
      </c>
    </row>
    <row r="57" spans="2:17">
      <c r="B57" s="264" t="str">
        <f>IF(Q57&lt;&gt;0,"NOG NIET ALLE VAKKEN ZIJN INGEVULD","")</f>
        <v>NOG NIET ALLE VAKKEN ZIJN INGEVULD</v>
      </c>
      <c r="C57" s="264"/>
      <c r="D57" s="264"/>
      <c r="E57" s="264"/>
      <c r="F57" s="264"/>
      <c r="G57" s="264"/>
      <c r="H57" s="264"/>
      <c r="I57" s="264"/>
      <c r="J57" s="264"/>
      <c r="K57" s="264"/>
      <c r="Q57" s="2">
        <f>SUM(Q4:Q56)</f>
        <v>18</v>
      </c>
    </row>
    <row r="58" spans="2:17" ht="5.0999999999999996" customHeight="1"/>
    <row r="60" spans="2:17" ht="5.0999999999999996" customHeight="1">
      <c r="I60" s="46"/>
      <c r="J60" s="46"/>
      <c r="K60" s="46"/>
    </row>
    <row r="61" spans="2:17">
      <c r="E61" s="46"/>
      <c r="F61" s="46"/>
      <c r="G61" s="46"/>
      <c r="I61" s="46"/>
      <c r="J61" s="46"/>
      <c r="K61" s="46"/>
    </row>
    <row r="62" spans="2:17">
      <c r="E62" s="46"/>
      <c r="F62" s="46"/>
      <c r="G62" s="46"/>
      <c r="I62" s="46"/>
      <c r="J62" s="46"/>
      <c r="K62" s="46"/>
    </row>
  </sheetData>
  <sheetProtection algorithmName="SHA-512" hashValue="YhoT8eN2vQqjljQl/wryxyIt5X9HZxSoJcmugfANaauB3ZTz0dl3xhOYvc1GV0D5avJnV8uXh1/+k0dQECIlzA==" saltValue="QKs2XH6Il/GUJOmGyAfGzA==" spinCount="100000" sheet="1" selectLockedCells="1"/>
  <customSheetViews>
    <customSheetView guid="{086F4F81-5F9A-4D79-ABED-02168858C282}" showPageBreaks="1" showGridLines="0" fitToPage="1" printArea="1" hiddenColumns="1" view="pageLayout">
      <selection activeCell="G6" sqref="G6"/>
      <pageMargins left="0" right="0" top="0" bottom="0" header="0" footer="0"/>
      <pageSetup paperSize="9" orientation="portrait" r:id="rId1"/>
    </customSheetView>
  </customSheetViews>
  <mergeCells count="19">
    <mergeCell ref="B57:K57"/>
    <mergeCell ref="D9:K9"/>
    <mergeCell ref="B45:K45"/>
    <mergeCell ref="E51:G51"/>
    <mergeCell ref="E53:G54"/>
    <mergeCell ref="E42:K42"/>
    <mergeCell ref="E14:K14"/>
    <mergeCell ref="E16:K16"/>
    <mergeCell ref="E27:K27"/>
    <mergeCell ref="E33:K33"/>
    <mergeCell ref="E31:K31"/>
    <mergeCell ref="E29:K29"/>
    <mergeCell ref="E38:K38"/>
    <mergeCell ref="E40:K40"/>
    <mergeCell ref="E18:K18"/>
    <mergeCell ref="E20:K20"/>
    <mergeCell ref="E22:K22"/>
    <mergeCell ref="E24:K24"/>
    <mergeCell ref="E36:K36"/>
  </mergeCells>
  <conditionalFormatting sqref="B57">
    <cfRule type="expression" dxfId="3" priority="1">
      <formula>B57="NOG NIET ALLE VAKKEN ZIJN INGEVULD"</formula>
    </cfRule>
  </conditionalFormatting>
  <conditionalFormatting sqref="Q57">
    <cfRule type="expression" dxfId="2" priority="2">
      <formula>"NOG NIET ALLE VAKKEN ZIJN INGEVULD"</formula>
    </cfRule>
  </conditionalFormatting>
  <dataValidations count="1">
    <dataValidation type="list" allowBlank="1" showInputMessage="1" showErrorMessage="1" sqref="B5 B9 G56" xr:uid="{00000000-0002-0000-0100-000000000000}">
      <formula1>$N$3:$N$5</formula1>
    </dataValidation>
  </dataValidations>
  <pageMargins left="0.74803149606299213" right="0.55118110236220474" top="0.59055118110236227" bottom="0.98425196850393704" header="0.51181102362204722" footer="0.51181102362204722"/>
  <pageSetup paperSize="9" orientation="portrait" horizontalDpi="300" verticalDpi="300" r:id="rId2"/>
  <headerFooter alignWithMargins="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1:Q46"/>
  <sheetViews>
    <sheetView showGridLines="0" workbookViewId="0">
      <selection activeCell="E12" sqref="E12:K12"/>
    </sheetView>
  </sheetViews>
  <sheetFormatPr defaultColWidth="9.140625" defaultRowHeight="15"/>
  <cols>
    <col min="1" max="1" width="4.140625" style="2" customWidth="1"/>
    <col min="2" max="2" width="13.28515625" style="2" customWidth="1"/>
    <col min="3" max="3" width="7.5703125" style="2" customWidth="1"/>
    <col min="4" max="4" width="4.7109375" style="2" customWidth="1"/>
    <col min="5" max="7" width="9.140625" style="2"/>
    <col min="8" max="8" width="5.28515625" style="2" customWidth="1"/>
    <col min="9" max="10" width="9.140625" style="2"/>
    <col min="11" max="11" width="11.28515625" style="2" customWidth="1"/>
    <col min="12" max="12" width="0" style="2" hidden="1" customWidth="1"/>
    <col min="13" max="13" width="11.28515625" style="2" hidden="1" customWidth="1"/>
    <col min="14" max="19" width="0" style="2" hidden="1" customWidth="1"/>
    <col min="20" max="16384" width="9.140625" style="2"/>
  </cols>
  <sheetData>
    <row r="1" spans="2:17">
      <c r="B1" s="17" t="s">
        <v>93</v>
      </c>
      <c r="D1" s="2" t="str">
        <f>basis!B6</f>
        <v>Behorende bij selectieleidraad nieuwbouw IKC Tuindorp</v>
      </c>
    </row>
    <row r="2" spans="2:17">
      <c r="B2" s="38" t="str">
        <f>basis!B3</f>
        <v>2024.TUIN.01</v>
      </c>
      <c r="C2" s="39"/>
      <c r="D2" s="2" t="str">
        <f>basis!B5</f>
        <v>Nieuwbouw +Renovatie IKC Tuindorp</v>
      </c>
      <c r="E2" s="38"/>
      <c r="F2" s="38"/>
      <c r="G2" s="38"/>
      <c r="H2" s="38"/>
      <c r="I2" s="38"/>
      <c r="J2" s="38"/>
      <c r="K2" s="38"/>
      <c r="N2" s="2" t="s">
        <v>65</v>
      </c>
    </row>
    <row r="3" spans="2:17">
      <c r="B3" s="40" t="s">
        <v>94</v>
      </c>
      <c r="C3" s="41"/>
      <c r="D3" s="41"/>
      <c r="E3" s="41"/>
      <c r="F3" s="41"/>
      <c r="G3" s="41"/>
      <c r="H3" s="41"/>
      <c r="I3" s="41"/>
      <c r="J3" s="41"/>
      <c r="K3" s="41"/>
      <c r="N3" s="2" t="s">
        <v>11</v>
      </c>
    </row>
    <row r="4" spans="2:17">
      <c r="B4" s="17" t="s">
        <v>95</v>
      </c>
      <c r="K4" s="50" t="str">
        <f>IF('A1'!M9=1,"U heeft op A1 aangegeven derden te gebruiken","U heeft op A1 aangegeven geen derden te gebruiken")</f>
        <v>U heeft op A1 aangegeven geen derden te gebruiken</v>
      </c>
    </row>
    <row r="5" spans="2:17">
      <c r="B5" s="2" t="s">
        <v>96</v>
      </c>
      <c r="M5" s="2" t="s">
        <v>69</v>
      </c>
      <c r="N5" s="2" t="s">
        <v>16</v>
      </c>
    </row>
    <row r="6" spans="2:17">
      <c r="B6" s="44" t="s">
        <v>97</v>
      </c>
    </row>
    <row r="7" spans="2:17" ht="15" customHeight="1">
      <c r="B7" s="43" t="s">
        <v>74</v>
      </c>
    </row>
    <row r="8" spans="2:17" ht="15" customHeight="1">
      <c r="B8" s="2" t="s">
        <v>75</v>
      </c>
      <c r="D8" s="51" t="str">
        <f>IF(E8="","●","")</f>
        <v>●</v>
      </c>
      <c r="E8" s="263"/>
      <c r="F8" s="263"/>
      <c r="G8" s="263"/>
      <c r="H8" s="263"/>
      <c r="I8" s="263"/>
      <c r="J8" s="263"/>
      <c r="K8" s="263"/>
      <c r="Q8" s="2">
        <f>IF(D8&lt;&gt;"",1,0)</f>
        <v>1</v>
      </c>
    </row>
    <row r="9" spans="2:17" ht="5.0999999999999996" customHeight="1"/>
    <row r="10" spans="2:17" ht="15" customHeight="1">
      <c r="B10" s="2" t="s">
        <v>76</v>
      </c>
      <c r="D10" s="51" t="str">
        <f>IF(E10="","●","")</f>
        <v>●</v>
      </c>
      <c r="E10" s="263"/>
      <c r="F10" s="263"/>
      <c r="G10" s="263"/>
      <c r="H10" s="263"/>
      <c r="I10" s="263"/>
      <c r="J10" s="263"/>
      <c r="K10" s="263"/>
      <c r="Q10" s="2">
        <f>IF(D10&lt;&gt;"",1,0)</f>
        <v>1</v>
      </c>
    </row>
    <row r="11" spans="2:17" ht="5.0999999999999996" customHeight="1"/>
    <row r="12" spans="2:17" ht="15" customHeight="1">
      <c r="B12" s="2" t="s">
        <v>77</v>
      </c>
      <c r="D12" s="51" t="str">
        <f>IF(E12="","●","")</f>
        <v>●</v>
      </c>
      <c r="E12" s="263"/>
      <c r="F12" s="263"/>
      <c r="G12" s="263"/>
      <c r="H12" s="263"/>
      <c r="I12" s="263"/>
      <c r="J12" s="263"/>
      <c r="K12" s="263"/>
      <c r="Q12" s="2">
        <f>IF(D12&lt;&gt;"",1,0)</f>
        <v>1</v>
      </c>
    </row>
    <row r="13" spans="2:17" ht="5.0999999999999996" customHeight="1"/>
    <row r="14" spans="2:17" ht="15" customHeight="1">
      <c r="B14" s="2" t="s">
        <v>78</v>
      </c>
      <c r="D14" s="51" t="str">
        <f>IF(E14="","●","")</f>
        <v>●</v>
      </c>
      <c r="E14" s="263"/>
      <c r="F14" s="263"/>
      <c r="G14" s="263"/>
      <c r="H14" s="263"/>
      <c r="I14" s="263"/>
      <c r="J14" s="263"/>
      <c r="K14" s="263"/>
      <c r="Q14" s="2">
        <f>IF(D14&lt;&gt;"",1,0)</f>
        <v>1</v>
      </c>
    </row>
    <row r="15" spans="2:17" ht="5.0999999999999996" customHeight="1"/>
    <row r="16" spans="2:17" ht="15" customHeight="1">
      <c r="B16" s="2" t="s">
        <v>79</v>
      </c>
      <c r="D16" s="51" t="str">
        <f>IF(E16="","●","")</f>
        <v>●</v>
      </c>
      <c r="E16" s="263"/>
      <c r="F16" s="263"/>
      <c r="G16" s="263"/>
      <c r="H16" s="263"/>
      <c r="I16" s="263"/>
      <c r="J16" s="263"/>
      <c r="K16" s="263"/>
      <c r="Q16" s="2">
        <f>IF(D16&lt;&gt;"",1,0)</f>
        <v>1</v>
      </c>
    </row>
    <row r="17" spans="2:17" ht="5.0999999999999996" customHeight="1"/>
    <row r="18" spans="2:17" ht="15" customHeight="1">
      <c r="B18" s="2" t="s">
        <v>80</v>
      </c>
      <c r="D18" s="51" t="str">
        <f>IF(E18="","●","")</f>
        <v>●</v>
      </c>
      <c r="E18" s="263"/>
      <c r="F18" s="263"/>
      <c r="G18" s="263"/>
      <c r="H18" s="263"/>
      <c r="I18" s="263"/>
      <c r="J18" s="263"/>
      <c r="K18" s="263"/>
      <c r="Q18" s="2">
        <f>IF(D18&lt;&gt;"",1,0)</f>
        <v>1</v>
      </c>
    </row>
    <row r="19" spans="2:17" ht="5.0999999999999996" customHeight="1"/>
    <row r="20" spans="2:17" ht="15" customHeight="1">
      <c r="B20" s="45" t="s">
        <v>81</v>
      </c>
    </row>
    <row r="21" spans="2:17" ht="15" customHeight="1">
      <c r="B21" s="2" t="s">
        <v>82</v>
      </c>
      <c r="D21" s="51" t="str">
        <f>IF(E21="","●","")</f>
        <v>●</v>
      </c>
      <c r="E21" s="263"/>
      <c r="F21" s="263"/>
      <c r="G21" s="263"/>
      <c r="H21" s="263"/>
      <c r="I21" s="263"/>
      <c r="J21" s="263"/>
      <c r="K21" s="263"/>
      <c r="Q21" s="2">
        <f>IF(D21&lt;&gt;"",1,0)</f>
        <v>1</v>
      </c>
    </row>
    <row r="22" spans="2:17" ht="5.0999999999999996" customHeight="1"/>
    <row r="23" spans="2:17" ht="15" customHeight="1">
      <c r="B23" s="2" t="s">
        <v>83</v>
      </c>
      <c r="D23" s="51" t="str">
        <f>IF(E23="","●","")</f>
        <v>●</v>
      </c>
      <c r="E23" s="263"/>
      <c r="F23" s="263"/>
      <c r="G23" s="263"/>
      <c r="H23" s="263"/>
      <c r="I23" s="263"/>
      <c r="J23" s="263"/>
      <c r="K23" s="263"/>
      <c r="Q23" s="2">
        <f>IF(D23&lt;&gt;"",1,0)</f>
        <v>1</v>
      </c>
    </row>
    <row r="24" spans="2:17" ht="5.0999999999999996" customHeight="1"/>
    <row r="25" spans="2:17" ht="15" customHeight="1">
      <c r="B25" s="2" t="s">
        <v>84</v>
      </c>
      <c r="D25" s="51" t="str">
        <f>IF(E25="","●","")</f>
        <v>●</v>
      </c>
      <c r="E25" s="263"/>
      <c r="F25" s="263"/>
      <c r="G25" s="263"/>
      <c r="H25" s="263"/>
      <c r="I25" s="263"/>
      <c r="J25" s="263"/>
      <c r="K25" s="263"/>
      <c r="Q25" s="2">
        <f>IF(D25&lt;&gt;"",1,0)</f>
        <v>1</v>
      </c>
    </row>
    <row r="26" spans="2:17" ht="5.0999999999999996" customHeight="1"/>
    <row r="27" spans="2:17" ht="15" customHeight="1">
      <c r="B27" s="2" t="s">
        <v>85</v>
      </c>
      <c r="D27" s="51" t="str">
        <f>IF(E27="","●","")</f>
        <v>●</v>
      </c>
      <c r="E27" s="263"/>
      <c r="F27" s="263"/>
      <c r="G27" s="263"/>
      <c r="H27" s="263"/>
      <c r="I27" s="263"/>
      <c r="J27" s="263"/>
      <c r="K27" s="263"/>
      <c r="Q27" s="2">
        <f>IF(D27&lt;&gt;"",1,0)</f>
        <v>1</v>
      </c>
    </row>
    <row r="28" spans="2:17" ht="9" customHeight="1"/>
    <row r="29" spans="2:17" ht="6.75" customHeight="1"/>
    <row r="30" spans="2:17">
      <c r="B30" s="45" t="s">
        <v>88</v>
      </c>
    </row>
    <row r="31" spans="2:17" ht="50.25" customHeight="1">
      <c r="B31" s="266" t="s">
        <v>98</v>
      </c>
      <c r="C31" s="266"/>
      <c r="D31" s="266"/>
      <c r="E31" s="266"/>
      <c r="F31" s="266"/>
      <c r="G31" s="266"/>
      <c r="H31" s="266"/>
      <c r="I31" s="266"/>
      <c r="J31" s="266"/>
      <c r="K31" s="266"/>
    </row>
    <row r="32" spans="2:17" ht="19.5">
      <c r="B32" s="2" t="s">
        <v>75</v>
      </c>
      <c r="D32" s="51" t="str">
        <f>IF(E32="","●","")</f>
        <v/>
      </c>
      <c r="E32" s="17">
        <f>E8</f>
        <v>0</v>
      </c>
    </row>
    <row r="33" spans="2:17" ht="5.0999999999999996" customHeight="1">
      <c r="E33" s="17"/>
      <c r="I33" s="42"/>
      <c r="J33" s="42"/>
      <c r="K33" s="42"/>
    </row>
    <row r="34" spans="2:17" ht="19.5">
      <c r="B34" s="2" t="s">
        <v>89</v>
      </c>
      <c r="D34" s="51" t="str">
        <f>IF(E34="","●","")</f>
        <v/>
      </c>
      <c r="E34" s="17">
        <f>E21</f>
        <v>0</v>
      </c>
    </row>
    <row r="35" spans="2:17" ht="5.0999999999999996" customHeight="1">
      <c r="E35" s="17"/>
    </row>
    <row r="36" spans="2:17" ht="19.5">
      <c r="B36" s="2" t="s">
        <v>90</v>
      </c>
      <c r="D36" s="51" t="str">
        <f>IF(E36="","●","")</f>
        <v>●</v>
      </c>
      <c r="E36" s="267"/>
      <c r="F36" s="267"/>
      <c r="G36" s="267"/>
      <c r="Q36" s="2">
        <f>IF(D36&lt;&gt;"",1,0)</f>
        <v>1</v>
      </c>
    </row>
    <row r="37" spans="2:17" ht="5.0999999999999996" customHeight="1"/>
    <row r="38" spans="2:17">
      <c r="B38" s="2" t="s">
        <v>91</v>
      </c>
      <c r="E38" s="268"/>
      <c r="F38" s="268"/>
      <c r="G38" s="268"/>
      <c r="I38" s="46"/>
      <c r="J38" s="46"/>
      <c r="K38" s="46"/>
    </row>
    <row r="39" spans="2:17">
      <c r="E39" s="268"/>
      <c r="F39" s="268"/>
      <c r="G39" s="268"/>
      <c r="I39" s="46"/>
      <c r="J39" s="46"/>
      <c r="K39" s="46"/>
    </row>
    <row r="41" spans="2:17">
      <c r="B41" s="264" t="str">
        <f>IF(Q41&lt;&gt;0,"NOG NIET ALLE VAKKEN ZIJN INGEVULD","")</f>
        <v>NOG NIET ALLE VAKKEN ZIJN INGEVULD</v>
      </c>
      <c r="C41" s="264"/>
      <c r="D41" s="264"/>
      <c r="E41" s="264"/>
      <c r="F41" s="264"/>
      <c r="G41" s="264"/>
      <c r="H41" s="264"/>
      <c r="I41" s="264"/>
      <c r="J41" s="264"/>
      <c r="K41" s="264"/>
      <c r="Q41" s="2">
        <f>SUM(Q8:Q40)</f>
        <v>11</v>
      </c>
    </row>
    <row r="42" spans="2:17" ht="5.0999999999999996" customHeight="1"/>
    <row r="44" spans="2:17" ht="5.0999999999999996" customHeight="1">
      <c r="I44" s="46"/>
      <c r="J44" s="46"/>
      <c r="K44" s="46"/>
    </row>
    <row r="45" spans="2:17">
      <c r="E45" s="46"/>
      <c r="F45" s="46"/>
      <c r="G45" s="46"/>
      <c r="I45" s="46"/>
      <c r="J45" s="46"/>
      <c r="K45" s="46"/>
    </row>
    <row r="46" spans="2:17">
      <c r="E46" s="46"/>
      <c r="F46" s="46"/>
      <c r="G46" s="46"/>
      <c r="I46" s="46"/>
      <c r="J46" s="46"/>
      <c r="K46" s="46"/>
    </row>
  </sheetData>
  <sheetProtection algorithmName="SHA-512" hashValue="dt2ls8XFLdTpC/h1uhAnCTdNlT0s2DAv3czwkO6vSA41aJTRrp0ann9NneMAPkFd5gPRd4UHFMRpkZgjsrFD5Q==" saltValue="TI983DsT8fQJj1Y8By/VHQ==" spinCount="100000" sheet="1" selectLockedCells="1"/>
  <customSheetViews>
    <customSheetView guid="{086F4F81-5F9A-4D79-ABED-02168858C282}" showPageBreaks="1" showGridLines="0" fitToPage="1" printArea="1" topLeftCell="B10">
      <selection activeCell="E14" sqref="E14:K14"/>
      <pageMargins left="0" right="0" top="0" bottom="0" header="0" footer="0"/>
      <pageSetup paperSize="9" orientation="portrait" r:id="rId1"/>
    </customSheetView>
  </customSheetViews>
  <mergeCells count="14">
    <mergeCell ref="B41:K41"/>
    <mergeCell ref="E38:G39"/>
    <mergeCell ref="B31:K31"/>
    <mergeCell ref="E36:G36"/>
    <mergeCell ref="E21:K21"/>
    <mergeCell ref="E23:K23"/>
    <mergeCell ref="E25:K25"/>
    <mergeCell ref="E27:K27"/>
    <mergeCell ref="E18:K18"/>
    <mergeCell ref="E8:K8"/>
    <mergeCell ref="E10:K10"/>
    <mergeCell ref="E12:K12"/>
    <mergeCell ref="E14:K14"/>
    <mergeCell ref="E16:K16"/>
  </mergeCells>
  <conditionalFormatting sqref="B41">
    <cfRule type="expression" dxfId="1" priority="1">
      <formula>B41="NOG NIET ALLE VAKKEN ZIJN INGEVULD"</formula>
    </cfRule>
  </conditionalFormatting>
  <pageMargins left="0.74803149606299213" right="0.55118110236220474" top="0.59055118110236227" bottom="0.98425196850393704" header="0.51181102362204722" footer="0.51181102362204722"/>
  <pageSetup paperSize="9" orientation="portrait" horizontalDpi="300"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B1:R43"/>
  <sheetViews>
    <sheetView showGridLines="0" topLeftCell="A4" workbookViewId="0">
      <selection activeCell="E16" sqref="E16"/>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9.7109375" style="2" customWidth="1"/>
    <col min="6" max="7" width="9.140625" style="2"/>
    <col min="8" max="8" width="5.28515625" style="2" customWidth="1"/>
    <col min="9" max="9" width="4.5703125" style="2" customWidth="1"/>
    <col min="10" max="10" width="8.140625" style="2" customWidth="1"/>
    <col min="11" max="11" width="3.28515625" style="2" hidden="1" customWidth="1"/>
    <col min="12" max="12" width="9.140625" style="2" hidden="1" customWidth="1"/>
    <col min="13" max="13" width="11.28515625" style="2" hidden="1" customWidth="1"/>
    <col min="14" max="18" width="9.140625" style="2" hidden="1" customWidth="1"/>
    <col min="19" max="16384" width="9.140625" style="2"/>
  </cols>
  <sheetData>
    <row r="1" spans="2:17">
      <c r="B1" s="17" t="s">
        <v>99</v>
      </c>
      <c r="C1" s="2" t="str">
        <f>basis!B6</f>
        <v>Behorende bij selectieleidraad nieuwbouw IKC Tuindorp</v>
      </c>
    </row>
    <row r="2" spans="2:17">
      <c r="B2" s="38" t="str">
        <f>basis!B3</f>
        <v>2024.TUIN.01</v>
      </c>
      <c r="C2" s="39" t="str">
        <f>basis!B5</f>
        <v>Nieuwbouw +Renovatie IKC Tuindorp</v>
      </c>
      <c r="D2" s="39"/>
      <c r="E2" s="38"/>
      <c r="F2" s="38"/>
      <c r="G2" s="38"/>
      <c r="H2" s="38"/>
      <c r="I2" s="38"/>
      <c r="J2" s="38"/>
      <c r="K2" s="38"/>
      <c r="N2" s="2" t="s">
        <v>65</v>
      </c>
    </row>
    <row r="3" spans="2:17">
      <c r="B3" s="40" t="s">
        <v>100</v>
      </c>
      <c r="C3" s="41"/>
      <c r="D3" s="41"/>
      <c r="E3" s="41"/>
      <c r="F3" s="41"/>
      <c r="G3" s="41"/>
      <c r="H3" s="41"/>
      <c r="I3" s="41"/>
      <c r="J3" s="41"/>
      <c r="K3" s="41"/>
      <c r="N3" s="2">
        <v>2017</v>
      </c>
    </row>
    <row r="4" spans="2:17">
      <c r="B4" s="17" t="s">
        <v>101</v>
      </c>
      <c r="K4" s="50"/>
      <c r="N4" s="2">
        <v>2016</v>
      </c>
    </row>
    <row r="5" spans="2:17" ht="4.5" hidden="1" customHeight="1">
      <c r="N5" s="2">
        <v>2015</v>
      </c>
    </row>
    <row r="6" spans="2:17" ht="6.75" hidden="1" customHeight="1">
      <c r="B6" s="44"/>
      <c r="N6" s="2">
        <v>2014</v>
      </c>
    </row>
    <row r="7" spans="2:17" ht="33.75" customHeight="1">
      <c r="B7" s="269" t="s">
        <v>102</v>
      </c>
      <c r="C7" s="269"/>
      <c r="D7" s="269"/>
      <c r="E7" s="269"/>
      <c r="F7" s="269"/>
      <c r="G7" s="269"/>
      <c r="H7" s="269"/>
      <c r="I7" s="269"/>
      <c r="J7" s="269"/>
      <c r="K7" s="269"/>
      <c r="L7" s="2" t="s">
        <v>103</v>
      </c>
      <c r="N7" s="2" t="s">
        <v>11</v>
      </c>
    </row>
    <row r="8" spans="2:17" ht="14.25" customHeight="1">
      <c r="B8" s="17" t="s">
        <v>104</v>
      </c>
      <c r="D8" s="51" t="str">
        <f>IF(E8="maak keus","●","")</f>
        <v>●</v>
      </c>
      <c r="E8" s="49" t="s">
        <v>11</v>
      </c>
      <c r="F8" s="42"/>
      <c r="G8" s="42"/>
      <c r="H8" s="42"/>
      <c r="I8" s="42"/>
      <c r="J8" s="42"/>
      <c r="L8" s="2" t="str">
        <f>E8</f>
        <v>maak keus</v>
      </c>
      <c r="N8" s="2" t="s">
        <v>105</v>
      </c>
      <c r="Q8" s="2">
        <f>IF(D8&lt;&gt;"",1,0)</f>
        <v>1</v>
      </c>
    </row>
    <row r="9" spans="2:17" ht="5.0999999999999996" customHeight="1">
      <c r="N9" s="2" t="s">
        <v>16</v>
      </c>
    </row>
    <row r="10" spans="2:17" ht="15" customHeight="1">
      <c r="B10" s="250" t="s">
        <v>106</v>
      </c>
      <c r="C10" s="251"/>
      <c r="D10" s="278" t="s">
        <v>107</v>
      </c>
      <c r="E10" s="279"/>
      <c r="F10" s="252"/>
      <c r="G10" s="252" t="s">
        <v>108</v>
      </c>
      <c r="H10" s="252"/>
      <c r="I10" s="252"/>
      <c r="J10" s="252"/>
      <c r="K10" s="253"/>
      <c r="N10" s="2" t="s">
        <v>20</v>
      </c>
    </row>
    <row r="11" spans="2:17" ht="5.0999999999999996" customHeight="1">
      <c r="B11" s="254"/>
      <c r="C11" s="254"/>
      <c r="N11" s="2" t="s">
        <v>11</v>
      </c>
    </row>
    <row r="12" spans="2:17" ht="15" customHeight="1">
      <c r="B12" s="270" t="s">
        <v>109</v>
      </c>
      <c r="C12" s="271"/>
      <c r="D12" s="255" t="str">
        <f>IF(E12="maak keus","●","")</f>
        <v>●</v>
      </c>
      <c r="E12" s="52" t="s">
        <v>11</v>
      </c>
      <c r="F12" s="272" t="s">
        <v>110</v>
      </c>
      <c r="G12" s="273"/>
      <c r="H12" s="273"/>
      <c r="I12" s="273"/>
      <c r="J12" s="274"/>
      <c r="L12" s="2">
        <f>IF(E12="nee",2,IF(E12="ja",1,0))</f>
        <v>0</v>
      </c>
      <c r="Q12" s="2">
        <f>IF(D12&lt;&gt;"",1,0)</f>
        <v>1</v>
      </c>
    </row>
    <row r="13" spans="2:17" ht="30" customHeight="1">
      <c r="B13" s="270"/>
      <c r="C13" s="271"/>
      <c r="D13" s="280" t="str">
        <f>IF(L12=2,"uitsluiting!","")</f>
        <v/>
      </c>
      <c r="E13" s="281"/>
      <c r="F13" s="275"/>
      <c r="G13" s="276"/>
      <c r="H13" s="276"/>
      <c r="I13" s="276"/>
      <c r="J13" s="277"/>
    </row>
    <row r="14" spans="2:17" ht="15" customHeight="1">
      <c r="B14" s="272" t="s">
        <v>111</v>
      </c>
      <c r="C14" s="274"/>
      <c r="D14" s="255" t="str">
        <f>IF(E14="maak keus","●","")</f>
        <v>●</v>
      </c>
      <c r="E14" s="52" t="s">
        <v>11</v>
      </c>
      <c r="F14" s="272" t="s">
        <v>112</v>
      </c>
      <c r="G14" s="273"/>
      <c r="H14" s="273"/>
      <c r="I14" s="273"/>
      <c r="J14" s="274"/>
      <c r="L14" s="2">
        <f>IF(E14="nee",2,IF(E14="ja",1,0))</f>
        <v>0</v>
      </c>
      <c r="Q14" s="2">
        <f>IF(D14&lt;&gt;"",1,0)</f>
        <v>1</v>
      </c>
    </row>
    <row r="15" spans="2:17" ht="33.75" customHeight="1">
      <c r="B15" s="275"/>
      <c r="C15" s="277"/>
      <c r="D15" s="280" t="str">
        <f>IF(L14=2,"uitsluiting!","")</f>
        <v/>
      </c>
      <c r="E15" s="281"/>
      <c r="F15" s="282"/>
      <c r="G15" s="269"/>
      <c r="H15" s="269"/>
      <c r="I15" s="269"/>
      <c r="J15" s="283"/>
    </row>
    <row r="16" spans="2:17" ht="15" customHeight="1">
      <c r="B16" s="272" t="s">
        <v>113</v>
      </c>
      <c r="C16" s="274"/>
      <c r="D16" s="255" t="str">
        <f>IF(E16="maak keus","●","")</f>
        <v>●</v>
      </c>
      <c r="E16" s="99" t="s">
        <v>11</v>
      </c>
      <c r="F16" s="272" t="s">
        <v>114</v>
      </c>
      <c r="G16" s="273"/>
      <c r="H16" s="273"/>
      <c r="I16" s="273"/>
      <c r="J16" s="274"/>
      <c r="L16" s="2">
        <f>IF(E16="nee",2,IF(E16="ja",1,0))</f>
        <v>0</v>
      </c>
      <c r="Q16" s="2">
        <f>IF(D16&lt;&gt;"",1,0)</f>
        <v>1</v>
      </c>
    </row>
    <row r="17" spans="2:17" ht="32.25" customHeight="1">
      <c r="B17" s="275"/>
      <c r="C17" s="277"/>
      <c r="D17" s="280" t="str">
        <f>IF(L16=2,"uitsluiting!","")</f>
        <v/>
      </c>
      <c r="E17" s="281"/>
      <c r="F17" s="282"/>
      <c r="G17" s="269"/>
      <c r="H17" s="269"/>
      <c r="I17" s="269"/>
      <c r="J17" s="283"/>
    </row>
    <row r="18" spans="2:17" ht="15" customHeight="1">
      <c r="B18" s="270" t="s">
        <v>115</v>
      </c>
      <c r="C18" s="271"/>
      <c r="D18" s="255" t="str">
        <f>IF(E18="maak keus","●","")</f>
        <v>●</v>
      </c>
      <c r="E18" s="52" t="s">
        <v>11</v>
      </c>
      <c r="F18" s="272" t="s">
        <v>116</v>
      </c>
      <c r="G18" s="273"/>
      <c r="H18" s="273"/>
      <c r="I18" s="273"/>
      <c r="J18" s="274"/>
      <c r="K18" s="41"/>
      <c r="L18" s="2">
        <f>IF(E18="nee",2,IF(E18="ja",1,0))</f>
        <v>0</v>
      </c>
      <c r="Q18" s="2">
        <f>IF(D18&lt;&gt;"",1,0)</f>
        <v>1</v>
      </c>
    </row>
    <row r="19" spans="2:17" ht="66" customHeight="1">
      <c r="B19" s="270"/>
      <c r="C19" s="271"/>
      <c r="D19" s="280" t="str">
        <f>IF(L18=2,"uitsluiting!","")</f>
        <v/>
      </c>
      <c r="E19" s="281"/>
      <c r="F19" s="275"/>
      <c r="G19" s="276"/>
      <c r="H19" s="276"/>
      <c r="I19" s="276"/>
      <c r="J19" s="277"/>
    </row>
    <row r="20" spans="2:17" ht="15" customHeight="1">
      <c r="B20" s="270" t="str">
        <f>CONCATENATE("Kunt u een verklaring betreffende de omzet overleggen waarin wordt aangetoond dat de gemiddelde jaaromzet over de afgelopen drie boekjaren minimaal € ",basis!B8,",- excl. BTW bedraagt.")</f>
        <v>Kunt u een verklaring betreffende de omzet overleggen waarin wordt aangetoond dat de gemiddelde jaaromzet over de afgelopen drie boekjaren minimaal € 10000000,- excl. BTW bedraagt.</v>
      </c>
      <c r="C20" s="271"/>
      <c r="D20" s="255" t="str">
        <f>IF(E20="maak keus","●","")</f>
        <v>●</v>
      </c>
      <c r="E20" s="52" t="s">
        <v>11</v>
      </c>
      <c r="F20" s="272" t="s">
        <v>117</v>
      </c>
      <c r="G20" s="273"/>
      <c r="H20" s="273"/>
      <c r="I20" s="273"/>
      <c r="J20" s="274"/>
      <c r="K20" s="41"/>
      <c r="L20" s="2">
        <f>IF(E20="nee",2,IF(E20="ja",1,0))</f>
        <v>0</v>
      </c>
      <c r="Q20" s="2">
        <f>IF(D20&lt;&gt;"",1,0)</f>
        <v>1</v>
      </c>
    </row>
    <row r="21" spans="2:17" ht="63" customHeight="1">
      <c r="B21" s="270"/>
      <c r="C21" s="271"/>
      <c r="D21" s="280" t="str">
        <f>IF(L20=2,"uitsluiting!","")</f>
        <v/>
      </c>
      <c r="E21" s="281"/>
      <c r="F21" s="275"/>
      <c r="G21" s="276"/>
      <c r="H21" s="276"/>
      <c r="I21" s="276"/>
      <c r="J21" s="277"/>
    </row>
    <row r="22" spans="2:17" ht="6.75" customHeight="1">
      <c r="B22" s="45"/>
    </row>
    <row r="23" spans="2:17" ht="34.5" customHeight="1">
      <c r="B23" s="269" t="s">
        <v>118</v>
      </c>
      <c r="C23" s="269"/>
      <c r="D23" s="269"/>
      <c r="E23" s="269"/>
      <c r="F23" s="269"/>
      <c r="G23" s="269"/>
      <c r="H23" s="269"/>
      <c r="I23" s="269"/>
      <c r="J23" s="269"/>
      <c r="K23" s="269"/>
    </row>
    <row r="24" spans="2:17" ht="5.0999999999999996" customHeight="1"/>
    <row r="25" spans="2:17" ht="15" customHeight="1">
      <c r="B25" s="2" t="s">
        <v>119</v>
      </c>
      <c r="C25" s="268"/>
      <c r="D25" s="268"/>
      <c r="E25" s="268"/>
      <c r="F25" s="268"/>
      <c r="G25" s="268"/>
      <c r="H25" s="268"/>
      <c r="I25" s="268"/>
      <c r="J25" s="268"/>
      <c r="K25" s="268"/>
    </row>
    <row r="26" spans="2:17" ht="46.5" customHeight="1">
      <c r="B26" s="256" t="str">
        <f>IF(C25="","●","")</f>
        <v>●</v>
      </c>
      <c r="C26" s="268"/>
      <c r="D26" s="268"/>
      <c r="E26" s="268"/>
      <c r="F26" s="268"/>
      <c r="G26" s="268"/>
      <c r="H26" s="268"/>
      <c r="I26" s="268"/>
      <c r="J26" s="268"/>
      <c r="K26" s="268"/>
    </row>
    <row r="27" spans="2:17" ht="15" customHeight="1">
      <c r="B27" s="45" t="s">
        <v>88</v>
      </c>
      <c r="D27" s="51"/>
      <c r="E27" s="286"/>
      <c r="F27" s="286"/>
      <c r="G27" s="286"/>
      <c r="H27" s="286"/>
      <c r="I27" s="286"/>
      <c r="J27" s="286"/>
      <c r="K27" s="286"/>
    </row>
    <row r="28" spans="2:17" ht="115.5" customHeight="1">
      <c r="B28" s="287" t="s">
        <v>120</v>
      </c>
      <c r="C28" s="287"/>
      <c r="D28" s="287"/>
      <c r="E28" s="287"/>
      <c r="F28" s="287"/>
      <c r="G28" s="287"/>
      <c r="H28" s="287"/>
      <c r="I28" s="287"/>
      <c r="J28" s="287"/>
      <c r="K28" s="287"/>
    </row>
    <row r="29" spans="2:17" ht="13.5" customHeight="1">
      <c r="B29" s="2" t="s">
        <v>75</v>
      </c>
      <c r="D29" s="257" t="str">
        <f>IF(E29="","●","")</f>
        <v/>
      </c>
      <c r="E29" s="285">
        <f>'A1'!E14:K14</f>
        <v>0</v>
      </c>
      <c r="F29" s="285"/>
      <c r="G29" s="285"/>
      <c r="H29" s="41"/>
      <c r="I29" s="41"/>
      <c r="J29" s="41"/>
    </row>
    <row r="30" spans="2:17" ht="5.0999999999999996" customHeight="1">
      <c r="E30" s="17"/>
      <c r="I30" s="42"/>
      <c r="J30" s="42"/>
      <c r="K30" s="42"/>
    </row>
    <row r="31" spans="2:17">
      <c r="B31" s="2" t="s">
        <v>89</v>
      </c>
      <c r="D31" s="257" t="str">
        <f>IF(E31="","●","")</f>
        <v/>
      </c>
      <c r="E31" s="285">
        <f>'A1'!E27:K27</f>
        <v>0</v>
      </c>
      <c r="F31" s="285"/>
      <c r="G31" s="285"/>
      <c r="H31" s="41"/>
      <c r="I31" s="41"/>
      <c r="J31" s="41"/>
    </row>
    <row r="32" spans="2:17" ht="5.0999999999999996" customHeight="1">
      <c r="E32" s="17"/>
    </row>
    <row r="33" spans="2:17" ht="19.5">
      <c r="B33" s="2" t="s">
        <v>90</v>
      </c>
      <c r="D33" s="51" t="str">
        <f>IF(E33="","●","")</f>
        <v>●</v>
      </c>
      <c r="E33" s="288"/>
      <c r="F33" s="288"/>
      <c r="G33" s="288"/>
      <c r="H33" s="41"/>
      <c r="I33" s="41"/>
      <c r="J33" s="41"/>
      <c r="Q33" s="2">
        <f>IF(D33&lt;&gt;"",1,0)</f>
        <v>1</v>
      </c>
    </row>
    <row r="34" spans="2:17" ht="5.0999999999999996" customHeight="1"/>
    <row r="35" spans="2:17">
      <c r="B35" s="2" t="s">
        <v>91</v>
      </c>
      <c r="E35" s="289"/>
      <c r="F35" s="289"/>
      <c r="G35" s="289"/>
      <c r="H35" s="289"/>
      <c r="I35" s="289"/>
      <c r="J35" s="289"/>
      <c r="K35" s="46"/>
    </row>
    <row r="36" spans="2:17" ht="40.5" customHeight="1">
      <c r="E36" s="289"/>
      <c r="F36" s="289"/>
      <c r="G36" s="289"/>
      <c r="H36" s="289"/>
      <c r="I36" s="289"/>
      <c r="J36" s="289"/>
      <c r="K36" s="46"/>
    </row>
    <row r="38" spans="2:17">
      <c r="E38" s="284" t="str">
        <f>IF(Q40=0,IF(OR(E12&lt;&gt;"ja",E14&lt;&gt;"ja",E18&lt;&gt;"ja",E20&lt;&gt;"ja"),"vul aanvullende verklaring in!",""),"")</f>
        <v/>
      </c>
      <c r="F38" s="284"/>
      <c r="G38" s="284"/>
      <c r="H38" s="284"/>
      <c r="I38" s="284"/>
      <c r="J38" s="284"/>
    </row>
    <row r="39" spans="2:17" ht="12.75" customHeight="1"/>
    <row r="40" spans="2:17">
      <c r="B40" s="264" t="str">
        <f>IF(Q40&lt;&gt;0,"NOG NIET ALLE VAKKEN ZIJN INGEVULD","")</f>
        <v>NOG NIET ALLE VAKKEN ZIJN INGEVULD</v>
      </c>
      <c r="C40" s="264"/>
      <c r="D40" s="264"/>
      <c r="E40" s="264"/>
      <c r="F40" s="264"/>
      <c r="G40" s="264"/>
      <c r="H40" s="264"/>
      <c r="I40" s="264"/>
      <c r="J40" s="264"/>
      <c r="K40" s="264"/>
      <c r="Q40" s="2">
        <f>SUM(Q8:Q38)</f>
        <v>7</v>
      </c>
    </row>
    <row r="41" spans="2:17" ht="5.0999999999999996" customHeight="1">
      <c r="I41" s="46"/>
      <c r="J41" s="46"/>
      <c r="K41" s="46"/>
    </row>
    <row r="42" spans="2:17">
      <c r="E42" s="46"/>
      <c r="F42" s="46"/>
      <c r="G42" s="46"/>
      <c r="I42" s="46"/>
      <c r="J42" s="46"/>
      <c r="K42" s="46"/>
    </row>
    <row r="43" spans="2:17">
      <c r="E43" s="46"/>
      <c r="F43" s="46"/>
      <c r="G43" s="46"/>
      <c r="I43" s="46"/>
      <c r="J43" s="46"/>
      <c r="K43" s="46"/>
    </row>
  </sheetData>
  <sheetProtection algorithmName="SHA-512" hashValue="o4vsEFqC7UOHgnIb1FKORoiX17nmxa6MJJgq9Rt5eLjb6+yziQ0CGnALKqCBS41ecfYTS/2DV/Dwoy4jedDzYg==" saltValue="aN68ckmNykFay4pQnYhnvg==" spinCount="100000" sheet="1" selectLockedCells="1"/>
  <customSheetViews>
    <customSheetView guid="{086F4F81-5F9A-4D79-ABED-02168858C282}" showPageBreaks="1" showGridLines="0" fitToPage="1" printArea="1" hiddenRows="1" hiddenColumns="1">
      <selection activeCell="E14" sqref="E14:K14"/>
      <pageMargins left="0" right="0" top="0" bottom="0" header="0" footer="0"/>
      <pageSetup paperSize="9" orientation="portrait" r:id="rId1"/>
    </customSheetView>
  </customSheetViews>
  <mergeCells count="27">
    <mergeCell ref="B40:K40"/>
    <mergeCell ref="E38:J38"/>
    <mergeCell ref="F18:J19"/>
    <mergeCell ref="D17:E17"/>
    <mergeCell ref="D13:E13"/>
    <mergeCell ref="D19:E19"/>
    <mergeCell ref="D21:E21"/>
    <mergeCell ref="F20:J21"/>
    <mergeCell ref="E29:G29"/>
    <mergeCell ref="E31:G31"/>
    <mergeCell ref="E27:K27"/>
    <mergeCell ref="B28:K28"/>
    <mergeCell ref="E33:G33"/>
    <mergeCell ref="B23:K23"/>
    <mergeCell ref="C25:K26"/>
    <mergeCell ref="E35:J36"/>
    <mergeCell ref="B7:K7"/>
    <mergeCell ref="B12:C13"/>
    <mergeCell ref="B18:C19"/>
    <mergeCell ref="B20:C21"/>
    <mergeCell ref="F12:J13"/>
    <mergeCell ref="D10:E10"/>
    <mergeCell ref="B14:C15"/>
    <mergeCell ref="D15:E15"/>
    <mergeCell ref="F14:J15"/>
    <mergeCell ref="F16:J17"/>
    <mergeCell ref="B16:C17"/>
  </mergeCells>
  <conditionalFormatting sqref="B40">
    <cfRule type="expression" dxfId="0" priority="1">
      <formula>B40="NOG NIET ALLE VAKKEN ZIJN INGEVULD"</formula>
    </cfRule>
  </conditionalFormatting>
  <dataValidations count="1">
    <dataValidation type="list" allowBlank="1" showInputMessage="1" showErrorMessage="1" sqref="K8" xr:uid="{00000000-0002-0000-0300-000000000000}">
      <formula1>$N$3:$N$7</formula1>
    </dataValidation>
  </dataValidations>
  <pageMargins left="0.74803149606299213" right="0.55118110236220474" top="0.59055118110236227" bottom="0.98425196850393704" header="0.51181102362204722" footer="0.51181102362204722"/>
  <pageSetup paperSize="9" orientation="portrait" horizontalDpi="300" verticalDpi="300" r:id="rId2"/>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6C74A1C7-0F05-4E71-BC13-760C34F16080}">
          <x14:formula1>
            <xm:f>basis!$P$8:$P$13</xm:f>
          </x14:formula1>
          <xm:sqref>E8</xm:sqref>
        </x14:dataValidation>
        <x14:dataValidation type="list" allowBlank="1" showInputMessage="1" showErrorMessage="1" xr:uid="{2816EBE4-5DA8-464B-8B2F-969C293CA590}">
          <x14:formula1>
            <xm:f>basis!$P$3:$P$5</xm:f>
          </x14:formula1>
          <xm:sqref>E12 E20 E18 E14 E16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V46"/>
  <sheetViews>
    <sheetView showGridLines="0" workbookViewId="0">
      <selection activeCell="C7" sqref="C7:J7"/>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17">
      <c r="B1" s="17" t="s">
        <v>121</v>
      </c>
      <c r="C1" s="2" t="str">
        <f>basis!B6</f>
        <v>Behorende bij selectieleidraad nieuwbouw IKC Tuindorp</v>
      </c>
    </row>
    <row r="2" spans="2:17">
      <c r="B2" s="38" t="str">
        <f>basis!B3</f>
        <v>2024.TUIN.01</v>
      </c>
      <c r="C2" s="2" t="str">
        <f>basis!B5</f>
        <v>Nieuwbouw +Renovatie IKC Tuindorp</v>
      </c>
      <c r="D2" s="39"/>
      <c r="E2" s="38"/>
      <c r="F2" s="38"/>
      <c r="G2" s="38"/>
      <c r="H2" s="38"/>
      <c r="I2" s="38"/>
      <c r="J2" s="38"/>
    </row>
    <row r="3" spans="2:17">
      <c r="B3" s="40" t="s">
        <v>122</v>
      </c>
      <c r="C3" s="41"/>
      <c r="D3" s="41"/>
      <c r="E3" s="41"/>
      <c r="F3" s="41"/>
      <c r="G3" s="41"/>
      <c r="H3" s="41"/>
      <c r="I3" s="41"/>
      <c r="J3" s="41" t="s">
        <v>123</v>
      </c>
    </row>
    <row r="4" spans="2:17">
      <c r="B4" s="17" t="s">
        <v>101</v>
      </c>
      <c r="K4" s="50"/>
    </row>
    <row r="5" spans="2:17" ht="4.5" customHeight="1"/>
    <row r="6" spans="2:17" ht="6.75" customHeight="1">
      <c r="B6" s="44"/>
    </row>
    <row r="7" spans="2:17" ht="15" customHeight="1">
      <c r="B7" s="2" t="s">
        <v>124</v>
      </c>
      <c r="C7" s="263"/>
      <c r="D7" s="263"/>
      <c r="E7" s="263"/>
      <c r="F7" s="263"/>
      <c r="G7" s="263"/>
      <c r="H7" s="263"/>
      <c r="I7" s="263"/>
      <c r="J7" s="263"/>
    </row>
    <row r="8" spans="2:17" ht="5.0999999999999996" customHeight="1">
      <c r="Q8" s="2" t="s">
        <v>11</v>
      </c>
    </row>
    <row r="9" spans="2:17" ht="16.5" customHeight="1">
      <c r="B9" s="17" t="s">
        <v>125</v>
      </c>
      <c r="C9" s="263" t="s">
        <v>15</v>
      </c>
      <c r="D9" s="263"/>
      <c r="E9" s="263"/>
      <c r="J9" s="237">
        <f>VLOOKUP(C9,basis!G4:K13,3,FALSE)</f>
        <v>0</v>
      </c>
      <c r="L9" s="2" t="str">
        <f>CONCATENATE(basis!G5," ",basis!I5, "p / ",basis!G6," ",basis!I6," p / ",basis!G7," ",basis!I7," p / ",basis!G8," ",basis!I8," p / ",basis!G9," ",basis!I9," p / ",basis!G10," ",basis!I10," punten")</f>
        <v>utiliteitsbouw 35p / voortgezet onderwijs 45 p / primair onderwijs 50 p / zorgsector 30 p / woningbouw 0 p / gymaccomodatie 10 punten</v>
      </c>
    </row>
    <row r="10" spans="2:17" ht="5.0999999999999996" customHeight="1">
      <c r="N10" s="2" t="s">
        <v>38</v>
      </c>
      <c r="Q10" s="2" t="s">
        <v>126</v>
      </c>
    </row>
    <row r="11" spans="2:17" ht="112.5" customHeight="1">
      <c r="B11" s="238" t="s">
        <v>127</v>
      </c>
      <c r="C11" s="292"/>
      <c r="D11" s="292"/>
      <c r="E11" s="292"/>
      <c r="F11" s="292"/>
      <c r="G11" s="292"/>
      <c r="H11" s="292"/>
      <c r="I11" s="292"/>
      <c r="J11" s="292"/>
    </row>
    <row r="12" spans="2:17" ht="5.0999999999999996" customHeight="1"/>
    <row r="13" spans="2:17" ht="15" customHeight="1">
      <c r="B13" s="2" t="s">
        <v>128</v>
      </c>
      <c r="C13" s="263" t="s">
        <v>15</v>
      </c>
      <c r="D13" s="293"/>
      <c r="E13" s="293"/>
      <c r="J13" s="237">
        <f>VLOOKUP(C13,basis!G18:I27,3,FALSE)</f>
        <v>0</v>
      </c>
      <c r="L13" s="2" t="str">
        <f>CONCATENATE("tussen ",basis!G25," en ",basis!G19," =",basis!J19," punten / anders 0 punten")</f>
        <v>tussen 2018 en 2024 =40 punten / anders 0 punten</v>
      </c>
    </row>
    <row r="14" spans="2:17" ht="5.0999999999999996" customHeight="1">
      <c r="C14" s="195"/>
      <c r="D14" s="195"/>
      <c r="E14" s="195"/>
    </row>
    <row r="15" spans="2:17" ht="15" customHeight="1">
      <c r="B15" s="2" t="s">
        <v>129</v>
      </c>
      <c r="C15" s="293"/>
      <c r="D15" s="293"/>
      <c r="E15" s="293"/>
      <c r="F15" s="293"/>
      <c r="G15" s="293"/>
      <c r="H15" s="293"/>
      <c r="I15" s="293"/>
      <c r="J15" s="293"/>
    </row>
    <row r="16" spans="2:17" ht="5.0999999999999996" customHeight="1">
      <c r="C16" s="195"/>
      <c r="D16" s="195"/>
      <c r="E16" s="195"/>
    </row>
    <row r="17" spans="2:22" ht="15" customHeight="1">
      <c r="B17" s="2" t="s">
        <v>130</v>
      </c>
      <c r="C17" s="291"/>
      <c r="D17" s="291"/>
      <c r="E17" s="291"/>
      <c r="F17" s="291"/>
      <c r="G17" s="291"/>
      <c r="H17" s="291"/>
      <c r="I17" s="291"/>
      <c r="J17" s="291"/>
    </row>
    <row r="18" spans="2:22" ht="5.0999999999999996" customHeight="1">
      <c r="C18" s="241"/>
      <c r="D18" s="241"/>
      <c r="E18" s="241"/>
      <c r="F18" s="241"/>
      <c r="G18" s="241"/>
      <c r="H18" s="241"/>
      <c r="I18" s="241"/>
      <c r="J18" s="241"/>
    </row>
    <row r="19" spans="2:22" ht="15" customHeight="1">
      <c r="B19" s="2" t="s">
        <v>131</v>
      </c>
      <c r="C19" s="291"/>
      <c r="D19" s="291"/>
      <c r="E19" s="291"/>
      <c r="F19" s="291"/>
      <c r="G19" s="291"/>
      <c r="H19" s="291"/>
      <c r="I19" s="291"/>
      <c r="J19" s="291"/>
    </row>
    <row r="20" spans="2:22" ht="5.0999999999999996" customHeight="1">
      <c r="C20" s="241"/>
      <c r="D20" s="241"/>
      <c r="E20" s="241"/>
      <c r="F20" s="241"/>
      <c r="G20" s="241"/>
      <c r="H20" s="241"/>
      <c r="I20" s="241"/>
      <c r="J20" s="241"/>
    </row>
    <row r="21" spans="2:22" ht="15" customHeight="1">
      <c r="B21" s="2" t="s">
        <v>132</v>
      </c>
      <c r="C21" s="291" t="s">
        <v>11</v>
      </c>
      <c r="D21" s="291"/>
      <c r="E21" s="291"/>
      <c r="F21" s="241"/>
      <c r="G21" s="241"/>
      <c r="H21" s="241"/>
      <c r="I21" s="241"/>
      <c r="J21" s="242">
        <f>VLOOKUP(C21,basis!G32:I41,3,FALSE)</f>
        <v>0</v>
      </c>
      <c r="L21" s="2" t="str">
        <f>CONCATENATE(basis!G33," =",basis!I33," p / ",basis!G34," =",basis!I34,"p / ",basis!G35," =",basis!I35," punten")</f>
        <v>door opdrachtgever =50 p / door architect =30p / door bouwmanager =40 punten</v>
      </c>
    </row>
    <row r="22" spans="2:22" ht="5.0999999999999996" customHeight="1">
      <c r="C22" s="241"/>
      <c r="D22" s="241"/>
      <c r="E22" s="241"/>
      <c r="F22" s="241"/>
      <c r="G22" s="241"/>
      <c r="H22" s="241"/>
      <c r="I22" s="241"/>
      <c r="J22" s="241"/>
    </row>
    <row r="23" spans="2:22" ht="15" customHeight="1">
      <c r="B23" s="2" t="s">
        <v>133</v>
      </c>
      <c r="C23" s="291" t="s">
        <v>11</v>
      </c>
      <c r="D23" s="291"/>
      <c r="E23" s="291"/>
      <c r="F23" s="2" t="s">
        <v>134</v>
      </c>
      <c r="G23" s="241"/>
      <c r="H23" s="241"/>
      <c r="I23" s="241"/>
      <c r="J23" s="242">
        <f>VLOOKUP(C23,basis!G46:K55,3,FALSE)</f>
        <v>0</v>
      </c>
      <c r="L23" s="269" t="str">
        <f>CONCATENATE(basis!G47," =",basis!I47," p / ",basis!G48," =",basis!I48," p / ",basis!G49," =",basis!I50," p / ",basis!G50," =",basis!I50," p / ",basis!G51," =",basis!I51," p / ",,basis!G52," =",basis!I52," p / ",basis!G53," =",basis!I53," punten")</f>
        <v>&lt; 3 miljoen =0 p / &gt; 3 mln en &lt; 8 mln =50 p / &gt; 8 mln en &lt; 12 mln =50 p / &gt; 12 mln en &lt; 16 mln =50 p / &gt; 16 mln en &lt; 20 mln =20 p / &gt; 20 mln en &lt; 25 mln =0 p / &gt; 25 miljoen =0 punten</v>
      </c>
      <c r="M23" s="269"/>
      <c r="N23" s="269"/>
      <c r="O23" s="269"/>
      <c r="P23" s="269"/>
      <c r="Q23" s="269"/>
      <c r="R23" s="269"/>
      <c r="S23" s="269"/>
      <c r="T23" s="269"/>
      <c r="U23" s="269"/>
      <c r="V23" s="269"/>
    </row>
    <row r="24" spans="2:22" ht="5.0999999999999996" customHeight="1">
      <c r="D24" s="290"/>
      <c r="E24" s="290"/>
      <c r="L24" s="269"/>
      <c r="M24" s="269"/>
      <c r="N24" s="269"/>
      <c r="O24" s="269"/>
      <c r="P24" s="269"/>
      <c r="Q24" s="269"/>
      <c r="R24" s="269"/>
      <c r="S24" s="269"/>
      <c r="T24" s="269"/>
      <c r="U24" s="269"/>
      <c r="V24" s="269"/>
    </row>
    <row r="25" spans="2:22" ht="15" customHeight="1">
      <c r="B25" s="2" t="s">
        <v>135</v>
      </c>
      <c r="C25" s="263" t="s">
        <v>11</v>
      </c>
      <c r="D25" s="263"/>
      <c r="E25" s="263"/>
      <c r="L25" s="269"/>
      <c r="M25" s="269"/>
      <c r="N25" s="269"/>
      <c r="O25" s="269"/>
      <c r="P25" s="269"/>
      <c r="Q25" s="269"/>
      <c r="R25" s="269"/>
      <c r="S25" s="269"/>
      <c r="T25" s="269"/>
      <c r="U25" s="269"/>
      <c r="V25" s="269"/>
    </row>
    <row r="26" spans="2:22" ht="5.0999999999999996" customHeight="1">
      <c r="D26" s="235"/>
      <c r="E26" s="235"/>
    </row>
    <row r="27" spans="2:22" ht="79.5" customHeight="1">
      <c r="B27" s="246" t="s">
        <v>136</v>
      </c>
      <c r="C27" s="292"/>
      <c r="D27" s="292"/>
      <c r="E27" s="292"/>
      <c r="F27" s="292"/>
      <c r="G27" s="292"/>
      <c r="H27" s="292"/>
      <c r="I27" s="292"/>
      <c r="J27" s="292"/>
    </row>
    <row r="28" spans="2:22" ht="6.75" customHeight="1">
      <c r="D28" s="235"/>
      <c r="E28" s="235"/>
    </row>
    <row r="29" spans="2:22" ht="14.25" customHeight="1">
      <c r="B29" s="248" t="s">
        <v>137</v>
      </c>
    </row>
    <row r="30" spans="2:22" ht="15" customHeight="1">
      <c r="B30" s="2" t="s">
        <v>138</v>
      </c>
      <c r="C30" s="263" t="s">
        <v>11</v>
      </c>
      <c r="D30" s="263"/>
      <c r="E30" s="263"/>
    </row>
    <row r="31" spans="2:22" ht="6" customHeight="1">
      <c r="D31" s="235"/>
      <c r="E31" s="235"/>
    </row>
    <row r="32" spans="2:22" ht="17.25" customHeight="1">
      <c r="C32" s="46" t="str">
        <f>IF(C30="ja","Maximaal eenzijdig 2x A4 of 2x A3","")</f>
        <v/>
      </c>
      <c r="D32" s="235"/>
      <c r="E32" s="235"/>
    </row>
    <row r="33" spans="2:12" ht="15.75" customHeight="1">
      <c r="B33" s="269" t="str">
        <f>basis!B17</f>
        <v>Het gerealseerde gebouw komt qua omvang (BVO) en aanneemsom overeen met de opgave en is gerealiseerd in een wijk of buurt waarbij de infrastructuur nog in aanleg is</v>
      </c>
      <c r="C33" s="263" t="s">
        <v>11</v>
      </c>
      <c r="D33" s="263"/>
      <c r="E33" s="263"/>
      <c r="J33" s="237">
        <f>IF(C33="ja",30,0)</f>
        <v>0</v>
      </c>
      <c r="L33" s="2" t="s">
        <v>145</v>
      </c>
    </row>
    <row r="34" spans="2:12" ht="75.75" customHeight="1">
      <c r="B34" s="294"/>
      <c r="C34" s="144"/>
      <c r="D34" s="249"/>
      <c r="E34" s="249"/>
      <c r="F34" s="144"/>
      <c r="G34" s="144"/>
      <c r="H34" s="144"/>
      <c r="I34" s="144"/>
      <c r="J34" s="144"/>
    </row>
    <row r="35" spans="2:12" ht="6" customHeight="1" thickBot="1"/>
    <row r="36" spans="2:12" ht="15" customHeight="1" thickBot="1">
      <c r="B36" s="2" t="s">
        <v>75</v>
      </c>
      <c r="C36" s="264">
        <f>'A1'!E14</f>
        <v>0</v>
      </c>
      <c r="D36" s="264"/>
      <c r="E36" s="264"/>
      <c r="G36" s="2" t="s">
        <v>139</v>
      </c>
      <c r="J36" s="247">
        <f>J33+J23+J21+J13+J9</f>
        <v>0</v>
      </c>
    </row>
    <row r="37" spans="2:12" ht="5.0999999999999996" customHeight="1">
      <c r="E37" s="17"/>
      <c r="I37" s="42"/>
      <c r="J37" s="42"/>
      <c r="K37" s="42"/>
    </row>
    <row r="38" spans="2:12">
      <c r="B38" s="2" t="s">
        <v>89</v>
      </c>
      <c r="C38" s="264">
        <f>'A1'!E27</f>
        <v>0</v>
      </c>
      <c r="D38" s="264"/>
      <c r="E38" s="264"/>
    </row>
    <row r="39" spans="2:12" ht="5.0999999999999996" customHeight="1">
      <c r="E39" s="17"/>
    </row>
    <row r="42" spans="2:12" ht="5.0999999999999996" customHeight="1"/>
    <row r="44" spans="2:12" ht="5.0999999999999996" customHeight="1">
      <c r="I44" s="46"/>
      <c r="J44" s="46"/>
      <c r="K44" s="46"/>
    </row>
    <row r="45" spans="2:12">
      <c r="E45" s="46"/>
      <c r="F45" s="46"/>
      <c r="G45" s="46"/>
      <c r="I45" s="46"/>
      <c r="J45" s="46"/>
      <c r="K45" s="46"/>
    </row>
    <row r="46" spans="2:12">
      <c r="E46" s="46"/>
      <c r="F46" s="46"/>
      <c r="G46" s="46"/>
      <c r="I46" s="46"/>
      <c r="J46" s="46"/>
      <c r="K46" s="46"/>
    </row>
  </sheetData>
  <sheetProtection algorithmName="SHA-512" hashValue="w5iscbq+bw2c+u/yOtgBaUGEVDQLG1RXFa+0yAa3PIOURPFTw6Suq4Is9mO992BNx9fqgJ3q0ZJsA+XCXmDeXw==" saltValue="qXZxRgxWo3o8NvOTOsgi2A==" spinCount="100000" sheet="1" selectLockedCells="1"/>
  <customSheetViews>
    <customSheetView guid="{086F4F81-5F9A-4D79-ABED-02168858C282}" showPageBreaks="1" showGridLines="0" fitToPage="1" printArea="1" hiddenColumns="1" topLeftCell="A7">
      <selection activeCell="E14" sqref="E14:K14"/>
      <pageMargins left="0" right="0" top="0" bottom="0" header="0" footer="0"/>
      <pageSetup paperSize="9" scale="99" orientation="portrait" r:id="rId1"/>
    </customSheetView>
  </customSheetViews>
  <mergeCells count="18">
    <mergeCell ref="C13:E13"/>
    <mergeCell ref="C17:J17"/>
    <mergeCell ref="B33:B34"/>
    <mergeCell ref="C7:J7"/>
    <mergeCell ref="C36:E36"/>
    <mergeCell ref="C19:J19"/>
    <mergeCell ref="C15:J15"/>
    <mergeCell ref="C9:E9"/>
    <mergeCell ref="C11:J11"/>
    <mergeCell ref="L23:V25"/>
    <mergeCell ref="C38:E38"/>
    <mergeCell ref="D24:E24"/>
    <mergeCell ref="C21:E21"/>
    <mergeCell ref="C23:E23"/>
    <mergeCell ref="C30:E30"/>
    <mergeCell ref="C33:E33"/>
    <mergeCell ref="C25:E25"/>
    <mergeCell ref="C27:J27"/>
  </mergeCells>
  <dataValidations count="2">
    <dataValidation type="list" allowBlank="1" showInputMessage="1" showErrorMessage="1" sqref="K9" xr:uid="{7528C61D-CD39-4056-B9D0-FCFD8BC90A36}">
      <formula1>$N$3:$N$5</formula1>
    </dataValidation>
    <dataValidation type="list" allowBlank="1" showInputMessage="1" showErrorMessage="1" sqref="C14" xr:uid="{6948EE14-400B-433C-8328-8567B89B9FAC}">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2"/>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7DA00C0D-3F6E-4B70-A71D-37EFF07DE2FC}">
          <x14:formula1>
            <xm:f>basis!$G$32:$G$41</xm:f>
          </x14:formula1>
          <xm:sqref>C21:E21</xm:sqref>
        </x14:dataValidation>
        <x14:dataValidation type="list" allowBlank="1" showInputMessage="1" showErrorMessage="1" xr:uid="{1EC17C15-243D-4F24-9369-C19A84D39CF1}">
          <x14:formula1>
            <xm:f>basis!$G$46:$G$55</xm:f>
          </x14:formula1>
          <xm:sqref>C23:E23</xm:sqref>
        </x14:dataValidation>
        <x14:dataValidation type="list" allowBlank="1" showInputMessage="1" showErrorMessage="1" xr:uid="{0046D19C-4ED9-4B06-B5C3-76BDA6FB566F}">
          <x14:formula1>
            <xm:f>'A7'!$N$33:$N$40</xm:f>
          </x14:formula1>
          <xm:sqref>C16</xm:sqref>
        </x14:dataValidation>
        <x14:dataValidation type="list" allowBlank="1" showInputMessage="1" showErrorMessage="1" xr:uid="{33DF00A4-96F8-4348-9FD7-C4125C08C48D}">
          <x14:formula1>
            <xm:f>basis!$G$4:$G$13</xm:f>
          </x14:formula1>
          <xm:sqref>C9:E9</xm:sqref>
        </x14:dataValidation>
        <x14:dataValidation type="list" allowBlank="1" showInputMessage="1" showErrorMessage="1" xr:uid="{6658E983-F21C-436E-8245-70EA12A77329}">
          <x14:formula1>
            <xm:f>basis!$G$18:$G$27</xm:f>
          </x14:formula1>
          <xm:sqref>C13:E13</xm:sqref>
        </x14:dataValidation>
        <x14:dataValidation type="list" allowBlank="1" showInputMessage="1" showErrorMessage="1" xr:uid="{97172D95-CF88-4ED1-8773-2E5ECF7A806F}">
          <x14:formula1>
            <xm:f>basis!$P$3:$P$5</xm:f>
          </x14:formula1>
          <xm:sqref>C30:E30 C33:E33 C25:E25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005C5-5CB5-4D50-A780-DC5A9576DDF9}">
  <sheetPr>
    <pageSetUpPr fitToPage="1"/>
  </sheetPr>
  <dimension ref="B1:V48"/>
  <sheetViews>
    <sheetView showGridLines="0" topLeftCell="A12" workbookViewId="0">
      <selection activeCell="C9" sqref="C9:E9"/>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17">
      <c r="B1" s="17" t="s">
        <v>140</v>
      </c>
      <c r="C1" s="2" t="str">
        <f>basis!B6</f>
        <v>Behorende bij selectieleidraad nieuwbouw IKC Tuindorp</v>
      </c>
    </row>
    <row r="2" spans="2:17">
      <c r="B2" s="38" t="str">
        <f>basis!B3</f>
        <v>2024.TUIN.01</v>
      </c>
      <c r="C2" s="39" t="str">
        <f>basis!B5</f>
        <v>Nieuwbouw +Renovatie IKC Tuindorp</v>
      </c>
      <c r="D2" s="39"/>
      <c r="E2" s="38"/>
      <c r="F2" s="38"/>
      <c r="G2" s="38"/>
      <c r="H2" s="38"/>
      <c r="I2" s="38"/>
      <c r="J2" s="38"/>
    </row>
    <row r="3" spans="2:17">
      <c r="B3" s="40" t="s">
        <v>141</v>
      </c>
      <c r="C3" s="41"/>
      <c r="D3" s="41"/>
      <c r="E3" s="41"/>
      <c r="F3" s="41"/>
      <c r="G3" s="41"/>
      <c r="H3" s="41"/>
      <c r="I3" s="41"/>
      <c r="J3" s="41" t="s">
        <v>123</v>
      </c>
    </row>
    <row r="4" spans="2:17">
      <c r="B4" s="17" t="s">
        <v>101</v>
      </c>
      <c r="K4" s="50"/>
    </row>
    <row r="5" spans="2:17" ht="4.5" customHeight="1"/>
    <row r="6" spans="2:17" ht="6.75" customHeight="1">
      <c r="B6" s="44"/>
    </row>
    <row r="7" spans="2:17" ht="15" customHeight="1">
      <c r="B7" s="2" t="s">
        <v>124</v>
      </c>
      <c r="C7" s="263"/>
      <c r="D7" s="263"/>
      <c r="E7" s="263"/>
      <c r="F7" s="263"/>
      <c r="G7" s="263"/>
      <c r="H7" s="263"/>
      <c r="I7" s="263"/>
      <c r="J7" s="263"/>
    </row>
    <row r="8" spans="2:17" ht="5.0999999999999996" customHeight="1">
      <c r="Q8" s="2" t="s">
        <v>11</v>
      </c>
    </row>
    <row r="9" spans="2:17" ht="16.5" customHeight="1">
      <c r="B9" s="17" t="s">
        <v>125</v>
      </c>
      <c r="C9" s="263" t="s">
        <v>15</v>
      </c>
      <c r="D9" s="263"/>
      <c r="E9" s="263"/>
      <c r="J9" s="237">
        <f>VLOOKUP(C9,basis!G4:K13,4,FALSE)</f>
        <v>0</v>
      </c>
      <c r="L9" s="2" t="str">
        <f>CONCATENATE(basis!G5," ",basis!J5, "p / ",basis!G6," ",basis!J6," p / ",basis!G7," ",basis!J7," p / ",basis!G8," ",basis!J8," p / ",basis!G9," ",basis!J9," p / ",basis!G10," ",basis!J10," p / ",basis!G13," =",basis!J13," punten")</f>
        <v>utiliteitsbouw 40p / voortgezet onderwijs 50 p / primair onderwijs 50 p / zorgsector 40 p / woningbouw 0 p / gymaccomodatie 40 p / anders =0 punten</v>
      </c>
    </row>
    <row r="10" spans="2:17" ht="5.0999999999999996" customHeight="1">
      <c r="N10" s="2" t="s">
        <v>38</v>
      </c>
      <c r="Q10" s="2" t="s">
        <v>126</v>
      </c>
    </row>
    <row r="11" spans="2:17" ht="112.5" customHeight="1">
      <c r="B11" s="46" t="s">
        <v>142</v>
      </c>
      <c r="C11" s="292"/>
      <c r="D11" s="292"/>
      <c r="E11" s="292"/>
      <c r="F11" s="292"/>
      <c r="G11" s="292"/>
      <c r="H11" s="292"/>
      <c r="I11" s="292"/>
      <c r="J11" s="292"/>
    </row>
    <row r="12" spans="2:17" ht="5.0999999999999996" customHeight="1"/>
    <row r="13" spans="2:17" ht="15" customHeight="1">
      <c r="B13" s="2" t="s">
        <v>128</v>
      </c>
      <c r="C13" s="263" t="s">
        <v>15</v>
      </c>
      <c r="D13" s="293"/>
      <c r="E13" s="293"/>
      <c r="J13" s="237">
        <f>VLOOKUP(C13,basis!G18:J27,4,FALSE)</f>
        <v>0</v>
      </c>
      <c r="L13" s="2" t="str">
        <f>CONCATENATE("tussen ",basis!G25," en ",basis!G19," =",basis!J19," punten / anders 0 punten")</f>
        <v>tussen 2018 en 2024 =40 punten / anders 0 punten</v>
      </c>
    </row>
    <row r="14" spans="2:17" ht="5.0999999999999996" customHeight="1">
      <c r="C14" s="195"/>
      <c r="D14" s="195"/>
      <c r="E14" s="195"/>
    </row>
    <row r="15" spans="2:17" ht="15" customHeight="1">
      <c r="B15" s="2" t="s">
        <v>129</v>
      </c>
      <c r="C15" s="293"/>
      <c r="D15" s="293"/>
      <c r="E15" s="293"/>
      <c r="F15" s="293"/>
      <c r="G15" s="293"/>
      <c r="H15" s="293"/>
      <c r="I15" s="293"/>
      <c r="J15" s="293"/>
    </row>
    <row r="16" spans="2:17" ht="5.0999999999999996" customHeight="1">
      <c r="C16" s="195"/>
      <c r="D16" s="195"/>
      <c r="E16" s="195"/>
    </row>
    <row r="17" spans="2:22" ht="15" customHeight="1">
      <c r="B17" s="2" t="s">
        <v>130</v>
      </c>
      <c r="C17" s="291"/>
      <c r="D17" s="291"/>
      <c r="E17" s="291"/>
      <c r="F17" s="291"/>
      <c r="G17" s="291"/>
      <c r="H17" s="291"/>
      <c r="I17" s="291"/>
      <c r="J17" s="291"/>
    </row>
    <row r="18" spans="2:22" ht="5.0999999999999996" customHeight="1">
      <c r="C18" s="241"/>
      <c r="D18" s="241"/>
      <c r="E18" s="241"/>
      <c r="F18" s="241"/>
      <c r="G18" s="241"/>
      <c r="H18" s="241"/>
      <c r="I18" s="241"/>
      <c r="J18" s="241"/>
    </row>
    <row r="19" spans="2:22" ht="15" customHeight="1">
      <c r="B19" s="2" t="s">
        <v>131</v>
      </c>
      <c r="C19" s="291"/>
      <c r="D19" s="291"/>
      <c r="E19" s="291"/>
      <c r="F19" s="291"/>
      <c r="G19" s="291"/>
      <c r="H19" s="291"/>
      <c r="I19" s="291"/>
      <c r="J19" s="291"/>
    </row>
    <row r="20" spans="2:22" ht="5.0999999999999996" customHeight="1">
      <c r="C20" s="241"/>
      <c r="D20" s="241"/>
      <c r="E20" s="241"/>
      <c r="F20" s="241"/>
      <c r="G20" s="241"/>
      <c r="H20" s="241"/>
      <c r="I20" s="241"/>
      <c r="J20" s="241"/>
    </row>
    <row r="21" spans="2:22" ht="15" customHeight="1">
      <c r="B21" s="2" t="s">
        <v>132</v>
      </c>
      <c r="C21" s="291" t="s">
        <v>11</v>
      </c>
      <c r="D21" s="291"/>
      <c r="E21" s="291"/>
      <c r="F21" s="241"/>
      <c r="G21" s="241"/>
      <c r="H21" s="241"/>
      <c r="I21" s="241"/>
      <c r="J21" s="242">
        <f>VLOOKUP(C21,basis!G32:K41,4,FALSE)</f>
        <v>0</v>
      </c>
      <c r="L21" s="2" t="str">
        <f>CONCATENATE(basis!G33," =",basis!J33," p / ",basis!G34," =",basis!J34,"p / ",basis!G35," =",basis!J35," punten")</f>
        <v>door opdrachtgever =50 p / door architect =30p / door bouwmanager =40 punten</v>
      </c>
    </row>
    <row r="22" spans="2:22" ht="5.0999999999999996" customHeight="1">
      <c r="C22" s="241"/>
      <c r="D22" s="241"/>
      <c r="E22" s="241"/>
      <c r="F22" s="241"/>
      <c r="G22" s="241"/>
      <c r="H22" s="241"/>
      <c r="I22" s="241"/>
      <c r="J22" s="241"/>
    </row>
    <row r="23" spans="2:22" ht="15" customHeight="1">
      <c r="B23" s="2" t="s">
        <v>133</v>
      </c>
      <c r="C23" s="291" t="s">
        <v>11</v>
      </c>
      <c r="D23" s="291"/>
      <c r="E23" s="291"/>
      <c r="F23" s="2" t="s">
        <v>134</v>
      </c>
      <c r="G23" s="241"/>
      <c r="H23" s="241"/>
      <c r="I23" s="241"/>
      <c r="J23" s="242">
        <f>VLOOKUP(C23,basis!G46:K55,4,FALSE)</f>
        <v>0</v>
      </c>
      <c r="L23" s="269" t="str">
        <f>CONCATENATE(basis!G47," =",basis!J47," p / ",basis!G48," =",basis!J48," p / ",basis!G49," =",basis!J49," p / ",basis!G50," =",basis!J50," p / ",basis!G51," =",basis!J51," p / ",,basis!G52," =",basis!J52," p / ",basis!G53," =",basis!J53," punten")</f>
        <v>&lt; 3 miljoen =0 p / &gt; 3 mln en &lt; 8 mln =40 p / &gt; 8 mln en &lt; 12 mln =50 p / &gt; 12 mln en &lt; 16 mln =50 p / &gt; 16 mln en &lt; 20 mln =40 p / &gt; 20 mln en &lt; 25 mln =0 p / &gt; 25 miljoen =0 punten</v>
      </c>
      <c r="M23" s="269"/>
      <c r="N23" s="269"/>
      <c r="O23" s="269"/>
      <c r="P23" s="269"/>
      <c r="Q23" s="269"/>
      <c r="R23" s="269"/>
      <c r="S23" s="269"/>
      <c r="T23" s="269"/>
      <c r="U23" s="269"/>
      <c r="V23" s="269"/>
    </row>
    <row r="24" spans="2:22" ht="5.0999999999999996" customHeight="1">
      <c r="D24" s="290"/>
      <c r="E24" s="290"/>
      <c r="L24" s="269"/>
      <c r="M24" s="269"/>
      <c r="N24" s="269"/>
      <c r="O24" s="269"/>
      <c r="P24" s="269"/>
      <c r="Q24" s="269"/>
      <c r="R24" s="269"/>
      <c r="S24" s="269"/>
      <c r="T24" s="269"/>
      <c r="U24" s="269"/>
      <c r="V24" s="269"/>
    </row>
    <row r="25" spans="2:22" ht="15" customHeight="1">
      <c r="B25" s="2" t="s">
        <v>135</v>
      </c>
      <c r="C25" s="263" t="s">
        <v>11</v>
      </c>
      <c r="D25" s="263"/>
      <c r="E25" s="263"/>
      <c r="L25" s="269"/>
      <c r="M25" s="269"/>
      <c r="N25" s="269"/>
      <c r="O25" s="269"/>
      <c r="P25" s="269"/>
      <c r="Q25" s="269"/>
      <c r="R25" s="269"/>
      <c r="S25" s="269"/>
      <c r="T25" s="269"/>
      <c r="U25" s="269"/>
      <c r="V25" s="269"/>
    </row>
    <row r="26" spans="2:22" ht="5.0999999999999996" customHeight="1">
      <c r="D26" s="235"/>
      <c r="E26" s="235"/>
    </row>
    <row r="27" spans="2:22" ht="79.5" customHeight="1">
      <c r="B27" s="246" t="s">
        <v>136</v>
      </c>
      <c r="C27" s="292"/>
      <c r="D27" s="292"/>
      <c r="E27" s="292"/>
      <c r="F27" s="292"/>
      <c r="G27" s="292"/>
      <c r="H27" s="292"/>
      <c r="I27" s="292"/>
      <c r="J27" s="292"/>
    </row>
    <row r="28" spans="2:22" ht="6.75" customHeight="1">
      <c r="D28" s="235"/>
      <c r="E28" s="235"/>
    </row>
    <row r="29" spans="2:22" ht="14.25" customHeight="1">
      <c r="B29" s="248" t="s">
        <v>137</v>
      </c>
    </row>
    <row r="30" spans="2:22" ht="15" customHeight="1">
      <c r="B30" s="2" t="s">
        <v>138</v>
      </c>
      <c r="C30" s="263" t="s">
        <v>11</v>
      </c>
      <c r="D30" s="263"/>
      <c r="E30" s="263"/>
    </row>
    <row r="31" spans="2:22" ht="6" customHeight="1">
      <c r="D31" s="235"/>
      <c r="E31" s="235"/>
    </row>
    <row r="32" spans="2:22" ht="17.25" customHeight="1">
      <c r="C32" s="46" t="str">
        <f>IF(C30="ja","Maximaal eenzijdig 2x A4 of 2x A3","")</f>
        <v/>
      </c>
      <c r="D32" s="235"/>
      <c r="E32" s="235"/>
    </row>
    <row r="33" spans="2:19" ht="15.75" customHeight="1">
      <c r="B33" s="269" t="str">
        <f>basis!B18</f>
        <v>Het grealiseerde gebouw voldoet aan de volgende eisen t.a.v. BENG en Frisse Scholen</v>
      </c>
      <c r="C33" s="263" t="s">
        <v>11</v>
      </c>
      <c r="D33" s="263"/>
      <c r="E33" s="263"/>
      <c r="J33" s="237">
        <f>basis!J70</f>
        <v>0</v>
      </c>
      <c r="L33" s="269" t="str">
        <f>CONCATENATE(basis!G61," =",basis!J61," p / ",basis!G62," =",basis!J62," p / ",basis!G63," =",basis!J63," p / ",basis!G64," =",basis!J64," p / ",basis!G65," =",basis!J65," punten")</f>
        <v>Frisse school klasse C =20 p / Frisse school klasse B =40 p / Frisse Sch.B+BENG =45 p / Frisse Sch. B+BENG+GASLOOS =60 p / Frisse Sch. B+ENG+GASLOOS =70 punten</v>
      </c>
      <c r="M33" s="269"/>
      <c r="N33" s="269"/>
      <c r="O33" s="269"/>
      <c r="P33" s="269"/>
      <c r="Q33" s="269"/>
      <c r="R33" s="269"/>
      <c r="S33" s="269"/>
    </row>
    <row r="34" spans="2:19" ht="6.75" customHeight="1">
      <c r="B34" s="269"/>
      <c r="C34" s="46" t="str">
        <f>IF(C32="ja","Maximaal eenzijdig 2x A4 of 2x A3","")</f>
        <v/>
      </c>
      <c r="D34" s="235"/>
      <c r="E34" s="235"/>
      <c r="L34" s="269"/>
      <c r="M34" s="269"/>
      <c r="N34" s="269"/>
      <c r="O34" s="269"/>
      <c r="P34" s="269"/>
      <c r="Q34" s="269"/>
      <c r="R34" s="269"/>
      <c r="S34" s="269"/>
    </row>
    <row r="35" spans="2:19" ht="15.75" customHeight="1">
      <c r="B35" s="269"/>
      <c r="L35" s="269"/>
      <c r="M35" s="269"/>
      <c r="N35" s="269"/>
      <c r="O35" s="269"/>
      <c r="P35" s="269"/>
      <c r="Q35" s="269"/>
      <c r="R35" s="269"/>
      <c r="S35" s="269"/>
    </row>
    <row r="36" spans="2:19" ht="78.75" customHeight="1">
      <c r="B36" s="294"/>
      <c r="C36" s="144"/>
      <c r="D36" s="249"/>
      <c r="E36" s="249"/>
      <c r="F36" s="144"/>
      <c r="G36" s="144"/>
      <c r="H36" s="144"/>
      <c r="I36" s="144"/>
      <c r="J36" s="144">
        <f>J33+J23+J21+J13+J9</f>
        <v>0</v>
      </c>
      <c r="L36" s="46"/>
    </row>
    <row r="37" spans="2:19" ht="6" customHeight="1" thickBot="1"/>
    <row r="38" spans="2:19" ht="15" customHeight="1" thickBot="1">
      <c r="B38" s="2" t="s">
        <v>75</v>
      </c>
      <c r="C38" s="264">
        <f>'A1'!E14</f>
        <v>0</v>
      </c>
      <c r="D38" s="264"/>
      <c r="E38" s="264"/>
      <c r="G38" s="2" t="s">
        <v>139</v>
      </c>
      <c r="J38" s="247">
        <f>J33+J23+J21+J13+J9+J35</f>
        <v>0</v>
      </c>
    </row>
    <row r="39" spans="2:19" ht="5.0999999999999996" customHeight="1">
      <c r="E39" s="17"/>
      <c r="I39" s="42"/>
      <c r="J39" s="42"/>
      <c r="K39" s="42"/>
    </row>
    <row r="40" spans="2:19">
      <c r="B40" s="2" t="s">
        <v>89</v>
      </c>
      <c r="C40" s="264">
        <f>'A1'!E27</f>
        <v>0</v>
      </c>
      <c r="D40" s="264"/>
      <c r="E40" s="264"/>
    </row>
    <row r="41" spans="2:19" ht="5.0999999999999996" customHeight="1">
      <c r="E41" s="17"/>
    </row>
    <row r="44" spans="2:19" ht="5.0999999999999996" customHeight="1"/>
    <row r="46" spans="2:19" ht="5.0999999999999996" customHeight="1">
      <c r="I46" s="46"/>
      <c r="J46" s="46"/>
      <c r="K46" s="46"/>
    </row>
    <row r="47" spans="2:19">
      <c r="E47" s="46"/>
      <c r="F47" s="46"/>
      <c r="G47" s="46"/>
      <c r="I47" s="46"/>
      <c r="J47" s="46"/>
      <c r="K47" s="46"/>
    </row>
    <row r="48" spans="2:19">
      <c r="E48" s="46"/>
      <c r="F48" s="46"/>
      <c r="G48" s="46"/>
      <c r="I48" s="46"/>
      <c r="J48" s="46"/>
      <c r="K48" s="46"/>
    </row>
  </sheetData>
  <sheetProtection algorithmName="SHA-512" hashValue="xTKsx78rhD1aJ+Os5Dsxwu4h1PuAwKESB2+UQt3+GCHiBc8uYfzJuG3I+i2SEeKSIB9py8fBjHxr/obiBP3Z9A==" saltValue="8NKWOiroUOayG7jc8cFEyw==" spinCount="100000" sheet="1" selectLockedCells="1"/>
  <mergeCells count="19">
    <mergeCell ref="B33:B36"/>
    <mergeCell ref="C33:E33"/>
    <mergeCell ref="C38:E38"/>
    <mergeCell ref="L23:V25"/>
    <mergeCell ref="C40:E40"/>
    <mergeCell ref="C27:J27"/>
    <mergeCell ref="C25:E25"/>
    <mergeCell ref="L33:S35"/>
    <mergeCell ref="C30:E30"/>
    <mergeCell ref="C7:J7"/>
    <mergeCell ref="C9:E9"/>
    <mergeCell ref="C11:J11"/>
    <mergeCell ref="C13:E13"/>
    <mergeCell ref="C15:J15"/>
    <mergeCell ref="C17:J17"/>
    <mergeCell ref="C19:J19"/>
    <mergeCell ref="C21:E21"/>
    <mergeCell ref="C23:E23"/>
    <mergeCell ref="D24:E24"/>
  </mergeCells>
  <dataValidations count="2">
    <dataValidation type="list" allowBlank="1" showInputMessage="1" showErrorMessage="1" sqref="K9" xr:uid="{348E05E6-85A8-499F-BD0F-80BB54532FC5}">
      <formula1>$N$3:$N$5</formula1>
    </dataValidation>
    <dataValidation type="list" allowBlank="1" showInputMessage="1" showErrorMessage="1" sqref="C14" xr:uid="{D15EC71A-BF29-4579-A674-6023021ACFF7}">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1"/>
  <headerFooter alignWithMargins="0"/>
  <extLst>
    <ext xmlns:x14="http://schemas.microsoft.com/office/spreadsheetml/2009/9/main" uri="{CCE6A557-97BC-4b89-ADB6-D9C93CAAB3DF}">
      <x14:dataValidations xmlns:xm="http://schemas.microsoft.com/office/excel/2006/main" count="7">
        <x14:dataValidation type="list" allowBlank="1" showInputMessage="1" showErrorMessage="1" xr:uid="{08D3FAB9-FC84-4E6B-B16D-ECA6F2C5E815}">
          <x14:formula1>
            <xm:f>basis!$P$3:$P$5</xm:f>
          </x14:formula1>
          <xm:sqref>C30:E30 C25:E25</xm:sqref>
        </x14:dataValidation>
        <x14:dataValidation type="list" allowBlank="1" showInputMessage="1" showErrorMessage="1" xr:uid="{73A99193-3AA5-46AD-8981-0EF14DC83717}">
          <x14:formula1>
            <xm:f>basis!$G$18:$G$27</xm:f>
          </x14:formula1>
          <xm:sqref>C13:E13</xm:sqref>
        </x14:dataValidation>
        <x14:dataValidation type="list" allowBlank="1" showInputMessage="1" showErrorMessage="1" xr:uid="{CDFEAC68-4422-451F-ABA1-6B1605053EE5}">
          <x14:formula1>
            <xm:f>basis!$G$4:$G$13</xm:f>
          </x14:formula1>
          <xm:sqref>C9:E9</xm:sqref>
        </x14:dataValidation>
        <x14:dataValidation type="list" allowBlank="1" showInputMessage="1" showErrorMessage="1" xr:uid="{A58D14A8-DF5E-4EAA-A515-19A9BBF4BE09}">
          <x14:formula1>
            <xm:f>'A7'!$N$33:$N$40</xm:f>
          </x14:formula1>
          <xm:sqref>C16</xm:sqref>
        </x14:dataValidation>
        <x14:dataValidation type="list" allowBlank="1" showInputMessage="1" showErrorMessage="1" xr:uid="{18C2EC49-F99B-4B6B-82D2-5F0B418FEDE9}">
          <x14:formula1>
            <xm:f>basis!$G$46:$G$55</xm:f>
          </x14:formula1>
          <xm:sqref>C23:E23</xm:sqref>
        </x14:dataValidation>
        <x14:dataValidation type="list" allowBlank="1" showInputMessage="1" showErrorMessage="1" xr:uid="{6FD66D27-AB34-4FB4-9EE0-AC0B85EF1DDC}">
          <x14:formula1>
            <xm:f>basis!$G$32:$G$41</xm:f>
          </x14:formula1>
          <xm:sqref>C21:E21</xm:sqref>
        </x14:dataValidation>
        <x14:dataValidation type="list" allowBlank="1" showInputMessage="1" showErrorMessage="1" xr:uid="{36336D74-6AA8-4F78-8800-D4E491427CC4}">
          <x14:formula1>
            <xm:f>basis!$G$60:$G$69</xm:f>
          </x14:formula1>
          <xm:sqref>C33:E33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1805-226C-419A-A7D7-C20D2A07AD29}">
  <sheetPr>
    <pageSetUpPr fitToPage="1"/>
  </sheetPr>
  <dimension ref="B1:V46"/>
  <sheetViews>
    <sheetView showGridLines="0" topLeftCell="A3" workbookViewId="0">
      <selection activeCell="C11" sqref="C11:J11"/>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17">
      <c r="B1" s="17" t="s">
        <v>143</v>
      </c>
      <c r="C1" s="2" t="str">
        <f>basis!B6</f>
        <v>Behorende bij selectieleidraad nieuwbouw IKC Tuindorp</v>
      </c>
    </row>
    <row r="2" spans="2:17">
      <c r="B2" s="38" t="str">
        <f>basis!B3</f>
        <v>2024.TUIN.01</v>
      </c>
      <c r="C2" s="39" t="str">
        <f>basis!B5</f>
        <v>Nieuwbouw +Renovatie IKC Tuindorp</v>
      </c>
      <c r="D2" s="39"/>
      <c r="E2" s="38"/>
      <c r="F2" s="38"/>
      <c r="G2" s="38"/>
      <c r="H2" s="38"/>
      <c r="I2" s="38"/>
      <c r="J2" s="38"/>
    </row>
    <row r="3" spans="2:17">
      <c r="B3" s="40" t="s">
        <v>144</v>
      </c>
      <c r="C3" s="41"/>
      <c r="D3" s="41"/>
      <c r="E3" s="41"/>
      <c r="F3" s="41"/>
      <c r="G3" s="41"/>
      <c r="H3" s="41"/>
      <c r="I3" s="41"/>
      <c r="J3" s="41" t="s">
        <v>123</v>
      </c>
    </row>
    <row r="4" spans="2:17">
      <c r="B4" s="17" t="s">
        <v>101</v>
      </c>
      <c r="K4" s="50"/>
    </row>
    <row r="5" spans="2:17" ht="4.5" customHeight="1"/>
    <row r="6" spans="2:17" ht="6.75" customHeight="1">
      <c r="B6" s="44"/>
    </row>
    <row r="7" spans="2:17" ht="15" customHeight="1">
      <c r="B7" s="2" t="s">
        <v>124</v>
      </c>
      <c r="C7" s="263"/>
      <c r="D7" s="263"/>
      <c r="E7" s="263"/>
      <c r="F7" s="263"/>
      <c r="G7" s="263"/>
      <c r="H7" s="263"/>
      <c r="I7" s="263"/>
      <c r="J7" s="263"/>
    </row>
    <row r="8" spans="2:17" ht="5.0999999999999996" customHeight="1">
      <c r="Q8" s="2" t="s">
        <v>11</v>
      </c>
    </row>
    <row r="9" spans="2:17" ht="16.5" customHeight="1">
      <c r="B9" s="17" t="s">
        <v>125</v>
      </c>
      <c r="C9" s="263" t="s">
        <v>15</v>
      </c>
      <c r="D9" s="263"/>
      <c r="E9" s="263"/>
      <c r="J9" s="237">
        <f>VLOOKUP(C9,basis!G4:K13,5,FALSE)</f>
        <v>0</v>
      </c>
      <c r="L9" s="2" t="str">
        <f>CONCATENATE(basis!G5," =",basis!K5, "p / ",basis!G6," ",basis!K6," p / ",basis!G7," ",basis!K7," p / ",basis!G8," ",basis!K8," p / ",basis!G9," ",basis!K9," p / ",basis!G10," ",basis!K10," p / ",basis!G13," =",basis!K13," punten")</f>
        <v>utiliteitsbouw =40p / voortgezet onderwijs 50 p / primair onderwijs 50 p / zorgsector 10 p / woningbouw 0 p / gymaccomodatie 10 p / anders =0 punten</v>
      </c>
    </row>
    <row r="10" spans="2:17" ht="5.0999999999999996" customHeight="1">
      <c r="N10" s="2" t="s">
        <v>38</v>
      </c>
      <c r="Q10" s="2" t="s">
        <v>126</v>
      </c>
    </row>
    <row r="11" spans="2:17" ht="112.5" customHeight="1">
      <c r="B11" s="46" t="s">
        <v>142</v>
      </c>
      <c r="C11" s="292"/>
      <c r="D11" s="292"/>
      <c r="E11" s="292"/>
      <c r="F11" s="292"/>
      <c r="G11" s="292"/>
      <c r="H11" s="292"/>
      <c r="I11" s="292"/>
      <c r="J11" s="292"/>
    </row>
    <row r="12" spans="2:17" ht="5.0999999999999996" customHeight="1"/>
    <row r="13" spans="2:17" ht="15" customHeight="1">
      <c r="B13" s="2" t="s">
        <v>128</v>
      </c>
      <c r="C13" s="263" t="s">
        <v>15</v>
      </c>
      <c r="D13" s="293"/>
      <c r="E13" s="293"/>
      <c r="J13" s="237">
        <f>VLOOKUP(C13,basis!G18:K27,5,FALSE)</f>
        <v>0</v>
      </c>
      <c r="L13" s="2" t="str">
        <f>CONCATENATE("tussen ",basis!G25," en ",basis!G19," =",basis!K19," punten / anders 0 punten")</f>
        <v>tussen 2018 en 2024 =40 punten / anders 0 punten</v>
      </c>
    </row>
    <row r="14" spans="2:17" ht="5.0999999999999996" customHeight="1">
      <c r="C14" s="195"/>
      <c r="D14" s="195"/>
      <c r="E14" s="195"/>
    </row>
    <row r="15" spans="2:17" ht="15" customHeight="1">
      <c r="B15" s="2" t="s">
        <v>129</v>
      </c>
      <c r="C15" s="293"/>
      <c r="D15" s="293"/>
      <c r="E15" s="293"/>
      <c r="F15" s="293"/>
      <c r="G15" s="293"/>
      <c r="H15" s="293"/>
      <c r="I15" s="293"/>
      <c r="J15" s="293"/>
    </row>
    <row r="16" spans="2:17" ht="5.0999999999999996" customHeight="1">
      <c r="C16" s="195"/>
      <c r="D16" s="195"/>
      <c r="E16" s="195"/>
    </row>
    <row r="17" spans="2:22" ht="15" customHeight="1">
      <c r="B17" s="2" t="s">
        <v>130</v>
      </c>
      <c r="C17" s="291"/>
      <c r="D17" s="291"/>
      <c r="E17" s="291"/>
      <c r="F17" s="291"/>
      <c r="G17" s="291"/>
      <c r="H17" s="291"/>
      <c r="I17" s="291"/>
      <c r="J17" s="291"/>
    </row>
    <row r="18" spans="2:22" ht="5.0999999999999996" customHeight="1">
      <c r="C18" s="241"/>
      <c r="D18" s="241"/>
      <c r="E18" s="241"/>
      <c r="F18" s="241"/>
      <c r="G18" s="241"/>
      <c r="H18" s="241"/>
      <c r="I18" s="241"/>
      <c r="J18" s="241"/>
    </row>
    <row r="19" spans="2:22" ht="15" customHeight="1">
      <c r="B19" s="2" t="s">
        <v>131</v>
      </c>
      <c r="C19" s="291"/>
      <c r="D19" s="291"/>
      <c r="E19" s="291"/>
      <c r="F19" s="291"/>
      <c r="G19" s="291"/>
      <c r="H19" s="291"/>
      <c r="I19" s="291"/>
      <c r="J19" s="291"/>
    </row>
    <row r="20" spans="2:22" ht="5.0999999999999996" customHeight="1">
      <c r="C20" s="241"/>
      <c r="D20" s="241"/>
      <c r="E20" s="241"/>
      <c r="F20" s="241"/>
      <c r="G20" s="241"/>
      <c r="H20" s="241"/>
      <c r="I20" s="241"/>
      <c r="J20" s="241"/>
    </row>
    <row r="21" spans="2:22" ht="15" customHeight="1">
      <c r="B21" s="2" t="s">
        <v>132</v>
      </c>
      <c r="C21" s="291" t="s">
        <v>11</v>
      </c>
      <c r="D21" s="291"/>
      <c r="E21" s="291"/>
      <c r="F21" s="241"/>
      <c r="G21" s="241"/>
      <c r="H21" s="241"/>
      <c r="I21" s="241"/>
      <c r="J21" s="242">
        <f>VLOOKUP(C21,basis!G32:K41,5,FALSE)</f>
        <v>0</v>
      </c>
      <c r="L21" s="2" t="str">
        <f>CONCATENATE(basis!G33," =",basis!K33," p / ",basis!G34," =",basis!K34,"p / ",basis!G35," =",basis!K35," punten")</f>
        <v>door opdrachtgever =50 p / door architect =30p / door bouwmanager =40 punten</v>
      </c>
    </row>
    <row r="22" spans="2:22" ht="5.0999999999999996" customHeight="1">
      <c r="C22" s="241"/>
      <c r="D22" s="241"/>
      <c r="E22" s="241"/>
      <c r="F22" s="241"/>
      <c r="G22" s="241"/>
      <c r="H22" s="241"/>
      <c r="I22" s="241"/>
      <c r="J22" s="241"/>
    </row>
    <row r="23" spans="2:22" ht="15" customHeight="1">
      <c r="B23" s="2" t="s">
        <v>133</v>
      </c>
      <c r="C23" s="291" t="s">
        <v>11</v>
      </c>
      <c r="D23" s="291"/>
      <c r="E23" s="291"/>
      <c r="F23" s="2" t="s">
        <v>134</v>
      </c>
      <c r="G23" s="241"/>
      <c r="H23" s="241"/>
      <c r="I23" s="241"/>
      <c r="J23" s="242">
        <f>VLOOKUP(C23,basis!G46:K55,5,FALSE)</f>
        <v>0</v>
      </c>
      <c r="L23" s="269" t="str">
        <f>CONCATENATE(basis!G47," =",basis!K47," p / ",basis!G48," =",basis!K48," p / ",basis!G49," =",basis!K49," p / ",basis!G50," =",basis!K50," p / ",basis!G51," =",basis!K51," p / ",,basis!G52," =",basis!K52," p / ",basis!G53," =",basis!K53," punten")</f>
        <v>&lt; 3 miljoen =0 p / &gt; 3 mln en &lt; 8 mln =50 p / &gt; 8 mln en &lt; 12 mln =60 p / &gt; 12 mln en &lt; 16 mln =50 p / &gt; 16 mln en &lt; 20 mln =40 p / &gt; 20 mln en &lt; 25 mln =30 p / &gt; 25 miljoen =0 punten</v>
      </c>
      <c r="M23" s="269"/>
      <c r="N23" s="269"/>
      <c r="O23" s="269"/>
      <c r="P23" s="269"/>
      <c r="Q23" s="269"/>
      <c r="R23" s="269"/>
      <c r="S23" s="269"/>
      <c r="T23" s="269"/>
      <c r="U23" s="269"/>
      <c r="V23" s="269"/>
    </row>
    <row r="24" spans="2:22" ht="5.0999999999999996" customHeight="1">
      <c r="D24" s="290"/>
      <c r="E24" s="290"/>
      <c r="L24" s="269"/>
      <c r="M24" s="269"/>
      <c r="N24" s="269"/>
      <c r="O24" s="269"/>
      <c r="P24" s="269"/>
      <c r="Q24" s="269"/>
      <c r="R24" s="269"/>
      <c r="S24" s="269"/>
      <c r="T24" s="269"/>
      <c r="U24" s="269"/>
      <c r="V24" s="269"/>
    </row>
    <row r="25" spans="2:22" ht="15" customHeight="1">
      <c r="B25" s="2" t="s">
        <v>135</v>
      </c>
      <c r="C25" s="263" t="s">
        <v>11</v>
      </c>
      <c r="D25" s="263"/>
      <c r="E25" s="263"/>
      <c r="L25" s="269"/>
      <c r="M25" s="269"/>
      <c r="N25" s="269"/>
      <c r="O25" s="269"/>
      <c r="P25" s="269"/>
      <c r="Q25" s="269"/>
      <c r="R25" s="269"/>
      <c r="S25" s="269"/>
      <c r="T25" s="269"/>
      <c r="U25" s="269"/>
      <c r="V25" s="269"/>
    </row>
    <row r="26" spans="2:22" ht="5.0999999999999996" customHeight="1">
      <c r="D26" s="235"/>
      <c r="E26" s="235"/>
    </row>
    <row r="27" spans="2:22" ht="79.5" customHeight="1">
      <c r="B27" s="246" t="s">
        <v>136</v>
      </c>
      <c r="C27" s="292"/>
      <c r="D27" s="292"/>
      <c r="E27" s="292"/>
      <c r="F27" s="292"/>
      <c r="G27" s="292"/>
      <c r="H27" s="292"/>
      <c r="I27" s="292"/>
      <c r="J27" s="292"/>
    </row>
    <row r="28" spans="2:22" ht="6.75" customHeight="1">
      <c r="D28" s="235"/>
      <c r="E28" s="235"/>
    </row>
    <row r="29" spans="2:22" ht="14.25" customHeight="1">
      <c r="B29" s="248" t="s">
        <v>137</v>
      </c>
    </row>
    <row r="30" spans="2:22" ht="15" customHeight="1">
      <c r="B30" s="2" t="s">
        <v>138</v>
      </c>
      <c r="C30" s="263" t="s">
        <v>11</v>
      </c>
      <c r="D30" s="263"/>
      <c r="E30" s="263"/>
    </row>
    <row r="31" spans="2:22" ht="6" customHeight="1">
      <c r="D31" s="235"/>
      <c r="E31" s="235"/>
    </row>
    <row r="32" spans="2:22" ht="17.25" customHeight="1">
      <c r="C32" s="46" t="str">
        <f>IF(C30="ja","Maximaal eenzijdig 2x A4 of 2x A3","")</f>
        <v/>
      </c>
      <c r="D32" s="235"/>
      <c r="E32" s="235"/>
    </row>
    <row r="33" spans="2:12" ht="15.75" customHeight="1">
      <c r="B33" s="269" t="str">
        <f>basis!B19</f>
        <v>Het gerealseerde gebouw komt qua omvang (BVO) en aanneemsom overeen met de opgave en er is sprake van meerdere opdrachtgevers</v>
      </c>
      <c r="C33" s="263" t="s">
        <v>11</v>
      </c>
      <c r="D33" s="263"/>
      <c r="E33" s="263"/>
      <c r="J33" s="237">
        <f>IF(C33="ja",30,0)</f>
        <v>0</v>
      </c>
      <c r="L33" s="2" t="s">
        <v>145</v>
      </c>
    </row>
    <row r="34" spans="2:12" ht="78.75" customHeight="1">
      <c r="B34" s="294"/>
      <c r="C34" s="144"/>
      <c r="D34" s="249"/>
      <c r="E34" s="249"/>
      <c r="F34" s="144"/>
      <c r="G34" s="144"/>
      <c r="H34" s="144"/>
      <c r="I34" s="144"/>
      <c r="J34" s="144"/>
    </row>
    <row r="35" spans="2:12" ht="6" customHeight="1" thickBot="1"/>
    <row r="36" spans="2:12" ht="15" customHeight="1" thickBot="1">
      <c r="B36" s="2" t="s">
        <v>75</v>
      </c>
      <c r="C36" s="264">
        <f>'A1'!E14</f>
        <v>0</v>
      </c>
      <c r="D36" s="264"/>
      <c r="E36" s="264"/>
      <c r="G36" s="2" t="s">
        <v>139</v>
      </c>
      <c r="J36" s="247">
        <f>J33+J23+J21+J13+J9</f>
        <v>0</v>
      </c>
    </row>
    <row r="37" spans="2:12" ht="5.0999999999999996" customHeight="1">
      <c r="E37" s="17"/>
      <c r="I37" s="42"/>
      <c r="J37" s="42"/>
      <c r="K37" s="42"/>
    </row>
    <row r="38" spans="2:12">
      <c r="B38" s="2" t="s">
        <v>89</v>
      </c>
      <c r="C38" s="264">
        <f>'A1'!E27</f>
        <v>0</v>
      </c>
      <c r="D38" s="264"/>
      <c r="E38" s="264"/>
    </row>
    <row r="39" spans="2:12" ht="5.0999999999999996" customHeight="1">
      <c r="E39" s="17"/>
    </row>
    <row r="42" spans="2:12" ht="5.0999999999999996" customHeight="1"/>
    <row r="44" spans="2:12" ht="5.0999999999999996" customHeight="1">
      <c r="I44" s="46"/>
      <c r="J44" s="46"/>
      <c r="K44" s="46"/>
    </row>
    <row r="45" spans="2:12">
      <c r="E45" s="46"/>
      <c r="F45" s="46"/>
      <c r="G45" s="46"/>
      <c r="I45" s="46"/>
      <c r="J45" s="46"/>
      <c r="K45" s="46"/>
    </row>
    <row r="46" spans="2:12">
      <c r="E46" s="46"/>
      <c r="F46" s="46"/>
      <c r="G46" s="46"/>
      <c r="I46" s="46"/>
      <c r="J46" s="46"/>
      <c r="K46" s="46"/>
    </row>
  </sheetData>
  <sheetProtection algorithmName="SHA-512" hashValue="sPsTJLKxecWyq7fx27FZo64ekAgiwjiW/r+lD0toyLpGqPLVzQSU0Vmn/E82WHKqMNp5+bzH4knpwKmTKUDTMw==" saltValue="HlhMg1ibIqOSNF6hpFE67w==" spinCount="100000" sheet="1" selectLockedCells="1"/>
  <mergeCells count="18">
    <mergeCell ref="C30:E30"/>
    <mergeCell ref="B33:B34"/>
    <mergeCell ref="C33:E33"/>
    <mergeCell ref="C36:E36"/>
    <mergeCell ref="C38:E38"/>
    <mergeCell ref="L23:V25"/>
    <mergeCell ref="C19:J19"/>
    <mergeCell ref="C21:E21"/>
    <mergeCell ref="C23:E23"/>
    <mergeCell ref="D24:E24"/>
    <mergeCell ref="C25:E25"/>
    <mergeCell ref="C27:J27"/>
    <mergeCell ref="C7:J7"/>
    <mergeCell ref="C9:E9"/>
    <mergeCell ref="C11:J11"/>
    <mergeCell ref="C13:E13"/>
    <mergeCell ref="C15:J15"/>
    <mergeCell ref="C17:J17"/>
  </mergeCells>
  <dataValidations count="2">
    <dataValidation type="list" allowBlank="1" showInputMessage="1" showErrorMessage="1" sqref="K9" xr:uid="{7A9B979D-47A6-461B-9FFC-A8715F68E964}">
      <formula1>$N$3:$N$5</formula1>
    </dataValidation>
    <dataValidation type="list" allowBlank="1" showInputMessage="1" showErrorMessage="1" sqref="C14" xr:uid="{A9042259-0182-457E-904B-51169BE5A8BF}">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1"/>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C48B4552-12CC-4F83-AFD7-D6E0CCB31AA7}">
          <x14:formula1>
            <xm:f>basis!$G$32:$G$41</xm:f>
          </x14:formula1>
          <xm:sqref>C21:E21</xm:sqref>
        </x14:dataValidation>
        <x14:dataValidation type="list" allowBlank="1" showInputMessage="1" showErrorMessage="1" xr:uid="{7C0A30B7-94DE-40AD-81B8-1687448E8EAC}">
          <x14:formula1>
            <xm:f>basis!$G$46:$G$55</xm:f>
          </x14:formula1>
          <xm:sqref>C23:E23</xm:sqref>
        </x14:dataValidation>
        <x14:dataValidation type="list" allowBlank="1" showInputMessage="1" showErrorMessage="1" xr:uid="{F534878B-D6F9-40A1-9699-7E5B378EA7B7}">
          <x14:formula1>
            <xm:f>'A7'!$N$33:$N$40</xm:f>
          </x14:formula1>
          <xm:sqref>C16</xm:sqref>
        </x14:dataValidation>
        <x14:dataValidation type="list" allowBlank="1" showInputMessage="1" showErrorMessage="1" xr:uid="{4F40CA77-5914-4AF8-B796-5EE5031F5951}">
          <x14:formula1>
            <xm:f>basis!$G$4:$G$13</xm:f>
          </x14:formula1>
          <xm:sqref>C9:E9</xm:sqref>
        </x14:dataValidation>
        <x14:dataValidation type="list" allowBlank="1" showInputMessage="1" showErrorMessage="1" xr:uid="{BAA1DD47-7B1C-4DEC-BE18-46BEBD116FE5}">
          <x14:formula1>
            <xm:f>basis!$G$18:$G$27</xm:f>
          </x14:formula1>
          <xm:sqref>C13:E13</xm:sqref>
        </x14:dataValidation>
        <x14:dataValidation type="list" allowBlank="1" showInputMessage="1" showErrorMessage="1" xr:uid="{48E81CF1-61C5-4376-AC0A-6851AB90A50B}">
          <x14:formula1>
            <xm:f>basis!$P$3:$P$5</xm:f>
          </x14:formula1>
          <xm:sqref>C30:E30 C33:E33 C25:E25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A2C5-B971-49A4-BD2D-CD79A0AAD511}">
  <sheetPr>
    <pageSetUpPr fitToPage="1"/>
  </sheetPr>
  <dimension ref="B1:V46"/>
  <sheetViews>
    <sheetView showGridLines="0" workbookViewId="0">
      <selection activeCell="C33" sqref="C33:E33"/>
    </sheetView>
  </sheetViews>
  <sheetFormatPr defaultColWidth="9.140625" defaultRowHeight="15"/>
  <cols>
    <col min="1" max="1" width="4.140625" style="2" customWidth="1"/>
    <col min="2" max="2" width="30.42578125" style="2" customWidth="1"/>
    <col min="3" max="3" width="7.5703125" style="2" customWidth="1"/>
    <col min="4" max="4" width="4.7109375" style="2" customWidth="1"/>
    <col min="5" max="5" width="12.5703125" style="2" customWidth="1"/>
    <col min="6" max="6" width="7.42578125" style="2" customWidth="1"/>
    <col min="7" max="7" width="9.140625" style="2"/>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17">
      <c r="B1" s="17" t="s">
        <v>146</v>
      </c>
      <c r="C1" s="2" t="str">
        <f>basis!B6</f>
        <v>Behorende bij selectieleidraad nieuwbouw IKC Tuindorp</v>
      </c>
    </row>
    <row r="2" spans="2:17">
      <c r="B2" s="38" t="str">
        <f>basis!B3</f>
        <v>2024.TUIN.01</v>
      </c>
      <c r="C2" s="39" t="str">
        <f>basis!B5</f>
        <v>Nieuwbouw +Renovatie IKC Tuindorp</v>
      </c>
      <c r="D2" s="39"/>
      <c r="E2" s="38"/>
      <c r="F2" s="38"/>
      <c r="G2" s="38"/>
      <c r="H2" s="38"/>
      <c r="I2" s="38"/>
      <c r="J2" s="38"/>
    </row>
    <row r="3" spans="2:17">
      <c r="B3" s="40" t="s">
        <v>147</v>
      </c>
      <c r="C3" s="41"/>
      <c r="D3" s="41"/>
      <c r="E3" s="41"/>
      <c r="F3" s="41"/>
      <c r="G3" s="41"/>
      <c r="H3" s="41"/>
      <c r="I3" s="41"/>
      <c r="J3" s="41" t="s">
        <v>123</v>
      </c>
    </row>
    <row r="4" spans="2:17">
      <c r="B4" s="17" t="s">
        <v>101</v>
      </c>
      <c r="K4" s="50"/>
    </row>
    <row r="5" spans="2:17" ht="4.5" customHeight="1"/>
    <row r="6" spans="2:17" ht="6.75" customHeight="1">
      <c r="B6" s="44"/>
    </row>
    <row r="7" spans="2:17" ht="15" customHeight="1">
      <c r="B7" s="2" t="s">
        <v>124</v>
      </c>
      <c r="C7" s="263"/>
      <c r="D7" s="263"/>
      <c r="E7" s="263"/>
      <c r="F7" s="263"/>
      <c r="G7" s="263"/>
      <c r="H7" s="263"/>
      <c r="I7" s="263"/>
      <c r="J7" s="263"/>
    </row>
    <row r="8" spans="2:17" ht="5.0999999999999996" customHeight="1">
      <c r="Q8" s="2" t="s">
        <v>11</v>
      </c>
    </row>
    <row r="9" spans="2:17" ht="16.5" customHeight="1">
      <c r="B9" s="17" t="s">
        <v>125</v>
      </c>
      <c r="C9" s="263" t="s">
        <v>15</v>
      </c>
      <c r="D9" s="263"/>
      <c r="E9" s="263"/>
      <c r="J9" s="237">
        <f>VLOOKUP(C9,basis!G4:L13,6,FALSE)</f>
        <v>0</v>
      </c>
      <c r="L9" s="2" t="str">
        <f>CONCATENATE(basis!G5," =",basis!L5, "p / ",basis!G6," ",basis!L6," p / ",basis!G7," ",basis!L7," p / ",basis!G8," ",basis!L8," p / ",basis!G9," ",basis!L9," p / ",basis!G10," ",basis!L10," p / ",basis!G13," =",basis!L13," punten")</f>
        <v>utiliteitsbouw =40p / voortgezet onderwijs 50 p / primair onderwijs 50 p / zorgsector 40 p / woningbouw 0 p / gymaccomodatie 40 p / anders =0 punten</v>
      </c>
    </row>
    <row r="10" spans="2:17" ht="5.0999999999999996" customHeight="1">
      <c r="N10" s="2" t="s">
        <v>38</v>
      </c>
      <c r="Q10" s="2" t="s">
        <v>126</v>
      </c>
    </row>
    <row r="11" spans="2:17" ht="112.5" customHeight="1">
      <c r="B11" s="46" t="s">
        <v>142</v>
      </c>
      <c r="C11" s="292"/>
      <c r="D11" s="292"/>
      <c r="E11" s="292"/>
      <c r="F11" s="292"/>
      <c r="G11" s="292"/>
      <c r="H11" s="292"/>
      <c r="I11" s="292"/>
      <c r="J11" s="292"/>
    </row>
    <row r="12" spans="2:17" ht="5.0999999999999996" customHeight="1"/>
    <row r="13" spans="2:17" ht="15" customHeight="1">
      <c r="B13" s="2" t="s">
        <v>128</v>
      </c>
      <c r="C13" s="263" t="s">
        <v>15</v>
      </c>
      <c r="D13" s="293"/>
      <c r="E13" s="293"/>
      <c r="J13" s="237">
        <f>VLOOKUP(C13,basis!G18:L27,6,FALSE)</f>
        <v>0</v>
      </c>
      <c r="L13" s="2" t="str">
        <f>CONCATENATE("tussen ",basis!G25," en ",basis!G19," =",basis!L19," punten / anders 0 punten")</f>
        <v>tussen 2018 en 2024 =40 punten / anders 0 punten</v>
      </c>
    </row>
    <row r="14" spans="2:17" ht="5.0999999999999996" customHeight="1">
      <c r="C14" s="195"/>
      <c r="D14" s="195"/>
      <c r="E14" s="195"/>
    </row>
    <row r="15" spans="2:17" ht="15" customHeight="1">
      <c r="B15" s="2" t="s">
        <v>129</v>
      </c>
      <c r="C15" s="293"/>
      <c r="D15" s="293"/>
      <c r="E15" s="293"/>
      <c r="F15" s="293"/>
      <c r="G15" s="293"/>
      <c r="H15" s="293"/>
      <c r="I15" s="293"/>
      <c r="J15" s="293"/>
    </row>
    <row r="16" spans="2:17" ht="5.0999999999999996" customHeight="1">
      <c r="C16" s="195"/>
      <c r="D16" s="195"/>
      <c r="E16" s="195"/>
    </row>
    <row r="17" spans="2:22" ht="15" customHeight="1">
      <c r="B17" s="2" t="s">
        <v>130</v>
      </c>
      <c r="C17" s="291"/>
      <c r="D17" s="291"/>
      <c r="E17" s="291"/>
      <c r="F17" s="291"/>
      <c r="G17" s="291"/>
      <c r="H17" s="291"/>
      <c r="I17" s="291"/>
      <c r="J17" s="291"/>
    </row>
    <row r="18" spans="2:22" ht="5.0999999999999996" customHeight="1">
      <c r="C18" s="241"/>
      <c r="D18" s="241"/>
      <c r="E18" s="241"/>
      <c r="F18" s="241"/>
      <c r="G18" s="241"/>
      <c r="H18" s="241"/>
      <c r="I18" s="241"/>
      <c r="J18" s="241"/>
    </row>
    <row r="19" spans="2:22" ht="15" customHeight="1">
      <c r="B19" s="2" t="s">
        <v>131</v>
      </c>
      <c r="C19" s="291"/>
      <c r="D19" s="291"/>
      <c r="E19" s="291"/>
      <c r="F19" s="291"/>
      <c r="G19" s="291"/>
      <c r="H19" s="291"/>
      <c r="I19" s="291"/>
      <c r="J19" s="291"/>
    </row>
    <row r="20" spans="2:22" ht="5.0999999999999996" customHeight="1">
      <c r="C20" s="241"/>
      <c r="D20" s="241"/>
      <c r="E20" s="241"/>
      <c r="F20" s="241"/>
      <c r="G20" s="241"/>
      <c r="H20" s="241"/>
      <c r="I20" s="241"/>
      <c r="J20" s="241"/>
    </row>
    <row r="21" spans="2:22" ht="15" customHeight="1">
      <c r="B21" s="2" t="s">
        <v>132</v>
      </c>
      <c r="C21" s="291" t="s">
        <v>11</v>
      </c>
      <c r="D21" s="291"/>
      <c r="E21" s="291"/>
      <c r="F21" s="241"/>
      <c r="G21" s="241"/>
      <c r="H21" s="241"/>
      <c r="I21" s="241"/>
      <c r="J21" s="242">
        <f>VLOOKUP(C21,basis!G32:L41,6,FALSE)</f>
        <v>0</v>
      </c>
      <c r="L21" s="2" t="str">
        <f>CONCATENATE(basis!G33," =",basis!L33," p / ",basis!G34," =",basis!L34,"p / ",basis!G35," =",basis!L35," punten")</f>
        <v>door opdrachtgever =50 p / door architect =30p / door bouwmanager =40 punten</v>
      </c>
    </row>
    <row r="22" spans="2:22" ht="5.0999999999999996" customHeight="1">
      <c r="C22" s="241"/>
      <c r="D22" s="241"/>
      <c r="E22" s="241"/>
      <c r="F22" s="241"/>
      <c r="G22" s="241"/>
      <c r="H22" s="241"/>
      <c r="I22" s="241"/>
      <c r="J22" s="241"/>
    </row>
    <row r="23" spans="2:22" ht="15" customHeight="1">
      <c r="B23" s="2" t="s">
        <v>133</v>
      </c>
      <c r="C23" s="291" t="s">
        <v>11</v>
      </c>
      <c r="D23" s="291"/>
      <c r="E23" s="291"/>
      <c r="F23" s="2" t="s">
        <v>134</v>
      </c>
      <c r="G23" s="241"/>
      <c r="H23" s="241"/>
      <c r="I23" s="241"/>
      <c r="J23" s="242">
        <f>VLOOKUP(C23,basis!G46:L55,6,FALSE)</f>
        <v>0</v>
      </c>
      <c r="L23" s="269" t="str">
        <f>CONCATENATE(basis!G47," =",basis!L47," p / ",basis!G48," =",basis!L48," p / ",basis!G49," =",basis!L49," p / ",basis!G50," =",basis!L50," p / ",basis!G51," =",basis!L51," p / ",,basis!G52," =",basis!L52," p / ",basis!G53," =",basis!L53," punten")</f>
        <v>&lt; 3 miljoen =0 p / &gt; 3 mln en &lt; 8 mln =40 p / &gt; 8 mln en &lt; 12 mln =50 p / &gt; 12 mln en &lt; 16 mln =50 p / &gt; 16 mln en &lt; 20 mln =40 p / &gt; 20 mln en &lt; 25 mln =0 p / &gt; 25 miljoen =0 punten</v>
      </c>
      <c r="M23" s="269"/>
      <c r="N23" s="269"/>
      <c r="O23" s="269"/>
      <c r="P23" s="269"/>
      <c r="Q23" s="269"/>
      <c r="R23" s="269"/>
      <c r="S23" s="269"/>
      <c r="T23" s="269"/>
      <c r="U23" s="269"/>
      <c r="V23" s="269"/>
    </row>
    <row r="24" spans="2:22" ht="5.0999999999999996" customHeight="1">
      <c r="D24" s="290"/>
      <c r="E24" s="290"/>
      <c r="L24" s="269"/>
      <c r="M24" s="269"/>
      <c r="N24" s="269"/>
      <c r="O24" s="269"/>
      <c r="P24" s="269"/>
      <c r="Q24" s="269"/>
      <c r="R24" s="269"/>
      <c r="S24" s="269"/>
      <c r="T24" s="269"/>
      <c r="U24" s="269"/>
      <c r="V24" s="269"/>
    </row>
    <row r="25" spans="2:22" ht="15" customHeight="1">
      <c r="B25" s="2" t="s">
        <v>135</v>
      </c>
      <c r="C25" s="263" t="s">
        <v>11</v>
      </c>
      <c r="D25" s="263"/>
      <c r="E25" s="263"/>
      <c r="L25" s="269"/>
      <c r="M25" s="269"/>
      <c r="N25" s="269"/>
      <c r="O25" s="269"/>
      <c r="P25" s="269"/>
      <c r="Q25" s="269"/>
      <c r="R25" s="269"/>
      <c r="S25" s="269"/>
      <c r="T25" s="269"/>
      <c r="U25" s="269"/>
      <c r="V25" s="269"/>
    </row>
    <row r="26" spans="2:22" ht="5.0999999999999996" customHeight="1">
      <c r="D26" s="235"/>
      <c r="E26" s="235"/>
    </row>
    <row r="27" spans="2:22" ht="79.5" customHeight="1">
      <c r="B27" s="246" t="s">
        <v>136</v>
      </c>
      <c r="C27" s="292"/>
      <c r="D27" s="292"/>
      <c r="E27" s="292"/>
      <c r="F27" s="292"/>
      <c r="G27" s="292"/>
      <c r="H27" s="292"/>
      <c r="I27" s="292"/>
      <c r="J27" s="292"/>
    </row>
    <row r="28" spans="2:22" ht="6.75" customHeight="1">
      <c r="D28" s="235"/>
      <c r="E28" s="235"/>
    </row>
    <row r="29" spans="2:22" ht="14.25" customHeight="1">
      <c r="B29" s="248" t="s">
        <v>137</v>
      </c>
    </row>
    <row r="30" spans="2:22" ht="15" customHeight="1">
      <c r="B30" s="2" t="s">
        <v>138</v>
      </c>
      <c r="C30" s="263" t="s">
        <v>11</v>
      </c>
      <c r="D30" s="263"/>
      <c r="E30" s="263"/>
    </row>
    <row r="31" spans="2:22" ht="6" customHeight="1">
      <c r="D31" s="235"/>
      <c r="E31" s="235"/>
    </row>
    <row r="32" spans="2:22" ht="17.25" customHeight="1">
      <c r="C32" s="46" t="str">
        <f>IF(C30="ja","Maximaal eenzijdig 2x A4 of 2x A3","")</f>
        <v/>
      </c>
      <c r="D32" s="235"/>
      <c r="E32" s="235"/>
    </row>
    <row r="33" spans="2:12" ht="15.75" customHeight="1">
      <c r="B33" s="269" t="str">
        <f>basis!B20</f>
        <v>Het gerealseerde gebouw komt qua omvang (BVO) en aanneemsom overeen met de opgave en is ook in combinatie met renovatie gebouwd</v>
      </c>
      <c r="C33" s="263" t="s">
        <v>11</v>
      </c>
      <c r="D33" s="263"/>
      <c r="E33" s="263"/>
      <c r="J33" s="237">
        <f>IF(C33="ja",30,0)</f>
        <v>0</v>
      </c>
      <c r="L33" s="2" t="s">
        <v>145</v>
      </c>
    </row>
    <row r="34" spans="2:12" ht="78.75" customHeight="1">
      <c r="B34" s="294"/>
      <c r="C34" s="144"/>
      <c r="D34" s="249"/>
      <c r="E34" s="249"/>
      <c r="F34" s="144"/>
      <c r="G34" s="144"/>
      <c r="H34" s="144"/>
      <c r="I34" s="144"/>
      <c r="J34" s="144"/>
    </row>
    <row r="35" spans="2:12" ht="6" customHeight="1"/>
    <row r="36" spans="2:12" ht="15" customHeight="1">
      <c r="B36" s="2" t="s">
        <v>75</v>
      </c>
      <c r="C36" s="264">
        <f>'A1'!E14</f>
        <v>0</v>
      </c>
      <c r="D36" s="264"/>
      <c r="E36" s="264"/>
      <c r="G36" s="2" t="s">
        <v>139</v>
      </c>
      <c r="J36" s="247">
        <f>J33+J23+J21+J13+J9</f>
        <v>0</v>
      </c>
    </row>
    <row r="37" spans="2:12" ht="5.0999999999999996" customHeight="1">
      <c r="E37" s="17"/>
      <c r="I37" s="42"/>
      <c r="J37" s="42"/>
      <c r="K37" s="42"/>
    </row>
    <row r="38" spans="2:12">
      <c r="B38" s="2" t="s">
        <v>89</v>
      </c>
      <c r="C38" s="264">
        <f>'A1'!E27</f>
        <v>0</v>
      </c>
      <c r="D38" s="264"/>
      <c r="E38" s="264"/>
    </row>
    <row r="39" spans="2:12" ht="5.0999999999999996" customHeight="1">
      <c r="E39" s="17"/>
    </row>
    <row r="42" spans="2:12" ht="5.0999999999999996" customHeight="1"/>
    <row r="44" spans="2:12" ht="5.0999999999999996" customHeight="1">
      <c r="I44" s="46"/>
      <c r="J44" s="46"/>
      <c r="K44" s="46"/>
    </row>
    <row r="45" spans="2:12">
      <c r="E45" s="46"/>
      <c r="F45" s="46"/>
      <c r="G45" s="46"/>
      <c r="I45" s="46"/>
      <c r="J45" s="46"/>
      <c r="K45" s="46"/>
    </row>
    <row r="46" spans="2:12">
      <c r="E46" s="46"/>
      <c r="F46" s="46"/>
      <c r="G46" s="46"/>
      <c r="I46" s="46"/>
      <c r="J46" s="46"/>
      <c r="K46" s="46"/>
    </row>
  </sheetData>
  <sheetProtection algorithmName="SHA-512" hashValue="eDHko1oCGDFubJPvvtg9PGL78DdlVdY4IAKs/y4YA92xQ6VOCiLrtWA3B3uxUkuWNxRwvs0orRae+ux6czaBcQ==" saltValue="uPBQJnvAek0BOb3pSIiB8Q==" spinCount="100000" sheet="1" selectLockedCells="1"/>
  <mergeCells count="18">
    <mergeCell ref="C17:J17"/>
    <mergeCell ref="C7:J7"/>
    <mergeCell ref="C9:E9"/>
    <mergeCell ref="C11:J11"/>
    <mergeCell ref="C13:E13"/>
    <mergeCell ref="C15:J15"/>
    <mergeCell ref="L23:V25"/>
    <mergeCell ref="D24:E24"/>
    <mergeCell ref="C25:E25"/>
    <mergeCell ref="C27:J27"/>
    <mergeCell ref="C30:E30"/>
    <mergeCell ref="B33:B34"/>
    <mergeCell ref="C33:E33"/>
    <mergeCell ref="C36:E36"/>
    <mergeCell ref="C38:E38"/>
    <mergeCell ref="C19:J19"/>
    <mergeCell ref="C21:E21"/>
    <mergeCell ref="C23:E23"/>
  </mergeCells>
  <dataValidations count="2">
    <dataValidation type="list" allowBlank="1" showInputMessage="1" showErrorMessage="1" sqref="C14" xr:uid="{51D1176A-ECF3-425C-A4FC-8DFE4236620B}">
      <formula1>$M$32:$M$39</formula1>
    </dataValidation>
    <dataValidation type="list" allowBlank="1" showInputMessage="1" showErrorMessage="1" sqref="K9" xr:uid="{8AE5D5D0-4D9D-45DB-9B63-46FD8B1C1B19}">
      <formula1>$N$3:$N$5</formula1>
    </dataValidation>
  </dataValidations>
  <pageMargins left="0.74803149606299213" right="0.55118110236220474" top="0.59055118110236227" bottom="0.98425196850393704" header="0.51181102362204722" footer="0.51181102362204722"/>
  <pageSetup paperSize="9" scale="97" orientation="portrait" horizontalDpi="300" verticalDpi="300"/>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4C328558-55D4-4054-83B6-4444993184F6}">
          <x14:formula1>
            <xm:f>basis!$P$3:$P$5</xm:f>
          </x14:formula1>
          <xm:sqref>C30:E30 C33:E33 C25:E25</xm:sqref>
        </x14:dataValidation>
        <x14:dataValidation type="list" allowBlank="1" showInputMessage="1" showErrorMessage="1" xr:uid="{9F3C8E5B-3E9D-4D76-A9D9-5B1F6BDC8AC4}">
          <x14:formula1>
            <xm:f>basis!$G$18:$G$27</xm:f>
          </x14:formula1>
          <xm:sqref>C13:E13</xm:sqref>
        </x14:dataValidation>
        <x14:dataValidation type="list" allowBlank="1" showInputMessage="1" showErrorMessage="1" xr:uid="{69FC3B92-5A85-4708-BBAE-26A64E27E126}">
          <x14:formula1>
            <xm:f>basis!$G$4:$G$13</xm:f>
          </x14:formula1>
          <xm:sqref>C9:E9</xm:sqref>
        </x14:dataValidation>
        <x14:dataValidation type="list" allowBlank="1" showInputMessage="1" showErrorMessage="1" xr:uid="{4F890C83-F730-40EE-89FF-C5619B63E3E0}">
          <x14:formula1>
            <xm:f>'A7'!$N$33:$N$40</xm:f>
          </x14:formula1>
          <xm:sqref>C16</xm:sqref>
        </x14:dataValidation>
        <x14:dataValidation type="list" allowBlank="1" showInputMessage="1" showErrorMessage="1" xr:uid="{FECD7AF5-21A1-416E-983A-EB1AA058B1CB}">
          <x14:formula1>
            <xm:f>basis!$G$46:$G$55</xm:f>
          </x14:formula1>
          <xm:sqref>C23:E23</xm:sqref>
        </x14:dataValidation>
        <x14:dataValidation type="list" allowBlank="1" showInputMessage="1" showErrorMessage="1" xr:uid="{B3D06655-9DBF-4AF2-9349-0FE3541D8A59}">
          <x14:formula1>
            <xm:f>basis!$G$32:$G$41</xm:f>
          </x14:formula1>
          <xm:sqref>C21:E21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36DCE-2285-405E-B037-9E025A43F071}">
  <sheetPr>
    <pageSetUpPr fitToPage="1"/>
  </sheetPr>
  <dimension ref="B1:W40"/>
  <sheetViews>
    <sheetView showGridLines="0" topLeftCell="A4" workbookViewId="0">
      <selection activeCell="C17" sqref="C17:J17"/>
    </sheetView>
  </sheetViews>
  <sheetFormatPr defaultColWidth="9.140625" defaultRowHeight="15"/>
  <cols>
    <col min="1" max="1" width="4.140625" style="2" customWidth="1"/>
    <col min="2" max="2" width="35.28515625" style="2" customWidth="1"/>
    <col min="3" max="3" width="7.5703125" style="2" customWidth="1"/>
    <col min="4" max="4" width="4.7109375" style="2" customWidth="1"/>
    <col min="5" max="5" width="12.5703125" style="2" customWidth="1"/>
    <col min="6" max="6" width="7.42578125" style="2" customWidth="1"/>
    <col min="7" max="7" width="9.140625" style="2" bestFit="1"/>
    <col min="8" max="8" width="5.28515625" style="2" customWidth="1"/>
    <col min="9" max="9" width="4.5703125" style="2" customWidth="1"/>
    <col min="10" max="10" width="11.5703125" style="2" customWidth="1"/>
    <col min="11" max="11" width="3.28515625" style="2" customWidth="1"/>
    <col min="12" max="12" width="9.140625" style="2" customWidth="1"/>
    <col min="13" max="13" width="11.28515625" style="2" customWidth="1"/>
    <col min="14" max="20" width="9.140625" style="2" customWidth="1"/>
    <col min="21" max="16384" width="9.140625" style="2"/>
  </cols>
  <sheetData>
    <row r="1" spans="2:23">
      <c r="B1" s="17" t="s">
        <v>148</v>
      </c>
      <c r="C1" s="2" t="str">
        <f>basis!B6</f>
        <v>Behorende bij selectieleidraad nieuwbouw IKC Tuindorp</v>
      </c>
    </row>
    <row r="2" spans="2:23">
      <c r="B2" s="38" t="str">
        <f>basis!B3</f>
        <v>2024.TUIN.01</v>
      </c>
      <c r="C2" s="39" t="str">
        <f>basis!B5</f>
        <v>Nieuwbouw +Renovatie IKC Tuindorp</v>
      </c>
      <c r="D2" s="39"/>
      <c r="E2" s="38"/>
      <c r="F2" s="38"/>
      <c r="G2" s="38"/>
      <c r="H2" s="38"/>
      <c r="I2" s="38"/>
      <c r="J2" s="38"/>
    </row>
    <row r="3" spans="2:23">
      <c r="B3" s="40" t="s">
        <v>149</v>
      </c>
      <c r="C3" s="41"/>
      <c r="D3" s="41"/>
      <c r="E3" s="41"/>
      <c r="F3" s="41"/>
      <c r="G3" s="41"/>
      <c r="H3" s="41"/>
      <c r="I3" s="41"/>
      <c r="J3" s="41" t="s">
        <v>123</v>
      </c>
    </row>
    <row r="4" spans="2:23">
      <c r="B4" s="17" t="s">
        <v>101</v>
      </c>
      <c r="K4" s="50"/>
    </row>
    <row r="5" spans="2:23" ht="4.5" customHeight="1"/>
    <row r="6" spans="2:23" ht="6.75" customHeight="1">
      <c r="B6" s="44"/>
    </row>
    <row r="7" spans="2:23">
      <c r="B7" s="2" t="s">
        <v>150</v>
      </c>
      <c r="C7" s="263"/>
      <c r="D7" s="263"/>
      <c r="E7" s="263"/>
      <c r="F7" s="263"/>
      <c r="G7" s="263"/>
      <c r="H7" s="263"/>
      <c r="I7" s="263"/>
      <c r="J7" s="263"/>
    </row>
    <row r="8" spans="2:23" ht="5.0999999999999996" customHeight="1">
      <c r="Q8" s="2" t="s">
        <v>11</v>
      </c>
    </row>
    <row r="9" spans="2:23">
      <c r="B9" s="2" t="s">
        <v>151</v>
      </c>
      <c r="C9" s="263" t="s">
        <v>15</v>
      </c>
      <c r="D9" s="263"/>
      <c r="E9" s="263"/>
      <c r="J9" s="237">
        <f>VLOOKUP(C9,basis!G4:N13,8,FALSE)</f>
        <v>0</v>
      </c>
      <c r="L9" s="2" t="str">
        <f>CONCATENATE(basis!G5," =",basis!N5, "p / ",basis!G6," ",basis!N6," p / ",basis!G7," ",basis!N7," p / ",basis!G8," ",basis!N8," p / ",basis!G9," ",basis!N9," p / ",basis!G10," ",basis!N10," p / ",basis!G13," =",basis!N13," punten")</f>
        <v>utiliteitsbouw =20p / voortgezet onderwijs 20 p / primair onderwijs 20 p / zorgsector 10 p / woningbouw 0 p / gymaccomodatie 10 p / anders =0 punten</v>
      </c>
    </row>
    <row r="10" spans="2:23" ht="5.0999999999999996" customHeight="1">
      <c r="N10" s="2" t="s">
        <v>38</v>
      </c>
      <c r="Q10" s="2" t="s">
        <v>126</v>
      </c>
    </row>
    <row r="11" spans="2:23" ht="40.5" customHeight="1">
      <c r="B11" s="238" t="s">
        <v>152</v>
      </c>
      <c r="C11" s="292"/>
      <c r="D11" s="292"/>
      <c r="E11" s="292"/>
      <c r="F11" s="292"/>
      <c r="G11" s="292"/>
      <c r="H11" s="292"/>
      <c r="I11" s="292"/>
      <c r="J11" s="292"/>
      <c r="W11"/>
    </row>
    <row r="12" spans="2:23" ht="5.0999999999999996" customHeight="1">
      <c r="C12" s="239"/>
      <c r="D12" s="239"/>
      <c r="E12" s="239"/>
      <c r="F12" s="239"/>
      <c r="G12" s="239"/>
      <c r="H12" s="239"/>
      <c r="I12" s="239"/>
      <c r="J12" s="239"/>
      <c r="K12" s="123"/>
      <c r="L12" s="123"/>
      <c r="W12"/>
    </row>
    <row r="13" spans="2:23" ht="15" customHeight="1">
      <c r="B13" s="240" t="s">
        <v>153</v>
      </c>
      <c r="C13" s="291" t="s">
        <v>11</v>
      </c>
      <c r="D13" s="291"/>
      <c r="E13" s="291"/>
      <c r="F13" s="2" t="s">
        <v>134</v>
      </c>
      <c r="G13" s="241"/>
      <c r="H13" s="241"/>
      <c r="I13" s="241"/>
      <c r="J13" s="242">
        <f>VLOOKUP(C13,basis!G46:N55,8,FALSE)</f>
        <v>0</v>
      </c>
      <c r="L13" s="240" t="str">
        <f>CONCATENATE(basis!G47," =",basis!N47," p / ",basis!G48," =",basis!N48," p / ",basis!G49," =",basis!N49," p / ",basis!G50," =",basis!N50," p / ",basis!G51," =",basis!N51," p / ",,basis!G52," =",basis!N52," p / ",basis!G53," =",basis!N53," punten")</f>
        <v>&lt; 3 miljoen =0 p / &gt; 3 mln en &lt; 8 mln =10 p / &gt; 8 mln en &lt; 12 mln =20 p / &gt; 12 mln en &lt; 16 mln =20 p / &gt; 16 mln en &lt; 20 mln =10 p / &gt; 20 mln en &lt; 25 mln =0 p / &gt; 25 miljoen =0 punten</v>
      </c>
      <c r="M13" s="238"/>
      <c r="N13" s="238"/>
      <c r="O13" s="238"/>
      <c r="P13" s="238"/>
      <c r="Q13" s="238"/>
      <c r="R13" s="238"/>
      <c r="S13" s="238"/>
      <c r="T13" s="238"/>
      <c r="U13" s="238"/>
      <c r="V13" s="238"/>
      <c r="W13"/>
    </row>
    <row r="14" spans="2:23" ht="5.0999999999999996" customHeight="1">
      <c r="L14" s="238"/>
      <c r="M14" s="238"/>
      <c r="N14" s="238"/>
      <c r="O14" s="238"/>
      <c r="P14" s="238"/>
      <c r="Q14" s="238"/>
      <c r="R14" s="238"/>
      <c r="S14" s="238"/>
      <c r="T14" s="238"/>
      <c r="U14" s="238"/>
      <c r="V14" s="238"/>
      <c r="W14"/>
    </row>
    <row r="15" spans="2:23" ht="15" customHeight="1">
      <c r="B15" s="243" t="s">
        <v>154</v>
      </c>
      <c r="C15" s="263" t="s">
        <v>15</v>
      </c>
      <c r="D15" s="263"/>
      <c r="E15" s="263"/>
      <c r="J15" s="237">
        <f>VLOOKUP(C15,basis!G18:N27,8,FALSE)</f>
        <v>0</v>
      </c>
      <c r="L15" s="240" t="str">
        <f>CONCATENATE("tussen ",basis!G24," en ",basis!G19," =",basis!N21," punten / anders 0 punten")</f>
        <v>tussen 2019 en 2024 =20 punten / anders 0 punten</v>
      </c>
      <c r="M15" s="238"/>
      <c r="N15" s="238"/>
      <c r="O15" s="238"/>
      <c r="P15" s="238"/>
      <c r="Q15" s="238"/>
      <c r="R15" s="238"/>
      <c r="S15" s="238"/>
      <c r="T15" s="238"/>
      <c r="U15" s="238"/>
      <c r="V15" s="238"/>
      <c r="W15"/>
    </row>
    <row r="16" spans="2:23" ht="5.0999999999999996" customHeight="1">
      <c r="C16" s="195"/>
      <c r="D16" s="195"/>
      <c r="E16" s="195"/>
      <c r="W16"/>
    </row>
    <row r="17" spans="2:23" ht="40.5" customHeight="1">
      <c r="B17" s="238" t="s">
        <v>155</v>
      </c>
      <c r="C17" s="291"/>
      <c r="D17" s="291"/>
      <c r="E17" s="291"/>
      <c r="F17" s="291"/>
      <c r="G17" s="291"/>
      <c r="H17" s="291"/>
      <c r="I17" s="291"/>
      <c r="J17" s="291"/>
      <c r="W17"/>
    </row>
    <row r="18" spans="2:23" ht="5.0999999999999996" customHeight="1">
      <c r="C18" s="195"/>
      <c r="D18" s="195"/>
      <c r="E18" s="195"/>
      <c r="W18"/>
    </row>
    <row r="19" spans="2:23" ht="15" customHeight="1">
      <c r="B19" s="13" t="s">
        <v>156</v>
      </c>
      <c r="C19" s="263" t="s">
        <v>11</v>
      </c>
      <c r="D19" s="263"/>
      <c r="E19" s="263"/>
      <c r="F19" s="241"/>
      <c r="G19" s="241"/>
      <c r="H19" s="241"/>
      <c r="I19" s="241"/>
      <c r="J19" s="242">
        <f>IF(C19="ja",10,0)</f>
        <v>0</v>
      </c>
      <c r="L19" s="2" t="s">
        <v>272</v>
      </c>
      <c r="W19"/>
    </row>
    <row r="20" spans="2:23" ht="5.0999999999999996" customHeight="1">
      <c r="C20" s="195"/>
      <c r="D20" s="195"/>
      <c r="E20" s="195"/>
      <c r="W20"/>
    </row>
    <row r="21" spans="2:23" ht="40.5" customHeight="1">
      <c r="B21" s="46" t="s">
        <v>157</v>
      </c>
      <c r="C21" s="291"/>
      <c r="D21" s="291"/>
      <c r="E21" s="291"/>
      <c r="F21" s="291"/>
      <c r="G21" s="291"/>
      <c r="H21" s="291"/>
      <c r="I21" s="291"/>
      <c r="J21" s="291"/>
      <c r="W21"/>
    </row>
    <row r="22" spans="2:23" ht="5.0999999999999996" customHeight="1">
      <c r="C22" s="241"/>
      <c r="D22" s="241"/>
      <c r="E22" s="241"/>
      <c r="F22" s="241"/>
      <c r="G22" s="241"/>
      <c r="H22" s="241"/>
      <c r="I22" s="241"/>
      <c r="J22" s="241"/>
      <c r="W22"/>
    </row>
    <row r="23" spans="2:23" ht="30" customHeight="1">
      <c r="B23" s="244" t="s">
        <v>158</v>
      </c>
      <c r="C23" s="295" t="s">
        <v>11</v>
      </c>
      <c r="D23" s="295"/>
      <c r="E23" s="295"/>
      <c r="F23" s="241"/>
      <c r="G23" s="241"/>
      <c r="H23" s="241"/>
      <c r="I23" s="241"/>
      <c r="J23" s="245">
        <f>IF(C23="ja",10,0)</f>
        <v>0</v>
      </c>
      <c r="L23" s="240" t="s">
        <v>272</v>
      </c>
      <c r="W23"/>
    </row>
    <row r="24" spans="2:23" ht="5.0999999999999996" customHeight="1">
      <c r="C24" s="241"/>
      <c r="D24" s="241"/>
      <c r="E24" s="241"/>
      <c r="F24" s="241"/>
      <c r="G24" s="241"/>
      <c r="H24" s="241"/>
      <c r="I24" s="241"/>
      <c r="J24" s="241"/>
      <c r="W24"/>
    </row>
    <row r="25" spans="2:23" ht="40.5" customHeight="1">
      <c r="B25" s="243" t="s">
        <v>159</v>
      </c>
      <c r="C25" s="292"/>
      <c r="D25" s="292"/>
      <c r="E25" s="292"/>
      <c r="F25" s="292"/>
      <c r="G25" s="292"/>
      <c r="H25" s="292"/>
      <c r="I25" s="292"/>
      <c r="J25" s="292"/>
      <c r="W25"/>
    </row>
    <row r="26" spans="2:23" ht="5.0999999999999996" customHeight="1">
      <c r="C26" s="241"/>
      <c r="D26" s="241"/>
      <c r="E26" s="241"/>
      <c r="F26" s="241"/>
      <c r="G26" s="241"/>
      <c r="H26" s="241"/>
      <c r="I26" s="241"/>
      <c r="J26" s="241"/>
      <c r="W26"/>
    </row>
    <row r="27" spans="2:23" ht="15" customHeight="1">
      <c r="B27" s="269" t="str">
        <f>basis!B22</f>
        <v xml:space="preserve">De bevoegde persoon is werkzaam bij het gedadigde bedrijf en/of combinatie en heeft bepaalde werkzaamheden uitgevoerd zoals beschreven in A5 </v>
      </c>
      <c r="C27" s="263" t="s">
        <v>11</v>
      </c>
      <c r="D27" s="263"/>
      <c r="E27" s="263"/>
      <c r="F27" s="238"/>
      <c r="G27" s="238"/>
      <c r="H27" s="238"/>
      <c r="I27" s="238"/>
      <c r="J27" s="238"/>
      <c r="W27"/>
    </row>
    <row r="28" spans="2:23" ht="78.75" customHeight="1">
      <c r="B28" s="294"/>
      <c r="C28" s="239"/>
      <c r="D28" s="239"/>
      <c r="E28" s="239"/>
      <c r="F28" s="239"/>
      <c r="G28" s="239"/>
      <c r="H28" s="239"/>
      <c r="I28" s="239"/>
      <c r="J28" s="239"/>
      <c r="K28" s="123"/>
      <c r="L28" s="123"/>
      <c r="W28"/>
    </row>
    <row r="29" spans="2:23" ht="6" customHeight="1" thickBot="1"/>
    <row r="30" spans="2:23" ht="15" customHeight="1" thickBot="1">
      <c r="B30" s="2" t="s">
        <v>75</v>
      </c>
      <c r="C30" s="264">
        <f>'A1'!E14</f>
        <v>0</v>
      </c>
      <c r="D30" s="264"/>
      <c r="E30" s="264"/>
      <c r="G30" s="2" t="s">
        <v>139</v>
      </c>
      <c r="J30" s="247">
        <f>J9+J13+J15+J23+J19</f>
        <v>0</v>
      </c>
    </row>
    <row r="31" spans="2:23" ht="5.0999999999999996" customHeight="1">
      <c r="E31" s="17"/>
      <c r="I31" s="42"/>
      <c r="J31" s="42"/>
      <c r="K31" s="42"/>
    </row>
    <row r="32" spans="2:23" ht="15" customHeight="1">
      <c r="B32" s="2" t="s">
        <v>89</v>
      </c>
      <c r="C32" s="264">
        <f>'A1'!E27</f>
        <v>0</v>
      </c>
      <c r="D32" s="264"/>
      <c r="E32" s="264"/>
    </row>
    <row r="33" spans="5:11" ht="5.0999999999999996" customHeight="1">
      <c r="E33" s="17"/>
    </row>
    <row r="36" spans="5:11" ht="5.0999999999999996" customHeight="1"/>
    <row r="38" spans="5:11" ht="5.0999999999999996" customHeight="1">
      <c r="I38" s="46"/>
      <c r="J38" s="46"/>
      <c r="K38" s="46"/>
    </row>
    <row r="39" spans="5:11">
      <c r="E39" s="46"/>
      <c r="F39" s="46"/>
      <c r="G39" s="46"/>
      <c r="I39" s="46"/>
      <c r="J39" s="46"/>
      <c r="K39" s="46"/>
    </row>
    <row r="40" spans="5:11">
      <c r="E40" s="46"/>
      <c r="F40" s="46"/>
      <c r="G40" s="46"/>
      <c r="I40" s="46"/>
      <c r="J40" s="46"/>
      <c r="K40" s="46"/>
    </row>
  </sheetData>
  <sheetProtection algorithmName="SHA-512" hashValue="S1lLU71xqaDJclBjVS3uOOwX58mDEjUmzNF/jKqWC1KwQLYmTtUvO5k8KoRhl/8cWyq36qUL/xooX1X/ubhjew==" saltValue="rhoRkgH5QsABUgq5oOu8UA==" spinCount="100000" sheet="1" selectLockedCells="1"/>
  <mergeCells count="14">
    <mergeCell ref="C32:E32"/>
    <mergeCell ref="C13:E13"/>
    <mergeCell ref="C30:E30"/>
    <mergeCell ref="C21:J21"/>
    <mergeCell ref="C23:E23"/>
    <mergeCell ref="C25:J25"/>
    <mergeCell ref="B27:B28"/>
    <mergeCell ref="C27:E27"/>
    <mergeCell ref="C7:J7"/>
    <mergeCell ref="C9:E9"/>
    <mergeCell ref="C11:J11"/>
    <mergeCell ref="C15:E15"/>
    <mergeCell ref="C17:J17"/>
    <mergeCell ref="C19:E19"/>
  </mergeCells>
  <dataValidations count="2">
    <dataValidation type="list" allowBlank="1" showInputMessage="1" showErrorMessage="1" sqref="K9" xr:uid="{354A6C66-4AD8-484B-94EB-36B62D4C6C2C}">
      <formula1>$N$3:$N$5</formula1>
    </dataValidation>
    <dataValidation type="list" allowBlank="1" showInputMessage="1" showErrorMessage="1" sqref="C18" xr:uid="{73C93676-37DB-42E4-85E6-9065293256D2}">
      <formula1>$M$29:$M$33</formula1>
    </dataValidation>
  </dataValidations>
  <pageMargins left="0.74803149606299213" right="0.55118110236220474" top="0.59055118110236227" bottom="0.98425196850393704" header="0.51181102362204722" footer="0.51181102362204722"/>
  <pageSetup paperSize="9" scale="92" orientation="portrait" horizontalDpi="300" verticalDpi="300" r:id="rId1"/>
  <headerFooter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9F6F124A-0ECF-4378-9631-B3BB6358B97B}">
          <x14:formula1>
            <xm:f>basis!$P$3:$P$5</xm:f>
          </x14:formula1>
          <xm:sqref>C23:E23 C19:E19 C27:E27</xm:sqref>
        </x14:dataValidation>
        <x14:dataValidation type="list" allowBlank="1" showInputMessage="1" showErrorMessage="1" xr:uid="{CF397B47-5F6A-4E7A-B043-CC9081FF5816}">
          <x14:formula1>
            <xm:f>basis!$G$18:$G$27</xm:f>
          </x14:formula1>
          <xm:sqref>C15:E15</xm:sqref>
        </x14:dataValidation>
        <x14:dataValidation type="list" allowBlank="1" showInputMessage="1" showErrorMessage="1" xr:uid="{6BB5ED71-7ACB-4E3F-90E0-CD44F52C2078}">
          <x14:formula1>
            <xm:f>basis!$G$4:$G$13</xm:f>
          </x14:formula1>
          <xm:sqref>C9:E9</xm:sqref>
        </x14:dataValidation>
        <x14:dataValidation type="list" allowBlank="1" showInputMessage="1" showErrorMessage="1" xr:uid="{1FF14E36-0559-4B94-BBB8-4F2E1DAA0675}">
          <x14:formula1>
            <xm:f>'A7'!$N$33:$N$40</xm:f>
          </x14:formula1>
          <xm:sqref>C20 C16</xm:sqref>
        </x14:dataValidation>
        <x14:dataValidation type="list" allowBlank="1" showInputMessage="1" showErrorMessage="1" xr:uid="{BBB4D291-C859-46DE-90A9-6F3DE0E461F8}">
          <x14:formula1>
            <xm:f>basis!$G$46:$G$55</xm:f>
          </x14:formula1>
          <xm:sqref>C13:E13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1e65b11-b1f1-475a-ad16-3aa736c64b0c" xsi:nil="true"/>
    <lcf76f155ced4ddcb4097134ff3c332f xmlns="165ab1c4-1213-473e-9a67-37391f724ed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515E5810417F4F9C7828FCB09CA25D" ma:contentTypeVersion="15" ma:contentTypeDescription="Een nieuw document maken." ma:contentTypeScope="" ma:versionID="a1560763b3f9ea3c9786cf0fc79c9b65">
  <xsd:schema xmlns:xsd="http://www.w3.org/2001/XMLSchema" xmlns:xs="http://www.w3.org/2001/XMLSchema" xmlns:p="http://schemas.microsoft.com/office/2006/metadata/properties" xmlns:ns2="165ab1c4-1213-473e-9a67-37391f724edc" xmlns:ns3="51e65b11-b1f1-475a-ad16-3aa736c64b0c" targetNamespace="http://schemas.microsoft.com/office/2006/metadata/properties" ma:root="true" ma:fieldsID="1ea71ad048a52fd19c5171320c955040" ns2:_="" ns3:_="">
    <xsd:import namespace="165ab1c4-1213-473e-9a67-37391f724edc"/>
    <xsd:import namespace="51e65b11-b1f1-475a-ad16-3aa736c64b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5ab1c4-1213-473e-9a67-37391f724e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2555fa8-aa89-4b31-aa4b-6428a80ef76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e65b11-b1f1-475a-ad16-3aa736c64b0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4694ced-8a18-4a5e-b3ad-054c3032d690}" ma:internalName="TaxCatchAll" ma:showField="CatchAllData" ma:web="51e65b11-b1f1-475a-ad16-3aa736c64b0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56D440-D4C4-41F9-B286-D7C743C3AF19}">
  <ds:schemaRefs>
    <ds:schemaRef ds:uri="http://schemas.microsoft.com/sharepoint/v3/contenttype/forms"/>
  </ds:schemaRefs>
</ds:datastoreItem>
</file>

<file path=customXml/itemProps2.xml><?xml version="1.0" encoding="utf-8"?>
<ds:datastoreItem xmlns:ds="http://schemas.openxmlformats.org/officeDocument/2006/customXml" ds:itemID="{761749B4-AEA5-4F2F-9534-F66740456229}">
  <ds:schemaRefs>
    <ds:schemaRef ds:uri="http://www.w3.org/XML/1998/namespace"/>
    <ds:schemaRef ds:uri="http://purl.org/dc/dcmitype/"/>
    <ds:schemaRef ds:uri="http://schemas.microsoft.com/office/infopath/2007/PartnerControls"/>
    <ds:schemaRef ds:uri="http://purl.org/dc/elements/1.1/"/>
    <ds:schemaRef ds:uri="http://schemas.microsoft.com/office/2006/metadata/properties"/>
    <ds:schemaRef ds:uri="http://purl.org/dc/terms/"/>
    <ds:schemaRef ds:uri="51e65b11-b1f1-475a-ad16-3aa736c64b0c"/>
    <ds:schemaRef ds:uri="http://schemas.openxmlformats.org/package/2006/metadata/core-properties"/>
    <ds:schemaRef ds:uri="http://schemas.microsoft.com/office/2006/documentManagement/types"/>
    <ds:schemaRef ds:uri="165ab1c4-1213-473e-9a67-37391f724edc"/>
  </ds:schemaRefs>
</ds:datastoreItem>
</file>

<file path=customXml/itemProps3.xml><?xml version="1.0" encoding="utf-8"?>
<ds:datastoreItem xmlns:ds="http://schemas.openxmlformats.org/officeDocument/2006/customXml" ds:itemID="{68D2C92C-4403-4892-AF92-43470AD39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5ab1c4-1213-473e-9a67-37391f724edc"/>
    <ds:schemaRef ds:uri="51e65b11-b1f1-475a-ad16-3aa736c64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10</vt:i4>
      </vt:variant>
    </vt:vector>
  </HeadingPairs>
  <TitlesOfParts>
    <vt:vector size="21" baseType="lpstr">
      <vt:lpstr>basis</vt:lpstr>
      <vt:lpstr>A1</vt:lpstr>
      <vt:lpstr>A2</vt:lpstr>
      <vt:lpstr>A3</vt:lpstr>
      <vt:lpstr>A4-a</vt:lpstr>
      <vt:lpstr>A4-b</vt:lpstr>
      <vt:lpstr>A4-c</vt:lpstr>
      <vt:lpstr>A4-d</vt:lpstr>
      <vt:lpstr>A5</vt:lpstr>
      <vt:lpstr>A6</vt:lpstr>
      <vt:lpstr>A7</vt:lpstr>
      <vt:lpstr>'A1'!Afdrukbereik</vt:lpstr>
      <vt:lpstr>'A2'!Afdrukbereik</vt:lpstr>
      <vt:lpstr>'A3'!Afdrukbereik</vt:lpstr>
      <vt:lpstr>'A4-a'!Afdrukbereik</vt:lpstr>
      <vt:lpstr>'A4-b'!Afdrukbereik</vt:lpstr>
      <vt:lpstr>'A4-c'!Afdrukbereik</vt:lpstr>
      <vt:lpstr>'A4-d'!Afdrukbereik</vt:lpstr>
      <vt:lpstr>'A5'!Afdrukbereik</vt:lpstr>
      <vt:lpstr>'A6'!Afdrukbereik</vt:lpstr>
      <vt:lpstr>'A7'!Afdrukbereik</vt:lpstr>
    </vt:vector>
  </TitlesOfParts>
  <Manager/>
  <Company>Premark advies &amp; architectuur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 Al Hambra</dc:title>
  <dc:subject>eenheidsprijzen</dc:subject>
  <dc:creator>Andre v Iersel</dc:creator>
  <cp:keywords/>
  <dc:description/>
  <cp:lastModifiedBy>Andre | Premark</cp:lastModifiedBy>
  <cp:revision/>
  <cp:lastPrinted>2024-08-30T09:14:44Z</cp:lastPrinted>
  <dcterms:created xsi:type="dcterms:W3CDTF">2004-12-06T13:21:33Z</dcterms:created>
  <dcterms:modified xsi:type="dcterms:W3CDTF">2024-10-18T14:50:30Z</dcterms:modified>
  <cp:category>aanbesteding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0x010100CC515E5810417F4F9C7828FCB09CA25D</vt:lpwstr>
  </property>
  <property fmtid="{D5CDD505-2E9C-101B-9397-08002B2CF9AE}" pid="3" name="Order">
    <vt:r8>4022400</vt:r8>
  </property>
  <property fmtid="{D5CDD505-2E9C-101B-9397-08002B2CF9AE}" pid="4" name="MediaServiceImageTags">
    <vt:lpwstr/>
  </property>
</Properties>
</file>