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https://linqiot.sharepoint.com/sites/Linqiot/Gedeelde  documenten/Klanten/Platform Vallei en Eem/projecten/Grondwater aanbesteding/NvI/"/>
    </mc:Choice>
  </mc:AlternateContent>
  <xr:revisionPtr revIDLastSave="2" documentId="8_{47B23880-4D64-4C43-AF1D-D1CD7A95572F}" xr6:coauthVersionLast="47" xr6:coauthVersionMax="47" xr10:uidLastSave="{08D14D0E-C493-491E-8976-6306E54377FF}"/>
  <bookViews>
    <workbookView xWindow="28680" yWindow="-2970" windowWidth="29040" windowHeight="15720" xr2:uid="{82E077DE-0DBD-4647-B82F-CEA535652A1A}"/>
  </bookViews>
  <sheets>
    <sheet name="Invul prijzenblad" sheetId="1" r:id="rId1"/>
    <sheet name="Specificatie"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72" i="1" l="1"/>
  <c r="E72" i="1" s="1"/>
  <c r="D71" i="1"/>
  <c r="D119" i="1"/>
  <c r="E119" i="1" s="1"/>
  <c r="D118" i="1"/>
  <c r="D60" i="1" l="1"/>
  <c r="D115" i="1"/>
  <c r="D114" i="1"/>
  <c r="D92" i="1"/>
  <c r="D91" i="1"/>
  <c r="D62" i="1"/>
  <c r="D63" i="1"/>
  <c r="E65" i="1" l="1"/>
  <c r="E104" i="1"/>
  <c r="E75" i="1"/>
  <c r="K27" i="2"/>
  <c r="G27" i="2"/>
  <c r="E27" i="2"/>
  <c r="D27" i="2"/>
  <c r="H27" i="2" s="1"/>
  <c r="J29" i="2" l="1"/>
  <c r="E62" i="1"/>
  <c r="E113" i="1"/>
  <c r="E131" i="1"/>
  <c r="E85" i="1"/>
  <c r="E84" i="1"/>
  <c r="E83" i="1"/>
  <c r="E82" i="1"/>
  <c r="D112" i="1" l="1"/>
  <c r="E112" i="1" s="1"/>
  <c r="O29" i="2"/>
  <c r="K29" i="2"/>
  <c r="E63" i="1"/>
  <c r="E92" i="1"/>
  <c r="E91" i="1"/>
  <c r="D64" i="1"/>
  <c r="I7" i="2"/>
  <c r="I29" i="2" s="1"/>
  <c r="E34" i="1"/>
  <c r="P4" i="2"/>
  <c r="E33" i="1"/>
  <c r="E32" i="1"/>
  <c r="E31" i="1"/>
  <c r="P13" i="2"/>
  <c r="F29" i="2"/>
  <c r="G29" i="2"/>
  <c r="H29" i="2"/>
  <c r="M29" i="2"/>
  <c r="R29" i="2"/>
  <c r="D57" i="1" s="1"/>
  <c r="S29" i="2"/>
  <c r="T29" i="2"/>
  <c r="D66" i="1" s="1"/>
  <c r="P27" i="2"/>
  <c r="Q29" i="2"/>
  <c r="N23" i="2"/>
  <c r="N31" i="2" s="1"/>
  <c r="L23" i="2"/>
  <c r="L29" i="2" s="1"/>
  <c r="E4" i="2"/>
  <c r="E29" i="2" s="1"/>
  <c r="L7" i="2"/>
  <c r="D7" i="2"/>
  <c r="D29" i="2" s="1"/>
  <c r="N29" i="2" l="1"/>
  <c r="D56" i="1" s="1"/>
  <c r="E56" i="1" s="1"/>
  <c r="D68" i="1"/>
  <c r="E68" i="1" s="1"/>
  <c r="D69" i="1"/>
  <c r="D111" i="1"/>
  <c r="E111" i="1" s="1"/>
  <c r="D125" i="1"/>
  <c r="E125" i="1" s="1"/>
  <c r="D126" i="1"/>
  <c r="E126" i="1" s="1"/>
  <c r="D122" i="1"/>
  <c r="E122" i="1" s="1"/>
  <c r="D123" i="1"/>
  <c r="E123" i="1" s="1"/>
  <c r="D124" i="1"/>
  <c r="E124" i="1" s="1"/>
  <c r="D121" i="1"/>
  <c r="E121" i="1" s="1"/>
  <c r="L31" i="2"/>
  <c r="E115" i="1"/>
  <c r="E114" i="1"/>
  <c r="D70" i="1"/>
  <c r="E70" i="1" s="1"/>
  <c r="E71" i="1"/>
  <c r="D58" i="1"/>
  <c r="E58" i="1" s="1"/>
  <c r="D127" i="1"/>
  <c r="E127" i="1" s="1"/>
  <c r="D116" i="1"/>
  <c r="E116" i="1" s="1"/>
  <c r="E118" i="1"/>
  <c r="D128" i="1"/>
  <c r="E128" i="1" s="1"/>
  <c r="D117" i="1"/>
  <c r="E117" i="1" s="1"/>
  <c r="D120" i="1"/>
  <c r="E120" i="1" s="1"/>
  <c r="D129" i="1"/>
  <c r="E129" i="1" s="1"/>
  <c r="D93" i="1"/>
  <c r="E93" i="1" s="1"/>
  <c r="D130" i="1"/>
  <c r="E130" i="1" s="1"/>
  <c r="D73" i="1"/>
  <c r="E73" i="1" s="1"/>
  <c r="E69" i="1"/>
  <c r="D74" i="1"/>
  <c r="E74" i="1" s="1"/>
  <c r="P29" i="2"/>
  <c r="E64" i="1"/>
  <c r="E66" i="1"/>
  <c r="E60" i="1"/>
  <c r="E57" i="1"/>
  <c r="E45" i="1"/>
  <c r="E39" i="1"/>
  <c r="E29" i="1"/>
  <c r="E44" i="1"/>
  <c r="E46" i="1"/>
  <c r="E47" i="1"/>
  <c r="E43" i="1"/>
  <c r="E38" i="1"/>
  <c r="E40" i="1"/>
  <c r="E41" i="1"/>
  <c r="E37" i="1"/>
  <c r="E28" i="1"/>
  <c r="E30" i="1"/>
  <c r="E35" i="1"/>
  <c r="E27" i="1"/>
  <c r="C21" i="1"/>
  <c r="D110" i="1" l="1"/>
  <c r="E110" i="1" s="1"/>
  <c r="D102" i="1"/>
  <c r="D103" i="1"/>
  <c r="E103" i="1" s="1"/>
  <c r="D108" i="1"/>
  <c r="E108" i="1" s="1"/>
  <c r="D132" i="1"/>
  <c r="E132" i="1" s="1"/>
  <c r="D55" i="1"/>
  <c r="E55" i="1" s="1"/>
  <c r="D109" i="1"/>
  <c r="E109" i="1" s="1"/>
  <c r="D54" i="1"/>
  <c r="E54" i="1" s="1"/>
  <c r="E76" i="1" s="1"/>
  <c r="E94" i="1"/>
  <c r="E86" i="1"/>
  <c r="E48" i="1"/>
  <c r="D106" i="1" l="1"/>
  <c r="E106" i="1" s="1"/>
  <c r="D105" i="1"/>
  <c r="E105" i="1" s="1"/>
  <c r="E102" i="1"/>
  <c r="D107" i="1"/>
  <c r="E107" i="1" s="1"/>
  <c r="E133" i="1" l="1"/>
  <c r="E135" i="1" s="1"/>
</calcChain>
</file>

<file path=xl/sharedStrings.xml><?xml version="1.0" encoding="utf-8"?>
<sst xmlns="http://schemas.openxmlformats.org/spreadsheetml/2006/main" count="342" uniqueCount="254">
  <si>
    <t>Prijzenblad</t>
  </si>
  <si>
    <t>Naam Inschrijver</t>
  </si>
  <si>
    <t>Projectmanagementkosten</t>
  </si>
  <si>
    <t xml:space="preserve">Pilotfase </t>
  </si>
  <si>
    <t>Algemene Projectmanagementkosten</t>
  </si>
  <si>
    <t>Oplevering gehele project</t>
  </si>
  <si>
    <t>Setup webportal</t>
  </si>
  <si>
    <t>Overige algemene kosten</t>
  </si>
  <si>
    <t>TOTAAL algemene kosten</t>
  </si>
  <si>
    <t xml:space="preserve">Oplevering </t>
  </si>
  <si>
    <t>Overige kosten</t>
  </si>
  <si>
    <r>
      <t xml:space="preserve">Eenmalige kosten per locatie </t>
    </r>
    <r>
      <rPr>
        <i/>
        <sz val="11"/>
        <color theme="1"/>
        <rFont val="Aptos Narrow"/>
        <family val="2"/>
        <scheme val="minor"/>
      </rPr>
      <t>(kosten die toe te schrijven zijn aan een idividuele grondwatermonitoringsput of filter)</t>
    </r>
  </si>
  <si>
    <t>Omschrijving</t>
  </si>
  <si>
    <t>Bedrag</t>
  </si>
  <si>
    <t>Algemene projectmanagementkosten</t>
  </si>
  <si>
    <t>Inmeten</t>
  </si>
  <si>
    <t>Schoonspoelen peilbuis/filter</t>
  </si>
  <si>
    <t>Bedrag per stuk</t>
  </si>
  <si>
    <t>Aantal</t>
  </si>
  <si>
    <t>Planning en terugkoppeling</t>
  </si>
  <si>
    <t>Totaalbedrag</t>
  </si>
  <si>
    <t>TOTAAL</t>
  </si>
  <si>
    <r>
      <t xml:space="preserve">Bedrag </t>
    </r>
    <r>
      <rPr>
        <b/>
        <u/>
        <sz val="11"/>
        <color theme="1"/>
        <rFont val="Aptos Narrow"/>
        <family val="2"/>
        <scheme val="minor"/>
      </rPr>
      <t>per</t>
    </r>
    <r>
      <rPr>
        <b/>
        <sz val="11"/>
        <color theme="1"/>
        <rFont val="Aptos Narrow"/>
        <family val="2"/>
        <scheme val="minor"/>
      </rPr>
      <t xml:space="preserve"> gemeente/ waterschap</t>
    </r>
  </si>
  <si>
    <r>
      <t>Eenmalige kosten per gemeente waterschap</t>
    </r>
    <r>
      <rPr>
        <b/>
        <sz val="11"/>
        <color theme="1"/>
        <rFont val="Aptos Narrow"/>
        <family val="2"/>
        <scheme val="minor"/>
      </rPr>
      <t xml:space="preserve"> </t>
    </r>
    <r>
      <rPr>
        <i/>
        <sz val="11"/>
        <color theme="1"/>
        <rFont val="Aptos Narrow"/>
        <family val="2"/>
        <scheme val="minor"/>
      </rPr>
      <t>(Kosten die niet zijn toe te schrijven aan een individuele grondwatermonitoringsput of filter)</t>
    </r>
  </si>
  <si>
    <r>
      <t>Eenmalige algemene kosten</t>
    </r>
    <r>
      <rPr>
        <i/>
        <sz val="14"/>
        <color theme="1"/>
        <rFont val="Aptos Narrow"/>
        <family val="2"/>
        <scheme val="minor"/>
      </rPr>
      <t xml:space="preserve"> </t>
    </r>
    <r>
      <rPr>
        <i/>
        <sz val="11"/>
        <color theme="1"/>
        <rFont val="Aptos Narrow"/>
        <family val="2"/>
        <scheme val="minor"/>
      </rPr>
      <t>(kosten die niet zijn toe te schrijven aan een specifieke gemeente)</t>
    </r>
  </si>
  <si>
    <r>
      <t xml:space="preserve">Bedrag </t>
    </r>
    <r>
      <rPr>
        <b/>
        <u/>
        <sz val="11"/>
        <color theme="1"/>
        <rFont val="Aptos Narrow"/>
        <family val="2"/>
        <scheme val="minor"/>
      </rPr>
      <t>per</t>
    </r>
    <r>
      <rPr>
        <b/>
        <sz val="11"/>
        <color theme="1"/>
        <rFont val="Aptos Narrow"/>
        <family val="2"/>
        <scheme val="minor"/>
      </rPr>
      <t xml:space="preserve"> stuk</t>
    </r>
  </si>
  <si>
    <t>Locatie opnemen in webportal</t>
  </si>
  <si>
    <t>Jaarlijkse kosten per locatie</t>
  </si>
  <si>
    <t>Historische gegevens opnemen in webportal</t>
  </si>
  <si>
    <t>Helpdesk</t>
  </si>
  <si>
    <t>Hosting webportal per locatie</t>
  </si>
  <si>
    <t>Kwartaalrapport</t>
  </si>
  <si>
    <t>Jaarrapport</t>
  </si>
  <si>
    <t>Toelichting</t>
  </si>
  <si>
    <t>Visuele inspectie en controlemeting</t>
  </si>
  <si>
    <t>Jaarlijkse algemene kosten</t>
  </si>
  <si>
    <t xml:space="preserve">Controle op droogval of verzanding en beoordeling in logboek webportal plaatsen en </t>
  </si>
  <si>
    <t>Filterinstellingen controleren</t>
  </si>
  <si>
    <t xml:space="preserve">Fictief aantal </t>
  </si>
  <si>
    <t>Additionele werkzaamheden en afname gedurende de het contract</t>
  </si>
  <si>
    <t>Nr</t>
  </si>
  <si>
    <t>A10</t>
  </si>
  <si>
    <t>A11</t>
  </si>
  <si>
    <t>A12</t>
  </si>
  <si>
    <t>Vervangen straatpot, aanbrengen afsluitdop en herstel straatwerk</t>
  </si>
  <si>
    <t>A13</t>
  </si>
  <si>
    <t>Vervangen straatpot en herstel straatwerk</t>
  </si>
  <si>
    <t>A14</t>
  </si>
  <si>
    <t>A15</t>
  </si>
  <si>
    <t>Verwijderen peilbuis</t>
  </si>
  <si>
    <t>Kosten per deelnemer</t>
  </si>
  <si>
    <t>Deelnemer</t>
  </si>
  <si>
    <t>Baarn</t>
  </si>
  <si>
    <t>Gebied</t>
  </si>
  <si>
    <t>Vallei &amp; Eem</t>
  </si>
  <si>
    <t>Barneveld</t>
  </si>
  <si>
    <t>Huidige leverancier</t>
  </si>
  <si>
    <t>Eijkelkamp</t>
  </si>
  <si>
    <t>Bunschoten</t>
  </si>
  <si>
    <t>Ede</t>
  </si>
  <si>
    <t>Elburg</t>
  </si>
  <si>
    <t>Epe</t>
  </si>
  <si>
    <t>Ermelo</t>
  </si>
  <si>
    <t>Noordwest Veluwe</t>
  </si>
  <si>
    <t>Noordoost Veluwe</t>
  </si>
  <si>
    <t>Harderwijk</t>
  </si>
  <si>
    <t>Hattem</t>
  </si>
  <si>
    <t>Leusden</t>
  </si>
  <si>
    <t>Nijkerk</t>
  </si>
  <si>
    <t>Nunspeet</t>
  </si>
  <si>
    <t>Oldebroek</t>
  </si>
  <si>
    <t>Putten</t>
  </si>
  <si>
    <t>Renkum</t>
  </si>
  <si>
    <t>Renswoude</t>
  </si>
  <si>
    <t>Scherpenzeel</t>
  </si>
  <si>
    <t>Soest</t>
  </si>
  <si>
    <t>Veenendaal</t>
  </si>
  <si>
    <t>Wageningen</t>
  </si>
  <si>
    <t>Woudenberg</t>
  </si>
  <si>
    <t>Vallei &amp; Veluwe</t>
  </si>
  <si>
    <t>Vitens</t>
  </si>
  <si>
    <t>Aanvullende toelichting</t>
  </si>
  <si>
    <t>Fictieve inschrijfprijs</t>
  </si>
  <si>
    <t>Controle droogval/ verzanding</t>
  </si>
  <si>
    <t>Hostingkosten en onderhoudskosten webportal</t>
  </si>
  <si>
    <t>Schoon-spoelen peilbuis</t>
  </si>
  <si>
    <t xml:space="preserve">Per kwartaal ophalen data </t>
  </si>
  <si>
    <t>Minimaal dagelijks data ophalen</t>
  </si>
  <si>
    <t>Bestaande peilbuizen</t>
  </si>
  <si>
    <t>Nieuw te plaatsen</t>
  </si>
  <si>
    <t>Amersfoort</t>
  </si>
  <si>
    <t>Tauw/MeetH2O</t>
  </si>
  <si>
    <t>Filterinstellingen controlen/neerslag in peilbuis</t>
  </si>
  <si>
    <t>Huidige situatie</t>
  </si>
  <si>
    <t>Gewenste nieuwe situatie</t>
  </si>
  <si>
    <t>Toaal aantal peilbuizen</t>
  </si>
  <si>
    <t>Twee wekelijks handmeting</t>
  </si>
  <si>
    <t>Eijkelkamp/Koenders</t>
  </si>
  <si>
    <t>Eijkelkamp/BZ</t>
  </si>
  <si>
    <t>Totaal aantal huidige peilbuizen bemeten door Eijkelkamp of Vitens</t>
  </si>
  <si>
    <t>Eijkelkamp/ Aveco de Bondt</t>
  </si>
  <si>
    <t>Waterschap primair meetnet</t>
  </si>
  <si>
    <t>Waterschap projectmeetnet</t>
  </si>
  <si>
    <t>Toekomstige vewachting</t>
  </si>
  <si>
    <t>gedurende de eerst volgende 8 jaar, incl. peilbuis</t>
  </si>
  <si>
    <t xml:space="preserve"> gedurende de eerst volgende periode van 8 jaar, excl. Peilbuis</t>
  </si>
  <si>
    <t>Aanvullende kosten voor waterschap</t>
  </si>
  <si>
    <t>Indien voor het waterschap meer kosten gemaakt moeten worden dan voor een gemeente dan hier graag de meerkosten invullen. Anders € 0 invullen</t>
  </si>
  <si>
    <t>Kosten voor de pilotfase</t>
  </si>
  <si>
    <t>Projectmanagementkosten die niet aan een gemeente of waterschap zijn toe te schrijven</t>
  </si>
  <si>
    <t>Kosten voor het opzetten van de webportal die niet aan een gemeente of waterschap zijn toe te schrijven</t>
  </si>
  <si>
    <t>Algemene kosten voor de oplevering die niet aan de gemeente zijn toe te schrijven</t>
  </si>
  <si>
    <t>Als er nog andere algemene kosten zijn dan her invullen, anders € 0 invullen</t>
  </si>
  <si>
    <t xml:space="preserve">Aanvullende kosten voor gemeente Baarn om data die BZ heeft verzameld over de GMW en meetdata op te nemen in de webportal, inclusief afstemming etc. </t>
  </si>
  <si>
    <t>BEL-combinatie (Blaricum, Eemnse en Laren)</t>
  </si>
  <si>
    <t>Projectmanagentkosten per gemeente of waterschap in Vallei en Eem gebied</t>
  </si>
  <si>
    <t>Setupkosten van de webportal per gemeente of waterschap in Vallei en Eem gebied</t>
  </si>
  <si>
    <t xml:space="preserve">Kosten per gemeente of waterschap in Vallei en Eem gebied om alle gegevens van de GMW en meetdata op te nemen </t>
  </si>
  <si>
    <t>Opleverkosten per gemeente of waterschap in Vallei en Eem gebied</t>
  </si>
  <si>
    <t>Opleverkosten per gemeente Noordoost Veluwe gebied</t>
  </si>
  <si>
    <t xml:space="preserve">Kosten per gemeente Noordoost Veluwe gebied om alle gegevens van de GMW en meetdata op te nemen </t>
  </si>
  <si>
    <t>Setupkosten van de webportal per gemeente Noordoost Veluwe gebied</t>
  </si>
  <si>
    <t>Projectmanagentkosten per gemeente in Noordoost Veluwe gebied</t>
  </si>
  <si>
    <t>Projectmanagentkosten per gemeente in Noordwest Veluwe gebied</t>
  </si>
  <si>
    <t>Setupkosten van de webportal per gemeente Noordwest Veluwe gebied</t>
  </si>
  <si>
    <t xml:space="preserve">Kosten per gemeente Noordwest Veluwe gebied om alle gegevens van de GMW en meetdata op te nemen </t>
  </si>
  <si>
    <t>Opleverkosten per gemeente Noordwest Veluwe gebied</t>
  </si>
  <si>
    <t>Aantal met straat-potten</t>
  </si>
  <si>
    <t>Aantal met schutkoker of grote straatpot of put</t>
  </si>
  <si>
    <t>Waarvan</t>
  </si>
  <si>
    <t>Totaal aantal peilbuizen bemeten door ander partij of niet bemeten</t>
  </si>
  <si>
    <t>Overleg en afstemming met perceeleigenaar</t>
  </si>
  <si>
    <t xml:space="preserve">Niet voor alle objecten is een overleg en afstemming noodzakelijk met de perceeleiegenaar. Het aantal is een inschatting. </t>
  </si>
  <si>
    <t>Projectmanagementkosten per bestaande peilbuis</t>
  </si>
  <si>
    <t xml:space="preserve">Kosten inmeten per bestaande peilbuis, gemeente kan voordien beslissen of de inmeting wel of niet gewenst is. </t>
  </si>
  <si>
    <t>Het schoonspoelen van bestaande peilbuizen die zijn aangegeven in de objectenlijst</t>
  </si>
  <si>
    <t>Kosten visuele inspectie en controlemeting per bestaande peilbuis</t>
  </si>
  <si>
    <t xml:space="preserve">Het toevoegen van een bestaande peilbuis in de webportal </t>
  </si>
  <si>
    <t>Het controleren op doogval of verzanding en beoordeling plaatsen voor bestaande peilbuizen die zijn aangegeven in de objectenlijst</t>
  </si>
  <si>
    <t>Filterinstellingen controleren voor bestaande peilbuizen die zijn aangegeven in de objectenlijst</t>
  </si>
  <si>
    <t>Projectmanagementkosten per nieuw te plaatsen peilbuis</t>
  </si>
  <si>
    <t>Kosten voor de terugkoppeling en planning per GMW</t>
  </si>
  <si>
    <t xml:space="preserve">Het toevoegen van een peilbuis in de webportal </t>
  </si>
  <si>
    <t>ja</t>
  </si>
  <si>
    <t>nee</t>
  </si>
  <si>
    <t>Kosten voor genoemde onderdelen, inclusief reistijd en km-vergoeding per nieuwe peilbuis; aantal is inschatting</t>
  </si>
  <si>
    <t>Vul deze vraag in om de aantallen te bepalen voor de onderstaande berekeningen, mag alleen 'ja' of 'nee' zijn</t>
  </si>
  <si>
    <t xml:space="preserve">Toelichting </t>
  </si>
  <si>
    <t>VERREKENPRIJZEN GEDURENDE HET CONTRACT</t>
  </si>
  <si>
    <t>JAARLIJKSE KOSTEN</t>
  </si>
  <si>
    <t>EENMALIGE KOSTEN</t>
  </si>
  <si>
    <t>Aanvullende kosten voor gemeente Baarn</t>
  </si>
  <si>
    <t>Aanvullende kosten voor de BEL-gemeenten (Blaricum, Eemnes en Laren)</t>
  </si>
  <si>
    <t>Aanvullende kosten voor gemeente Amersfoort</t>
  </si>
  <si>
    <t xml:space="preserve">Aanvullende kosten voor de BEL-combinatie om data die Aveco de Bondt heeft verzameld van de GMW's (inclusief meetdata) op te nemen in de webportal, inclusief afstemming etc. </t>
  </si>
  <si>
    <t xml:space="preserve">Aanvullende kosten voor gemeente Amersfoort om data die Koenders heeft verzameld over de GMW's (inclusief meetdata) op te nemen in de webportal, inclusief afstemming etc. </t>
  </si>
  <si>
    <t>Aanpassingen grondwaterpeilbuis of straatpot/schutkoker i.v.m. gebruik telemetrie.</t>
  </si>
  <si>
    <t>A04</t>
  </si>
  <si>
    <t>Ombouw straatpot naar schutkoker</t>
  </si>
  <si>
    <t>Leveren betrouwbare meetgegevens die per kwartaal worden opgehaald (bedrag per filter per jaar), inclusief validatie, correcties, onderhoud, controlemetingen, servicedesk, aanleveren aan de BRO (bedrag per jaar)</t>
  </si>
  <si>
    <t>Leveren betrouwbare meetgegevens elke minimaal elke dag worden opgehaald (bedrag per filter per jaar), inclusief validatie, correcties, onderhoud, controlemetingen, servicedesk, communicatiekosten en aanleveren aan de BRO (bedrag per jaar)</t>
  </si>
  <si>
    <t>In plan van aanpak beschijven welke wordt toegepast</t>
  </si>
  <si>
    <t>Schouw op locatie en aanbeveling schrijven</t>
  </si>
  <si>
    <t>Schoonspoelen peilbuis</t>
  </si>
  <si>
    <t>Indien er nog kosten zijn die niet in bovenstaande onderdelen kon worden geplaatst dan graag hier vermelden, anders € 0 invullen</t>
  </si>
  <si>
    <t>Indien er nog kosten zijn die niet in bovenstaande onderdelen kon worden geplaatst dan graag hier vermelden,  anders € 0 invullen</t>
  </si>
  <si>
    <t>Indien u apparatuur gebruikt die niet in de huidige peilbuis of straatpot of schutkoker past dan dient u hier de additionele kosten in te vullen en het aantal peilbuizen die voor u aangepast moeten worden. Bij het reeds ingevulde aantal is uitgegaan van straatpotten tot 20 x20 cm. Mocht dit anders zijn dan het aantal aanpassen! De kosten moeten alles includief zijn, dus materiaal, werkzaamheden, werkloon, reiskosten etc. Indien geen ombouwkosten gemaakt behoeven te worden dan hier € 0 invullen</t>
  </si>
  <si>
    <t>WERKZAAMHEDEN NIEUW TE PLAATSEN GRONDWATERMONITOINGSPUTTEN</t>
  </si>
  <si>
    <t>WERKZAAMHEDEN BESTAANDE PEILBUIZEN</t>
  </si>
  <si>
    <t>GEMEENTEN EN WATERSCHAP IN VALLEI EN EEM GEBIED</t>
  </si>
  <si>
    <t>GEMEENTEN IN NOORDOOST VELUWE GEBIED</t>
  </si>
  <si>
    <t>Gaat u direct alles telemetrisch uitvoeren?</t>
  </si>
  <si>
    <t>Controle voor het plaatsen GMW, plaatsen filters, maken boorbeschrjving en aanleveren BRO, inmeten, controle meting, plaatsen apparatuur, foto's en afwerken peilbuis met straatpot</t>
  </si>
  <si>
    <t xml:space="preserve">In de geel gearceerde velden dienen door de inschrijver te worden ingevuld. Alleen als in de toelichting is aangegeven dat € 0 ingevuld mag worden en van toepassing is, mag  € 0 ingevuld worden. </t>
  </si>
  <si>
    <t xml:space="preserve">Indien de aantallen wijzigen gedurdende het implementatietraject en de werkzaamheden zijn benoemd in de eenmalige of jaarlijske kosten en ook in de verrekenprijzen dan gelden de bedragen die zijn opgegeven in de eenmalige kosten. </t>
  </si>
  <si>
    <t>Eerder ophalen van data bij een peilbuis die per kwartaal op locatie wordt uitgelezen</t>
  </si>
  <si>
    <t>Onderstaande aantallen zijn fictief en er kunnen geen reachten aan ontleend worden. Het fictieve aantal is bedoeld voor de beoordeling. De verrekenprijzen zijn gedurende het gehele contract van toepassing ongeacht het aantal af te nemen objecten en kunnen jaarlijks geindexeerd worden conform de overeenkomst.</t>
  </si>
  <si>
    <t>Meerprijs als data 2x per dag moet worden opgehaald (geldig voor telemetrie meetapparatuur), bedrag per jaar</t>
  </si>
  <si>
    <t>Totaalbedrag wordt berekent over 15 jaar</t>
  </si>
  <si>
    <t>TOTAAL over 15 jaar</t>
  </si>
  <si>
    <t>Kosten bij Einde contract</t>
  </si>
  <si>
    <t>Aanvullende kosten bij plaatsen van meetapparatuur die diep geplaatst moet worden</t>
  </si>
  <si>
    <t>Aanvullende kosten (minder of meer kosten) voor het plaatsen van een filter extra filter op dezelfde locatie</t>
  </si>
  <si>
    <t>A02-1</t>
  </si>
  <si>
    <t>A02-2</t>
  </si>
  <si>
    <t>A01-1</t>
  </si>
  <si>
    <t>A01-2</t>
  </si>
  <si>
    <t>A01-3</t>
  </si>
  <si>
    <t>A01-0</t>
  </si>
  <si>
    <t>A03-0</t>
  </si>
  <si>
    <t>A07-1</t>
  </si>
  <si>
    <t>A03-1</t>
  </si>
  <si>
    <t>A05-1</t>
  </si>
  <si>
    <t>A05-2</t>
  </si>
  <si>
    <t>A06-1</t>
  </si>
  <si>
    <t>A06-2</t>
  </si>
  <si>
    <t>A07-2</t>
  </si>
  <si>
    <t>A07-3</t>
  </si>
  <si>
    <t>A07-4</t>
  </si>
  <si>
    <t>Bedrag per jaar invullen (geen negatief getal!). Indien geen minderprijs of Lora wordt toegepast dan € 0 invullen. Totaalbedrag wordt berekent over een fictief aantal jaar van 10 jaar.</t>
  </si>
  <si>
    <t>Wat zijn de aanvullende kosten of minder kosten als op 1 locatie 2 filters geplaatst moeten worden, inclusief apparatuur. Indien geen aanvullende kosten dan € 0 invullen.</t>
  </si>
  <si>
    <t>Er zijn een aantal bestaande peilbuizen die diep zijn geplaatst. Wat zijn de aanvullende kosten voor deze peilbuizen. Indien geenaanvullende kosten dan € 0 invullen</t>
  </si>
  <si>
    <t>Plaatsen meet- en communicatieapparatuur</t>
  </si>
  <si>
    <t>Data minimaal 1 x per dag ophalen, dataverwerken in portal, corrigeren, valideren data aanleveren aan de BRO en onderhoud aan meet- en communciatieapparatuur en inclusief communciatiekosten tussen hoofdpost en grondwatermonitoringsput</t>
  </si>
  <si>
    <t>Data per kwartaal ophalen, dataverwerken in portal, corrigeren, valideren data aanleveren aan de BRO en onderhoud aan meetapparatuur</t>
  </si>
  <si>
    <t>All-in prijs om te voldoen aan eisen in PvE. Aantal wordt automatisch ingevuld na beantwoorden bovenstaande vraag. Totaalbedrag wordt berekent over 15 jaar.</t>
  </si>
  <si>
    <t>GEMEENTEN OOST VELUWE GEBIED</t>
  </si>
  <si>
    <t>Gelijk aan A01-0 maar dan bij 5 stuks of meer gelijktijdig</t>
  </si>
  <si>
    <t>A03-2</t>
  </si>
  <si>
    <t>Minderprijs als lopende het contract een eigen LoRa netwerk door waterschap en gemeente wordt toegepast</t>
  </si>
  <si>
    <t>Meerprijs per meter tot max 6 meter diep t.o.v. prijs A01-0 en A01-1 per peilbuis</t>
  </si>
  <si>
    <t>Meerprijs A01-0 en A01-1 waarbij geen straatpot wordt geplaatst maar een schutkoker (per peilbuis)</t>
  </si>
  <si>
    <t>Inmeten peilbuis d.m.v. waterpassen (per peilbuis)</t>
  </si>
  <si>
    <t>Inmeten peilbuis d.m.v. GPS (per peilbuis)</t>
  </si>
  <si>
    <t>Plaatsen peilbuis tot 4 meter diep, incl. projectbegeleiding, inmeten, schouw, afwerking met straatpot (incl. straatwerk), boorbeschrijving, gegevens aanleveren aan BRO, opnemen in webportal en plaatsen meet- en/of communicatie apparatuur</t>
  </si>
  <si>
    <t>Gelijk aan A03-0 maar dan bij 5 stuks of meer gelijktijdig</t>
  </si>
  <si>
    <t>Aanpassen peilbuis of straatpot om meet-/ communicatieapparatuur te plaatsen in een bestaande meetlocatie met opnieuw inmeten en gegevens leveren BRO en in webportal opnemen</t>
  </si>
  <si>
    <t xml:space="preserve">Indien er meetapparatuur wordt gebruikt die altijd in iedere peilbuis of straatpot passen dan kan €0 ingevuld worden. Dit betekent dat deze kostenpost ook nooit gedurende het contract kan worden opgevoerd. </t>
  </si>
  <si>
    <t>Toevoegen nieuwe gemeente (eenmalige kosten)</t>
  </si>
  <si>
    <t>Eenmalige kosten voor het toevoegen van een gemeente binnen het waterschapsgebied die niet in het bestek is opgenomen als deelnemer</t>
  </si>
  <si>
    <t xml:space="preserve">Jaarlijkse kosten voor nieuwe gemeente </t>
  </si>
  <si>
    <t xml:space="preserve">Het bedrag dat een gemeente in het waterschapsgebied die nog niet in het bestek was opgenomen jaarlijks aanvullend aan de al reeds bvestaande jaarlijkse kosten moet betalen. </t>
  </si>
  <si>
    <t>Bedrag dat bij een extra meting per jaar moet worden betaald als data per kwartaal wordt opgehaald. Dit is zowel de kosten voor het in bruikleen geven van de apparatuur als alle onderhoudskosten en communciatiekosten etc. (all-in) volgens PvE dienen meegenomen te worden. Indien alleen telemetrisch wordt aangeboden dan  is het aantal 0 en kan ook een prijs van € 0 ingevuld worden</t>
  </si>
  <si>
    <t xml:space="preserve">Oranje gearceerde velden betreffende een keuzeveld waarbij een antwoord gegeven moet worden op een vraag. Er moet altijd een antwoord worden gegeven, anders is de inschrijving ongeldig verklaard en wordt u uitgesloten van deelname. </t>
  </si>
  <si>
    <t>De toelichting is slechts een korte beschrijving om de specifieke kosten in het juiste veld te plaatsen. In het PvE is beschreven wat er exact verwacht en geleverd moet worden en is altijd het uitgangspunt.</t>
  </si>
  <si>
    <t>Dienen bestaande peilbuizen aangepast te worden om uw meet- en/of communicatieapparatuur te kunnen plaatsen?</t>
  </si>
  <si>
    <t>Aantgal loggers met apparatuur eiegendom van gemeente/waterschap</t>
  </si>
  <si>
    <t>Hoeveel van de bestaande meet- en/of communicatieapparatuur gaat u hergebruiken?</t>
  </si>
  <si>
    <r>
      <t xml:space="preserve"> Het aantal is afhankelijk of inschrijver gebruik gaat maken van de bestaande apparatuur in de gebieden Noordwest Veluwe en Vallei en Eem. </t>
    </r>
    <r>
      <rPr>
        <b/>
        <sz val="11"/>
        <color theme="1"/>
        <rFont val="Aptos Narrow"/>
        <family val="2"/>
        <scheme val="minor"/>
      </rPr>
      <t>Vul dus het aantal in!</t>
    </r>
    <r>
      <rPr>
        <sz val="11"/>
        <color theme="1"/>
        <rFont val="Aptos Narrow"/>
        <family val="2"/>
        <scheme val="minor"/>
      </rPr>
      <t xml:space="preserve"> Aantal is afhankelijk of u bestaande meet- en /of communicatieapparatuur gaat hergebruiken totdat deze defect gaan. Het totaal aantal huidige aantal bestaande meetapparatuur met eventueel communicatieapparatuur bedraagt 844 stuks.</t>
    </r>
  </si>
  <si>
    <t xml:space="preserve">Bedrag dat bij een extra meting per jaar moet worden betaald indien dagelijks data opgehaald moet worden. Dit is zowel de kosten voor het in bruikleen geven van de apparatuur als alle onderhoudskosten ebn communciatiekosten etc. (all-in) volgens PvE dienen meegenomen te worden. </t>
  </si>
  <si>
    <t>A08-1</t>
  </si>
  <si>
    <t>A08-2</t>
  </si>
  <si>
    <t>A08-0</t>
  </si>
  <si>
    <t>Plaatsen aanrijbeveiliging (aan drie zijden van de schutkoker)</t>
  </si>
  <si>
    <t>Plaatsen aanrijbeveiliging (aan twee zijden van de schutkoker)</t>
  </si>
  <si>
    <t xml:space="preserve">Plaatsen weidepaal met markering op het hoogste punt van de paal. </t>
  </si>
  <si>
    <t>A09-0</t>
  </si>
  <si>
    <t>A09-1</t>
  </si>
  <si>
    <t>Peilbuis niet verwijderen, echter wel afdichten met betoniet of andere vergelijkbare oplossing</t>
  </si>
  <si>
    <t>Bedrag per jaar invullen. Totaalbedrag wordt berekent over een fictief aantal jaar van 10 jaar. Indien geen extra kosten dan mag € 0 worden ingevuld</t>
  </si>
  <si>
    <t>Werkzaamheden om meetapparatuur die per kwartaal wordt uitglezen wordt omgebouwd naar meetapparatuur die dagelijks kan uitlezen</t>
  </si>
  <si>
    <t>De kosten voor de eenmalige werkzaamheden als gedurende het contract de gemeente toch wil overstappen van kwartaal uitlezing naar dagelijkse uitlezing. Indien bij aanvang alle peilbuizen van telemnetrie worden voorzien en deze werkzaamheden niet nodig zijn dan € 0 invullen.</t>
  </si>
  <si>
    <t>A07-5</t>
  </si>
  <si>
    <t>Schutkoker herplaatsen of rechtzetten</t>
  </si>
  <si>
    <t xml:space="preserve">Kosten om bestaande schutkoker te herplaatsen doordat er tegenaan gereden is en scheef is komen te staan of door een andere redenen niet meer conform normale installatie is geplaatst. </t>
  </si>
  <si>
    <t xml:space="preserve">Werkzaamheden om meetapparatuur te (her)plaatsen in bestaande peilbuis </t>
  </si>
  <si>
    <r>
      <t xml:space="preserve">De kosten voor het plaatsen van de meetapparatuur met eventueel communicatieapparatuur. Het aantal is afhankelijk of inschrijver gebruik gaat maken van de bestaande apparatuur in de gebieden Noordwest Veluwe en Vallei en Eem. </t>
    </r>
    <r>
      <rPr>
        <b/>
        <sz val="11"/>
        <color theme="1"/>
        <rFont val="Aptos Narrow"/>
        <family val="2"/>
        <scheme val="minor"/>
      </rPr>
      <t>Vul dus eerst aantal in cel C61 op vraag in cel B61!</t>
    </r>
  </si>
  <si>
    <t xml:space="preserve">Kosten bij einde contract (zie paragraaf 2.5 PvE). Bedrag per object invullen. </t>
  </si>
  <si>
    <t>Jaarlijkse hostingkosten per locatie</t>
  </si>
  <si>
    <t xml:space="preserve">Vervangen schutkoker (metalen versie) en opnieuw inmeten </t>
  </si>
  <si>
    <t>A07-6</t>
  </si>
  <si>
    <t xml:space="preserve">Vervangen schutkoker (kuntstof versie) en opnieuw inmeten </t>
  </si>
  <si>
    <t>Controle voor het plaatsen GMW, plaatsen filters, maken boorbeschrjving en aanleveren BRO, inmeten, controle meting, plaatsen apparatuur, foto's en afwerken peilbuis met metalen schutkoker</t>
  </si>
  <si>
    <t>Controle voor het plaatsen GMW, plaatsen filters, maken boorbeschrjving en aanleveren BRO, inmeten, controle meting, plaatsen apparatuur, foto's en afwerken peilbuis met kunststof schutkoker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</si>
</sst>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quot;€&quot;\ * #,##0.00_ ;_ &quot;€&quot;\ * \-#,##0.00_ ;_ &quot;€&quot;\ * &quot;-&quot;??_ ;_ @_ "/>
    <numFmt numFmtId="164" formatCode="#,##0_ ;\-#,##0\ "/>
  </numFmts>
  <fonts count="9" x14ac:knownFonts="1">
    <font>
      <sz val="11"/>
      <color theme="1"/>
      <name val="Aptos Narrow"/>
      <family val="2"/>
      <scheme val="minor"/>
    </font>
    <font>
      <b/>
      <sz val="11"/>
      <color theme="1"/>
      <name val="Aptos Narrow"/>
      <family val="2"/>
      <scheme val="minor"/>
    </font>
    <font>
      <b/>
      <sz val="14"/>
      <color theme="1"/>
      <name val="Aptos Narrow"/>
      <family val="2"/>
      <scheme val="minor"/>
    </font>
    <font>
      <b/>
      <sz val="18"/>
      <color theme="1"/>
      <name val="Aptos Narrow"/>
      <family val="2"/>
      <scheme val="minor"/>
    </font>
    <font>
      <i/>
      <sz val="11"/>
      <color theme="1"/>
      <name val="Aptos Narrow"/>
      <family val="2"/>
      <scheme val="minor"/>
    </font>
    <font>
      <b/>
      <u/>
      <sz val="11"/>
      <color theme="1"/>
      <name val="Aptos Narrow"/>
      <family val="2"/>
      <scheme val="minor"/>
    </font>
    <font>
      <i/>
      <sz val="14"/>
      <color theme="1"/>
      <name val="Aptos Narrow"/>
      <family val="2"/>
      <scheme val="minor"/>
    </font>
    <font>
      <b/>
      <sz val="16"/>
      <color theme="1"/>
      <name val="Aptos Narrow"/>
      <family val="2"/>
      <scheme val="minor"/>
    </font>
    <font>
      <b/>
      <sz val="11"/>
      <color theme="0"/>
      <name val="Aptos Narrow"/>
      <family val="2"/>
      <scheme val="minor"/>
    </font>
  </fonts>
  <fills count="10">
    <fill>
      <patternFill patternType="none"/>
    </fill>
    <fill>
      <patternFill patternType="gray125"/>
    </fill>
    <fill>
      <patternFill patternType="solid">
        <fgColor rgb="FFFFFF00"/>
        <bgColor indexed="64"/>
      </patternFill>
    </fill>
    <fill>
      <patternFill patternType="solid">
        <fgColor theme="3" tint="0.89999084444715716"/>
        <bgColor indexed="64"/>
      </patternFill>
    </fill>
    <fill>
      <patternFill patternType="solid">
        <fgColor theme="5" tint="0.79998168889431442"/>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1"/>
        <bgColor indexed="64"/>
      </patternFill>
    </fill>
    <fill>
      <patternFill patternType="solid">
        <fgColor rgb="FFFFFFAF"/>
        <bgColor indexed="64"/>
      </patternFill>
    </fill>
    <fill>
      <patternFill patternType="solid">
        <fgColor rgb="FFFFE38B"/>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
      <left/>
      <right style="thin">
        <color indexed="64"/>
      </right>
      <top style="thin">
        <color indexed="64"/>
      </top>
      <bottom/>
      <diagonal/>
    </border>
  </borders>
  <cellStyleXfs count="1">
    <xf numFmtId="0" fontId="0" fillId="0" borderId="0"/>
  </cellStyleXfs>
  <cellXfs count="105">
    <xf numFmtId="0" fontId="0" fillId="0" borderId="0" xfId="0"/>
    <xf numFmtId="44" fontId="0" fillId="2" borderId="1" xfId="0" applyNumberFormat="1" applyFill="1" applyBorder="1" applyProtection="1">
      <protection locked="0"/>
    </xf>
    <xf numFmtId="44" fontId="1" fillId="2" borderId="1" xfId="0" applyNumberFormat="1" applyFont="1" applyFill="1" applyBorder="1" applyAlignment="1" applyProtection="1">
      <alignment horizontal="center" vertical="center"/>
      <protection locked="0"/>
    </xf>
    <xf numFmtId="164" fontId="0" fillId="2" borderId="1" xfId="0" applyNumberFormat="1" applyFill="1" applyBorder="1" applyProtection="1">
      <protection locked="0"/>
    </xf>
    <xf numFmtId="0" fontId="3" fillId="0" borderId="0" xfId="0" applyFont="1"/>
    <xf numFmtId="0" fontId="0" fillId="0" borderId="0" xfId="0" applyAlignment="1">
      <alignment vertical="top"/>
    </xf>
    <xf numFmtId="0" fontId="0" fillId="0" borderId="1" xfId="0" applyBorder="1"/>
    <xf numFmtId="0" fontId="4" fillId="8" borderId="0" xfId="0" applyFont="1" applyFill="1"/>
    <xf numFmtId="0" fontId="0" fillId="8" borderId="0" xfId="0" applyFill="1"/>
    <xf numFmtId="0" fontId="0" fillId="8" borderId="0" xfId="0" applyFill="1" applyAlignment="1">
      <alignment vertical="top"/>
    </xf>
    <xf numFmtId="0" fontId="4" fillId="0" borderId="0" xfId="0" applyFont="1"/>
    <xf numFmtId="0" fontId="2" fillId="0" borderId="0" xfId="0" applyFont="1"/>
    <xf numFmtId="0" fontId="0" fillId="0" borderId="0" xfId="0" applyAlignment="1">
      <alignment vertical="top" wrapText="1"/>
    </xf>
    <xf numFmtId="0" fontId="1" fillId="0" borderId="0" xfId="0" applyFont="1"/>
    <xf numFmtId="0" fontId="1" fillId="0" borderId="1" xfId="0" applyFont="1" applyBorder="1"/>
    <xf numFmtId="0" fontId="1" fillId="0" borderId="1" xfId="0" applyFont="1" applyBorder="1" applyAlignment="1">
      <alignment horizontal="left"/>
    </xf>
    <xf numFmtId="0" fontId="0" fillId="0" borderId="2" xfId="0" applyBorder="1"/>
    <xf numFmtId="44" fontId="0" fillId="0" borderId="2" xfId="0" applyNumberFormat="1" applyBorder="1"/>
    <xf numFmtId="44" fontId="1" fillId="0" borderId="0" xfId="0" applyNumberFormat="1" applyFont="1"/>
    <xf numFmtId="0" fontId="1" fillId="0" borderId="3" xfId="0" applyFont="1" applyBorder="1"/>
    <xf numFmtId="0" fontId="1" fillId="0" borderId="3" xfId="0" applyFont="1" applyBorder="1" applyAlignment="1">
      <alignment wrapText="1"/>
    </xf>
    <xf numFmtId="44" fontId="0" fillId="0" borderId="1" xfId="0" applyNumberFormat="1" applyBorder="1"/>
    <xf numFmtId="0" fontId="0" fillId="0" borderId="1" xfId="0" applyBorder="1" applyAlignment="1">
      <alignment wrapText="1"/>
    </xf>
    <xf numFmtId="44" fontId="1" fillId="0" borderId="8" xfId="0" applyNumberFormat="1" applyFont="1" applyBorder="1"/>
    <xf numFmtId="0" fontId="1" fillId="0" borderId="4" xfId="0" applyFont="1" applyBorder="1"/>
    <xf numFmtId="44" fontId="0" fillId="0" borderId="4" xfId="0" applyNumberFormat="1" applyBorder="1"/>
    <xf numFmtId="0" fontId="0" fillId="0" borderId="3" xfId="0" applyBorder="1"/>
    <xf numFmtId="0" fontId="0" fillId="0" borderId="7" xfId="0" applyBorder="1" applyAlignment="1">
      <alignment wrapText="1"/>
    </xf>
    <xf numFmtId="0" fontId="0" fillId="0" borderId="4" xfId="0" applyBorder="1"/>
    <xf numFmtId="0" fontId="0" fillId="0" borderId="1" xfId="0" applyBorder="1" applyAlignment="1">
      <alignment horizontal="left" wrapText="1"/>
    </xf>
    <xf numFmtId="0" fontId="0" fillId="0" borderId="4" xfId="0" applyBorder="1" applyAlignment="1">
      <alignment wrapText="1"/>
    </xf>
    <xf numFmtId="0" fontId="0" fillId="0" borderId="5" xfId="0" applyBorder="1"/>
    <xf numFmtId="0" fontId="0" fillId="0" borderId="3" xfId="0" applyBorder="1" applyAlignment="1">
      <alignment wrapText="1"/>
    </xf>
    <xf numFmtId="44" fontId="1" fillId="0" borderId="1" xfId="0" applyNumberFormat="1" applyFont="1" applyBorder="1"/>
    <xf numFmtId="44" fontId="0" fillId="0" borderId="0" xfId="0" applyNumberFormat="1"/>
    <xf numFmtId="0" fontId="1" fillId="0" borderId="9" xfId="0" applyFont="1" applyBorder="1" applyAlignment="1">
      <alignment horizontal="left"/>
    </xf>
    <xf numFmtId="44" fontId="1" fillId="0" borderId="4" xfId="0" applyNumberFormat="1" applyFont="1" applyBorder="1" applyAlignment="1">
      <alignment horizontal="left"/>
    </xf>
    <xf numFmtId="0" fontId="1" fillId="0" borderId="0" xfId="0" applyFont="1" applyAlignment="1">
      <alignment horizontal="right"/>
    </xf>
    <xf numFmtId="0" fontId="2" fillId="0" borderId="0" xfId="0" applyFont="1" applyAlignment="1">
      <alignment horizontal="left"/>
    </xf>
    <xf numFmtId="0" fontId="1" fillId="0" borderId="1" xfId="0" applyFont="1" applyBorder="1" applyAlignment="1">
      <alignment wrapText="1"/>
    </xf>
    <xf numFmtId="0" fontId="0" fillId="0" borderId="8" xfId="0" applyBorder="1"/>
    <xf numFmtId="0" fontId="0" fillId="0" borderId="8" xfId="0" applyBorder="1" applyAlignment="1">
      <alignment wrapText="1"/>
    </xf>
    <xf numFmtId="0" fontId="0" fillId="0" borderId="8" xfId="0" applyBorder="1" applyAlignment="1">
      <alignment horizontal="left" wrapText="1"/>
    </xf>
    <xf numFmtId="0" fontId="2" fillId="3" borderId="10" xfId="0" applyFont="1" applyFill="1" applyBorder="1"/>
    <xf numFmtId="0" fontId="2" fillId="3" borderId="11" xfId="0" applyFont="1" applyFill="1" applyBorder="1"/>
    <xf numFmtId="44" fontId="2" fillId="3" borderId="12" xfId="0" applyNumberFormat="1" applyFont="1" applyFill="1" applyBorder="1"/>
    <xf numFmtId="0" fontId="7" fillId="0" borderId="0" xfId="0" applyFont="1"/>
    <xf numFmtId="0" fontId="1" fillId="5" borderId="3" xfId="0" applyFont="1" applyFill="1" applyBorder="1" applyAlignment="1">
      <alignment horizontal="center" vertical="center"/>
    </xf>
    <xf numFmtId="0" fontId="1" fillId="3" borderId="1" xfId="0" applyFont="1" applyFill="1" applyBorder="1" applyAlignment="1">
      <alignment horizontal="center" vertical="center" wrapText="1"/>
    </xf>
    <xf numFmtId="0" fontId="1" fillId="5" borderId="1" xfId="0" applyFont="1" applyFill="1" applyBorder="1" applyAlignment="1">
      <alignment wrapText="1"/>
    </xf>
    <xf numFmtId="0" fontId="1" fillId="5" borderId="8" xfId="0" applyFont="1" applyFill="1" applyBorder="1" applyAlignment="1">
      <alignment wrapText="1"/>
    </xf>
    <xf numFmtId="0" fontId="1" fillId="4" borderId="1" xfId="0" applyFont="1" applyFill="1" applyBorder="1" applyAlignment="1">
      <alignment wrapText="1"/>
    </xf>
    <xf numFmtId="0" fontId="0" fillId="5" borderId="1" xfId="0" applyFill="1" applyBorder="1"/>
    <xf numFmtId="0" fontId="0" fillId="5" borderId="1" xfId="0" applyFill="1" applyBorder="1" applyAlignment="1">
      <alignment wrapText="1"/>
    </xf>
    <xf numFmtId="0" fontId="0" fillId="3" borderId="1" xfId="0" applyFill="1" applyBorder="1" applyAlignment="1">
      <alignment wrapText="1"/>
    </xf>
    <xf numFmtId="0" fontId="0" fillId="6" borderId="1" xfId="0" applyFill="1" applyBorder="1"/>
    <xf numFmtId="0" fontId="0" fillId="4" borderId="1" xfId="0" applyFill="1" applyBorder="1" applyAlignment="1">
      <alignment wrapText="1"/>
    </xf>
    <xf numFmtId="0" fontId="0" fillId="3" borderId="1" xfId="0" applyFill="1" applyBorder="1"/>
    <xf numFmtId="0" fontId="0" fillId="4" borderId="1" xfId="0" applyFill="1" applyBorder="1"/>
    <xf numFmtId="0" fontId="1" fillId="5" borderId="1" xfId="0" applyFont="1" applyFill="1" applyBorder="1"/>
    <xf numFmtId="0" fontId="1" fillId="3" borderId="1" xfId="0" applyFont="1" applyFill="1" applyBorder="1"/>
    <xf numFmtId="0" fontId="1" fillId="6" borderId="1" xfId="0" applyFont="1" applyFill="1" applyBorder="1"/>
    <xf numFmtId="0" fontId="1" fillId="4" borderId="1" xfId="0" applyFont="1" applyFill="1" applyBorder="1"/>
    <xf numFmtId="164" fontId="0" fillId="0" borderId="1" xfId="0" applyNumberFormat="1" applyBorder="1" applyAlignment="1">
      <alignment wrapText="1"/>
    </xf>
    <xf numFmtId="0" fontId="0" fillId="2" borderId="1" xfId="0" applyFill="1" applyBorder="1" applyAlignment="1" applyProtection="1">
      <alignment wrapText="1"/>
      <protection locked="0"/>
    </xf>
    <xf numFmtId="0" fontId="0" fillId="2" borderId="1" xfId="0" applyFill="1" applyBorder="1" applyAlignment="1" applyProtection="1">
      <alignment horizontal="center"/>
      <protection locked="0"/>
    </xf>
    <xf numFmtId="0" fontId="1" fillId="0" borderId="4" xfId="0" applyFont="1" applyBorder="1" applyAlignment="1">
      <alignment horizontal="right"/>
    </xf>
    <xf numFmtId="0" fontId="1" fillId="0" borderId="5" xfId="0" applyFont="1" applyBorder="1" applyAlignment="1">
      <alignment horizontal="right"/>
    </xf>
    <xf numFmtId="0" fontId="1" fillId="0" borderId="6" xfId="0" applyFont="1" applyBorder="1" applyAlignment="1">
      <alignment horizontal="right"/>
    </xf>
    <xf numFmtId="0" fontId="2" fillId="0" borderId="1" xfId="0" applyFont="1" applyBorder="1" applyAlignment="1">
      <alignment horizontal="center"/>
    </xf>
    <xf numFmtId="0" fontId="1" fillId="0" borderId="4" xfId="0" applyFont="1" applyBorder="1" applyAlignment="1">
      <alignment horizontal="center"/>
    </xf>
    <xf numFmtId="0" fontId="1" fillId="0" borderId="5" xfId="0" applyFont="1" applyBorder="1" applyAlignment="1">
      <alignment horizontal="center"/>
    </xf>
    <xf numFmtId="0" fontId="1" fillId="0" borderId="6" xfId="0" applyFont="1" applyBorder="1" applyAlignment="1">
      <alignment horizontal="center"/>
    </xf>
    <xf numFmtId="0" fontId="0" fillId="0" borderId="1" xfId="0" applyBorder="1" applyAlignment="1">
      <alignment horizontal="left"/>
    </xf>
    <xf numFmtId="0" fontId="1" fillId="0" borderId="1" xfId="0" applyFont="1" applyBorder="1" applyAlignment="1">
      <alignment horizontal="left"/>
    </xf>
    <xf numFmtId="0" fontId="8" fillId="7" borderId="0" xfId="0" applyFont="1" applyFill="1" applyAlignment="1">
      <alignment horizontal="center"/>
    </xf>
    <xf numFmtId="0" fontId="0" fillId="7" borderId="0" xfId="0" applyFill="1" applyAlignment="1">
      <alignment horizontal="center"/>
    </xf>
    <xf numFmtId="0" fontId="4" fillId="9" borderId="0" xfId="0" applyFont="1" applyFill="1" applyAlignment="1">
      <alignment horizontal="left" wrapText="1"/>
    </xf>
    <xf numFmtId="0" fontId="0" fillId="5" borderId="4" xfId="0" applyFill="1" applyBorder="1" applyAlignment="1">
      <alignment horizontal="center"/>
    </xf>
    <xf numFmtId="0" fontId="0" fillId="5" borderId="6" xfId="0" applyFill="1" applyBorder="1" applyAlignment="1">
      <alignment horizontal="center"/>
    </xf>
    <xf numFmtId="0" fontId="0" fillId="5" borderId="4" xfId="0" applyFill="1" applyBorder="1" applyAlignment="1">
      <alignment horizontal="center" wrapText="1"/>
    </xf>
    <xf numFmtId="0" fontId="0" fillId="5" borderId="6" xfId="0" applyFill="1" applyBorder="1" applyAlignment="1">
      <alignment horizontal="center" wrapText="1"/>
    </xf>
    <xf numFmtId="0" fontId="4" fillId="0" borderId="0" xfId="0" applyFont="1" applyAlignment="1">
      <alignment horizontal="left" wrapText="1"/>
    </xf>
    <xf numFmtId="0" fontId="1" fillId="0" borderId="7" xfId="0" applyFont="1" applyBorder="1" applyAlignment="1">
      <alignment horizontal="right"/>
    </xf>
    <xf numFmtId="0" fontId="1" fillId="0" borderId="13" xfId="0" applyFont="1" applyBorder="1" applyAlignment="1">
      <alignment horizontal="right"/>
    </xf>
    <xf numFmtId="0" fontId="1" fillId="0" borderId="14" xfId="0" applyFont="1" applyBorder="1" applyAlignment="1">
      <alignment horizontal="right"/>
    </xf>
    <xf numFmtId="0" fontId="1" fillId="0" borderId="1" xfId="0" applyFont="1" applyBorder="1" applyAlignment="1">
      <alignment horizontal="right"/>
    </xf>
    <xf numFmtId="0" fontId="2" fillId="0" borderId="0" xfId="0" applyFont="1" applyAlignment="1">
      <alignment horizontal="left"/>
    </xf>
    <xf numFmtId="44" fontId="1" fillId="5" borderId="4" xfId="0" applyNumberFormat="1" applyFont="1" applyFill="1" applyBorder="1" applyAlignment="1">
      <alignment horizontal="center"/>
    </xf>
    <xf numFmtId="44" fontId="1" fillId="5" borderId="6" xfId="0" applyNumberFormat="1" applyFont="1" applyFill="1" applyBorder="1" applyAlignment="1">
      <alignment horizontal="center"/>
    </xf>
    <xf numFmtId="0" fontId="1" fillId="6" borderId="1" xfId="0" applyFont="1" applyFill="1" applyBorder="1" applyAlignment="1">
      <alignment horizontal="center"/>
    </xf>
    <xf numFmtId="0" fontId="1" fillId="5" borderId="4" xfId="0" applyFont="1" applyFill="1" applyBorder="1" applyAlignment="1">
      <alignment horizontal="center" vertical="center"/>
    </xf>
    <xf numFmtId="0" fontId="1" fillId="5" borderId="5" xfId="0" applyFont="1" applyFill="1" applyBorder="1" applyAlignment="1">
      <alignment horizontal="center" vertical="center"/>
    </xf>
    <xf numFmtId="0" fontId="1" fillId="5" borderId="6" xfId="0" applyFont="1" applyFill="1" applyBorder="1" applyAlignment="1">
      <alignment horizontal="center" vertical="center"/>
    </xf>
    <xf numFmtId="0" fontId="1" fillId="5" borderId="3" xfId="0" applyFont="1" applyFill="1" applyBorder="1" applyAlignment="1">
      <alignment horizontal="center" wrapText="1"/>
    </xf>
    <xf numFmtId="0" fontId="1" fillId="5" borderId="8" xfId="0" applyFont="1" applyFill="1" applyBorder="1" applyAlignment="1">
      <alignment horizontal="center" wrapText="1"/>
    </xf>
    <xf numFmtId="0" fontId="1" fillId="3" borderId="4" xfId="0" applyFont="1" applyFill="1" applyBorder="1" applyAlignment="1">
      <alignment horizontal="center"/>
    </xf>
    <xf numFmtId="0" fontId="1" fillId="3" borderId="5" xfId="0" applyFont="1" applyFill="1" applyBorder="1" applyAlignment="1">
      <alignment horizontal="center"/>
    </xf>
    <xf numFmtId="0" fontId="1" fillId="3" borderId="6" xfId="0" applyFont="1" applyFill="1" applyBorder="1" applyAlignment="1">
      <alignment horizontal="center"/>
    </xf>
    <xf numFmtId="0" fontId="1" fillId="3" borderId="3" xfId="0" applyFont="1" applyFill="1" applyBorder="1" applyAlignment="1">
      <alignment horizontal="center" wrapText="1"/>
    </xf>
    <xf numFmtId="0" fontId="1" fillId="3" borderId="8" xfId="0" applyFont="1" applyFill="1" applyBorder="1" applyAlignment="1">
      <alignment horizontal="center" wrapText="1"/>
    </xf>
    <xf numFmtId="0" fontId="1" fillId="4" borderId="1" xfId="0" applyFont="1" applyFill="1" applyBorder="1" applyAlignment="1">
      <alignment horizontal="center" vertical="center"/>
    </xf>
    <xf numFmtId="0" fontId="1" fillId="6" borderId="3" xfId="0" applyFont="1" applyFill="1" applyBorder="1" applyAlignment="1">
      <alignment horizontal="center" vertical="center" wrapText="1"/>
    </xf>
    <xf numFmtId="0" fontId="1" fillId="6" borderId="8" xfId="0" applyFont="1" applyFill="1" applyBorder="1" applyAlignment="1">
      <alignment horizontal="center" vertical="center" wrapText="1"/>
    </xf>
    <xf numFmtId="0" fontId="1" fillId="3" borderId="1" xfId="0" applyFont="1" applyFill="1" applyBorder="1" applyAlignment="1">
      <alignment horizontal="center" vertical="center" wrapText="1"/>
    </xf>
  </cellXfs>
  <cellStyles count="1">
    <cellStyle name="Standaard" xfId="0" builtinId="0"/>
  </cellStyles>
  <dxfs count="8">
    <dxf>
      <fill>
        <patternFill>
          <bgColor rgb="FFFF9F9F"/>
        </patternFill>
      </fill>
    </dxf>
    <dxf>
      <fill>
        <patternFill>
          <bgColor rgb="FFFF8989"/>
        </patternFill>
      </fill>
    </dxf>
    <dxf>
      <fill>
        <patternFill>
          <bgColor rgb="FFFF9797"/>
        </patternFill>
      </fill>
    </dxf>
    <dxf>
      <fill>
        <patternFill>
          <bgColor rgb="FFFF9B9B"/>
        </patternFill>
      </fill>
    </dxf>
    <dxf>
      <fill>
        <patternFill>
          <bgColor rgb="FFFFC000"/>
        </patternFill>
      </fill>
    </dxf>
    <dxf>
      <fill>
        <patternFill>
          <bgColor rgb="FFFF9797"/>
        </patternFill>
      </fill>
    </dxf>
    <dxf>
      <fill>
        <patternFill>
          <bgColor rgb="FFFFC000"/>
        </patternFill>
      </fill>
    </dxf>
    <dxf>
      <fill>
        <patternFill>
          <bgColor rgb="FFFFC000"/>
        </patternFill>
      </fill>
    </dxf>
  </dxfs>
  <tableStyles count="0" defaultTableStyle="TableStyleMedium2" defaultPivotStyle="PivotStyleLight16"/>
  <colors>
    <mruColors>
      <color rgb="FFFF9B9B"/>
      <color rgb="FFFF9797"/>
      <color rgb="FFFF9F9F"/>
      <color rgb="FFFF7D7D"/>
      <color rgb="FFFF8F8F"/>
      <color rgb="FFFF7575"/>
      <color rgb="FFFF8989"/>
      <color rgb="FFFFE38B"/>
      <color rgb="FFFFFFA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7D7147-0B55-4124-9ED3-F36023A40F0B}">
  <dimension ref="A1:M135"/>
  <sheetViews>
    <sheetView tabSelected="1" workbookViewId="0"/>
  </sheetViews>
  <sheetFormatPr defaultRowHeight="15" x14ac:dyDescent="0.25"/>
  <cols>
    <col min="2" max="2" width="59.140625" customWidth="1"/>
    <col min="3" max="3" width="20.5703125" customWidth="1"/>
    <col min="4" max="4" width="14.85546875" customWidth="1"/>
    <col min="5" max="5" width="22.140625" customWidth="1"/>
    <col min="6" max="6" width="59.140625" customWidth="1"/>
    <col min="10" max="10" width="13.85546875" hidden="1" customWidth="1"/>
  </cols>
  <sheetData>
    <row r="1" spans="1:13" ht="24" x14ac:dyDescent="0.4">
      <c r="B1" s="4" t="s">
        <v>0</v>
      </c>
    </row>
    <row r="2" spans="1:13" x14ac:dyDescent="0.25">
      <c r="F2" s="5"/>
      <c r="G2" s="5"/>
      <c r="H2" s="5"/>
      <c r="I2" s="5"/>
      <c r="J2" s="5"/>
      <c r="K2" s="5"/>
      <c r="L2" s="5"/>
      <c r="M2" s="5"/>
    </row>
    <row r="3" spans="1:13" x14ac:dyDescent="0.25">
      <c r="B3" s="6" t="s">
        <v>1</v>
      </c>
      <c r="C3" s="65"/>
      <c r="D3" s="65"/>
      <c r="E3" s="65"/>
      <c r="F3" s="65"/>
      <c r="G3" s="5"/>
      <c r="H3" s="5"/>
      <c r="I3" s="5"/>
      <c r="J3" s="5"/>
      <c r="K3" s="5"/>
      <c r="L3" s="5"/>
      <c r="M3" s="5"/>
    </row>
    <row r="4" spans="1:13" x14ac:dyDescent="0.25">
      <c r="F4" s="5"/>
      <c r="G4" s="5"/>
      <c r="H4" s="5"/>
      <c r="I4" s="5"/>
      <c r="J4" s="5"/>
      <c r="K4" s="5"/>
      <c r="L4" s="5"/>
      <c r="M4" s="5"/>
    </row>
    <row r="5" spans="1:13" x14ac:dyDescent="0.25">
      <c r="B5" s="7" t="s">
        <v>173</v>
      </c>
      <c r="C5" s="8"/>
      <c r="D5" s="8"/>
      <c r="E5" s="8"/>
      <c r="F5" s="9"/>
      <c r="G5" s="5"/>
      <c r="H5" s="5"/>
      <c r="I5" s="5"/>
      <c r="J5" s="5"/>
      <c r="K5" s="5"/>
      <c r="L5" s="5"/>
      <c r="M5" s="5"/>
    </row>
    <row r="6" spans="1:13" ht="30" customHeight="1" x14ac:dyDescent="0.25">
      <c r="B6" s="77" t="s">
        <v>223</v>
      </c>
      <c r="C6" s="77"/>
      <c r="D6" s="77"/>
      <c r="E6" s="77"/>
      <c r="F6" s="77"/>
      <c r="G6" s="5"/>
      <c r="H6" s="5"/>
      <c r="I6" s="5"/>
      <c r="J6" s="5"/>
      <c r="K6" s="5"/>
      <c r="L6" s="5"/>
      <c r="M6" s="5"/>
    </row>
    <row r="7" spans="1:13" ht="34.15" customHeight="1" x14ac:dyDescent="0.25">
      <c r="B7" s="82" t="s">
        <v>174</v>
      </c>
      <c r="C7" s="82"/>
      <c r="D7" s="82"/>
      <c r="E7" s="82"/>
      <c r="F7" s="82"/>
      <c r="G7" s="5"/>
      <c r="H7" s="5"/>
      <c r="I7" s="5"/>
      <c r="J7" s="5"/>
      <c r="K7" s="5"/>
      <c r="L7" s="5"/>
      <c r="M7" s="5"/>
    </row>
    <row r="8" spans="1:13" x14ac:dyDescent="0.25">
      <c r="B8" s="10" t="s">
        <v>224</v>
      </c>
      <c r="F8" s="5"/>
      <c r="G8" s="5"/>
      <c r="H8" s="5"/>
      <c r="I8" s="5"/>
      <c r="J8" s="5"/>
      <c r="K8" s="5"/>
      <c r="L8" s="5"/>
      <c r="M8" s="5"/>
    </row>
    <row r="9" spans="1:13" x14ac:dyDescent="0.25">
      <c r="F9" s="5"/>
      <c r="G9" s="5"/>
      <c r="H9" s="5"/>
      <c r="I9" s="5"/>
      <c r="J9" s="5"/>
      <c r="K9" s="5"/>
      <c r="L9" s="5"/>
      <c r="M9" s="5"/>
    </row>
    <row r="10" spans="1:13" x14ac:dyDescent="0.25">
      <c r="A10" s="75" t="s">
        <v>150</v>
      </c>
      <c r="B10" s="76"/>
      <c r="C10" s="76"/>
      <c r="D10" s="76"/>
      <c r="E10" s="76"/>
      <c r="F10" s="76"/>
      <c r="G10" s="5"/>
      <c r="H10" s="5"/>
      <c r="I10" s="5"/>
      <c r="J10" s="5"/>
      <c r="K10" s="5"/>
      <c r="L10" s="5"/>
      <c r="M10" s="5"/>
    </row>
    <row r="11" spans="1:13" x14ac:dyDescent="0.25">
      <c r="F11" s="5"/>
      <c r="G11" s="5"/>
      <c r="H11" s="5"/>
      <c r="I11" s="5"/>
      <c r="J11" s="5"/>
      <c r="K11" s="5"/>
      <c r="L11" s="5"/>
      <c r="M11" s="5"/>
    </row>
    <row r="12" spans="1:13" ht="18.75" x14ac:dyDescent="0.3">
      <c r="B12" s="11" t="s">
        <v>24</v>
      </c>
      <c r="F12" s="12"/>
      <c r="G12" s="12"/>
      <c r="H12" s="12"/>
      <c r="I12" s="12"/>
      <c r="J12" s="12"/>
      <c r="K12" s="12"/>
      <c r="L12" s="12"/>
    </row>
    <row r="13" spans="1:13" x14ac:dyDescent="0.25">
      <c r="B13" s="13"/>
    </row>
    <row r="14" spans="1:13" x14ac:dyDescent="0.25">
      <c r="B14" s="14" t="s">
        <v>12</v>
      </c>
      <c r="C14" s="14" t="s">
        <v>13</v>
      </c>
      <c r="D14" s="74" t="s">
        <v>147</v>
      </c>
      <c r="E14" s="74"/>
      <c r="F14" s="74"/>
    </row>
    <row r="15" spans="1:13" x14ac:dyDescent="0.25">
      <c r="B15" s="6" t="s">
        <v>4</v>
      </c>
      <c r="C15" s="1"/>
      <c r="D15" s="73" t="s">
        <v>109</v>
      </c>
      <c r="E15" s="73"/>
      <c r="F15" s="73"/>
    </row>
    <row r="16" spans="1:13" x14ac:dyDescent="0.25">
      <c r="B16" s="6" t="s">
        <v>3</v>
      </c>
      <c r="C16" s="1"/>
      <c r="D16" s="73" t="s">
        <v>108</v>
      </c>
      <c r="E16" s="73"/>
      <c r="F16" s="73"/>
    </row>
    <row r="17" spans="2:6" x14ac:dyDescent="0.25">
      <c r="B17" s="6" t="s">
        <v>6</v>
      </c>
      <c r="C17" s="1"/>
      <c r="D17" s="73" t="s">
        <v>110</v>
      </c>
      <c r="E17" s="73"/>
      <c r="F17" s="73"/>
    </row>
    <row r="18" spans="2:6" x14ac:dyDescent="0.25">
      <c r="B18" s="6" t="s">
        <v>5</v>
      </c>
      <c r="C18" s="1"/>
      <c r="D18" s="73" t="s">
        <v>111</v>
      </c>
      <c r="E18" s="73"/>
      <c r="F18" s="73"/>
    </row>
    <row r="19" spans="2:6" x14ac:dyDescent="0.25">
      <c r="B19" s="6" t="s">
        <v>7</v>
      </c>
      <c r="C19" s="1"/>
      <c r="D19" s="73" t="s">
        <v>112</v>
      </c>
      <c r="E19" s="73"/>
      <c r="F19" s="73"/>
    </row>
    <row r="20" spans="2:6" ht="15.75" thickBot="1" x14ac:dyDescent="0.3">
      <c r="B20" s="16"/>
      <c r="C20" s="17"/>
    </row>
    <row r="21" spans="2:6" ht="15.75" thickTop="1" x14ac:dyDescent="0.25">
      <c r="B21" s="13" t="s">
        <v>8</v>
      </c>
      <c r="C21" s="18">
        <f>SUM(C15:C20)</f>
        <v>0</v>
      </c>
    </row>
    <row r="23" spans="2:6" ht="18.75" x14ac:dyDescent="0.3">
      <c r="B23" s="11" t="s">
        <v>23</v>
      </c>
    </row>
    <row r="24" spans="2:6" x14ac:dyDescent="0.25">
      <c r="B24" s="13"/>
    </row>
    <row r="25" spans="2:6" ht="45" x14ac:dyDescent="0.25">
      <c r="B25" s="19" t="s">
        <v>12</v>
      </c>
      <c r="C25" s="20" t="s">
        <v>22</v>
      </c>
      <c r="D25" s="14" t="s">
        <v>18</v>
      </c>
      <c r="E25" s="14" t="s">
        <v>20</v>
      </c>
      <c r="F25" s="14" t="s">
        <v>81</v>
      </c>
    </row>
    <row r="26" spans="2:6" x14ac:dyDescent="0.25">
      <c r="B26" s="70" t="s">
        <v>169</v>
      </c>
      <c r="C26" s="71"/>
      <c r="D26" s="71"/>
      <c r="E26" s="71"/>
      <c r="F26" s="72"/>
    </row>
    <row r="27" spans="2:6" ht="30" x14ac:dyDescent="0.25">
      <c r="B27" s="6" t="s">
        <v>2</v>
      </c>
      <c r="C27" s="1"/>
      <c r="D27" s="6">
        <v>16</v>
      </c>
      <c r="E27" s="21">
        <f>D27*C27</f>
        <v>0</v>
      </c>
      <c r="F27" s="22" t="s">
        <v>115</v>
      </c>
    </row>
    <row r="28" spans="2:6" ht="30" x14ac:dyDescent="0.25">
      <c r="B28" s="6" t="s">
        <v>6</v>
      </c>
      <c r="C28" s="1"/>
      <c r="D28" s="6">
        <v>16</v>
      </c>
      <c r="E28" s="21">
        <f t="shared" ref="E28:E47" si="0">D28*C28</f>
        <v>0</v>
      </c>
      <c r="F28" s="22" t="s">
        <v>116</v>
      </c>
    </row>
    <row r="29" spans="2:6" ht="30" x14ac:dyDescent="0.25">
      <c r="B29" s="6" t="s">
        <v>28</v>
      </c>
      <c r="C29" s="1"/>
      <c r="D29" s="6">
        <v>16</v>
      </c>
      <c r="E29" s="21">
        <f t="shared" si="0"/>
        <v>0</v>
      </c>
      <c r="F29" s="22" t="s">
        <v>117</v>
      </c>
    </row>
    <row r="30" spans="2:6" ht="30" x14ac:dyDescent="0.25">
      <c r="B30" s="6" t="s">
        <v>9</v>
      </c>
      <c r="C30" s="1"/>
      <c r="D30" s="6">
        <v>16</v>
      </c>
      <c r="E30" s="21">
        <f t="shared" si="0"/>
        <v>0</v>
      </c>
      <c r="F30" s="22" t="s">
        <v>118</v>
      </c>
    </row>
    <row r="31" spans="2:6" ht="45" x14ac:dyDescent="0.25">
      <c r="B31" s="6" t="s">
        <v>151</v>
      </c>
      <c r="C31" s="1"/>
      <c r="D31" s="6">
        <v>1</v>
      </c>
      <c r="E31" s="21">
        <f t="shared" si="0"/>
        <v>0</v>
      </c>
      <c r="F31" s="22" t="s">
        <v>113</v>
      </c>
    </row>
    <row r="32" spans="2:6" ht="45" x14ac:dyDescent="0.25">
      <c r="B32" s="22" t="s">
        <v>152</v>
      </c>
      <c r="C32" s="1"/>
      <c r="D32" s="6">
        <v>1</v>
      </c>
      <c r="E32" s="21">
        <f t="shared" si="0"/>
        <v>0</v>
      </c>
      <c r="F32" s="22" t="s">
        <v>154</v>
      </c>
    </row>
    <row r="33" spans="2:6" ht="45" x14ac:dyDescent="0.25">
      <c r="B33" s="22" t="s">
        <v>153</v>
      </c>
      <c r="C33" s="1"/>
      <c r="D33" s="6">
        <v>1</v>
      </c>
      <c r="E33" s="21">
        <f t="shared" si="0"/>
        <v>0</v>
      </c>
      <c r="F33" s="22" t="s">
        <v>155</v>
      </c>
    </row>
    <row r="34" spans="2:6" ht="45" x14ac:dyDescent="0.25">
      <c r="B34" s="22" t="s">
        <v>106</v>
      </c>
      <c r="C34" s="1"/>
      <c r="D34" s="6">
        <v>1</v>
      </c>
      <c r="E34" s="21">
        <f t="shared" si="0"/>
        <v>0</v>
      </c>
      <c r="F34" s="22" t="s">
        <v>107</v>
      </c>
    </row>
    <row r="35" spans="2:6" ht="45" x14ac:dyDescent="0.25">
      <c r="B35" s="6" t="s">
        <v>10</v>
      </c>
      <c r="C35" s="1"/>
      <c r="D35" s="6">
        <v>16</v>
      </c>
      <c r="E35" s="21">
        <f t="shared" si="0"/>
        <v>0</v>
      </c>
      <c r="F35" s="22" t="s">
        <v>164</v>
      </c>
    </row>
    <row r="36" spans="2:6" x14ac:dyDescent="0.25">
      <c r="B36" s="70" t="s">
        <v>170</v>
      </c>
      <c r="C36" s="71"/>
      <c r="D36" s="71"/>
      <c r="E36" s="71"/>
      <c r="F36" s="72"/>
    </row>
    <row r="37" spans="2:6" ht="30" x14ac:dyDescent="0.25">
      <c r="B37" s="6" t="s">
        <v>2</v>
      </c>
      <c r="C37" s="1"/>
      <c r="D37" s="6">
        <v>7</v>
      </c>
      <c r="E37" s="21">
        <f t="shared" si="0"/>
        <v>0</v>
      </c>
      <c r="F37" s="22" t="s">
        <v>122</v>
      </c>
    </row>
    <row r="38" spans="2:6" ht="30" x14ac:dyDescent="0.25">
      <c r="B38" s="6" t="s">
        <v>6</v>
      </c>
      <c r="C38" s="1"/>
      <c r="D38" s="6">
        <v>7</v>
      </c>
      <c r="E38" s="21">
        <f t="shared" si="0"/>
        <v>0</v>
      </c>
      <c r="F38" s="22" t="s">
        <v>121</v>
      </c>
    </row>
    <row r="39" spans="2:6" ht="30" x14ac:dyDescent="0.25">
      <c r="B39" s="6" t="s">
        <v>28</v>
      </c>
      <c r="C39" s="1"/>
      <c r="D39" s="6">
        <v>7</v>
      </c>
      <c r="E39" s="21">
        <f t="shared" si="0"/>
        <v>0</v>
      </c>
      <c r="F39" s="22" t="s">
        <v>120</v>
      </c>
    </row>
    <row r="40" spans="2:6" x14ac:dyDescent="0.25">
      <c r="B40" s="6" t="s">
        <v>9</v>
      </c>
      <c r="C40" s="1"/>
      <c r="D40" s="6">
        <v>7</v>
      </c>
      <c r="E40" s="21">
        <f t="shared" si="0"/>
        <v>0</v>
      </c>
      <c r="F40" s="22" t="s">
        <v>119</v>
      </c>
    </row>
    <row r="41" spans="2:6" ht="45" x14ac:dyDescent="0.25">
      <c r="B41" s="6" t="s">
        <v>10</v>
      </c>
      <c r="C41" s="1"/>
      <c r="D41" s="6">
        <v>7</v>
      </c>
      <c r="E41" s="21">
        <f t="shared" si="0"/>
        <v>0</v>
      </c>
      <c r="F41" s="22" t="s">
        <v>164</v>
      </c>
    </row>
    <row r="42" spans="2:6" x14ac:dyDescent="0.25">
      <c r="B42" s="70" t="s">
        <v>206</v>
      </c>
      <c r="C42" s="71"/>
      <c r="D42" s="71"/>
      <c r="E42" s="71"/>
      <c r="F42" s="72"/>
    </row>
    <row r="43" spans="2:6" ht="30" x14ac:dyDescent="0.25">
      <c r="B43" s="6" t="s">
        <v>2</v>
      </c>
      <c r="C43" s="1"/>
      <c r="D43" s="6">
        <v>1</v>
      </c>
      <c r="E43" s="21">
        <f t="shared" si="0"/>
        <v>0</v>
      </c>
      <c r="F43" s="22" t="s">
        <v>123</v>
      </c>
    </row>
    <row r="44" spans="2:6" ht="30" x14ac:dyDescent="0.25">
      <c r="B44" s="6" t="s">
        <v>6</v>
      </c>
      <c r="C44" s="1"/>
      <c r="D44" s="6">
        <v>1</v>
      </c>
      <c r="E44" s="21">
        <f t="shared" si="0"/>
        <v>0</v>
      </c>
      <c r="F44" s="22" t="s">
        <v>124</v>
      </c>
    </row>
    <row r="45" spans="2:6" ht="30" x14ac:dyDescent="0.25">
      <c r="B45" s="6" t="s">
        <v>28</v>
      </c>
      <c r="C45" s="1"/>
      <c r="D45" s="6">
        <v>1</v>
      </c>
      <c r="E45" s="21">
        <f t="shared" si="0"/>
        <v>0</v>
      </c>
      <c r="F45" s="22" t="s">
        <v>125</v>
      </c>
    </row>
    <row r="46" spans="2:6" x14ac:dyDescent="0.25">
      <c r="B46" s="6" t="s">
        <v>9</v>
      </c>
      <c r="C46" s="1"/>
      <c r="D46" s="6">
        <v>1</v>
      </c>
      <c r="E46" s="21">
        <f t="shared" si="0"/>
        <v>0</v>
      </c>
      <c r="F46" s="22" t="s">
        <v>126</v>
      </c>
    </row>
    <row r="47" spans="2:6" ht="45" x14ac:dyDescent="0.25">
      <c r="B47" s="6" t="s">
        <v>10</v>
      </c>
      <c r="C47" s="1"/>
      <c r="D47" s="6">
        <v>1</v>
      </c>
      <c r="E47" s="21">
        <f t="shared" si="0"/>
        <v>0</v>
      </c>
      <c r="F47" s="22" t="s">
        <v>165</v>
      </c>
    </row>
    <row r="48" spans="2:6" x14ac:dyDescent="0.25">
      <c r="B48" s="66" t="s">
        <v>21</v>
      </c>
      <c r="C48" s="67"/>
      <c r="D48" s="68"/>
      <c r="E48" s="23">
        <f>SUM(E43:E47,E37:E41,E27:E35)</f>
        <v>0</v>
      </c>
      <c r="F48" s="6"/>
    </row>
    <row r="50" spans="2:6" ht="18.75" x14ac:dyDescent="0.3">
      <c r="B50" s="11" t="s">
        <v>11</v>
      </c>
    </row>
    <row r="52" spans="2:6" x14ac:dyDescent="0.25">
      <c r="B52" s="14" t="s">
        <v>12</v>
      </c>
      <c r="C52" s="14" t="s">
        <v>25</v>
      </c>
      <c r="D52" s="14" t="s">
        <v>18</v>
      </c>
      <c r="E52" s="24" t="s">
        <v>20</v>
      </c>
      <c r="F52" s="14" t="s">
        <v>33</v>
      </c>
    </row>
    <row r="53" spans="2:6" x14ac:dyDescent="0.25">
      <c r="B53" s="70" t="s">
        <v>168</v>
      </c>
      <c r="C53" s="71"/>
      <c r="D53" s="71"/>
      <c r="E53" s="71"/>
      <c r="F53" s="72"/>
    </row>
    <row r="54" spans="2:6" x14ac:dyDescent="0.25">
      <c r="B54" s="6" t="s">
        <v>14</v>
      </c>
      <c r="C54" s="1"/>
      <c r="D54" s="6">
        <f>SUM(Specificatie!L29,Specificatie!N29)</f>
        <v>1289</v>
      </c>
      <c r="E54" s="25">
        <f t="shared" ref="E54:E75" si="1">D54*C54</f>
        <v>0</v>
      </c>
      <c r="F54" s="6" t="s">
        <v>133</v>
      </c>
    </row>
    <row r="55" spans="2:6" x14ac:dyDescent="0.25">
      <c r="B55" s="6" t="s">
        <v>34</v>
      </c>
      <c r="C55" s="1"/>
      <c r="D55" s="6">
        <f>SUM(Specificatie!L29,Specificatie!N29)</f>
        <v>1289</v>
      </c>
      <c r="E55" s="25">
        <f t="shared" si="1"/>
        <v>0</v>
      </c>
      <c r="F55" s="6" t="s">
        <v>136</v>
      </c>
    </row>
    <row r="56" spans="2:6" ht="30" x14ac:dyDescent="0.25">
      <c r="B56" s="6" t="s">
        <v>15</v>
      </c>
      <c r="C56" s="1"/>
      <c r="D56" s="6">
        <f>SUM(Specificatie!L29,Specificatie!N29)</f>
        <v>1289</v>
      </c>
      <c r="E56" s="25">
        <f t="shared" si="1"/>
        <v>0</v>
      </c>
      <c r="F56" s="22" t="s">
        <v>134</v>
      </c>
    </row>
    <row r="57" spans="2:6" ht="30" x14ac:dyDescent="0.25">
      <c r="B57" s="26" t="s">
        <v>16</v>
      </c>
      <c r="C57" s="1"/>
      <c r="D57" s="6">
        <f>Specificatie!R29</f>
        <v>4</v>
      </c>
      <c r="E57" s="25">
        <f t="shared" si="1"/>
        <v>0</v>
      </c>
      <c r="F57" s="22" t="s">
        <v>135</v>
      </c>
    </row>
    <row r="58" spans="2:6" x14ac:dyDescent="0.25">
      <c r="B58" s="26" t="s">
        <v>26</v>
      </c>
      <c r="C58" s="1"/>
      <c r="D58" s="6">
        <f>SUM(Specificatie!L29,Specificatie!N29)</f>
        <v>1289</v>
      </c>
      <c r="E58" s="25">
        <f t="shared" si="1"/>
        <v>0</v>
      </c>
      <c r="F58" s="6" t="s">
        <v>137</v>
      </c>
    </row>
    <row r="59" spans="2:6" ht="30" x14ac:dyDescent="0.25">
      <c r="B59" s="27" t="s">
        <v>225</v>
      </c>
      <c r="C59" s="1"/>
      <c r="D59" s="78"/>
      <c r="E59" s="79"/>
      <c r="F59" s="6"/>
    </row>
    <row r="60" spans="2:6" ht="135" x14ac:dyDescent="0.25">
      <c r="B60" s="27" t="s">
        <v>156</v>
      </c>
      <c r="C60" s="1"/>
      <c r="D60" s="64" t="str">
        <f>IF(C59="nee",0,IF(C59="","Antwoord op vraag cel B59 eerst in cel C59 eerst invullen!",Specificatie!I29))</f>
        <v>Antwoord op vraag cel B59 eerst in cel C59 eerst invullen!</v>
      </c>
      <c r="E60" s="25" t="e">
        <f t="shared" ref="E60:E66" si="2">D60*C60</f>
        <v>#VALUE!</v>
      </c>
      <c r="F60" s="22" t="s">
        <v>166</v>
      </c>
    </row>
    <row r="61" spans="2:6" ht="105" x14ac:dyDescent="0.25">
      <c r="B61" s="27" t="s">
        <v>227</v>
      </c>
      <c r="C61" s="3"/>
      <c r="D61" s="80"/>
      <c r="E61" s="81"/>
      <c r="F61" s="22" t="s">
        <v>228</v>
      </c>
    </row>
    <row r="62" spans="2:6" ht="75" x14ac:dyDescent="0.25">
      <c r="B62" s="27" t="s">
        <v>202</v>
      </c>
      <c r="C62" s="1"/>
      <c r="D62" s="63">
        <f>IF(C61="Vul hier aantal in", "Antwoord op vraag cel B61 in cel C61 eerste invullen!",844-C61)</f>
        <v>844</v>
      </c>
      <c r="E62" s="28">
        <f>C62*D62</f>
        <v>0</v>
      </c>
      <c r="F62" s="22" t="s">
        <v>246</v>
      </c>
    </row>
    <row r="63" spans="2:6" ht="45" x14ac:dyDescent="0.25">
      <c r="B63" s="26" t="s">
        <v>131</v>
      </c>
      <c r="C63" s="1"/>
      <c r="D63" s="6">
        <f>ROUND(((SUM(Specificatie!N27:N28))*0.5),0)</f>
        <v>98</v>
      </c>
      <c r="E63" s="25">
        <f t="shared" si="2"/>
        <v>0</v>
      </c>
      <c r="F63" s="22" t="s">
        <v>132</v>
      </c>
    </row>
    <row r="64" spans="2:6" ht="45" x14ac:dyDescent="0.25">
      <c r="B64" s="22" t="s">
        <v>36</v>
      </c>
      <c r="C64" s="1"/>
      <c r="D64" s="6">
        <f>Specificatie!S29</f>
        <v>13</v>
      </c>
      <c r="E64" s="25">
        <f t="shared" si="2"/>
        <v>0</v>
      </c>
      <c r="F64" s="22" t="s">
        <v>138</v>
      </c>
    </row>
    <row r="65" spans="1:6" ht="45" x14ac:dyDescent="0.25">
      <c r="B65" s="22" t="s">
        <v>181</v>
      </c>
      <c r="C65" s="1"/>
      <c r="D65" s="6">
        <v>28</v>
      </c>
      <c r="E65" s="25">
        <f t="shared" si="2"/>
        <v>0</v>
      </c>
      <c r="F65" s="29" t="s">
        <v>201</v>
      </c>
    </row>
    <row r="66" spans="1:6" ht="30" x14ac:dyDescent="0.25">
      <c r="B66" s="30" t="s">
        <v>37</v>
      </c>
      <c r="C66" s="1"/>
      <c r="D66" s="31">
        <f>Specificatie!T29</f>
        <v>6</v>
      </c>
      <c r="E66" s="25">
        <f t="shared" si="2"/>
        <v>0</v>
      </c>
      <c r="F66" s="22" t="s">
        <v>139</v>
      </c>
    </row>
    <row r="67" spans="1:6" x14ac:dyDescent="0.25">
      <c r="B67" s="70" t="s">
        <v>167</v>
      </c>
      <c r="C67" s="71"/>
      <c r="D67" s="71"/>
      <c r="E67" s="71"/>
      <c r="F67" s="72"/>
    </row>
    <row r="68" spans="1:6" x14ac:dyDescent="0.25">
      <c r="B68" s="6" t="s">
        <v>14</v>
      </c>
      <c r="C68" s="1"/>
      <c r="D68" s="6">
        <f>Specificatie!O29</f>
        <v>136</v>
      </c>
      <c r="E68" s="25">
        <f t="shared" si="1"/>
        <v>0</v>
      </c>
      <c r="F68" s="6" t="s">
        <v>140</v>
      </c>
    </row>
    <row r="69" spans="1:6" ht="45" x14ac:dyDescent="0.25">
      <c r="B69" s="26" t="s">
        <v>131</v>
      </c>
      <c r="C69" s="1"/>
      <c r="D69" s="6">
        <f>Specificatie!O29*0.75</f>
        <v>102</v>
      </c>
      <c r="E69" s="25">
        <f t="shared" si="1"/>
        <v>0</v>
      </c>
      <c r="F69" s="22" t="s">
        <v>132</v>
      </c>
    </row>
    <row r="70" spans="1:6" ht="45" x14ac:dyDescent="0.25">
      <c r="B70" s="32" t="s">
        <v>172</v>
      </c>
      <c r="C70" s="1"/>
      <c r="D70" s="6">
        <f>ROUND(Specificatie!O29*0.1,0)</f>
        <v>14</v>
      </c>
      <c r="E70" s="25">
        <f t="shared" si="1"/>
        <v>0</v>
      </c>
      <c r="F70" s="22" t="s">
        <v>145</v>
      </c>
    </row>
    <row r="71" spans="1:6" ht="60" x14ac:dyDescent="0.25">
      <c r="B71" s="32" t="s">
        <v>252</v>
      </c>
      <c r="C71" s="1"/>
      <c r="D71" s="6">
        <f>ROUND((Specificatie!O29*0.9)/2,0)</f>
        <v>61</v>
      </c>
      <c r="E71" s="25">
        <f t="shared" si="1"/>
        <v>0</v>
      </c>
      <c r="F71" s="22" t="s">
        <v>145</v>
      </c>
    </row>
    <row r="72" spans="1:6" ht="60" x14ac:dyDescent="0.25">
      <c r="B72" s="32" t="s">
        <v>253</v>
      </c>
      <c r="C72" s="1"/>
      <c r="D72" s="6">
        <f>ROUND((Specificatie!O29*0.9)/2,0)</f>
        <v>61</v>
      </c>
      <c r="E72" s="25">
        <f t="shared" ref="E72" si="3">D72*C72</f>
        <v>0</v>
      </c>
      <c r="F72" s="22" t="s">
        <v>145</v>
      </c>
    </row>
    <row r="73" spans="1:6" x14ac:dyDescent="0.25">
      <c r="B73" s="6" t="s">
        <v>19</v>
      </c>
      <c r="C73" s="1"/>
      <c r="D73" s="6">
        <f>Specificatie!O29</f>
        <v>136</v>
      </c>
      <c r="E73" s="25">
        <f t="shared" si="1"/>
        <v>0</v>
      </c>
      <c r="F73" s="6" t="s">
        <v>141</v>
      </c>
    </row>
    <row r="74" spans="1:6" x14ac:dyDescent="0.25">
      <c r="B74" s="6" t="s">
        <v>26</v>
      </c>
      <c r="C74" s="1"/>
      <c r="D74" s="6">
        <f>Specificatie!O29</f>
        <v>136</v>
      </c>
      <c r="E74" s="25">
        <f t="shared" si="1"/>
        <v>0</v>
      </c>
      <c r="F74" s="6" t="s">
        <v>142</v>
      </c>
    </row>
    <row r="75" spans="1:6" ht="45" x14ac:dyDescent="0.25">
      <c r="B75" s="22" t="s">
        <v>182</v>
      </c>
      <c r="C75" s="1"/>
      <c r="D75" s="6">
        <v>36</v>
      </c>
      <c r="E75" s="25">
        <f t="shared" si="1"/>
        <v>0</v>
      </c>
      <c r="F75" s="29" t="s">
        <v>200</v>
      </c>
    </row>
    <row r="76" spans="1:6" x14ac:dyDescent="0.25">
      <c r="B76" s="86" t="s">
        <v>21</v>
      </c>
      <c r="C76" s="86"/>
      <c r="D76" s="86"/>
      <c r="E76" s="33" t="e">
        <f>SUM(E68:E75,E54:E58,E62:E66,E60)</f>
        <v>#VALUE!</v>
      </c>
      <c r="F76" s="6"/>
    </row>
    <row r="77" spans="1:6" x14ac:dyDescent="0.25">
      <c r="C77" s="34"/>
      <c r="E77" s="34"/>
    </row>
    <row r="78" spans="1:6" x14ac:dyDescent="0.25">
      <c r="A78" s="75" t="s">
        <v>149</v>
      </c>
      <c r="B78" s="76"/>
      <c r="C78" s="76"/>
      <c r="D78" s="76"/>
      <c r="E78" s="76"/>
      <c r="F78" s="76"/>
    </row>
    <row r="79" spans="1:6" x14ac:dyDescent="0.25">
      <c r="C79" s="34"/>
      <c r="E79" s="34"/>
    </row>
    <row r="80" spans="1:6" ht="18.75" x14ac:dyDescent="0.3">
      <c r="B80" s="69" t="s">
        <v>35</v>
      </c>
      <c r="C80" s="69"/>
      <c r="D80" s="69"/>
      <c r="E80" s="69"/>
      <c r="F80" s="69"/>
    </row>
    <row r="81" spans="1:10" x14ac:dyDescent="0.25">
      <c r="B81" s="35" t="s">
        <v>12</v>
      </c>
      <c r="C81" s="15" t="s">
        <v>17</v>
      </c>
      <c r="D81" s="15" t="s">
        <v>18</v>
      </c>
      <c r="E81" s="15" t="s">
        <v>20</v>
      </c>
      <c r="F81" s="14" t="s">
        <v>33</v>
      </c>
    </row>
    <row r="82" spans="1:10" x14ac:dyDescent="0.25">
      <c r="B82" s="6" t="s">
        <v>84</v>
      </c>
      <c r="C82" s="1"/>
      <c r="D82" s="6">
        <v>1</v>
      </c>
      <c r="E82" s="21">
        <f>D82*C82*15</f>
        <v>0</v>
      </c>
      <c r="F82" s="6" t="s">
        <v>178</v>
      </c>
    </row>
    <row r="83" spans="1:10" x14ac:dyDescent="0.25">
      <c r="B83" s="6" t="s">
        <v>31</v>
      </c>
      <c r="C83" s="1"/>
      <c r="D83" s="6">
        <v>4</v>
      </c>
      <c r="E83" s="21">
        <f>D83*C83*15</f>
        <v>0</v>
      </c>
      <c r="F83" s="6" t="s">
        <v>178</v>
      </c>
    </row>
    <row r="84" spans="1:10" x14ac:dyDescent="0.25">
      <c r="B84" s="6" t="s">
        <v>32</v>
      </c>
      <c r="C84" s="1"/>
      <c r="D84" s="6">
        <v>1</v>
      </c>
      <c r="E84" s="21">
        <f>D84*C84*15</f>
        <v>0</v>
      </c>
      <c r="F84" s="6" t="s">
        <v>178</v>
      </c>
    </row>
    <row r="85" spans="1:10" x14ac:dyDescent="0.25">
      <c r="B85" s="6" t="s">
        <v>29</v>
      </c>
      <c r="C85" s="1"/>
      <c r="D85" s="6">
        <v>1</v>
      </c>
      <c r="E85" s="21">
        <f>D85*C85*15</f>
        <v>0</v>
      </c>
      <c r="F85" s="6" t="s">
        <v>178</v>
      </c>
    </row>
    <row r="86" spans="1:10" x14ac:dyDescent="0.25">
      <c r="B86" s="86" t="s">
        <v>179</v>
      </c>
      <c r="C86" s="86"/>
      <c r="D86" s="86"/>
      <c r="E86" s="33">
        <f>SUM(E82:E85)</f>
        <v>0</v>
      </c>
    </row>
    <row r="87" spans="1:10" x14ac:dyDescent="0.25">
      <c r="C87" s="34"/>
      <c r="E87" s="34"/>
    </row>
    <row r="88" spans="1:10" ht="18.75" x14ac:dyDescent="0.3">
      <c r="B88" s="69" t="s">
        <v>27</v>
      </c>
      <c r="C88" s="69"/>
      <c r="D88" s="69"/>
      <c r="E88" s="69"/>
      <c r="F88" s="69"/>
    </row>
    <row r="89" spans="1:10" x14ac:dyDescent="0.25">
      <c r="B89" s="14" t="s">
        <v>12</v>
      </c>
      <c r="C89" s="33" t="s">
        <v>17</v>
      </c>
      <c r="D89" s="14" t="s">
        <v>18</v>
      </c>
      <c r="E89" s="14" t="s">
        <v>20</v>
      </c>
      <c r="F89" s="14" t="s">
        <v>33</v>
      </c>
      <c r="J89" t="s">
        <v>143</v>
      </c>
    </row>
    <row r="90" spans="1:10" ht="30" x14ac:dyDescent="0.25">
      <c r="B90" s="36" t="s">
        <v>171</v>
      </c>
      <c r="C90" s="2"/>
      <c r="D90" s="88"/>
      <c r="E90" s="89"/>
      <c r="F90" s="22" t="s">
        <v>146</v>
      </c>
      <c r="J90" t="s">
        <v>144</v>
      </c>
    </row>
    <row r="91" spans="1:10" ht="60" x14ac:dyDescent="0.25">
      <c r="B91" s="22" t="s">
        <v>204</v>
      </c>
      <c r="C91" s="1"/>
      <c r="D91" s="22" t="str">
        <f>IF(C90="ja",0,IF(C90="","Antwoord op vraag cel B89 eerst in cel C89 eerst invullen!",Specificatie!L29))</f>
        <v>Antwoord op vraag cel B89 eerst in cel C89 eerst invullen!</v>
      </c>
      <c r="E91" s="21" t="e">
        <f>D91*C91*15</f>
        <v>#VALUE!</v>
      </c>
      <c r="F91" s="22" t="s">
        <v>205</v>
      </c>
    </row>
    <row r="92" spans="1:10" ht="75" x14ac:dyDescent="0.25">
      <c r="B92" s="22" t="s">
        <v>203</v>
      </c>
      <c r="C92" s="1"/>
      <c r="D92" s="22" t="str">
        <f>IF(C90="ja",SUM(Specificatie!L29:O29),IF(C90="","Antwoord op vraag cel B89 eerst in cel C89 eerst invullen!",SUM(Specificatie!N29:O29)))</f>
        <v>Antwoord op vraag cel B89 eerst in cel C89 eerst invullen!</v>
      </c>
      <c r="E92" s="21" t="e">
        <f>D92*C92*15</f>
        <v>#VALUE!</v>
      </c>
      <c r="F92" s="22" t="s">
        <v>205</v>
      </c>
    </row>
    <row r="93" spans="1:10" x14ac:dyDescent="0.25">
      <c r="B93" s="6" t="s">
        <v>30</v>
      </c>
      <c r="C93" s="1"/>
      <c r="D93" s="6">
        <f>Specificatie!K29</f>
        <v>1425</v>
      </c>
      <c r="E93" s="21">
        <f>D93*C93*15</f>
        <v>0</v>
      </c>
      <c r="F93" s="6" t="s">
        <v>248</v>
      </c>
    </row>
    <row r="94" spans="1:10" x14ac:dyDescent="0.25">
      <c r="B94" s="86" t="s">
        <v>179</v>
      </c>
      <c r="C94" s="86"/>
      <c r="D94" s="86"/>
      <c r="E94" s="33" t="e">
        <f>SUM(E91:E93)</f>
        <v>#VALUE!</v>
      </c>
    </row>
    <row r="95" spans="1:10" x14ac:dyDescent="0.25">
      <c r="B95" s="37"/>
      <c r="C95" s="37"/>
      <c r="D95" s="37"/>
      <c r="E95" s="18"/>
    </row>
    <row r="96" spans="1:10" x14ac:dyDescent="0.25">
      <c r="A96" s="75" t="s">
        <v>148</v>
      </c>
      <c r="B96" s="76"/>
      <c r="C96" s="76"/>
      <c r="D96" s="76"/>
      <c r="E96" s="76"/>
      <c r="F96" s="76"/>
    </row>
    <row r="98" spans="1:6" ht="18.75" x14ac:dyDescent="0.3">
      <c r="B98" s="87" t="s">
        <v>39</v>
      </c>
      <c r="C98" s="87"/>
      <c r="D98" s="87"/>
      <c r="E98" s="87"/>
    </row>
    <row r="99" spans="1:6" ht="32.25" customHeight="1" x14ac:dyDescent="0.25">
      <c r="B99" s="82" t="s">
        <v>176</v>
      </c>
      <c r="C99" s="82"/>
      <c r="D99" s="82"/>
      <c r="E99" s="82"/>
      <c r="F99" s="82"/>
    </row>
    <row r="100" spans="1:6" ht="18.75" x14ac:dyDescent="0.3">
      <c r="B100" s="38"/>
      <c r="C100" s="38"/>
      <c r="D100" s="38"/>
      <c r="E100" s="38"/>
    </row>
    <row r="101" spans="1:6" x14ac:dyDescent="0.25">
      <c r="A101" s="14" t="s">
        <v>40</v>
      </c>
      <c r="B101" s="14" t="s">
        <v>12</v>
      </c>
      <c r="C101" s="33" t="s">
        <v>17</v>
      </c>
      <c r="D101" s="39" t="s">
        <v>38</v>
      </c>
      <c r="E101" s="14" t="s">
        <v>20</v>
      </c>
      <c r="F101" s="14" t="s">
        <v>33</v>
      </c>
    </row>
    <row r="102" spans="1:6" ht="60" x14ac:dyDescent="0.25">
      <c r="A102" s="6" t="s">
        <v>188</v>
      </c>
      <c r="B102" s="22" t="s">
        <v>214</v>
      </c>
      <c r="C102" s="1"/>
      <c r="D102" s="6">
        <f>ROUND(Specificatie!P29*0.8,0)</f>
        <v>235</v>
      </c>
      <c r="E102" s="21">
        <f>D102*C102</f>
        <v>0</v>
      </c>
      <c r="F102" s="6"/>
    </row>
    <row r="103" spans="1:6" x14ac:dyDescent="0.25">
      <c r="A103" s="6" t="s">
        <v>185</v>
      </c>
      <c r="B103" s="22" t="s">
        <v>207</v>
      </c>
      <c r="C103" s="1"/>
      <c r="D103" s="6">
        <f>ROUND(Specificatie!P29*0.2,0)</f>
        <v>59</v>
      </c>
      <c r="E103" s="21">
        <f>D103*C103</f>
        <v>0</v>
      </c>
      <c r="F103" s="6"/>
    </row>
    <row r="104" spans="1:6" ht="30" x14ac:dyDescent="0.25">
      <c r="A104" s="6" t="s">
        <v>186</v>
      </c>
      <c r="B104" s="22" t="s">
        <v>210</v>
      </c>
      <c r="C104" s="1"/>
      <c r="D104" s="6">
        <v>50</v>
      </c>
      <c r="E104" s="21">
        <f>D104*C104</f>
        <v>0</v>
      </c>
      <c r="F104" s="6"/>
    </row>
    <row r="105" spans="1:6" ht="30" x14ac:dyDescent="0.25">
      <c r="A105" s="6" t="s">
        <v>187</v>
      </c>
      <c r="B105" s="22" t="s">
        <v>211</v>
      </c>
      <c r="C105" s="1"/>
      <c r="D105" s="6">
        <f>ROUND(D102*0.7,0)</f>
        <v>165</v>
      </c>
      <c r="E105" s="21">
        <f>D105*C105</f>
        <v>0</v>
      </c>
      <c r="F105" s="6"/>
    </row>
    <row r="106" spans="1:6" x14ac:dyDescent="0.25">
      <c r="A106" s="6" t="s">
        <v>183</v>
      </c>
      <c r="B106" s="6" t="s">
        <v>212</v>
      </c>
      <c r="C106" s="1"/>
      <c r="D106" s="6">
        <f>ROUND(D102*0.2,0)</f>
        <v>47</v>
      </c>
      <c r="E106" s="21">
        <f t="shared" ref="E106:E129" si="4">D106*C106</f>
        <v>0</v>
      </c>
      <c r="F106" s="6"/>
    </row>
    <row r="107" spans="1:6" x14ac:dyDescent="0.25">
      <c r="A107" s="6" t="s">
        <v>184</v>
      </c>
      <c r="B107" s="6" t="s">
        <v>213</v>
      </c>
      <c r="C107" s="1"/>
      <c r="D107" s="6">
        <f>ROUND(D102*0.8,0)</f>
        <v>188</v>
      </c>
      <c r="E107" s="21">
        <f t="shared" si="4"/>
        <v>0</v>
      </c>
      <c r="F107" s="6"/>
    </row>
    <row r="108" spans="1:6" ht="30" x14ac:dyDescent="0.25">
      <c r="A108" s="6" t="s">
        <v>189</v>
      </c>
      <c r="B108" s="22" t="s">
        <v>245</v>
      </c>
      <c r="C108" s="1"/>
      <c r="D108" s="6">
        <f>ROUND(SUM(Specificatie!P29:Q29)*0.8,0)</f>
        <v>291</v>
      </c>
      <c r="E108" s="21">
        <f t="shared" si="4"/>
        <v>0</v>
      </c>
      <c r="F108" s="6"/>
    </row>
    <row r="109" spans="1:6" x14ac:dyDescent="0.25">
      <c r="A109" s="6" t="s">
        <v>191</v>
      </c>
      <c r="B109" s="6" t="s">
        <v>215</v>
      </c>
      <c r="C109" s="1"/>
      <c r="D109" s="6">
        <f>ROUND(SUM(Specificatie!P29:Q29)*0.2,0)</f>
        <v>73</v>
      </c>
      <c r="E109" s="21">
        <f t="shared" si="4"/>
        <v>0</v>
      </c>
      <c r="F109" s="6"/>
    </row>
    <row r="110" spans="1:6" ht="75" x14ac:dyDescent="0.25">
      <c r="A110" s="6" t="s">
        <v>208</v>
      </c>
      <c r="B110" s="22" t="s">
        <v>240</v>
      </c>
      <c r="C110" s="1"/>
      <c r="D110" s="6">
        <f>ROUND(SUM(Specificatie!P29:Q29)*0.4,0)</f>
        <v>146</v>
      </c>
      <c r="E110" s="21">
        <f t="shared" si="4"/>
        <v>0</v>
      </c>
      <c r="F110" s="22" t="s">
        <v>241</v>
      </c>
    </row>
    <row r="111" spans="1:6" ht="60" x14ac:dyDescent="0.25">
      <c r="A111" s="6" t="s">
        <v>157</v>
      </c>
      <c r="B111" s="22" t="s">
        <v>216</v>
      </c>
      <c r="C111" s="1"/>
      <c r="D111" s="6">
        <f>Specificatie!E4</f>
        <v>193</v>
      </c>
      <c r="E111" s="21">
        <f t="shared" si="4"/>
        <v>0</v>
      </c>
      <c r="F111" s="22" t="s">
        <v>217</v>
      </c>
    </row>
    <row r="112" spans="1:6" ht="45" x14ac:dyDescent="0.25">
      <c r="A112" s="6" t="s">
        <v>192</v>
      </c>
      <c r="B112" s="6" t="s">
        <v>218</v>
      </c>
      <c r="C112" s="1"/>
      <c r="D112" s="6">
        <f>3</f>
        <v>3</v>
      </c>
      <c r="E112" s="21">
        <f t="shared" si="4"/>
        <v>0</v>
      </c>
      <c r="F112" s="22" t="s">
        <v>219</v>
      </c>
    </row>
    <row r="113" spans="1:6" ht="45" x14ac:dyDescent="0.25">
      <c r="A113" s="6" t="s">
        <v>193</v>
      </c>
      <c r="B113" s="6" t="s">
        <v>220</v>
      </c>
      <c r="C113" s="1"/>
      <c r="D113" s="6">
        <v>3</v>
      </c>
      <c r="E113" s="21">
        <f>D113*C113*5</f>
        <v>0</v>
      </c>
      <c r="F113" s="22" t="s">
        <v>221</v>
      </c>
    </row>
    <row r="114" spans="1:6" ht="105" x14ac:dyDescent="0.25">
      <c r="A114" s="6" t="s">
        <v>194</v>
      </c>
      <c r="B114" s="22" t="s">
        <v>159</v>
      </c>
      <c r="C114" s="1"/>
      <c r="D114" s="22" t="str">
        <f>IF(C90="ja",0,IF(C90="","Antwoord op vraag cel B89 eerst in cel C89 eerst invullen!",ROUND(SUM(Specificatie!P29:Q29)*0.4,0)))</f>
        <v>Antwoord op vraag cel B89 eerst in cel C89 eerst invullen!</v>
      </c>
      <c r="E114" s="21" t="e">
        <f>D114*C114*10</f>
        <v>#VALUE!</v>
      </c>
      <c r="F114" s="22" t="s">
        <v>222</v>
      </c>
    </row>
    <row r="115" spans="1:6" ht="75" x14ac:dyDescent="0.25">
      <c r="A115" s="6" t="s">
        <v>195</v>
      </c>
      <c r="B115" s="22" t="s">
        <v>160</v>
      </c>
      <c r="C115" s="1"/>
      <c r="D115" s="22" t="str">
        <f>IF(C90="ja",ROUND(SUM(Specificatie!P29:Q29)*0.6,0)+ROUND(SUM(Specificatie!P29:Q29)*0.4,0),IF(C90="","Antwoord op vraag cel B89 eerst in cel C89 eerst invullen!",ROUND(SUM(Specificatie!P29:Q29)*0.6,0)))</f>
        <v>Antwoord op vraag cel B89 eerst in cel C89 eerst invullen!</v>
      </c>
      <c r="E115" s="21" t="e">
        <f>D115*C115*10</f>
        <v>#VALUE!</v>
      </c>
      <c r="F115" s="22" t="s">
        <v>229</v>
      </c>
    </row>
    <row r="116" spans="1:6" x14ac:dyDescent="0.25">
      <c r="A116" s="6" t="s">
        <v>190</v>
      </c>
      <c r="B116" s="6" t="s">
        <v>44</v>
      </c>
      <c r="C116" s="1"/>
      <c r="D116" s="6">
        <f>ROUND(Specificatie!K29*0.05,0)</f>
        <v>71</v>
      </c>
      <c r="E116" s="21">
        <f t="shared" si="4"/>
        <v>0</v>
      </c>
      <c r="F116" s="6"/>
    </row>
    <row r="117" spans="1:6" x14ac:dyDescent="0.25">
      <c r="A117" s="6" t="s">
        <v>196</v>
      </c>
      <c r="B117" s="6" t="s">
        <v>46</v>
      </c>
      <c r="C117" s="1"/>
      <c r="D117" s="6">
        <f>ROUND(Specificatie!K29*0.05,0)</f>
        <v>71</v>
      </c>
      <c r="E117" s="21">
        <f t="shared" si="4"/>
        <v>0</v>
      </c>
      <c r="F117" s="6"/>
    </row>
    <row r="118" spans="1:6" x14ac:dyDescent="0.25">
      <c r="A118" s="6" t="s">
        <v>197</v>
      </c>
      <c r="B118" s="6" t="s">
        <v>249</v>
      </c>
      <c r="C118" s="1"/>
      <c r="D118" s="6">
        <f>ROUND((Specificatie!K29*0.05)/2,0)</f>
        <v>36</v>
      </c>
      <c r="E118" s="21">
        <f t="shared" si="4"/>
        <v>0</v>
      </c>
      <c r="F118" s="6"/>
    </row>
    <row r="119" spans="1:6" x14ac:dyDescent="0.25">
      <c r="A119" s="6" t="s">
        <v>198</v>
      </c>
      <c r="B119" s="6" t="s">
        <v>251</v>
      </c>
      <c r="C119" s="1"/>
      <c r="D119" s="6">
        <f>ROUND((Specificatie!K29*0.05)/2,0)</f>
        <v>36</v>
      </c>
      <c r="E119" s="21">
        <f t="shared" ref="E119" si="5">D119*C119</f>
        <v>0</v>
      </c>
      <c r="F119" s="6"/>
    </row>
    <row r="120" spans="1:6" x14ac:dyDescent="0.25">
      <c r="A120" s="6" t="s">
        <v>242</v>
      </c>
      <c r="B120" s="6" t="s">
        <v>158</v>
      </c>
      <c r="C120" s="1"/>
      <c r="D120" s="6">
        <f>ROUND(Specificatie!K29*0.05,0)</f>
        <v>71</v>
      </c>
      <c r="E120" s="21">
        <f t="shared" si="4"/>
        <v>0</v>
      </c>
      <c r="F120" s="6"/>
    </row>
    <row r="121" spans="1:6" ht="60" x14ac:dyDescent="0.25">
      <c r="A121" s="6" t="s">
        <v>250</v>
      </c>
      <c r="B121" s="6" t="s">
        <v>243</v>
      </c>
      <c r="C121" s="1"/>
      <c r="D121" s="6">
        <f>ROUND(Specificatie!K29*0.02,0)</f>
        <v>29</v>
      </c>
      <c r="E121" s="21">
        <f t="shared" si="4"/>
        <v>0</v>
      </c>
      <c r="F121" s="22" t="s">
        <v>244</v>
      </c>
    </row>
    <row r="122" spans="1:6" x14ac:dyDescent="0.25">
      <c r="A122" s="6" t="s">
        <v>232</v>
      </c>
      <c r="B122" s="6" t="s">
        <v>234</v>
      </c>
      <c r="C122" s="1"/>
      <c r="D122" s="6">
        <f>ROUND(Specificatie!K29*0.01,0)</f>
        <v>14</v>
      </c>
      <c r="E122" s="21">
        <f t="shared" si="4"/>
        <v>0</v>
      </c>
      <c r="F122" s="6" t="s">
        <v>161</v>
      </c>
    </row>
    <row r="123" spans="1:6" x14ac:dyDescent="0.25">
      <c r="A123" s="6" t="s">
        <v>230</v>
      </c>
      <c r="B123" s="6" t="s">
        <v>233</v>
      </c>
      <c r="C123" s="1"/>
      <c r="D123" s="6">
        <f>ROUND(Specificatie!K29*0.02,0)</f>
        <v>29</v>
      </c>
      <c r="E123" s="21">
        <f t="shared" si="4"/>
        <v>0</v>
      </c>
      <c r="F123" s="6" t="s">
        <v>161</v>
      </c>
    </row>
    <row r="124" spans="1:6" x14ac:dyDescent="0.25">
      <c r="A124" s="6" t="s">
        <v>231</v>
      </c>
      <c r="B124" s="6" t="s">
        <v>235</v>
      </c>
      <c r="C124" s="1"/>
      <c r="D124" s="6">
        <f>ROUND(Specificatie!K29*0.03,0)</f>
        <v>43</v>
      </c>
      <c r="E124" s="21">
        <f t="shared" si="4"/>
        <v>0</v>
      </c>
      <c r="F124" s="6" t="s">
        <v>161</v>
      </c>
    </row>
    <row r="125" spans="1:6" x14ac:dyDescent="0.25">
      <c r="A125" s="6" t="s">
        <v>236</v>
      </c>
      <c r="B125" s="6" t="s">
        <v>49</v>
      </c>
      <c r="C125" s="1"/>
      <c r="D125" s="6">
        <f>ROUND(Specificatie!K29*0.05,0)</f>
        <v>71</v>
      </c>
      <c r="E125" s="21">
        <f t="shared" si="4"/>
        <v>0</v>
      </c>
      <c r="F125" s="6"/>
    </row>
    <row r="126" spans="1:6" ht="30" x14ac:dyDescent="0.25">
      <c r="A126" s="6" t="s">
        <v>237</v>
      </c>
      <c r="B126" s="22" t="s">
        <v>238</v>
      </c>
      <c r="C126" s="1"/>
      <c r="D126" s="6">
        <f>ROUND(Specificatie!K29*0.03,0)</f>
        <v>43</v>
      </c>
      <c r="E126" s="21">
        <f t="shared" si="4"/>
        <v>0</v>
      </c>
      <c r="F126" s="6"/>
    </row>
    <row r="127" spans="1:6" x14ac:dyDescent="0.25">
      <c r="A127" s="6" t="s">
        <v>41</v>
      </c>
      <c r="B127" s="6" t="s">
        <v>162</v>
      </c>
      <c r="C127" s="1"/>
      <c r="D127" s="6">
        <f>ROUND(Specificatie!K29*0.05,0)</f>
        <v>71</v>
      </c>
      <c r="E127" s="21">
        <f t="shared" si="4"/>
        <v>0</v>
      </c>
      <c r="F127" s="6"/>
    </row>
    <row r="128" spans="1:6" x14ac:dyDescent="0.25">
      <c r="A128" s="40" t="s">
        <v>42</v>
      </c>
      <c r="B128" s="40" t="s">
        <v>163</v>
      </c>
      <c r="C128" s="1"/>
      <c r="D128" s="6">
        <f>ROUND(Specificatie!K29*0.8,0)</f>
        <v>1140</v>
      </c>
      <c r="E128" s="21">
        <f t="shared" si="4"/>
        <v>0</v>
      </c>
      <c r="F128" s="6"/>
    </row>
    <row r="129" spans="1:6" ht="30" x14ac:dyDescent="0.25">
      <c r="A129" s="6" t="s">
        <v>43</v>
      </c>
      <c r="B129" s="41" t="s">
        <v>175</v>
      </c>
      <c r="C129" s="1"/>
      <c r="D129" s="40">
        <f>ROUND(Specificatie!K29*0.05,0)</f>
        <v>71</v>
      </c>
      <c r="E129" s="21">
        <f t="shared" si="4"/>
        <v>0</v>
      </c>
      <c r="F129" s="6"/>
    </row>
    <row r="130" spans="1:6" ht="45" x14ac:dyDescent="0.25">
      <c r="A130" s="6" t="s">
        <v>45</v>
      </c>
      <c r="B130" s="41" t="s">
        <v>177</v>
      </c>
      <c r="C130" s="1"/>
      <c r="D130" s="40">
        <f>ROUND(Specificatie!K29*0.05,0)</f>
        <v>71</v>
      </c>
      <c r="E130" s="21">
        <f>D130*C130*10</f>
        <v>0</v>
      </c>
      <c r="F130" s="22" t="s">
        <v>239</v>
      </c>
    </row>
    <row r="131" spans="1:6" ht="60" x14ac:dyDescent="0.25">
      <c r="A131" s="6" t="s">
        <v>47</v>
      </c>
      <c r="B131" s="42" t="s">
        <v>209</v>
      </c>
      <c r="C131" s="1"/>
      <c r="D131" s="40">
        <v>750</v>
      </c>
      <c r="E131" s="21">
        <f>D131*C131*-1*10</f>
        <v>0</v>
      </c>
      <c r="F131" s="22" t="s">
        <v>199</v>
      </c>
    </row>
    <row r="132" spans="1:6" ht="30" x14ac:dyDescent="0.25">
      <c r="A132" s="6" t="s">
        <v>48</v>
      </c>
      <c r="B132" s="42" t="s">
        <v>180</v>
      </c>
      <c r="C132" s="1"/>
      <c r="D132" s="40">
        <f>Specificatie!K29+Specificatie!P29+Specificatie!Q29</f>
        <v>1789</v>
      </c>
      <c r="E132" s="21">
        <f>D132*C132</f>
        <v>0</v>
      </c>
      <c r="F132" s="22" t="s">
        <v>247</v>
      </c>
    </row>
    <row r="133" spans="1:6" x14ac:dyDescent="0.25">
      <c r="A133" s="83" t="s">
        <v>21</v>
      </c>
      <c r="B133" s="84"/>
      <c r="C133" s="84"/>
      <c r="D133" s="85"/>
      <c r="E133" s="33" t="e">
        <f>SUM(E102:E132)</f>
        <v>#VALUE!</v>
      </c>
    </row>
    <row r="134" spans="1:6" ht="15.75" thickBot="1" x14ac:dyDescent="0.3"/>
    <row r="135" spans="1:6" ht="19.5" thickBot="1" x14ac:dyDescent="0.35">
      <c r="A135" s="43" t="s">
        <v>82</v>
      </c>
      <c r="B135" s="44"/>
      <c r="C135" s="44"/>
      <c r="D135" s="44"/>
      <c r="E135" s="45" t="e">
        <f>E133+E94+E86+E76+E48+C21</f>
        <v>#VALUE!</v>
      </c>
    </row>
  </sheetData>
  <sheetProtection algorithmName="SHA-512" hashValue="RxXBDOBZsi2RaUWk7KBz5vrJTI1wNcm50XIpgLVodxTNVwreoxc9gPWsRMzfCpfGVbWgKO54CRsOQDoUQxshew==" saltValue="sACl9UcaqroKGXMiav9N5g==" spinCount="100000" sheet="1" objects="1" scenarios="1"/>
  <mergeCells count="29">
    <mergeCell ref="D59:E59"/>
    <mergeCell ref="D61:E61"/>
    <mergeCell ref="B7:F7"/>
    <mergeCell ref="A133:D133"/>
    <mergeCell ref="B88:F88"/>
    <mergeCell ref="B94:D94"/>
    <mergeCell ref="B98:E98"/>
    <mergeCell ref="B76:D76"/>
    <mergeCell ref="B86:D86"/>
    <mergeCell ref="D90:E90"/>
    <mergeCell ref="A96:F96"/>
    <mergeCell ref="A78:F78"/>
    <mergeCell ref="B99:F99"/>
    <mergeCell ref="C3:F3"/>
    <mergeCell ref="B48:D48"/>
    <mergeCell ref="B80:F80"/>
    <mergeCell ref="B67:F67"/>
    <mergeCell ref="B53:F53"/>
    <mergeCell ref="B42:F42"/>
    <mergeCell ref="B36:F36"/>
    <mergeCell ref="B26:F26"/>
    <mergeCell ref="D15:F15"/>
    <mergeCell ref="D16:F16"/>
    <mergeCell ref="D17:F17"/>
    <mergeCell ref="D18:F18"/>
    <mergeCell ref="D19:F19"/>
    <mergeCell ref="D14:F14"/>
    <mergeCell ref="A10:F10"/>
    <mergeCell ref="B6:F6"/>
  </mergeCells>
  <conditionalFormatting sqref="C59">
    <cfRule type="cellIs" dxfId="7" priority="5" operator="equal">
      <formula>""</formula>
    </cfRule>
  </conditionalFormatting>
  <conditionalFormatting sqref="C61">
    <cfRule type="cellIs" dxfId="6" priority="2" operator="equal">
      <formula>"Vul hier aantal in"</formula>
    </cfRule>
    <cfRule type="cellIs" dxfId="5" priority="3" operator="greaterThan">
      <formula>844</formula>
    </cfRule>
  </conditionalFormatting>
  <conditionalFormatting sqref="C90">
    <cfRule type="cellIs" dxfId="4" priority="6" operator="equal">
      <formula>""</formula>
    </cfRule>
  </conditionalFormatting>
  <conditionalFormatting sqref="D60:D61">
    <cfRule type="cellIs" dxfId="3" priority="4" operator="equal">
      <formula>"Antwoord op vraag Cel B59 eerst in Cel C59 eerst invullen!"</formula>
    </cfRule>
  </conditionalFormatting>
  <conditionalFormatting sqref="D62">
    <cfRule type="cellIs" dxfId="2" priority="1" operator="equal">
      <formula>"Antwoord op vraag Cel B61 in Cel C61 eerste invullen!"</formula>
    </cfRule>
  </conditionalFormatting>
  <conditionalFormatting sqref="D91:D92">
    <cfRule type="cellIs" dxfId="1" priority="9" operator="equal">
      <formula>"Antwoord op vraag Cel B89 eerst in Cel C89 eerst invullen!"</formula>
    </cfRule>
  </conditionalFormatting>
  <conditionalFormatting sqref="D114:D115">
    <cfRule type="cellIs" dxfId="0" priority="10" operator="equal">
      <formula>"Antwoord op vraag Cel B89 eerst in Cel C89 eerst invullen!"</formula>
    </cfRule>
  </conditionalFormatting>
  <dataValidations count="2">
    <dataValidation type="list" allowBlank="1" showInputMessage="1" showErrorMessage="1" sqref="C90 C59" xr:uid="{A50E4F25-BD61-47EC-9B8E-84091F8F4F8D}">
      <formula1>$J$88:$J$90</formula1>
    </dataValidation>
    <dataValidation type="whole" errorStyle="warning" operator="lessThan" allowBlank="1" showErrorMessage="1" errorTitle="Ongeldige waarde" error="Waarde kan nooit hoger zijn dan 844" sqref="C61" xr:uid="{6940FD9F-B86E-4929-855E-FAF55033EBFF}">
      <formula1>845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8AD67C-4DCF-47CB-9BA2-7D91A4EEB96D}">
  <dimension ref="A1:T31"/>
  <sheetViews>
    <sheetView workbookViewId="0">
      <selection activeCell="D21" sqref="D21"/>
    </sheetView>
  </sheetViews>
  <sheetFormatPr defaultRowHeight="15" x14ac:dyDescent="0.25"/>
  <cols>
    <col min="1" max="1" width="41.42578125" customWidth="1"/>
    <col min="2" max="2" width="17.5703125" bestFit="1" customWidth="1"/>
    <col min="3" max="3" width="26.140625" customWidth="1"/>
    <col min="4" max="4" width="13.5703125" customWidth="1"/>
    <col min="5" max="5" width="12.28515625" customWidth="1"/>
    <col min="6" max="6" width="12.140625" customWidth="1"/>
    <col min="7" max="7" width="10.85546875" customWidth="1"/>
    <col min="8" max="8" width="11.28515625" customWidth="1"/>
    <col min="9" max="9" width="7.28515625" customWidth="1"/>
    <col min="10" max="10" width="11.28515625" customWidth="1"/>
    <col min="11" max="11" width="11.140625" customWidth="1"/>
    <col min="12" max="12" width="10.140625" customWidth="1"/>
    <col min="13" max="13" width="10.7109375" customWidth="1"/>
    <col min="14" max="14" width="10.85546875" customWidth="1"/>
    <col min="15" max="15" width="10.28515625" customWidth="1"/>
    <col min="16" max="16" width="11.42578125" customWidth="1"/>
    <col min="17" max="17" width="11.28515625" customWidth="1"/>
    <col min="18" max="18" width="10.140625" customWidth="1"/>
    <col min="19" max="19" width="11.42578125" customWidth="1"/>
    <col min="20" max="20" width="10.5703125" customWidth="1"/>
  </cols>
  <sheetData>
    <row r="1" spans="1:20" ht="21" x14ac:dyDescent="0.35">
      <c r="A1" s="46" t="s">
        <v>50</v>
      </c>
      <c r="D1" s="91" t="s">
        <v>93</v>
      </c>
      <c r="E1" s="92"/>
      <c r="F1" s="92"/>
      <c r="G1" s="92"/>
      <c r="H1" s="92"/>
      <c r="I1" s="92"/>
      <c r="J1" s="93"/>
      <c r="K1" s="96" t="s">
        <v>94</v>
      </c>
      <c r="L1" s="97"/>
      <c r="M1" s="97"/>
      <c r="N1" s="97"/>
      <c r="O1" s="98"/>
      <c r="P1" s="90" t="s">
        <v>103</v>
      </c>
      <c r="Q1" s="90"/>
    </row>
    <row r="2" spans="1:20" ht="28.5" customHeight="1" x14ac:dyDescent="0.25">
      <c r="D2" s="94" t="s">
        <v>99</v>
      </c>
      <c r="E2" s="94" t="s">
        <v>130</v>
      </c>
      <c r="F2" s="91" t="s">
        <v>129</v>
      </c>
      <c r="G2" s="92"/>
      <c r="H2" s="93"/>
      <c r="I2" s="47"/>
      <c r="J2" s="47"/>
      <c r="K2" s="99" t="s">
        <v>95</v>
      </c>
      <c r="L2" s="104" t="s">
        <v>86</v>
      </c>
      <c r="M2" s="104"/>
      <c r="N2" s="104" t="s">
        <v>87</v>
      </c>
      <c r="O2" s="104"/>
      <c r="P2" s="102" t="s">
        <v>104</v>
      </c>
      <c r="Q2" s="102" t="s">
        <v>105</v>
      </c>
      <c r="R2" s="101"/>
      <c r="S2" s="101"/>
      <c r="T2" s="101"/>
    </row>
    <row r="3" spans="1:20" ht="76.5" customHeight="1" x14ac:dyDescent="0.25">
      <c r="A3" s="14" t="s">
        <v>51</v>
      </c>
      <c r="B3" s="14" t="s">
        <v>53</v>
      </c>
      <c r="C3" s="14" t="s">
        <v>56</v>
      </c>
      <c r="D3" s="95"/>
      <c r="E3" s="95"/>
      <c r="F3" s="49" t="s">
        <v>96</v>
      </c>
      <c r="G3" s="49" t="s">
        <v>86</v>
      </c>
      <c r="H3" s="49" t="s">
        <v>87</v>
      </c>
      <c r="I3" s="50" t="s">
        <v>127</v>
      </c>
      <c r="J3" s="50" t="s">
        <v>128</v>
      </c>
      <c r="K3" s="100"/>
      <c r="L3" s="48" t="s">
        <v>88</v>
      </c>
      <c r="M3" s="48" t="s">
        <v>89</v>
      </c>
      <c r="N3" s="48" t="s">
        <v>88</v>
      </c>
      <c r="O3" s="48" t="s">
        <v>89</v>
      </c>
      <c r="P3" s="103"/>
      <c r="Q3" s="103"/>
      <c r="R3" s="51" t="s">
        <v>85</v>
      </c>
      <c r="S3" s="51" t="s">
        <v>83</v>
      </c>
      <c r="T3" s="51" t="s">
        <v>92</v>
      </c>
    </row>
    <row r="4" spans="1:20" x14ac:dyDescent="0.25">
      <c r="A4" s="6" t="s">
        <v>90</v>
      </c>
      <c r="B4" s="6" t="s">
        <v>54</v>
      </c>
      <c r="C4" s="6" t="s">
        <v>97</v>
      </c>
      <c r="D4" s="52">
        <v>12</v>
      </c>
      <c r="E4" s="52">
        <f>205-12</f>
        <v>193</v>
      </c>
      <c r="F4" s="53"/>
      <c r="G4" s="53">
        <v>204</v>
      </c>
      <c r="H4" s="53">
        <v>1</v>
      </c>
      <c r="I4" s="53"/>
      <c r="J4" s="53">
        <v>205</v>
      </c>
      <c r="K4" s="54">
        <v>205</v>
      </c>
      <c r="L4" s="54">
        <v>204</v>
      </c>
      <c r="M4" s="54"/>
      <c r="N4" s="54">
        <v>1</v>
      </c>
      <c r="O4" s="54"/>
      <c r="P4" s="55">
        <f>5*8</f>
        <v>40</v>
      </c>
      <c r="Q4" s="55"/>
      <c r="R4" s="56"/>
      <c r="S4" s="56"/>
      <c r="T4" s="56"/>
    </row>
    <row r="5" spans="1:20" x14ac:dyDescent="0.25">
      <c r="A5" s="6" t="s">
        <v>52</v>
      </c>
      <c r="B5" s="6" t="s">
        <v>54</v>
      </c>
      <c r="C5" s="6" t="s">
        <v>98</v>
      </c>
      <c r="D5" s="52">
        <v>12</v>
      </c>
      <c r="E5" s="52">
        <v>15</v>
      </c>
      <c r="F5" s="52"/>
      <c r="G5" s="52">
        <v>9</v>
      </c>
      <c r="H5" s="52">
        <v>5</v>
      </c>
      <c r="I5" s="52">
        <v>19</v>
      </c>
      <c r="J5" s="52">
        <v>8</v>
      </c>
      <c r="K5" s="57">
        <v>27</v>
      </c>
      <c r="L5" s="57"/>
      <c r="M5" s="57"/>
      <c r="N5" s="57">
        <v>27</v>
      </c>
      <c r="O5" s="57"/>
      <c r="P5" s="55"/>
      <c r="Q5" s="55"/>
      <c r="R5" s="58">
        <v>2</v>
      </c>
      <c r="S5" s="58"/>
      <c r="T5" s="58"/>
    </row>
    <row r="6" spans="1:20" x14ac:dyDescent="0.25">
      <c r="A6" s="6" t="s">
        <v>55</v>
      </c>
      <c r="B6" s="6" t="s">
        <v>54</v>
      </c>
      <c r="C6" s="6" t="s">
        <v>57</v>
      </c>
      <c r="D6" s="52">
        <v>78</v>
      </c>
      <c r="E6" s="52"/>
      <c r="F6" s="52">
        <v>28</v>
      </c>
      <c r="G6" s="52">
        <v>49</v>
      </c>
      <c r="H6" s="52">
        <v>1</v>
      </c>
      <c r="I6" s="52">
        <v>72</v>
      </c>
      <c r="J6" s="52">
        <v>6</v>
      </c>
      <c r="K6" s="57">
        <v>78</v>
      </c>
      <c r="L6" s="57"/>
      <c r="M6" s="57"/>
      <c r="N6" s="57">
        <v>78</v>
      </c>
      <c r="O6" s="57"/>
      <c r="P6" s="55">
        <v>44</v>
      </c>
      <c r="Q6" s="55"/>
      <c r="R6" s="58"/>
      <c r="S6" s="58"/>
      <c r="T6" s="58">
        <v>1</v>
      </c>
    </row>
    <row r="7" spans="1:20" x14ac:dyDescent="0.25">
      <c r="A7" s="6" t="s">
        <v>114</v>
      </c>
      <c r="B7" s="6" t="s">
        <v>54</v>
      </c>
      <c r="C7" s="6" t="s">
        <v>100</v>
      </c>
      <c r="D7" s="52">
        <f>50+16</f>
        <v>66</v>
      </c>
      <c r="E7" s="52">
        <v>16</v>
      </c>
      <c r="F7" s="52"/>
      <c r="G7" s="52">
        <v>43</v>
      </c>
      <c r="H7" s="52">
        <v>7</v>
      </c>
      <c r="I7" s="52">
        <f>37+16</f>
        <v>53</v>
      </c>
      <c r="J7" s="52">
        <v>13</v>
      </c>
      <c r="K7" s="57">
        <v>66</v>
      </c>
      <c r="L7" s="57">
        <f>43+16</f>
        <v>59</v>
      </c>
      <c r="M7" s="57"/>
      <c r="N7" s="57">
        <v>7</v>
      </c>
      <c r="O7" s="57"/>
      <c r="P7" s="55"/>
      <c r="Q7" s="55"/>
      <c r="R7" s="58"/>
      <c r="S7" s="58">
        <v>1</v>
      </c>
      <c r="T7" s="58"/>
    </row>
    <row r="8" spans="1:20" x14ac:dyDescent="0.25">
      <c r="A8" s="6" t="s">
        <v>58</v>
      </c>
      <c r="B8" s="6" t="s">
        <v>54</v>
      </c>
      <c r="C8" s="6" t="s">
        <v>57</v>
      </c>
      <c r="D8" s="52">
        <v>26</v>
      </c>
      <c r="E8" s="52"/>
      <c r="F8" s="52"/>
      <c r="G8" s="52">
        <v>20</v>
      </c>
      <c r="H8" s="52">
        <v>6</v>
      </c>
      <c r="I8" s="52">
        <v>26</v>
      </c>
      <c r="J8" s="52"/>
      <c r="K8" s="57">
        <v>26</v>
      </c>
      <c r="L8" s="57">
        <v>20</v>
      </c>
      <c r="M8" s="57"/>
      <c r="N8" s="57">
        <v>6</v>
      </c>
      <c r="O8" s="57"/>
      <c r="P8" s="55">
        <v>20</v>
      </c>
      <c r="Q8" s="55"/>
      <c r="R8" s="58"/>
      <c r="S8" s="58"/>
      <c r="T8" s="58"/>
    </row>
    <row r="9" spans="1:20" x14ac:dyDescent="0.25">
      <c r="A9" s="6" t="s">
        <v>59</v>
      </c>
      <c r="B9" s="6" t="s">
        <v>54</v>
      </c>
      <c r="C9" s="6" t="s">
        <v>57</v>
      </c>
      <c r="D9" s="52">
        <v>95</v>
      </c>
      <c r="E9" s="52"/>
      <c r="F9" s="52"/>
      <c r="G9" s="52">
        <v>81</v>
      </c>
      <c r="H9" s="52">
        <v>14</v>
      </c>
      <c r="I9" s="52">
        <v>23</v>
      </c>
      <c r="J9" s="52">
        <v>71</v>
      </c>
      <c r="K9" s="57">
        <v>95</v>
      </c>
      <c r="L9" s="57">
        <v>81</v>
      </c>
      <c r="M9" s="57"/>
      <c r="N9" s="57">
        <v>14</v>
      </c>
      <c r="O9" s="57"/>
      <c r="P9" s="55"/>
      <c r="Q9" s="55"/>
      <c r="R9" s="58"/>
      <c r="S9" s="58">
        <v>1</v>
      </c>
      <c r="T9" s="58"/>
    </row>
    <row r="10" spans="1:20" x14ac:dyDescent="0.25">
      <c r="A10" s="6" t="s">
        <v>60</v>
      </c>
      <c r="B10" s="6" t="s">
        <v>64</v>
      </c>
      <c r="C10" s="6" t="s">
        <v>80</v>
      </c>
      <c r="D10" s="52">
        <v>23</v>
      </c>
      <c r="E10" s="52"/>
      <c r="F10" s="52"/>
      <c r="G10" s="52">
        <v>23</v>
      </c>
      <c r="H10" s="52"/>
      <c r="I10" s="52">
        <v>2</v>
      </c>
      <c r="J10" s="52">
        <v>19</v>
      </c>
      <c r="K10" s="57">
        <v>23</v>
      </c>
      <c r="L10" s="57">
        <v>23</v>
      </c>
      <c r="M10" s="57"/>
      <c r="N10" s="57"/>
      <c r="O10" s="57"/>
      <c r="P10" s="55"/>
      <c r="Q10" s="55">
        <v>2</v>
      </c>
      <c r="R10" s="58"/>
      <c r="S10" s="58"/>
      <c r="T10" s="58"/>
    </row>
    <row r="11" spans="1:20" x14ac:dyDescent="0.25">
      <c r="A11" s="6" t="s">
        <v>61</v>
      </c>
      <c r="B11" s="6" t="s">
        <v>63</v>
      </c>
      <c r="C11" s="6" t="s">
        <v>91</v>
      </c>
      <c r="D11" s="52">
        <v>48</v>
      </c>
      <c r="E11" s="52"/>
      <c r="F11" s="52"/>
      <c r="G11" s="52"/>
      <c r="H11" s="52">
        <v>48</v>
      </c>
      <c r="I11" s="52">
        <v>38</v>
      </c>
      <c r="J11" s="52">
        <v>10</v>
      </c>
      <c r="K11" s="57">
        <v>48</v>
      </c>
      <c r="L11" s="57"/>
      <c r="M11" s="57"/>
      <c r="N11" s="57">
        <v>48</v>
      </c>
      <c r="O11" s="57"/>
      <c r="P11" s="55"/>
      <c r="Q11" s="55"/>
      <c r="R11" s="58"/>
      <c r="S11" s="58"/>
      <c r="T11" s="58"/>
    </row>
    <row r="12" spans="1:20" x14ac:dyDescent="0.25">
      <c r="A12" s="6" t="s">
        <v>62</v>
      </c>
      <c r="B12" s="6" t="s">
        <v>64</v>
      </c>
      <c r="C12" s="6" t="s">
        <v>80</v>
      </c>
      <c r="D12" s="52">
        <v>25</v>
      </c>
      <c r="E12" s="52"/>
      <c r="F12" s="52"/>
      <c r="G12" s="52">
        <v>25</v>
      </c>
      <c r="H12" s="52"/>
      <c r="I12" s="52">
        <v>0</v>
      </c>
      <c r="J12" s="52">
        <v>25</v>
      </c>
      <c r="K12" s="57">
        <v>25</v>
      </c>
      <c r="L12" s="57">
        <v>15</v>
      </c>
      <c r="M12" s="57"/>
      <c r="N12" s="57">
        <v>10</v>
      </c>
      <c r="O12" s="57"/>
      <c r="P12" s="55"/>
      <c r="Q12" s="55"/>
      <c r="R12" s="58"/>
      <c r="S12" s="58"/>
      <c r="T12" s="58"/>
    </row>
    <row r="13" spans="1:20" x14ac:dyDescent="0.25">
      <c r="A13" s="6" t="s">
        <v>65</v>
      </c>
      <c r="B13" s="6" t="s">
        <v>64</v>
      </c>
      <c r="C13" s="6" t="s">
        <v>80</v>
      </c>
      <c r="D13" s="52">
        <v>62</v>
      </c>
      <c r="E13" s="52"/>
      <c r="F13" s="52"/>
      <c r="G13" s="52">
        <v>62</v>
      </c>
      <c r="H13" s="52"/>
      <c r="I13" s="52"/>
      <c r="J13" s="52">
        <v>62</v>
      </c>
      <c r="K13" s="57">
        <v>62</v>
      </c>
      <c r="L13" s="57">
        <v>62</v>
      </c>
      <c r="M13" s="57"/>
      <c r="N13" s="57"/>
      <c r="O13" s="57"/>
      <c r="P13" s="55">
        <f>4+8</f>
        <v>12</v>
      </c>
      <c r="Q13" s="55"/>
      <c r="R13" s="58"/>
      <c r="S13" s="58"/>
      <c r="T13" s="58"/>
    </row>
    <row r="14" spans="1:20" x14ac:dyDescent="0.25">
      <c r="A14" s="6" t="s">
        <v>66</v>
      </c>
      <c r="B14" s="6" t="s">
        <v>64</v>
      </c>
      <c r="C14" s="6" t="s">
        <v>80</v>
      </c>
      <c r="D14" s="52">
        <v>18</v>
      </c>
      <c r="E14" s="52"/>
      <c r="F14" s="52"/>
      <c r="G14" s="52">
        <v>18</v>
      </c>
      <c r="H14" s="52"/>
      <c r="I14" s="52">
        <v>1</v>
      </c>
      <c r="J14" s="52">
        <v>17</v>
      </c>
      <c r="K14" s="57">
        <v>18</v>
      </c>
      <c r="L14" s="57">
        <v>18</v>
      </c>
      <c r="M14" s="57"/>
      <c r="N14" s="57"/>
      <c r="O14" s="57"/>
      <c r="P14" s="55"/>
      <c r="Q14" s="55"/>
      <c r="R14" s="58"/>
      <c r="S14" s="58"/>
      <c r="T14" s="58"/>
    </row>
    <row r="15" spans="1:20" x14ac:dyDescent="0.25">
      <c r="A15" s="6" t="s">
        <v>67</v>
      </c>
      <c r="B15" s="6" t="s">
        <v>54</v>
      </c>
      <c r="C15" s="6" t="s">
        <v>57</v>
      </c>
      <c r="D15" s="52">
        <v>32</v>
      </c>
      <c r="E15" s="52"/>
      <c r="F15" s="52"/>
      <c r="G15" s="52">
        <v>29</v>
      </c>
      <c r="H15" s="52">
        <v>3</v>
      </c>
      <c r="I15" s="52">
        <v>31</v>
      </c>
      <c r="J15" s="52">
        <v>1</v>
      </c>
      <c r="K15" s="57">
        <v>32</v>
      </c>
      <c r="L15" s="57">
        <v>29</v>
      </c>
      <c r="M15" s="57"/>
      <c r="N15" s="57">
        <v>3</v>
      </c>
      <c r="O15" s="57"/>
      <c r="P15" s="55">
        <v>10</v>
      </c>
      <c r="Q15" s="55"/>
      <c r="R15" s="58"/>
      <c r="S15" s="58"/>
      <c r="T15" s="58">
        <v>2</v>
      </c>
    </row>
    <row r="16" spans="1:20" x14ac:dyDescent="0.25">
      <c r="A16" s="6" t="s">
        <v>68</v>
      </c>
      <c r="B16" s="6" t="s">
        <v>54</v>
      </c>
      <c r="C16" s="6" t="s">
        <v>57</v>
      </c>
      <c r="D16" s="52">
        <v>72</v>
      </c>
      <c r="E16" s="52"/>
      <c r="F16" s="52"/>
      <c r="G16" s="52">
        <v>63</v>
      </c>
      <c r="H16" s="52">
        <v>9</v>
      </c>
      <c r="I16" s="52">
        <v>64</v>
      </c>
      <c r="J16" s="52">
        <v>8</v>
      </c>
      <c r="K16" s="57">
        <v>72</v>
      </c>
      <c r="L16" s="57">
        <v>72</v>
      </c>
      <c r="M16" s="57"/>
      <c r="N16" s="57"/>
      <c r="O16" s="57"/>
      <c r="P16" s="55">
        <v>15</v>
      </c>
      <c r="Q16" s="55"/>
      <c r="R16" s="58"/>
      <c r="S16" s="58">
        <v>1</v>
      </c>
      <c r="T16" s="58"/>
    </row>
    <row r="17" spans="1:20" x14ac:dyDescent="0.25">
      <c r="A17" s="6" t="s">
        <v>69</v>
      </c>
      <c r="B17" s="6" t="s">
        <v>64</v>
      </c>
      <c r="C17" s="6" t="s">
        <v>80</v>
      </c>
      <c r="D17" s="52">
        <v>28</v>
      </c>
      <c r="E17" s="52"/>
      <c r="F17" s="52"/>
      <c r="G17" s="52">
        <v>28</v>
      </c>
      <c r="H17" s="52"/>
      <c r="I17" s="52"/>
      <c r="J17" s="52">
        <v>28</v>
      </c>
      <c r="K17" s="57">
        <v>28</v>
      </c>
      <c r="L17" s="57">
        <v>28</v>
      </c>
      <c r="M17" s="57"/>
      <c r="N17" s="57"/>
      <c r="O17" s="57"/>
      <c r="P17" s="55">
        <v>10</v>
      </c>
      <c r="Q17" s="55"/>
      <c r="R17" s="58"/>
      <c r="S17" s="58"/>
      <c r="T17" s="58"/>
    </row>
    <row r="18" spans="1:20" x14ac:dyDescent="0.25">
      <c r="A18" s="6" t="s">
        <v>70</v>
      </c>
      <c r="B18" s="6" t="s">
        <v>64</v>
      </c>
      <c r="C18" s="6" t="s">
        <v>80</v>
      </c>
      <c r="D18" s="52">
        <v>31</v>
      </c>
      <c r="E18" s="52"/>
      <c r="F18" s="52"/>
      <c r="G18" s="52">
        <v>31</v>
      </c>
      <c r="H18" s="52"/>
      <c r="I18" s="52"/>
      <c r="J18" s="52">
        <v>31</v>
      </c>
      <c r="K18" s="57">
        <v>31</v>
      </c>
      <c r="L18" s="57">
        <v>31</v>
      </c>
      <c r="M18" s="57"/>
      <c r="N18" s="57"/>
      <c r="O18" s="57"/>
      <c r="P18" s="55">
        <v>7</v>
      </c>
      <c r="Q18" s="55"/>
      <c r="R18" s="58"/>
      <c r="S18" s="58"/>
      <c r="T18" s="58"/>
    </row>
    <row r="19" spans="1:20" x14ac:dyDescent="0.25">
      <c r="A19" s="6" t="s">
        <v>71</v>
      </c>
      <c r="B19" s="6" t="s">
        <v>64</v>
      </c>
      <c r="C19" s="6" t="s">
        <v>80</v>
      </c>
      <c r="D19" s="52">
        <v>17</v>
      </c>
      <c r="E19" s="52"/>
      <c r="F19" s="52"/>
      <c r="G19" s="52">
        <v>17</v>
      </c>
      <c r="H19" s="52"/>
      <c r="I19" s="52"/>
      <c r="J19" s="52">
        <v>17</v>
      </c>
      <c r="K19" s="57">
        <v>17</v>
      </c>
      <c r="L19" s="57">
        <v>17</v>
      </c>
      <c r="M19" s="57"/>
      <c r="N19" s="57"/>
      <c r="O19" s="57"/>
      <c r="P19" s="55">
        <v>5</v>
      </c>
      <c r="Q19" s="55"/>
      <c r="R19" s="58"/>
      <c r="S19" s="58"/>
      <c r="T19" s="58"/>
    </row>
    <row r="20" spans="1:20" x14ac:dyDescent="0.25">
      <c r="A20" s="6" t="s">
        <v>72</v>
      </c>
      <c r="B20" s="6" t="s">
        <v>54</v>
      </c>
      <c r="C20" s="6" t="s">
        <v>57</v>
      </c>
      <c r="D20" s="52">
        <v>16</v>
      </c>
      <c r="E20" s="52"/>
      <c r="F20" s="52"/>
      <c r="G20" s="52">
        <v>14</v>
      </c>
      <c r="H20" s="52">
        <v>2</v>
      </c>
      <c r="I20" s="52">
        <v>11</v>
      </c>
      <c r="J20" s="52">
        <v>5</v>
      </c>
      <c r="K20" s="57">
        <v>16</v>
      </c>
      <c r="L20" s="57">
        <v>14</v>
      </c>
      <c r="M20" s="57"/>
      <c r="N20" s="57">
        <v>2</v>
      </c>
      <c r="O20" s="57"/>
      <c r="P20" s="55"/>
      <c r="Q20" s="55"/>
      <c r="R20" s="58"/>
      <c r="S20" s="58">
        <v>4</v>
      </c>
      <c r="T20" s="58">
        <v>2</v>
      </c>
    </row>
    <row r="21" spans="1:20" x14ac:dyDescent="0.25">
      <c r="A21" s="6" t="s">
        <v>73</v>
      </c>
      <c r="B21" s="6" t="s">
        <v>54</v>
      </c>
      <c r="C21" s="6" t="s">
        <v>57</v>
      </c>
      <c r="D21" s="52">
        <v>8</v>
      </c>
      <c r="E21" s="52"/>
      <c r="F21" s="52"/>
      <c r="G21" s="52">
        <v>7</v>
      </c>
      <c r="H21" s="52">
        <v>1</v>
      </c>
      <c r="I21" s="52">
        <v>8</v>
      </c>
      <c r="J21" s="52"/>
      <c r="K21" s="57">
        <v>8</v>
      </c>
      <c r="L21" s="57">
        <v>7</v>
      </c>
      <c r="M21" s="57"/>
      <c r="N21" s="57">
        <v>1</v>
      </c>
      <c r="O21" s="57"/>
      <c r="P21" s="55"/>
      <c r="Q21" s="55"/>
      <c r="R21" s="58"/>
      <c r="S21" s="58"/>
      <c r="T21" s="58"/>
    </row>
    <row r="22" spans="1:20" x14ac:dyDescent="0.25">
      <c r="A22" s="6" t="s">
        <v>74</v>
      </c>
      <c r="B22" s="6" t="s">
        <v>54</v>
      </c>
      <c r="C22" s="6" t="s">
        <v>57</v>
      </c>
      <c r="D22" s="52">
        <v>33</v>
      </c>
      <c r="E22" s="52">
        <v>2</v>
      </c>
      <c r="F22" s="52"/>
      <c r="G22" s="52">
        <v>23</v>
      </c>
      <c r="H22" s="52">
        <v>12</v>
      </c>
      <c r="I22" s="52">
        <v>33</v>
      </c>
      <c r="J22" s="52">
        <v>2</v>
      </c>
      <c r="K22" s="57">
        <v>35</v>
      </c>
      <c r="L22" s="57">
        <v>23</v>
      </c>
      <c r="M22" s="57"/>
      <c r="N22" s="57">
        <v>11</v>
      </c>
      <c r="O22" s="57">
        <v>1</v>
      </c>
      <c r="P22" s="55">
        <v>1</v>
      </c>
      <c r="Q22" s="55"/>
      <c r="R22" s="58"/>
      <c r="S22" s="58"/>
      <c r="T22" s="58"/>
    </row>
    <row r="23" spans="1:20" x14ac:dyDescent="0.25">
      <c r="A23" s="6" t="s">
        <v>75</v>
      </c>
      <c r="B23" s="6" t="s">
        <v>54</v>
      </c>
      <c r="C23" s="6" t="s">
        <v>57</v>
      </c>
      <c r="D23" s="52">
        <v>16</v>
      </c>
      <c r="E23" s="52"/>
      <c r="F23" s="52"/>
      <c r="G23" s="52">
        <v>13</v>
      </c>
      <c r="H23" s="52">
        <v>3</v>
      </c>
      <c r="I23" s="52">
        <v>15</v>
      </c>
      <c r="J23" s="52">
        <v>1</v>
      </c>
      <c r="K23" s="57">
        <v>16</v>
      </c>
      <c r="L23" s="57">
        <f>13-9</f>
        <v>4</v>
      </c>
      <c r="M23" s="57"/>
      <c r="N23" s="57">
        <f>3+9</f>
        <v>12</v>
      </c>
      <c r="O23" s="57"/>
      <c r="P23" s="55"/>
      <c r="Q23" s="55"/>
      <c r="R23" s="58"/>
      <c r="S23" s="58"/>
      <c r="T23" s="58"/>
    </row>
    <row r="24" spans="1:20" x14ac:dyDescent="0.25">
      <c r="A24" s="6" t="s">
        <v>76</v>
      </c>
      <c r="B24" s="6" t="s">
        <v>54</v>
      </c>
      <c r="C24" s="6" t="s">
        <v>57</v>
      </c>
      <c r="D24" s="52">
        <v>79</v>
      </c>
      <c r="E24" s="52"/>
      <c r="F24" s="52"/>
      <c r="G24" s="52">
        <v>1</v>
      </c>
      <c r="H24" s="52">
        <v>78</v>
      </c>
      <c r="I24" s="52">
        <v>69</v>
      </c>
      <c r="J24" s="52">
        <v>10</v>
      </c>
      <c r="K24" s="57">
        <v>79</v>
      </c>
      <c r="L24" s="57"/>
      <c r="M24" s="57"/>
      <c r="N24" s="57">
        <v>79</v>
      </c>
      <c r="O24" s="57"/>
      <c r="P24" s="55">
        <v>6</v>
      </c>
      <c r="Q24" s="55"/>
      <c r="R24" s="58"/>
      <c r="S24" s="58"/>
      <c r="T24" s="58"/>
    </row>
    <row r="25" spans="1:20" x14ac:dyDescent="0.25">
      <c r="A25" s="6" t="s">
        <v>77</v>
      </c>
      <c r="B25" s="6" t="s">
        <v>54</v>
      </c>
      <c r="C25" s="6" t="s">
        <v>57</v>
      </c>
      <c r="D25" s="52">
        <v>64</v>
      </c>
      <c r="E25" s="52"/>
      <c r="F25" s="52"/>
      <c r="G25" s="52">
        <v>46</v>
      </c>
      <c r="H25" s="52">
        <v>18</v>
      </c>
      <c r="I25" s="52">
        <v>63</v>
      </c>
      <c r="J25" s="52">
        <v>1</v>
      </c>
      <c r="K25" s="57">
        <v>64</v>
      </c>
      <c r="L25" s="57">
        <v>46</v>
      </c>
      <c r="M25" s="57"/>
      <c r="N25" s="57">
        <v>18</v>
      </c>
      <c r="O25" s="57"/>
      <c r="P25" s="55">
        <v>10</v>
      </c>
      <c r="Q25" s="55"/>
      <c r="R25" s="58"/>
      <c r="S25" s="58"/>
      <c r="T25" s="58">
        <v>1</v>
      </c>
    </row>
    <row r="26" spans="1:20" x14ac:dyDescent="0.25">
      <c r="A26" s="6" t="s">
        <v>78</v>
      </c>
      <c r="B26" s="6" t="s">
        <v>54</v>
      </c>
      <c r="C26" s="6" t="s">
        <v>57</v>
      </c>
      <c r="D26" s="52">
        <v>24</v>
      </c>
      <c r="E26" s="52"/>
      <c r="F26" s="52"/>
      <c r="G26" s="52">
        <v>22</v>
      </c>
      <c r="H26" s="52">
        <v>2</v>
      </c>
      <c r="I26" s="52">
        <v>21</v>
      </c>
      <c r="J26" s="52">
        <v>2</v>
      </c>
      <c r="K26" s="57">
        <v>24</v>
      </c>
      <c r="L26" s="57">
        <v>22</v>
      </c>
      <c r="M26" s="57"/>
      <c r="N26" s="57">
        <v>2</v>
      </c>
      <c r="O26" s="57"/>
      <c r="P26" s="55">
        <v>4</v>
      </c>
      <c r="Q26" s="55"/>
      <c r="R26" s="58"/>
      <c r="S26" s="58"/>
      <c r="T26" s="58"/>
    </row>
    <row r="27" spans="1:20" x14ac:dyDescent="0.25">
      <c r="A27" s="6" t="s">
        <v>102</v>
      </c>
      <c r="B27" s="6" t="s">
        <v>79</v>
      </c>
      <c r="C27" s="6" t="s">
        <v>57</v>
      </c>
      <c r="D27" s="52">
        <f>128+12</f>
        <v>140</v>
      </c>
      <c r="E27" s="52">
        <f>39-12</f>
        <v>27</v>
      </c>
      <c r="F27" s="52"/>
      <c r="G27" s="52">
        <f>79+12</f>
        <v>91</v>
      </c>
      <c r="H27" s="52">
        <f>140-D27+E27</f>
        <v>27</v>
      </c>
      <c r="I27" s="52">
        <v>9</v>
      </c>
      <c r="J27" s="52">
        <v>158</v>
      </c>
      <c r="K27" s="57">
        <f>N27+O27</f>
        <v>207</v>
      </c>
      <c r="L27" s="57"/>
      <c r="M27" s="57"/>
      <c r="N27" s="57">
        <v>167</v>
      </c>
      <c r="O27" s="57">
        <v>40</v>
      </c>
      <c r="P27" s="55">
        <f>10*8</f>
        <v>80</v>
      </c>
      <c r="Q27" s="55">
        <v>68</v>
      </c>
      <c r="R27" s="58">
        <v>2</v>
      </c>
      <c r="S27" s="58">
        <v>6</v>
      </c>
      <c r="T27" s="58"/>
    </row>
    <row r="28" spans="1:20" x14ac:dyDescent="0.25">
      <c r="A28" s="6" t="s">
        <v>101</v>
      </c>
      <c r="B28" s="6" t="s">
        <v>79</v>
      </c>
      <c r="C28" s="6"/>
      <c r="D28" s="52">
        <v>0</v>
      </c>
      <c r="E28" s="52">
        <v>28</v>
      </c>
      <c r="F28" s="52"/>
      <c r="G28" s="52"/>
      <c r="H28" s="52">
        <v>28</v>
      </c>
      <c r="I28" s="52"/>
      <c r="J28" s="52">
        <v>28</v>
      </c>
      <c r="K28" s="57">
        <v>123</v>
      </c>
      <c r="L28" s="57"/>
      <c r="M28" s="57"/>
      <c r="N28" s="57">
        <v>28</v>
      </c>
      <c r="O28" s="57">
        <v>95</v>
      </c>
      <c r="P28" s="55">
        <v>30</v>
      </c>
      <c r="Q28" s="55"/>
      <c r="R28" s="58"/>
      <c r="S28" s="58"/>
      <c r="T28" s="58"/>
    </row>
    <row r="29" spans="1:20" x14ac:dyDescent="0.25">
      <c r="A29" s="66" t="s">
        <v>21</v>
      </c>
      <c r="B29" s="67"/>
      <c r="C29" s="68"/>
      <c r="D29" s="59">
        <f>SUM(D4:D28)</f>
        <v>1025</v>
      </c>
      <c r="E29" s="59">
        <f t="shared" ref="E29:T29" si="0">SUM(E4:E28)</f>
        <v>281</v>
      </c>
      <c r="F29" s="59">
        <f t="shared" si="0"/>
        <v>28</v>
      </c>
      <c r="G29" s="59">
        <f t="shared" si="0"/>
        <v>919</v>
      </c>
      <c r="H29" s="59">
        <f t="shared" si="0"/>
        <v>265</v>
      </c>
      <c r="I29" s="59">
        <f>SUM(I4:I28)</f>
        <v>558</v>
      </c>
      <c r="J29" s="59">
        <f>SUM(J4:J28)</f>
        <v>728</v>
      </c>
      <c r="K29" s="60">
        <f>SUM(K4:K28)</f>
        <v>1425</v>
      </c>
      <c r="L29" s="60">
        <f>SUM(L4:L28)</f>
        <v>775</v>
      </c>
      <c r="M29" s="60">
        <f t="shared" si="0"/>
        <v>0</v>
      </c>
      <c r="N29" s="60">
        <f>SUM(N4:N28)</f>
        <v>514</v>
      </c>
      <c r="O29" s="60">
        <f>SUM(O4:O28)</f>
        <v>136</v>
      </c>
      <c r="P29" s="61">
        <f t="shared" si="0"/>
        <v>294</v>
      </c>
      <c r="Q29" s="61">
        <f t="shared" si="0"/>
        <v>70</v>
      </c>
      <c r="R29" s="62">
        <f t="shared" si="0"/>
        <v>4</v>
      </c>
      <c r="S29" s="62">
        <f t="shared" si="0"/>
        <v>13</v>
      </c>
      <c r="T29" s="62">
        <f t="shared" si="0"/>
        <v>6</v>
      </c>
    </row>
    <row r="31" spans="1:20" x14ac:dyDescent="0.25">
      <c r="E31" t="s">
        <v>226</v>
      </c>
      <c r="L31">
        <f>SUM((D4-1),L7,L8,L9,L15,L16,L20,L21,L22,L23,L25,L26)</f>
        <v>388</v>
      </c>
      <c r="N31">
        <f>SUM(N4,N5,N6,N7,N8,N9,N15,N20,N21,N22,N23,N24,N25,N26,N27,N28)</f>
        <v>456</v>
      </c>
    </row>
  </sheetData>
  <sheetProtection algorithmName="SHA-512" hashValue="DnQnExdiK5wGrCgGVFeERSpvMWNCp2c2dag+M/AeflgPe/44lRsTlI40bjX1FPDoQZitQ1a2SjsOPXJfPerIGg==" saltValue="sQATrhU7ANPZXTsjePyOxg==" spinCount="100000" sheet="1" objects="1" scenarios="1"/>
  <mergeCells count="13">
    <mergeCell ref="R2:T2"/>
    <mergeCell ref="P2:P3"/>
    <mergeCell ref="N2:O2"/>
    <mergeCell ref="L2:M2"/>
    <mergeCell ref="Q2:Q3"/>
    <mergeCell ref="A29:C29"/>
    <mergeCell ref="P1:Q1"/>
    <mergeCell ref="D1:J1"/>
    <mergeCell ref="F2:H2"/>
    <mergeCell ref="D2:D3"/>
    <mergeCell ref="E2:E3"/>
    <mergeCell ref="K1:O1"/>
    <mergeCell ref="K2:K3"/>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08fbbfaa-d9f9-4905-aa6b-6864badca0c1">
      <Terms xmlns="http://schemas.microsoft.com/office/infopath/2007/PartnerControls"/>
    </lcf76f155ced4ddcb4097134ff3c332f>
    <TaxCatchAll xmlns="13c3d94a-980d-4fba-a812-9ba96888e6e6"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AC6AA1B28E183F4D9CDE6AC224B4B3FF" ma:contentTypeVersion="20" ma:contentTypeDescription="Een nieuw document maken." ma:contentTypeScope="" ma:versionID="2528b934578410585f735604a74f15a2">
  <xsd:schema xmlns:xsd="http://www.w3.org/2001/XMLSchema" xmlns:xs="http://www.w3.org/2001/XMLSchema" xmlns:p="http://schemas.microsoft.com/office/2006/metadata/properties" xmlns:ns2="13c3d94a-980d-4fba-a812-9ba96888e6e6" xmlns:ns3="08fbbfaa-d9f9-4905-aa6b-6864badca0c1" targetNamespace="http://schemas.microsoft.com/office/2006/metadata/properties" ma:root="true" ma:fieldsID="03cdd2ba168d532146975c373b1098cb" ns2:_="" ns3:_="">
    <xsd:import namespace="13c3d94a-980d-4fba-a812-9ba96888e6e6"/>
    <xsd:import namespace="08fbbfaa-d9f9-4905-aa6b-6864badca0c1"/>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AutoTags" minOccurs="0"/>
                <xsd:element ref="ns3:MediaServiceLocation"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MediaLengthInSeconds" minOccurs="0"/>
                <xsd:element ref="ns2:TaxCatchAll" minOccurs="0"/>
                <xsd:element ref="ns3:lcf76f155ced4ddcb4097134ff3c332f"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3c3d94a-980d-4fba-a812-9ba96888e6e6" elementFormDefault="qualified">
    <xsd:import namespace="http://schemas.microsoft.com/office/2006/documentManagement/types"/>
    <xsd:import namespace="http://schemas.microsoft.com/office/infopath/2007/PartnerControls"/>
    <xsd:element name="SharedWithUsers" ma:index="8"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Gedeeld met details" ma:description="" ma:internalName="SharedWithDetails" ma:readOnly="true">
      <xsd:simpleType>
        <xsd:restriction base="dms:Note">
          <xsd:maxLength value="255"/>
        </xsd:restriction>
      </xsd:simpleType>
    </xsd:element>
    <xsd:element name="TaxCatchAll" ma:index="21" nillable="true" ma:displayName="Taxonomy Catch All Column" ma:hidden="true" ma:list="{cfc3a24b-403e-42e9-b5c1-fc8a9c65ec5e}" ma:internalName="TaxCatchAll" ma:showField="CatchAllData" ma:web="13c3d94a-980d-4fba-a812-9ba96888e6e6">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8fbbfaa-d9f9-4905-aa6b-6864badca0c1"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MediaServiceDateTaken" ma:index="12" nillable="true" ma:displayName="MediaServiceDateTaken" ma:description="" ma:hidden="true" ma:internalName="MediaServiceDateTaken" ma:readOnly="true">
      <xsd:simpleType>
        <xsd:restriction base="dms:Text"/>
      </xsd:simpleType>
    </xsd:element>
    <xsd:element name="MediaServiceAutoTags" ma:index="13" nillable="true" ma:displayName="MediaServiceAutoTags" ma:description="" ma:internalName="MediaServiceAutoTags" ma:readOnly="true">
      <xsd:simpleType>
        <xsd:restriction base="dms:Text"/>
      </xsd:simpleType>
    </xsd:element>
    <xsd:element name="MediaServiceLocation" ma:index="14" nillable="true" ma:displayName="MediaServiceLocation" ma:description="" ma:internalName="MediaServiceLocation" ma:readOnly="true">
      <xsd:simpleType>
        <xsd:restriction base="dms:Text"/>
      </xsd:simpleType>
    </xsd:element>
    <xsd:element name="MediaServiceOCR" ma:index="15" nillable="true" ma:displayName="MediaServiceOCR"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3" nillable="true" ma:taxonomy="true" ma:internalName="lcf76f155ced4ddcb4097134ff3c332f" ma:taxonomyFieldName="MediaServiceImageTags" ma:displayName="Afbeeldingtags" ma:readOnly="false" ma:fieldId="{5cf76f15-5ced-4ddc-b409-7134ff3c332f}" ma:taxonomyMulti="true" ma:sspId="934ef9d6-7c14-4018-8690-bb1a58de5772"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8E3E799-84F8-4B34-97F2-6D2E98174A71}">
  <ds:schemaRefs>
    <ds:schemaRef ds:uri="http://schemas.microsoft.com/office/2006/metadata/properties"/>
    <ds:schemaRef ds:uri="http://schemas.microsoft.com/office/infopath/2007/PartnerControls"/>
    <ds:schemaRef ds:uri="08fbbfaa-d9f9-4905-aa6b-6864badca0c1"/>
    <ds:schemaRef ds:uri="13c3d94a-980d-4fba-a812-9ba96888e6e6"/>
  </ds:schemaRefs>
</ds:datastoreItem>
</file>

<file path=customXml/itemProps2.xml><?xml version="1.0" encoding="utf-8"?>
<ds:datastoreItem xmlns:ds="http://schemas.openxmlformats.org/officeDocument/2006/customXml" ds:itemID="{270A3277-E481-4071-801C-2407AF6BE340}">
  <ds:schemaRefs>
    <ds:schemaRef ds:uri="http://schemas.microsoft.com/sharepoint/v3/contenttype/forms"/>
  </ds:schemaRefs>
</ds:datastoreItem>
</file>

<file path=customXml/itemProps3.xml><?xml version="1.0" encoding="utf-8"?>
<ds:datastoreItem xmlns:ds="http://schemas.openxmlformats.org/officeDocument/2006/customXml" ds:itemID="{6BEB8E30-7C55-4DA3-BD99-F0C0B291D8A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3c3d94a-980d-4fba-a812-9ba96888e6e6"/>
    <ds:schemaRef ds:uri="08fbbfaa-d9f9-4905-aa6b-6864badca0c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2</vt:i4>
      </vt:variant>
    </vt:vector>
  </HeadingPairs>
  <TitlesOfParts>
    <vt:vector size="2" baseType="lpstr">
      <vt:lpstr>Invul prijzenblad</vt:lpstr>
      <vt:lpstr>Specificatie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Arjan Leneman</dc:creator>
  <cp:lastModifiedBy>Arjan Leneman</cp:lastModifiedBy>
  <dcterms:created xsi:type="dcterms:W3CDTF">2024-07-09T11:12:21Z</dcterms:created>
  <dcterms:modified xsi:type="dcterms:W3CDTF">2024-09-26T14:07:42Z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0x010100AC6AA1B28E183F4D9CDE6AC224B4B3FF</vt:lpwstr>
  </property>
</Properties>
</file>