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Q:\SSO-CFD\UG_HKT_Inkoop-UNIT\80-INKOOPDOSSIERS-ICT\IUC23-033 Proces Mining\04 - BESCHRIJVENDE DOCUMENTEN\Bijlage VIII - Prijsmodel\"/>
    </mc:Choice>
  </mc:AlternateContent>
  <xr:revisionPtr revIDLastSave="0" documentId="8_{204D20BF-FAE4-4B7A-8FFE-FF68B885EF2A}" xr6:coauthVersionLast="47" xr6:coauthVersionMax="47" xr10:uidLastSave="{00000000-0000-0000-0000-000000000000}"/>
  <bookViews>
    <workbookView xWindow="-12780" yWindow="-16320" windowWidth="29040" windowHeight="15840" xr2:uid="{00000000-000D-0000-FFFF-FFFF00000000}"/>
  </bookViews>
  <sheets>
    <sheet name="0. Samenvatting" sheetId="25" r:id="rId1"/>
    <sheet name="1a. Gebruiksrecht Aanschaf" sheetId="20" r:id="rId2"/>
    <sheet name="1b. Licenties - Subscription" sheetId="34" r:id="rId3"/>
    <sheet name="1c. Gebruiksrecht Enterprise" sheetId="26" r:id="rId4"/>
    <sheet name="2. Opleiding" sheetId="21" r:id="rId5"/>
    <sheet name="3. Additionele diensten" sheetId="7" r:id="rId6"/>
    <sheet name="BPK-Grafiek" sheetId="35" r:id="rId7"/>
    <sheet name="DATA" sheetId="36" state="hidden" r:id="rId8"/>
  </sheets>
  <externalReferences>
    <externalReference r:id="rId9"/>
    <externalReference r:id="rId10"/>
  </externalReferences>
  <definedNames>
    <definedName name="_AMO_UniqueIdentifier" hidden="1">"'a8b43c25-150a-4d84-a538-779f9bcc13c1'"</definedName>
    <definedName name="LAQ" localSheetId="2">[1]Superformule!$K$22</definedName>
    <definedName name="LAQ">[2]Superformule!$K$22</definedName>
    <definedName name="Maximaal" localSheetId="2">'[1]HULP-velden'!$L$20</definedName>
    <definedName name="Maximaal">'[2]HULP-velden'!$L$20</definedName>
    <definedName name="Percentage_Qeisen" localSheetId="2">'[1]HULP-velden'!$J$80</definedName>
    <definedName name="Percentage_Qeisen">'[2]HULP-velden'!$J$80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34" l="1"/>
  <c r="I43" i="34"/>
  <c r="H43" i="34"/>
  <c r="G43" i="34"/>
  <c r="F43" i="34"/>
  <c r="E43" i="34"/>
  <c r="D43" i="34"/>
  <c r="C43" i="34"/>
  <c r="K15" i="21"/>
  <c r="F12" i="35" l="1"/>
  <c r="G12" i="35"/>
  <c r="G13" i="35"/>
  <c r="F14" i="35"/>
  <c r="D7" i="36" s="1"/>
  <c r="F19" i="35"/>
  <c r="G19" i="35" s="1"/>
  <c r="F20" i="35"/>
  <c r="E16" i="35" s="1"/>
  <c r="G20" i="35"/>
  <c r="F21" i="35"/>
  <c r="G21" i="35" s="1"/>
  <c r="F83" i="35"/>
  <c r="G14" i="35" l="1"/>
  <c r="F7" i="36"/>
  <c r="C28" i="26"/>
  <c r="D28" i="26" s="1"/>
  <c r="E28" i="26" s="1"/>
  <c r="F28" i="26" s="1"/>
  <c r="G28" i="26" l="1"/>
  <c r="H28" i="26" s="1"/>
  <c r="I28" i="26" s="1"/>
  <c r="J28" i="26" s="1"/>
  <c r="J31" i="26" s="1"/>
  <c r="C31" i="26"/>
  <c r="D31" i="26"/>
  <c r="E31" i="26"/>
  <c r="F31" i="26"/>
  <c r="G31" i="26" l="1"/>
  <c r="I31" i="26"/>
  <c r="H31" i="26"/>
  <c r="C23" i="25"/>
  <c r="H12" i="25"/>
  <c r="I12" i="25" s="1"/>
  <c r="J12" i="25" s="1"/>
  <c r="K12" i="25" s="1"/>
  <c r="L12" i="25" s="1"/>
  <c r="M12" i="25" s="1"/>
  <c r="N12" i="25" s="1"/>
  <c r="D19" i="26"/>
  <c r="E19" i="26" s="1"/>
  <c r="F19" i="26" s="1"/>
  <c r="G19" i="26" s="1"/>
  <c r="D10" i="34"/>
  <c r="E10" i="34" s="1"/>
  <c r="F10" i="34" s="1"/>
  <c r="G10" i="34" s="1"/>
  <c r="C16" i="25" l="1"/>
  <c r="B6" i="26"/>
  <c r="B5" i="26"/>
  <c r="B3" i="26"/>
  <c r="B2" i="26"/>
  <c r="B6" i="21"/>
  <c r="B5" i="21"/>
  <c r="B3" i="21"/>
  <c r="B2" i="21"/>
  <c r="B6" i="7"/>
  <c r="B5" i="7"/>
  <c r="B3" i="7"/>
  <c r="B2" i="7"/>
  <c r="I27" i="26"/>
  <c r="E27" i="26"/>
  <c r="D27" i="26"/>
  <c r="C27" i="26"/>
  <c r="D18" i="26"/>
  <c r="E18" i="26" s="1"/>
  <c r="F18" i="26" s="1"/>
  <c r="G18" i="26" s="1"/>
  <c r="H18" i="26" s="1"/>
  <c r="I18" i="26" s="1"/>
  <c r="J18" i="26" s="1"/>
  <c r="J27" i="26" s="1"/>
  <c r="C42" i="34"/>
  <c r="D9" i="34"/>
  <c r="E9" i="34" s="1"/>
  <c r="F9" i="34" s="1"/>
  <c r="G9" i="34" s="1"/>
  <c r="H9" i="34" s="1"/>
  <c r="I9" i="34" s="1"/>
  <c r="J9" i="34" s="1"/>
  <c r="J42" i="34" s="1"/>
  <c r="B6" i="34"/>
  <c r="C24" i="34"/>
  <c r="E27" i="34"/>
  <c r="C28" i="34"/>
  <c r="F29" i="34"/>
  <c r="E30" i="34"/>
  <c r="Q30" i="34" s="1"/>
  <c r="F30" i="34"/>
  <c r="L30" i="34"/>
  <c r="P30" i="34"/>
  <c r="C31" i="34"/>
  <c r="L31" i="34" s="1"/>
  <c r="C32" i="34"/>
  <c r="P32" i="34" s="1"/>
  <c r="C33" i="34"/>
  <c r="L33" i="34" s="1"/>
  <c r="C34" i="34"/>
  <c r="P34" i="34" s="1"/>
  <c r="C35" i="34"/>
  <c r="P35" i="34" s="1"/>
  <c r="C36" i="34"/>
  <c r="L36" i="34" s="1"/>
  <c r="C37" i="34"/>
  <c r="L37" i="34" s="1"/>
  <c r="C38" i="34"/>
  <c r="L38" i="34" s="1"/>
  <c r="B43" i="34"/>
  <c r="B44" i="34"/>
  <c r="P36" i="34" l="1"/>
  <c r="G27" i="26"/>
  <c r="H27" i="26"/>
  <c r="F27" i="26"/>
  <c r="D42" i="34"/>
  <c r="F42" i="34"/>
  <c r="E42" i="34"/>
  <c r="G42" i="34"/>
  <c r="H42" i="34"/>
  <c r="I42" i="34"/>
  <c r="L32" i="34"/>
  <c r="E32" i="34" s="1"/>
  <c r="R32" i="34" s="1"/>
  <c r="L34" i="34"/>
  <c r="H37" i="34"/>
  <c r="F37" i="34"/>
  <c r="E37" i="34"/>
  <c r="E38" i="34"/>
  <c r="R38" i="34" s="1"/>
  <c r="M38" i="34"/>
  <c r="N38" i="34"/>
  <c r="H38" i="34"/>
  <c r="P38" i="34"/>
  <c r="P37" i="34"/>
  <c r="P33" i="34"/>
  <c r="H31" i="34"/>
  <c r="N31" i="34"/>
  <c r="E31" i="34"/>
  <c r="F31" i="34"/>
  <c r="H36" i="34"/>
  <c r="H30" i="34"/>
  <c r="C44" i="34" s="1"/>
  <c r="C45" i="34" s="1"/>
  <c r="G16" i="25" s="1"/>
  <c r="N37" i="34"/>
  <c r="F36" i="34"/>
  <c r="L35" i="34"/>
  <c r="H33" i="34"/>
  <c r="E36" i="34"/>
  <c r="E33" i="34"/>
  <c r="R30" i="34"/>
  <c r="P31" i="34"/>
  <c r="F33" i="34"/>
  <c r="F38" i="34"/>
  <c r="N36" i="34"/>
  <c r="N33" i="34"/>
  <c r="F32" i="20"/>
  <c r="C31" i="20"/>
  <c r="E30" i="20"/>
  <c r="C41" i="20"/>
  <c r="N41" i="20" s="1"/>
  <c r="H41" i="20" s="1"/>
  <c r="C40" i="20"/>
  <c r="C39" i="20"/>
  <c r="N39" i="20" s="1"/>
  <c r="C38" i="20"/>
  <c r="C37" i="20"/>
  <c r="N37" i="20" s="1"/>
  <c r="C36" i="20"/>
  <c r="C35" i="20"/>
  <c r="N35" i="20" s="1"/>
  <c r="C34" i="20"/>
  <c r="N33" i="20"/>
  <c r="F33" i="20"/>
  <c r="E33" i="20"/>
  <c r="H32" i="34" l="1"/>
  <c r="E44" i="34" s="1"/>
  <c r="E45" i="34" s="1"/>
  <c r="I16" i="25" s="1"/>
  <c r="J44" i="34"/>
  <c r="J45" i="34" s="1"/>
  <c r="N16" i="25" s="1"/>
  <c r="D44" i="34"/>
  <c r="D45" i="34" s="1"/>
  <c r="H16" i="25" s="1"/>
  <c r="Q32" i="34"/>
  <c r="F32" i="34"/>
  <c r="J41" i="20"/>
  <c r="L41" i="20"/>
  <c r="N32" i="34"/>
  <c r="M31" i="34"/>
  <c r="M37" i="34"/>
  <c r="M32" i="34"/>
  <c r="M33" i="34"/>
  <c r="E34" i="34"/>
  <c r="R34" i="34" s="1"/>
  <c r="N34" i="34"/>
  <c r="Q38" i="34"/>
  <c r="F34" i="34"/>
  <c r="F44" i="34"/>
  <c r="F45" i="34" s="1"/>
  <c r="J16" i="25" s="1"/>
  <c r="H34" i="34"/>
  <c r="Q37" i="34"/>
  <c r="R37" i="34"/>
  <c r="Q36" i="34"/>
  <c r="R36" i="34"/>
  <c r="E35" i="34"/>
  <c r="F35" i="34"/>
  <c r="H35" i="34"/>
  <c r="N35" i="34"/>
  <c r="Q33" i="34"/>
  <c r="R33" i="34"/>
  <c r="Q31" i="34"/>
  <c r="R31" i="34"/>
  <c r="F35" i="20"/>
  <c r="E35" i="20"/>
  <c r="F37" i="20"/>
  <c r="E37" i="20"/>
  <c r="F39" i="20"/>
  <c r="E39" i="20"/>
  <c r="O41" i="20"/>
  <c r="F41" i="20"/>
  <c r="E41" i="20"/>
  <c r="P41" i="20"/>
  <c r="N34" i="20"/>
  <c r="N36" i="20"/>
  <c r="N38" i="20"/>
  <c r="N40" i="20"/>
  <c r="N39" i="34" l="1"/>
  <c r="G44" i="34"/>
  <c r="G45" i="34" s="1"/>
  <c r="K16" i="25" s="1"/>
  <c r="M35" i="34"/>
  <c r="M34" i="34"/>
  <c r="M36" i="34"/>
  <c r="Q34" i="34"/>
  <c r="Q35" i="34"/>
  <c r="R35" i="34"/>
  <c r="F38" i="20"/>
  <c r="E38" i="20"/>
  <c r="F40" i="20"/>
  <c r="E40" i="20"/>
  <c r="F36" i="20"/>
  <c r="E36" i="20"/>
  <c r="F34" i="20"/>
  <c r="E34" i="20"/>
  <c r="I44" i="34" l="1"/>
  <c r="I45" i="34" s="1"/>
  <c r="M16" i="25" s="1"/>
  <c r="H44" i="34"/>
  <c r="H45" i="34" s="1"/>
  <c r="L16" i="25" s="1"/>
  <c r="M39" i="34"/>
  <c r="H39" i="34" s="1"/>
  <c r="C49" i="34" l="1"/>
  <c r="D16" i="25" s="1"/>
  <c r="J52" i="20"/>
  <c r="C45" i="20"/>
  <c r="D45" i="20" l="1"/>
  <c r="C51" i="20"/>
  <c r="C59" i="20" s="1"/>
  <c r="F13" i="7"/>
  <c r="F12" i="7"/>
  <c r="H12" i="7" s="1"/>
  <c r="D19" i="20"/>
  <c r="E19" i="20" s="1"/>
  <c r="F19" i="20" s="1"/>
  <c r="G19" i="20" s="1"/>
  <c r="D18" i="20"/>
  <c r="E18" i="20" s="1"/>
  <c r="F18" i="20" s="1"/>
  <c r="G18" i="20" s="1"/>
  <c r="H18" i="20" s="1"/>
  <c r="I18" i="20" s="1"/>
  <c r="J18" i="20" s="1"/>
  <c r="B5" i="20"/>
  <c r="B5" i="34" s="1"/>
  <c r="B3" i="20"/>
  <c r="B3" i="34" s="1"/>
  <c r="B2" i="20"/>
  <c r="B2" i="34" s="1"/>
  <c r="F16" i="25" l="1"/>
  <c r="G13" i="7"/>
  <c r="G27" i="25"/>
  <c r="D27" i="25" s="1"/>
  <c r="E45" i="20"/>
  <c r="D51" i="20"/>
  <c r="D59" i="20" s="1"/>
  <c r="H52" i="20"/>
  <c r="H13" i="7" l="1"/>
  <c r="H27" i="25"/>
  <c r="I27" i="25" s="1"/>
  <c r="J27" i="25" s="1"/>
  <c r="K27" i="25" s="1"/>
  <c r="L27" i="25" s="1"/>
  <c r="M27" i="25" s="1"/>
  <c r="N27" i="25" s="1"/>
  <c r="F45" i="20"/>
  <c r="E51" i="20"/>
  <c r="E59" i="20" s="1"/>
  <c r="I52" i="20"/>
  <c r="F51" i="20" l="1"/>
  <c r="F59" i="20" s="1"/>
  <c r="H35" i="20"/>
  <c r="O35" i="20" s="1"/>
  <c r="H33" i="20"/>
  <c r="H37" i="20"/>
  <c r="H39" i="20"/>
  <c r="H36" i="20"/>
  <c r="H34" i="20"/>
  <c r="H40" i="20"/>
  <c r="H38" i="20"/>
  <c r="C18" i="25"/>
  <c r="O38" i="20" l="1"/>
  <c r="O40" i="20"/>
  <c r="O34" i="20"/>
  <c r="G51" i="20"/>
  <c r="G59" i="20" s="1"/>
  <c r="L37" i="20"/>
  <c r="L35" i="20"/>
  <c r="L33" i="20"/>
  <c r="L39" i="20"/>
  <c r="L34" i="20"/>
  <c r="L40" i="20"/>
  <c r="P40" i="20" s="1"/>
  <c r="L38" i="20"/>
  <c r="L36" i="20"/>
  <c r="O37" i="20"/>
  <c r="O36" i="20"/>
  <c r="O39" i="20"/>
  <c r="O42" i="20" l="1"/>
  <c r="H42" i="20" s="1"/>
  <c r="P36" i="20"/>
  <c r="P38" i="20"/>
  <c r="I45" i="20"/>
  <c r="H51" i="20"/>
  <c r="H59" i="20" s="1"/>
  <c r="P39" i="20"/>
  <c r="P35" i="20"/>
  <c r="P34" i="20"/>
  <c r="P37" i="20"/>
  <c r="J45" i="20" l="1"/>
  <c r="J51" i="20" s="1"/>
  <c r="J59" i="20" s="1"/>
  <c r="I51" i="20"/>
  <c r="I59" i="20" s="1"/>
  <c r="P42" i="20"/>
  <c r="L42" i="20" s="1"/>
  <c r="C27" i="25" l="1"/>
  <c r="C25" i="25"/>
  <c r="C14" i="25"/>
  <c r="H18" i="25" l="1"/>
  <c r="G18" i="25"/>
  <c r="I18" i="25"/>
  <c r="J18" i="25" l="1"/>
  <c r="K18" i="25" l="1"/>
  <c r="L18" i="25" l="1"/>
  <c r="F15" i="21"/>
  <c r="M15" i="21" s="1"/>
  <c r="J28" i="20"/>
  <c r="C46" i="20"/>
  <c r="C47" i="20" s="1"/>
  <c r="C48" i="20" s="1"/>
  <c r="D46" i="20"/>
  <c r="E46" i="20"/>
  <c r="F46" i="20"/>
  <c r="C52" i="20"/>
  <c r="D52" i="20"/>
  <c r="E52" i="20"/>
  <c r="F52" i="20"/>
  <c r="G52" i="20"/>
  <c r="N18" i="25" l="1"/>
  <c r="M18" i="25"/>
  <c r="C33" i="26"/>
  <c r="D18" i="25" s="1"/>
  <c r="J33" i="20"/>
  <c r="J37" i="20"/>
  <c r="J35" i="20"/>
  <c r="J39" i="20"/>
  <c r="J36" i="20"/>
  <c r="J40" i="20"/>
  <c r="J34" i="20"/>
  <c r="J38" i="20"/>
  <c r="J53" i="20"/>
  <c r="J54" i="20" s="1"/>
  <c r="H53" i="20"/>
  <c r="H54" i="20" s="1"/>
  <c r="I53" i="20"/>
  <c r="I54" i="20" s="1"/>
  <c r="M19" i="21"/>
  <c r="D47" i="20"/>
  <c r="C49" i="20"/>
  <c r="D53" i="20"/>
  <c r="D54" i="20" s="1"/>
  <c r="F53" i="20"/>
  <c r="F54" i="20" s="1"/>
  <c r="C53" i="20"/>
  <c r="C54" i="20" s="1"/>
  <c r="G25" i="25" l="1"/>
  <c r="D25" i="25" s="1"/>
  <c r="F18" i="25"/>
  <c r="E47" i="20"/>
  <c r="E48" i="20" s="1"/>
  <c r="E49" i="20" s="1"/>
  <c r="D48" i="20"/>
  <c r="D49" i="20" s="1"/>
  <c r="D60" i="20" s="1"/>
  <c r="H14" i="25" s="1"/>
  <c r="H23" i="25" s="1"/>
  <c r="F47" i="20"/>
  <c r="G53" i="20"/>
  <c r="G54" i="20" s="1"/>
  <c r="C60" i="20"/>
  <c r="E53" i="20"/>
  <c r="E54" i="20" s="1"/>
  <c r="G14" i="25" l="1"/>
  <c r="G23" i="25" s="1"/>
  <c r="F48" i="20"/>
  <c r="F49" i="20" s="1"/>
  <c r="F60" i="20" s="1"/>
  <c r="J14" i="25" s="1"/>
  <c r="J23" i="25" s="1"/>
  <c r="G47" i="20"/>
  <c r="G49" i="20" s="1"/>
  <c r="G60" i="20" s="1"/>
  <c r="K14" i="25" s="1"/>
  <c r="K23" i="25" s="1"/>
  <c r="E60" i="20"/>
  <c r="I14" i="25" s="1"/>
  <c r="I23" i="25" s="1"/>
  <c r="H47" i="20" l="1"/>
  <c r="I47" i="20" s="1"/>
  <c r="H49" i="20"/>
  <c r="H60" i="20" s="1"/>
  <c r="L14" i="25" s="1"/>
  <c r="L23" i="25" s="1"/>
  <c r="J47" i="20" l="1"/>
  <c r="I49" i="20"/>
  <c r="I60" i="20" s="1"/>
  <c r="M14" i="25" s="1"/>
  <c r="M23" i="25" s="1"/>
  <c r="H16" i="7"/>
  <c r="J49" i="20" l="1"/>
  <c r="J60" i="20" s="1"/>
  <c r="N14" i="25" s="1"/>
  <c r="N23" i="25" s="1"/>
  <c r="D23" i="25" l="1"/>
  <c r="D30" i="25" s="1"/>
  <c r="F9" i="35" s="1"/>
  <c r="C7" i="36" s="1"/>
  <c r="E7" i="36" s="1"/>
  <c r="F15" i="35" s="1"/>
  <c r="F14" i="25"/>
  <c r="C62" i="20"/>
  <c r="D14" i="25" s="1"/>
</calcChain>
</file>

<file path=xl/sharedStrings.xml><?xml version="1.0" encoding="utf-8"?>
<sst xmlns="http://schemas.openxmlformats.org/spreadsheetml/2006/main" count="312" uniqueCount="180">
  <si>
    <t xml:space="preserve"> </t>
  </si>
  <si>
    <t>Consultancy</t>
  </si>
  <si>
    <t>Omschrijving / specificatie</t>
  </si>
  <si>
    <t>Uurtarief</t>
  </si>
  <si>
    <t>Totaal</t>
  </si>
  <si>
    <t>Omschrijving</t>
  </si>
  <si>
    <t>Dimensionering</t>
  </si>
  <si>
    <t xml:space="preserve">"&gt;" meer dan </t>
  </si>
  <si>
    <t xml:space="preserve">van </t>
  </si>
  <si>
    <t>tot en met</t>
  </si>
  <si>
    <t>STAFFEL 1</t>
  </si>
  <si>
    <t>STAFFEL 2</t>
  </si>
  <si>
    <t>&gt;</t>
  </si>
  <si>
    <t>Indicatie 
aantal uren 
per jaar</t>
  </si>
  <si>
    <t>Contract-
periode</t>
  </si>
  <si>
    <t>Bedrag</t>
  </si>
  <si>
    <t>Additionele diensten</t>
  </si>
  <si>
    <t>Enterprise = onbeperkt gebruik van de oplossing!</t>
  </si>
  <si>
    <t>Gebruiksrecht per jaar</t>
  </si>
  <si>
    <t>T.b.v. vergelijkingswaarde</t>
  </si>
  <si>
    <t>Enterprise / onbeperkt Gebruiksrecht</t>
  </si>
  <si>
    <t>Totaal Onderhoud &amp; Support</t>
  </si>
  <si>
    <t>Prijs Onderhoud &amp; Support</t>
  </si>
  <si>
    <t>Onderhoud &amp; Support</t>
  </si>
  <si>
    <t>Totaal Gebruiksrecht</t>
  </si>
  <si>
    <t>Prijs per Gebruiksrecht</t>
  </si>
  <si>
    <t>Aantal gebruikers cummulatief</t>
  </si>
  <si>
    <t>Korting</t>
  </si>
  <si>
    <t>Support</t>
  </si>
  <si>
    <t>Onderhoud &amp;</t>
  </si>
  <si>
    <t>Gebruiksrecht</t>
  </si>
  <si>
    <t>Prijs</t>
  </si>
  <si>
    <t>Koop</t>
  </si>
  <si>
    <t>Gebruiker</t>
  </si>
  <si>
    <t>per jaar in €</t>
  </si>
  <si>
    <t>per gebruiker</t>
  </si>
  <si>
    <t>Grondslag Gebruiksrecht</t>
  </si>
  <si>
    <t>Gebruikers</t>
  </si>
  <si>
    <t>Versie</t>
  </si>
  <si>
    <t>Artikelnummer</t>
  </si>
  <si>
    <t>Produktnaam</t>
  </si>
  <si>
    <t>Aantal groepen</t>
  </si>
  <si>
    <t>Aantal
  dagdelen per groep</t>
  </si>
  <si>
    <t xml:space="preserve"> Maximale groeps-
grootte</t>
  </si>
  <si>
    <t>Tarief opleiding inclusief korting per groep</t>
  </si>
  <si>
    <t>Naam / Omschrijving</t>
  </si>
  <si>
    <t xml:space="preserve">Aantal op te leiden personen: </t>
  </si>
  <si>
    <t>Opleiding:  Super Users (train the trainer)</t>
  </si>
  <si>
    <t>(prijzen exclusief BTW)</t>
  </si>
  <si>
    <t>Samenvatting</t>
  </si>
  <si>
    <t>Naam Inschrijver:</t>
  </si>
  <si>
    <t>1a</t>
  </si>
  <si>
    <t>1b</t>
  </si>
  <si>
    <t>óf</t>
  </si>
  <si>
    <t>Online of op locatie</t>
  </si>
  <si>
    <t>1c</t>
  </si>
  <si>
    <t xml:space="preserve">Gebruiksrecht Aanschaf </t>
  </si>
  <si>
    <t>Gebruiksrecht Enterprise</t>
  </si>
  <si>
    <t>Totaal Aanschaf + Onderhoud &amp; Support</t>
  </si>
  <si>
    <t>Gebruiksrecht Subscription</t>
  </si>
  <si>
    <t>On-site ondersteuning/consultancy bij de installatie/configuratie/exploitatie</t>
  </si>
  <si>
    <t>Hulpvelden</t>
  </si>
  <si>
    <t>Europese aanbesteding</t>
  </si>
  <si>
    <t>IUC23-033</t>
  </si>
  <si>
    <t>n.v.t.</t>
  </si>
  <si>
    <t>Ondersteuning bij implementatie / migratie</t>
  </si>
  <si>
    <t>Initieel</t>
  </si>
  <si>
    <t>Verlenging</t>
  </si>
  <si>
    <t>STAFFEL 3</t>
  </si>
  <si>
    <t>STAFFEL 4</t>
  </si>
  <si>
    <t>STAFFEL 5</t>
  </si>
  <si>
    <t>STAFFEL 6</t>
  </si>
  <si>
    <t>STAFFEL 7</t>
  </si>
  <si>
    <t>STAFFEL 8</t>
  </si>
  <si>
    <t>STAFFEL 9</t>
  </si>
  <si>
    <t>*1 Het kortingspercentage van de opvolgende staffel dient minimaal gelijk aan of hoger dan de voorgaande staffel te zijn.
   Indien dit niet het geval is, zullen cellen rood opkleuren en is de staffel niet acceptabel ingevuld.</t>
  </si>
  <si>
    <t>&lt;-check</t>
  </si>
  <si>
    <t>uitbreiding naar</t>
  </si>
  <si>
    <t>Vergoeding per</t>
  </si>
  <si>
    <t xml:space="preserve">Korting </t>
  </si>
  <si>
    <t>cummulatief</t>
  </si>
  <si>
    <t>Staffel</t>
  </si>
  <si>
    <t>cumulatief</t>
  </si>
  <si>
    <t>per staffel *1</t>
  </si>
  <si>
    <t>aantal</t>
  </si>
  <si>
    <t xml:space="preserve"> Vergoeding
 per Gebruiker</t>
  </si>
  <si>
    <t>Totaal aanschaf per jaar</t>
  </si>
  <si>
    <t>Hulpvelden alternatief</t>
  </si>
  <si>
    <t>Hulpvelden onderhoud</t>
  </si>
  <si>
    <t>Hulpvelden aanschaf</t>
  </si>
  <si>
    <t>Prijs per</t>
  </si>
  <si>
    <t>Grondslag</t>
  </si>
  <si>
    <t>N.B. Indien meer regels benodigd zijn, kan een nieuw prijzenblad worden opgevraagd. Graag aangeven hoeveel regels meer nodig zijn.</t>
  </si>
  <si>
    <t>Produktnaam Programmatuur</t>
  </si>
  <si>
    <t>Gebruiksrecht Subcription</t>
  </si>
  <si>
    <t>Vergoeding</t>
  </si>
  <si>
    <r>
      <t xml:space="preserve">Korting  per staffel </t>
    </r>
    <r>
      <rPr>
        <b/>
        <vertAlign val="superscript"/>
        <sz val="10"/>
        <rFont val="Verdana "/>
      </rPr>
      <t>*1</t>
    </r>
  </si>
  <si>
    <r>
      <rPr>
        <vertAlign val="superscript"/>
        <sz val="10"/>
        <color theme="1"/>
        <rFont val="Verdana "/>
      </rPr>
      <t xml:space="preserve">*1 </t>
    </r>
    <r>
      <rPr>
        <sz val="10"/>
        <color theme="1"/>
        <rFont val="Verdana "/>
      </rPr>
      <t>Het kortingspercentage van de opvolgende staffel dient minimaal gelijk aan of hoger dan de voorgaande staffel te zijn . Indien dit niet het geval is, zullen cellen rood opkleuren en is de staffel niet acceptabel ingevuld.</t>
    </r>
  </si>
  <si>
    <t>voor</t>
  </si>
  <si>
    <t>Bedrag per jaar</t>
  </si>
  <si>
    <t>Opleiding</t>
  </si>
  <si>
    <t>Process Mining</t>
  </si>
  <si>
    <t xml:space="preserve">voor </t>
  </si>
  <si>
    <t>Jaar 2026 t/m 2032</t>
  </si>
  <si>
    <r>
      <t xml:space="preserve">Tarief opleiding per groep </t>
    </r>
    <r>
      <rPr>
        <b/>
        <vertAlign val="superscript"/>
        <sz val="10"/>
        <color theme="1"/>
        <rFont val="Verdana"/>
        <family val="2"/>
      </rPr>
      <t>*</t>
    </r>
  </si>
  <si>
    <r>
      <rPr>
        <i/>
        <vertAlign val="superscript"/>
        <sz val="10"/>
        <rFont val="Verdana"/>
        <family val="2"/>
      </rPr>
      <t>*</t>
    </r>
    <r>
      <rPr>
        <i/>
        <sz val="10"/>
        <rFont val="Verdana"/>
        <family val="2"/>
      </rPr>
      <t xml:space="preserve"> inclusief documentatie om zelfstandig opleidingen te verzorgen</t>
    </r>
  </si>
  <si>
    <t>Benodigde componenten</t>
  </si>
  <si>
    <t>Vergoeding o.b.v. Gebruiksrecht per Gebruiker (Koop | Perpertual)</t>
  </si>
  <si>
    <t>Gebruiksrecht (Koop - perpetual)</t>
  </si>
  <si>
    <t>Gebruiksrecht  inclusief Beheer &amp; Onderhoud en Support</t>
  </si>
  <si>
    <t>Vergelijkingswaarde</t>
  </si>
  <si>
    <t>%</t>
  </si>
  <si>
    <t>Totaal kwaliteit</t>
  </si>
  <si>
    <t>Wensen</t>
  </si>
  <si>
    <t xml:space="preserve">Eisen </t>
  </si>
  <si>
    <t>Procenten</t>
  </si>
  <si>
    <t>Punten</t>
  </si>
  <si>
    <t>Opbouw Score voor kwaliteit</t>
  </si>
  <si>
    <t>*1</t>
  </si>
  <si>
    <t>Indicatie BPK-score</t>
  </si>
  <si>
    <r>
      <t xml:space="preserve">Eigen inschatting score kwaliteit </t>
    </r>
    <r>
      <rPr>
        <vertAlign val="superscript"/>
        <sz val="11"/>
        <color theme="1"/>
        <rFont val="Verdana"/>
        <family val="2"/>
      </rPr>
      <t>*1</t>
    </r>
  </si>
  <si>
    <t xml:space="preserve">Kwaliteit in eisen </t>
  </si>
  <si>
    <t>Score Kwaliteit</t>
  </si>
  <si>
    <t xml:space="preserve">      Indicatie eigen score</t>
  </si>
  <si>
    <t>(Prijzen exclusief BTW)</t>
  </si>
  <si>
    <t>Kenmerk: IUC23-33</t>
  </si>
  <si>
    <t>BPK-Grafiek</t>
  </si>
  <si>
    <t>Process Minining</t>
  </si>
  <si>
    <t>Europese Aanbesteding</t>
  </si>
  <si>
    <t>Naam</t>
  </si>
  <si>
    <t>Qbonus</t>
  </si>
  <si>
    <t>IUC23-33</t>
  </si>
  <si>
    <t>Kenmerk</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</si>
  <si>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</si>
  <si>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</si>
  <si>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</si>
  <si>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</si>
  <si>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</si>
  <si>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</si>
  <si>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</si>
  <si>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</si>
  <si>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</si>
  <si>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</si>
  <si>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</si>
  <si>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</si>
  <si>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</si>
  <si>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</si>
  <si>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</si>
  <si>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</si>
  <si>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</si>
  <si>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</si>
  <si>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</si>
  <si>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</si>
  <si>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</si>
  <si>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</si>
  <si>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</si>
  <si>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</si>
  <si>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</si>
  <si>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</si>
  <si>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</si>
  <si>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</si>
  <si>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</si>
  <si>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</si>
  <si>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</si>
  <si>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</si>
  <si>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</si>
  <si>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</si>
  <si>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</si>
  <si>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</si>
  <si>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</si>
  <si>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</si>
  <si>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</si>
  <si>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</si>
  <si>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Hulpdata Grafiek Superformule</t>
  </si>
  <si>
    <r>
      <t>2029</t>
    </r>
    <r>
      <rPr>
        <b/>
        <vertAlign val="superscript"/>
        <sz val="10"/>
        <color theme="1"/>
        <rFont val="Verdana"/>
        <family val="2"/>
      </rPr>
      <t xml:space="preserve">* </t>
    </r>
  </si>
  <si>
    <t xml:space="preserve">* Naar verwachting als na de initiele periode de Douane niet meer deelnemen. De gekochte licentie blijven eigendom van de Belastingdienst en zijn daarmee inactief en kunnnen voor de latere uitbreiding worden ingezet. </t>
  </si>
  <si>
    <t xml:space="preserve">  Er wordt van uit gegaan dat voor inactieve licenties geen vergoeding plaatsvindt voor Onderhoud &amp; Support</t>
  </si>
  <si>
    <t>van gebruiksrecht aan.</t>
  </si>
  <si>
    <t>Inschrijver biedt 1 grondslag (1a, 1b of 1c)</t>
  </si>
  <si>
    <t>Uitbreiding aantal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</si>
</sst>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_(&quot;€&quot;* #,##0.00_);_(&quot;€&quot;* \(#,##0.00\);_(&quot;€&quot;* &quot;-&quot;??_);_(@_)"/>
    <numFmt numFmtId="165" formatCode="&quot;€&quot;\ #,##0.00_-"/>
    <numFmt numFmtId="166" formatCode="_(* #,##0.00_);_(* \(#,##0.00\);_(* &quot;-&quot;??_);_(@_)"/>
    <numFmt numFmtId="167" formatCode="_-* #,##0.00_-;_-* #,##0.00\-;_-* &quot;-&quot;??_-;_-@_-"/>
    <numFmt numFmtId="168" formatCode="_-* #,##0_-;_-* #,##0\-;_-* &quot;-&quot;??_-;_-@_-"/>
    <numFmt numFmtId="169" formatCode="_ * #,##0_ ;_ * \-#,##0_ ;_ * &quot;-&quot;??_ ;_ @_ "/>
    <numFmt numFmtId="170" formatCode="0.0%"/>
    <numFmt numFmtId="171" formatCode="#,##0_ ;\-#,##0\ "/>
    <numFmt numFmtId="172" formatCode="&quot;€&quot;\ #,##0.00"/>
    <numFmt numFmtId="173" formatCode="0_ ;\-0\ "/>
    <numFmt numFmtId="174" formatCode="0.0"/>
    <numFmt numFmtId="175" formatCode="0.000"/>
    <numFmt numFmtId="176" formatCode="#,##0.0"/>
    <numFmt numFmtId="177" formatCode="&quot;€&quot;#,##0.00_);\(&quot;€&quot;#,##0.00\)"/>
    <numFmt numFmtId="178" formatCode="_ &quot;€&quot;\ * #,##0_ ;_ &quot;€&quot;\ * \-#,##0_ ;_ &quot;€&quot;\ * &quot;-&quot;??_ ;_ @_ "/>
  </numFmts>
  <fonts count="74">
    <font>
      <sz val="11"/>
      <color theme="1"/>
      <name val="Calibri"/>
      <family val="2"/>
      <scheme val="minor"/>
    </font>
    <font>
      <sz val="11"/>
      <color theme="1"/>
      <name val="Calibri"/>
      <family val="2"/>
      <scheme val="minor"/>
    </font>
    <font>
      <sz val="10"/>
      <name val="Arial"/>
      <family val="2"/>
    </font>
    <font>
      <sz val="10"/>
      <color theme="1"/>
      <name val="Verdana"/>
      <family val="2"/>
    </font>
    <font>
      <b/>
      <sz val="18"/>
      <color theme="1"/>
      <name val="Verdana"/>
      <family val="2"/>
    </font>
    <font>
      <b/>
      <sz val="14"/>
      <color theme="1"/>
      <name val="Verdana"/>
      <family val="2"/>
    </font>
    <font>
      <b/>
      <sz val="10"/>
      <color theme="1"/>
      <name val="Verdana"/>
      <family val="2"/>
    </font>
    <font>
      <b/>
      <sz val="12"/>
      <color theme="1"/>
      <name val="Verdana"/>
      <family val="2"/>
    </font>
    <font>
      <sz val="10"/>
      <color indexed="9"/>
      <name val="Verdana"/>
      <family val="2"/>
    </font>
    <font>
      <b/>
      <i/>
      <sz val="10"/>
      <color theme="1"/>
      <name val="Arial"/>
      <family val="2"/>
    </font>
    <font>
      <sz val="10"/>
      <name val="Verdana"/>
      <family val="2"/>
    </font>
    <font>
      <b/>
      <sz val="10"/>
      <name val="Verdana"/>
      <family val="2"/>
    </font>
    <font>
      <b/>
      <sz val="8"/>
      <color indexed="10"/>
      <name val="Verdana"/>
      <family val="2"/>
    </font>
    <font>
      <b/>
      <sz val="18"/>
      <color indexed="10"/>
      <name val="Verdana"/>
      <family val="2"/>
    </font>
    <font>
      <b/>
      <sz val="8"/>
      <color theme="1"/>
      <name val="Verdana"/>
      <family val="2"/>
    </font>
    <font>
      <b/>
      <sz val="16"/>
      <color theme="0"/>
      <name val="Verdana"/>
      <family val="2"/>
    </font>
    <font>
      <sz val="20"/>
      <color theme="1"/>
      <name val="Verdana"/>
      <family val="2"/>
    </font>
    <font>
      <sz val="11"/>
      <color theme="1"/>
      <name val="Verdana"/>
      <family val="2"/>
    </font>
    <font>
      <b/>
      <sz val="12"/>
      <color indexed="10"/>
      <name val="Verdana"/>
      <family val="2"/>
    </font>
    <font>
      <sz val="8"/>
      <name val="Verdana"/>
      <family val="2"/>
    </font>
    <font>
      <sz val="10"/>
      <color indexed="8"/>
      <name val="Verdana"/>
      <family val="2"/>
    </font>
    <font>
      <i/>
      <sz val="10"/>
      <color theme="1"/>
      <name val="Verdana"/>
      <family val="2"/>
    </font>
    <font>
      <sz val="18"/>
      <color theme="1"/>
      <name val="Verdana"/>
      <family val="2"/>
    </font>
    <font>
      <b/>
      <vertAlign val="superscript"/>
      <sz val="10"/>
      <color theme="1"/>
      <name val="Verdana"/>
      <family val="2"/>
    </font>
    <font>
      <b/>
      <u/>
      <sz val="10"/>
      <color theme="1"/>
      <name val="Verdana"/>
      <family val="2"/>
    </font>
    <font>
      <b/>
      <sz val="8"/>
      <color theme="0"/>
      <name val="Verdana"/>
      <family val="2"/>
    </font>
    <font>
      <sz val="8"/>
      <color indexed="8"/>
      <name val="Verdana"/>
      <family val="2"/>
    </font>
    <font>
      <sz val="18"/>
      <color indexed="8"/>
      <name val="Verdana"/>
      <family val="2"/>
    </font>
    <font>
      <b/>
      <sz val="11"/>
      <color theme="1"/>
      <name val="Verdana"/>
      <family val="2"/>
    </font>
    <font>
      <sz val="11"/>
      <color theme="0"/>
      <name val="Calibri"/>
      <family val="2"/>
      <scheme val="minor"/>
    </font>
    <font>
      <i/>
      <sz val="11"/>
      <color theme="1"/>
      <name val="Verdana"/>
      <family val="2"/>
    </font>
    <font>
      <i/>
      <sz val="10"/>
      <name val="Verdana"/>
      <family val="2"/>
    </font>
    <font>
      <i/>
      <vertAlign val="superscript"/>
      <sz val="10"/>
      <name val="Verdana"/>
      <family val="2"/>
    </font>
    <font>
      <sz val="10"/>
      <color theme="1"/>
      <name val="Calibri"/>
      <family val="2"/>
      <scheme val="minor"/>
    </font>
    <font>
      <sz val="10"/>
      <color indexed="8"/>
      <name val="Calibri"/>
      <family val="2"/>
      <scheme val="minor"/>
    </font>
    <font>
      <b/>
      <sz val="12"/>
      <color indexed="10"/>
      <name val="Calibri"/>
      <family val="2"/>
      <scheme val="minor"/>
    </font>
    <font>
      <sz val="8"/>
      <color theme="1"/>
      <name val="Calibri"/>
      <family val="2"/>
      <scheme val="minor"/>
    </font>
    <font>
      <sz val="10"/>
      <name val="Calibri"/>
      <family val="2"/>
      <scheme val="minor"/>
    </font>
    <font>
      <b/>
      <sz val="8"/>
      <color indexed="10"/>
      <name val="Calibri"/>
      <family val="2"/>
      <scheme val="minor"/>
    </font>
    <font>
      <b/>
      <sz val="10"/>
      <color theme="1"/>
      <name val="Calibri"/>
      <family val="2"/>
      <scheme val="minor"/>
    </font>
    <font>
      <sz val="12"/>
      <color theme="1"/>
      <name val="Calibri"/>
      <family val="2"/>
      <scheme val="minor"/>
    </font>
    <font>
      <sz val="11"/>
      <name val="Verdana"/>
      <family val="2"/>
    </font>
    <font>
      <sz val="8"/>
      <name val="Calibri"/>
      <family val="2"/>
      <scheme val="minor"/>
    </font>
    <font>
      <b/>
      <sz val="8"/>
      <color theme="1"/>
      <name val="Calibri"/>
      <family val="2"/>
      <scheme val="minor"/>
    </font>
    <font>
      <i/>
      <sz val="10"/>
      <color theme="1"/>
      <name val="Calibri"/>
      <family val="2"/>
      <scheme val="minor"/>
    </font>
    <font>
      <b/>
      <sz val="16"/>
      <color theme="0"/>
      <name val="Calibri"/>
      <family val="2"/>
      <scheme val="minor"/>
    </font>
    <font>
      <b/>
      <sz val="14"/>
      <color theme="1"/>
      <name val="Calibri"/>
      <family val="2"/>
      <scheme val="minor"/>
    </font>
    <font>
      <b/>
      <sz val="18"/>
      <color indexed="10"/>
      <name val="Calibri"/>
      <family val="2"/>
      <scheme val="minor"/>
    </font>
    <font>
      <sz val="18"/>
      <color theme="1"/>
      <name val="Calibri"/>
      <family val="2"/>
      <scheme val="minor"/>
    </font>
    <font>
      <b/>
      <sz val="18"/>
      <color theme="1"/>
      <name val="Calibri"/>
      <family val="2"/>
      <scheme val="minor"/>
    </font>
    <font>
      <sz val="10"/>
      <color theme="1"/>
      <name val="Verdana "/>
    </font>
    <font>
      <sz val="10"/>
      <name val="Verdana "/>
    </font>
    <font>
      <b/>
      <i/>
      <sz val="10"/>
      <color theme="1"/>
      <name val="Verdana "/>
    </font>
    <font>
      <sz val="10"/>
      <color indexed="8"/>
      <name val="Verdana "/>
    </font>
    <font>
      <i/>
      <sz val="10"/>
      <name val="Verdana "/>
    </font>
    <font>
      <b/>
      <sz val="10"/>
      <color theme="1"/>
      <name val="Verdana "/>
    </font>
    <font>
      <b/>
      <sz val="10"/>
      <name val="Verdana "/>
    </font>
    <font>
      <b/>
      <vertAlign val="superscript"/>
      <sz val="10"/>
      <name val="Verdana "/>
    </font>
    <font>
      <vertAlign val="superscript"/>
      <sz val="10"/>
      <color theme="1"/>
      <name val="Verdana "/>
    </font>
    <font>
      <b/>
      <sz val="10"/>
      <color indexed="10"/>
      <name val="Verdana "/>
    </font>
    <font>
      <b/>
      <i/>
      <sz val="10"/>
      <color theme="1"/>
      <name val="Verdana"/>
      <family val="2"/>
    </font>
    <font>
      <b/>
      <sz val="12"/>
      <color theme="1"/>
      <name val="Verdana "/>
    </font>
    <font>
      <sz val="11"/>
      <color theme="1"/>
      <name val="Arial"/>
      <family val="2"/>
    </font>
    <font>
      <vertAlign val="superscript"/>
      <sz val="11"/>
      <color theme="1"/>
      <name val="Verdana"/>
      <family val="2"/>
    </font>
    <font>
      <b/>
      <i/>
      <sz val="11"/>
      <color theme="1"/>
      <name val="Verdana"/>
      <family val="2"/>
    </font>
    <font>
      <b/>
      <sz val="20"/>
      <color theme="0"/>
      <name val="Verdan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s>
  <fills count="12">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FF99"/>
        <bgColor indexed="64"/>
      </patternFill>
    </fill>
    <fill>
      <patternFill patternType="solid">
        <fgColor rgb="FF00B050"/>
        <bgColor indexed="64"/>
      </patternFill>
    </fill>
    <fill>
      <patternFill patternType="solid">
        <fgColor indexed="9"/>
        <bgColor indexed="64"/>
      </patternFill>
    </fill>
    <fill>
      <patternFill patternType="solid">
        <fgColor theme="6" tint="0.79998168889431442"/>
        <bgColor indexed="64"/>
      </patternFill>
    </fill>
    <fill>
      <patternFill patternType="solid">
        <fgColor theme="6" tint="0.59999389629810485"/>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8">
    <xf numFmtId="0" fontId="0" fillId="0" borderId="0"/>
    <xf numFmtId="0" fontId="2" fillId="0" borderId="0"/>
    <xf numFmtId="166"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167" fontId="2"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cellStyleXfs>
  <cellXfs count="465">
    <xf numFmtId="0" fontId="0" fillId="0" borderId="0" xfId="0"/>
    <xf numFmtId="0" fontId="6" fillId="2" borderId="0" xfId="0" applyFont="1" applyFill="1" applyAlignment="1" applyProtection="1">
      <protection hidden="1"/>
    </xf>
    <xf numFmtId="0" fontId="10" fillId="0" borderId="0" xfId="1" applyFont="1" applyProtection="1">
      <protection hidden="1"/>
    </xf>
    <xf numFmtId="0" fontId="12" fillId="0" borderId="0" xfId="1" applyFont="1" applyProtection="1">
      <protection hidden="1"/>
    </xf>
    <xf numFmtId="0" fontId="6" fillId="2" borderId="0" xfId="0" applyFont="1" applyFill="1" applyBorder="1" applyProtection="1">
      <protection hidden="1"/>
    </xf>
    <xf numFmtId="0" fontId="13" fillId="0" borderId="0" xfId="1" applyFont="1" applyProtection="1">
      <protection hidden="1"/>
    </xf>
    <xf numFmtId="0" fontId="4" fillId="2" borderId="0" xfId="0" applyFont="1" applyFill="1" applyBorder="1" applyProtection="1">
      <protection hidden="1"/>
    </xf>
    <xf numFmtId="165" fontId="4" fillId="2" borderId="0" xfId="0" applyNumberFormat="1" applyFont="1" applyFill="1" applyBorder="1" applyProtection="1">
      <protection hidden="1"/>
    </xf>
    <xf numFmtId="165" fontId="4" fillId="2" borderId="0" xfId="0" applyNumberFormat="1" applyFont="1" applyFill="1" applyBorder="1" applyAlignment="1" applyProtection="1">
      <alignment horizontal="right"/>
      <protection hidden="1"/>
    </xf>
    <xf numFmtId="0" fontId="5" fillId="2" borderId="0" xfId="0" applyFont="1" applyFill="1" applyBorder="1" applyProtection="1">
      <protection hidden="1"/>
    </xf>
    <xf numFmtId="165" fontId="14" fillId="2" borderId="0" xfId="0" applyNumberFormat="1" applyFont="1" applyFill="1" applyBorder="1" applyProtection="1">
      <protection hidden="1"/>
    </xf>
    <xf numFmtId="165" fontId="14" fillId="2" borderId="0" xfId="0" applyNumberFormat="1" applyFont="1" applyFill="1" applyBorder="1" applyAlignment="1" applyProtection="1">
      <alignment horizontal="right"/>
      <protection hidden="1"/>
    </xf>
    <xf numFmtId="0" fontId="15" fillId="2" borderId="0" xfId="0" applyFont="1" applyFill="1" applyBorder="1" applyProtection="1">
      <protection hidden="1"/>
    </xf>
    <xf numFmtId="3" fontId="14" fillId="2" borderId="0" xfId="0" applyNumberFormat="1" applyFont="1" applyFill="1" applyBorder="1" applyAlignment="1" applyProtection="1">
      <alignment horizontal="right"/>
      <protection hidden="1"/>
    </xf>
    <xf numFmtId="1" fontId="14" fillId="2" borderId="0" xfId="0" applyNumberFormat="1" applyFont="1" applyFill="1" applyBorder="1" applyAlignment="1" applyProtection="1">
      <alignment horizontal="right"/>
      <protection hidden="1"/>
    </xf>
    <xf numFmtId="0" fontId="11" fillId="0" borderId="6" xfId="1" applyFont="1" applyFill="1" applyBorder="1" applyProtection="1">
      <protection hidden="1"/>
    </xf>
    <xf numFmtId="165" fontId="10" fillId="0" borderId="6" xfId="1" applyNumberFormat="1" applyFont="1" applyFill="1" applyBorder="1" applyProtection="1">
      <protection hidden="1"/>
    </xf>
    <xf numFmtId="168" fontId="8" fillId="0" borderId="6" xfId="7" applyNumberFormat="1" applyFont="1" applyFill="1" applyBorder="1" applyProtection="1">
      <protection hidden="1"/>
    </xf>
    <xf numFmtId="168" fontId="10" fillId="0" borderId="6" xfId="7" applyNumberFormat="1" applyFont="1" applyFill="1" applyBorder="1" applyAlignment="1" applyProtection="1">
      <alignment horizontal="center"/>
      <protection hidden="1"/>
    </xf>
    <xf numFmtId="0" fontId="11" fillId="0" borderId="0" xfId="1" applyFont="1" applyFill="1" applyBorder="1" applyProtection="1">
      <protection hidden="1"/>
    </xf>
    <xf numFmtId="165" fontId="10" fillId="0" borderId="0" xfId="1" applyNumberFormat="1" applyFont="1" applyFill="1" applyBorder="1" applyAlignment="1" applyProtection="1">
      <alignment horizontal="right"/>
      <protection hidden="1"/>
    </xf>
    <xf numFmtId="0" fontId="10" fillId="0" borderId="0" xfId="1" applyFont="1" applyFill="1" applyBorder="1" applyAlignment="1" applyProtection="1">
      <alignment horizontal="right"/>
      <protection hidden="1"/>
    </xf>
    <xf numFmtId="0" fontId="16" fillId="0" borderId="0" xfId="0" applyFont="1" applyAlignment="1" applyProtection="1">
      <alignment horizontal="center"/>
      <protection hidden="1"/>
    </xf>
    <xf numFmtId="165" fontId="6" fillId="2" borderId="0" xfId="0" applyNumberFormat="1" applyFont="1" applyFill="1" applyBorder="1" applyProtection="1">
      <protection hidden="1"/>
    </xf>
    <xf numFmtId="165" fontId="6" fillId="2" borderId="0" xfId="0" applyNumberFormat="1" applyFont="1" applyFill="1" applyBorder="1" applyAlignment="1" applyProtection="1">
      <alignment horizontal="right"/>
      <protection hidden="1"/>
    </xf>
    <xf numFmtId="0" fontId="17" fillId="0" borderId="0" xfId="0" applyFont="1" applyProtection="1">
      <protection hidden="1"/>
    </xf>
    <xf numFmtId="0" fontId="12" fillId="0" borderId="0" xfId="0" applyFont="1" applyProtection="1">
      <protection hidden="1"/>
    </xf>
    <xf numFmtId="0" fontId="10" fillId="0" borderId="0" xfId="0" applyFont="1" applyProtection="1">
      <protection hidden="1"/>
    </xf>
    <xf numFmtId="165" fontId="17" fillId="0" borderId="0" xfId="0" applyNumberFormat="1" applyFont="1" applyProtection="1">
      <protection hidden="1"/>
    </xf>
    <xf numFmtId="165" fontId="18" fillId="0" borderId="0" xfId="0" applyNumberFormat="1" applyFont="1" applyProtection="1">
      <protection hidden="1"/>
    </xf>
    <xf numFmtId="0" fontId="13" fillId="0" borderId="0" xfId="0" applyFont="1" applyProtection="1">
      <protection hidden="1"/>
    </xf>
    <xf numFmtId="1" fontId="19" fillId="0" borderId="0" xfId="0" applyNumberFormat="1" applyFont="1" applyFill="1" applyBorder="1" applyProtection="1">
      <protection hidden="1"/>
    </xf>
    <xf numFmtId="1" fontId="10" fillId="0" borderId="6" xfId="0" applyNumberFormat="1" applyFont="1" applyFill="1" applyBorder="1" applyProtection="1">
      <protection hidden="1"/>
    </xf>
    <xf numFmtId="1" fontId="19" fillId="0" borderId="6" xfId="0" applyNumberFormat="1" applyFont="1" applyFill="1" applyBorder="1" applyProtection="1">
      <protection hidden="1"/>
    </xf>
    <xf numFmtId="1" fontId="10" fillId="0" borderId="0" xfId="0" applyNumberFormat="1" applyFont="1" applyFill="1" applyBorder="1" applyProtection="1">
      <protection hidden="1"/>
    </xf>
    <xf numFmtId="0" fontId="7" fillId="2" borderId="7" xfId="0" applyFont="1" applyFill="1" applyBorder="1" applyAlignment="1" applyProtection="1">
      <alignment horizontal="left" vertical="center"/>
      <protection hidden="1"/>
    </xf>
    <xf numFmtId="165" fontId="3" fillId="2" borderId="8" xfId="0" applyNumberFormat="1" applyFont="1" applyFill="1" applyBorder="1" applyAlignment="1" applyProtection="1">
      <alignment horizontal="right"/>
      <protection hidden="1"/>
    </xf>
    <xf numFmtId="0" fontId="6" fillId="2" borderId="11" xfId="0" applyFont="1" applyFill="1" applyBorder="1" applyAlignment="1" applyProtection="1">
      <alignment horizontal="right"/>
      <protection hidden="1"/>
    </xf>
    <xf numFmtId="0" fontId="7" fillId="2" borderId="1" xfId="0" applyFont="1" applyFill="1" applyBorder="1" applyAlignment="1" applyProtection="1">
      <alignment vertical="center"/>
      <protection hidden="1"/>
    </xf>
    <xf numFmtId="165" fontId="3" fillId="2" borderId="2" xfId="0" applyNumberFormat="1" applyFont="1" applyFill="1" applyBorder="1" applyProtection="1">
      <protection hidden="1"/>
    </xf>
    <xf numFmtId="0" fontId="6" fillId="0" borderId="0" xfId="0" applyFont="1" applyProtection="1">
      <protection hidden="1"/>
    </xf>
    <xf numFmtId="0" fontId="7" fillId="2" borderId="7" xfId="0" applyFont="1" applyFill="1" applyBorder="1" applyAlignment="1" applyProtection="1">
      <alignment horizontal="left"/>
      <protection hidden="1"/>
    </xf>
    <xf numFmtId="0" fontId="6" fillId="2" borderId="8" xfId="0" applyFont="1" applyFill="1" applyBorder="1" applyAlignment="1" applyProtection="1">
      <alignment horizontal="right"/>
      <protection hidden="1"/>
    </xf>
    <xf numFmtId="165" fontId="6" fillId="2" borderId="8" xfId="0" applyNumberFormat="1"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165" fontId="6" fillId="2" borderId="0" xfId="0" applyNumberFormat="1" applyFont="1" applyFill="1" applyBorder="1" applyAlignment="1" applyProtection="1">
      <alignment horizontal="center"/>
      <protection hidden="1"/>
    </xf>
    <xf numFmtId="0" fontId="6" fillId="2" borderId="0" xfId="0" applyFont="1" applyFill="1" applyBorder="1" applyAlignment="1" applyProtection="1">
      <alignment horizontal="right"/>
      <protection hidden="1"/>
    </xf>
    <xf numFmtId="165" fontId="6" fillId="2" borderId="11" xfId="0" applyNumberFormat="1" applyFont="1" applyFill="1" applyBorder="1" applyAlignment="1" applyProtection="1">
      <alignment horizontal="right"/>
      <protection hidden="1"/>
    </xf>
    <xf numFmtId="0" fontId="6" fillId="2" borderId="14" xfId="0" applyFont="1" applyFill="1" applyBorder="1" applyAlignment="1" applyProtection="1">
      <alignment horizontal="right"/>
      <protection hidden="1"/>
    </xf>
    <xf numFmtId="49" fontId="6" fillId="2" borderId="0" xfId="0" applyNumberFormat="1" applyFont="1" applyFill="1" applyBorder="1" applyAlignment="1" applyProtection="1">
      <alignment horizontal="right"/>
      <protection hidden="1"/>
    </xf>
    <xf numFmtId="0" fontId="6" fillId="2" borderId="10" xfId="0" applyFont="1" applyFill="1" applyBorder="1" applyAlignment="1" applyProtection="1">
      <alignment horizontal="right"/>
      <protection hidden="1"/>
    </xf>
    <xf numFmtId="0" fontId="7" fillId="2" borderId="1" xfId="0" applyFont="1" applyFill="1" applyBorder="1" applyProtection="1">
      <protection hidden="1"/>
    </xf>
    <xf numFmtId="0" fontId="6" fillId="2" borderId="3" xfId="0" applyFont="1" applyFill="1" applyBorder="1" applyAlignment="1" applyProtection="1">
      <alignment horizontal="right"/>
      <protection hidden="1"/>
    </xf>
    <xf numFmtId="0" fontId="3" fillId="0" borderId="0" xfId="0" applyFont="1" applyProtection="1">
      <protection hidden="1"/>
    </xf>
    <xf numFmtId="0" fontId="0" fillId="0" borderId="0" xfId="0" applyProtection="1">
      <protection hidden="1"/>
    </xf>
    <xf numFmtId="0" fontId="6" fillId="0" borderId="0" xfId="0" applyFont="1" applyFill="1" applyAlignment="1" applyProtection="1">
      <alignment horizontal="right"/>
      <protection hidden="1"/>
    </xf>
    <xf numFmtId="165" fontId="9" fillId="2" borderId="2" xfId="0" applyNumberFormat="1" applyFont="1" applyFill="1" applyBorder="1" applyAlignment="1" applyProtection="1">
      <alignment horizontal="right"/>
      <protection hidden="1"/>
    </xf>
    <xf numFmtId="165" fontId="9" fillId="2" borderId="3" xfId="0" applyNumberFormat="1" applyFont="1" applyFill="1" applyBorder="1" applyAlignment="1" applyProtection="1">
      <alignment horizontal="right"/>
      <protection hidden="1"/>
    </xf>
    <xf numFmtId="165" fontId="9" fillId="2" borderId="2" xfId="0" applyNumberFormat="1" applyFont="1" applyFill="1" applyBorder="1" applyAlignment="1" applyProtection="1">
      <alignment horizontal="left" vertical="center"/>
      <protection hidden="1"/>
    </xf>
    <xf numFmtId="165" fontId="6" fillId="2" borderId="1" xfId="0" applyNumberFormat="1" applyFont="1" applyFill="1" applyBorder="1" applyProtection="1">
      <protection hidden="1"/>
    </xf>
    <xf numFmtId="43" fontId="10" fillId="0" borderId="0" xfId="6" applyFont="1" applyFill="1" applyBorder="1" applyAlignment="1" applyProtection="1">
      <alignment horizontal="right"/>
      <protection hidden="1"/>
    </xf>
    <xf numFmtId="0" fontId="11" fillId="2" borderId="3" xfId="1" applyFont="1" applyFill="1" applyBorder="1" applyAlignment="1" applyProtection="1">
      <alignment horizontal="right"/>
      <protection hidden="1"/>
    </xf>
    <xf numFmtId="168" fontId="8" fillId="0" borderId="0" xfId="7" applyNumberFormat="1" applyFont="1" applyFill="1" applyBorder="1" applyProtection="1">
      <protection hidden="1"/>
    </xf>
    <xf numFmtId="0" fontId="6" fillId="0" borderId="0" xfId="0" applyFont="1" applyFill="1" applyAlignment="1" applyProtection="1">
      <alignment horizontal="left"/>
      <protection hidden="1"/>
    </xf>
    <xf numFmtId="165" fontId="10" fillId="0" borderId="0" xfId="1" applyNumberFormat="1" applyFont="1" applyFill="1" applyBorder="1" applyProtection="1">
      <protection hidden="1"/>
    </xf>
    <xf numFmtId="1" fontId="19" fillId="0" borderId="6" xfId="0" applyNumberFormat="1" applyFont="1" applyFill="1" applyBorder="1" applyAlignment="1" applyProtection="1">
      <alignment horizontal="right"/>
      <protection hidden="1"/>
    </xf>
    <xf numFmtId="165" fontId="6" fillId="2" borderId="0" xfId="0" applyNumberFormat="1" applyFont="1" applyFill="1" applyBorder="1" applyAlignment="1" applyProtection="1">
      <alignment horizontal="center" vertical="top"/>
      <protection hidden="1"/>
    </xf>
    <xf numFmtId="165" fontId="6" fillId="2" borderId="0" xfId="0" applyNumberFormat="1" applyFont="1" applyFill="1" applyBorder="1" applyAlignment="1" applyProtection="1">
      <alignment horizontal="left" vertical="top"/>
      <protection hidden="1"/>
    </xf>
    <xf numFmtId="165" fontId="5" fillId="2" borderId="0" xfId="0" applyNumberFormat="1" applyFont="1" applyFill="1" applyBorder="1" applyAlignment="1" applyProtection="1">
      <alignment vertical="top"/>
      <protection hidden="1"/>
    </xf>
    <xf numFmtId="165" fontId="6" fillId="2" borderId="0" xfId="0" applyNumberFormat="1" applyFont="1" applyFill="1" applyBorder="1" applyAlignment="1" applyProtection="1">
      <alignment horizontal="right" wrapText="1"/>
      <protection hidden="1"/>
    </xf>
    <xf numFmtId="165" fontId="6" fillId="2" borderId="14" xfId="0" applyNumberFormat="1" applyFont="1" applyFill="1" applyBorder="1" applyAlignment="1" applyProtection="1">
      <alignment horizontal="center"/>
      <protection hidden="1"/>
    </xf>
    <xf numFmtId="165" fontId="6" fillId="2" borderId="15" xfId="0" applyNumberFormat="1" applyFont="1" applyFill="1" applyBorder="1" applyAlignment="1" applyProtection="1">
      <alignment horizontal="center"/>
      <protection hidden="1"/>
    </xf>
    <xf numFmtId="165" fontId="17" fillId="0" borderId="0" xfId="0" applyNumberFormat="1" applyFont="1" applyAlignment="1" applyProtection="1">
      <alignment horizontal="right"/>
      <protection hidden="1"/>
    </xf>
    <xf numFmtId="1" fontId="19" fillId="0" borderId="0" xfId="0" applyNumberFormat="1" applyFont="1" applyFill="1" applyBorder="1" applyAlignment="1" applyProtection="1">
      <alignment horizontal="right"/>
      <protection hidden="1"/>
    </xf>
    <xf numFmtId="165" fontId="18" fillId="0" borderId="0" xfId="0" applyNumberFormat="1" applyFont="1" applyAlignment="1" applyProtection="1">
      <alignment horizontal="right"/>
      <protection hidden="1"/>
    </xf>
    <xf numFmtId="0" fontId="6" fillId="2" borderId="2" xfId="0" applyFont="1" applyFill="1" applyBorder="1" applyAlignment="1" applyProtection="1">
      <alignment horizontal="right"/>
      <protection hidden="1"/>
    </xf>
    <xf numFmtId="165" fontId="7" fillId="2" borderId="8" xfId="0" applyNumberFormat="1" applyFont="1" applyFill="1" applyBorder="1" applyAlignment="1" applyProtection="1">
      <alignment horizontal="left"/>
      <protection hidden="1"/>
    </xf>
    <xf numFmtId="165" fontId="6" fillId="2" borderId="8" xfId="0" applyNumberFormat="1" applyFont="1" applyFill="1" applyBorder="1" applyAlignment="1" applyProtection="1">
      <alignment horizontal="right"/>
      <protection hidden="1"/>
    </xf>
    <xf numFmtId="0" fontId="6" fillId="2" borderId="12" xfId="0" applyFont="1" applyFill="1" applyBorder="1" applyAlignment="1" applyProtection="1">
      <alignment horizontal="right"/>
      <protection hidden="1"/>
    </xf>
    <xf numFmtId="0" fontId="24" fillId="2" borderId="14" xfId="0" applyFont="1" applyFill="1" applyBorder="1" applyAlignment="1" applyProtection="1">
      <alignment horizontal="left"/>
      <protection hidden="1"/>
    </xf>
    <xf numFmtId="165" fontId="3" fillId="2" borderId="9" xfId="0" applyNumberFormat="1" applyFont="1" applyFill="1" applyBorder="1" applyAlignment="1" applyProtection="1">
      <alignment horizontal="right"/>
      <protection hidden="1"/>
    </xf>
    <xf numFmtId="173" fontId="20" fillId="3" borderId="4" xfId="6" applyNumberFormat="1" applyFont="1" applyFill="1" applyBorder="1" applyAlignment="1" applyProtection="1">
      <alignment horizontal="left"/>
      <protection locked="0"/>
    </xf>
    <xf numFmtId="49" fontId="20" fillId="3" borderId="4" xfId="6" applyNumberFormat="1" applyFont="1" applyFill="1" applyBorder="1" applyAlignment="1" applyProtection="1">
      <alignment horizontal="left"/>
      <protection locked="0"/>
    </xf>
    <xf numFmtId="0" fontId="20" fillId="3" borderId="4" xfId="0" applyFont="1" applyFill="1" applyBorder="1" applyAlignment="1" applyProtection="1">
      <alignment horizontal="left"/>
      <protection locked="0"/>
    </xf>
    <xf numFmtId="173" fontId="20" fillId="3" borderId="13" xfId="6" applyNumberFormat="1" applyFont="1" applyFill="1" applyBorder="1" applyAlignment="1" applyProtection="1">
      <alignment horizontal="left"/>
      <protection locked="0"/>
    </xf>
    <xf numFmtId="49" fontId="20" fillId="3" borderId="13" xfId="6" applyNumberFormat="1" applyFont="1" applyFill="1" applyBorder="1" applyAlignment="1" applyProtection="1">
      <alignment horizontal="left"/>
      <protection locked="0"/>
    </xf>
    <xf numFmtId="0" fontId="20" fillId="3" borderId="13" xfId="0" applyFont="1" applyFill="1" applyBorder="1" applyAlignment="1" applyProtection="1">
      <alignment horizontal="left"/>
      <protection locked="0"/>
    </xf>
    <xf numFmtId="165" fontId="6" fillId="2" borderId="12" xfId="0" applyNumberFormat="1" applyFont="1" applyFill="1" applyBorder="1" applyAlignment="1" applyProtection="1">
      <protection hidden="1"/>
    </xf>
    <xf numFmtId="165" fontId="6" fillId="2" borderId="0" xfId="0" applyNumberFormat="1" applyFont="1" applyFill="1" applyBorder="1" applyAlignment="1" applyProtection="1">
      <protection hidden="1"/>
    </xf>
    <xf numFmtId="165" fontId="6" fillId="2" borderId="11" xfId="0" applyNumberFormat="1" applyFont="1" applyFill="1" applyBorder="1" applyAlignment="1" applyProtection="1">
      <alignment horizontal="left"/>
      <protection hidden="1"/>
    </xf>
    <xf numFmtId="0" fontId="6" fillId="2" borderId="10" xfId="0" applyFont="1" applyFill="1" applyBorder="1" applyProtection="1">
      <protection hidden="1"/>
    </xf>
    <xf numFmtId="165" fontId="25" fillId="2" borderId="9" xfId="0" applyNumberFormat="1" applyFont="1" applyFill="1" applyBorder="1" applyAlignment="1" applyProtection="1">
      <alignment horizontal="right"/>
      <protection hidden="1"/>
    </xf>
    <xf numFmtId="165" fontId="25" fillId="2" borderId="8" xfId="0" applyNumberFormat="1" applyFont="1" applyFill="1" applyBorder="1" applyAlignment="1" applyProtection="1">
      <alignment horizontal="right"/>
      <protection hidden="1"/>
    </xf>
    <xf numFmtId="165" fontId="25" fillId="2" borderId="8" xfId="0" applyNumberFormat="1" applyFont="1" applyFill="1" applyBorder="1" applyProtection="1">
      <protection hidden="1"/>
    </xf>
    <xf numFmtId="165" fontId="7" fillId="2" borderId="7" xfId="0" applyNumberFormat="1" applyFont="1" applyFill="1" applyBorder="1" applyAlignment="1" applyProtection="1">
      <alignment vertical="center"/>
      <protection hidden="1"/>
    </xf>
    <xf numFmtId="165" fontId="19" fillId="0" borderId="0" xfId="0" applyNumberFormat="1" applyFont="1" applyFill="1" applyBorder="1" applyAlignment="1" applyProtection="1">
      <alignment horizontal="right"/>
      <protection hidden="1"/>
    </xf>
    <xf numFmtId="165" fontId="19" fillId="0" borderId="0" xfId="0" applyNumberFormat="1" applyFont="1" applyFill="1" applyBorder="1" applyProtection="1">
      <protection hidden="1"/>
    </xf>
    <xf numFmtId="0" fontId="11" fillId="0" borderId="0" xfId="0" applyFont="1" applyFill="1" applyBorder="1" applyProtection="1">
      <protection hidden="1"/>
    </xf>
    <xf numFmtId="0" fontId="26" fillId="0" borderId="0" xfId="0" applyFont="1" applyProtection="1">
      <protection hidden="1"/>
    </xf>
    <xf numFmtId="0" fontId="27" fillId="0" borderId="0" xfId="0" applyFont="1" applyProtection="1">
      <protection hidden="1"/>
    </xf>
    <xf numFmtId="165" fontId="13" fillId="0" borderId="0" xfId="0" applyNumberFormat="1" applyFont="1" applyProtection="1">
      <protection hidden="1"/>
    </xf>
    <xf numFmtId="1" fontId="22" fillId="2" borderId="0" xfId="0" applyNumberFormat="1" applyFont="1" applyFill="1" applyBorder="1" applyProtection="1">
      <protection hidden="1"/>
    </xf>
    <xf numFmtId="165" fontId="10" fillId="0" borderId="0" xfId="1" applyNumberFormat="1" applyFont="1" applyProtection="1">
      <protection hidden="1"/>
    </xf>
    <xf numFmtId="165" fontId="20" fillId="0" borderId="0" xfId="1" applyNumberFormat="1" applyFont="1" applyProtection="1">
      <protection hidden="1"/>
    </xf>
    <xf numFmtId="165" fontId="11" fillId="0" borderId="0" xfId="1" applyNumberFormat="1" applyFont="1" applyProtection="1">
      <protection hidden="1"/>
    </xf>
    <xf numFmtId="173" fontId="10" fillId="0" borderId="6" xfId="7" applyNumberFormat="1" applyFont="1" applyFill="1" applyBorder="1" applyProtection="1">
      <protection hidden="1"/>
    </xf>
    <xf numFmtId="173" fontId="10" fillId="0" borderId="0" xfId="7" applyNumberFormat="1" applyFont="1" applyFill="1" applyBorder="1" applyAlignment="1" applyProtection="1">
      <alignment horizontal="right"/>
      <protection hidden="1"/>
    </xf>
    <xf numFmtId="0" fontId="6" fillId="2" borderId="0" xfId="0" applyNumberFormat="1" applyFont="1" applyFill="1" applyBorder="1" applyAlignment="1" applyProtection="1">
      <alignment horizontal="right" wrapText="1"/>
      <protection hidden="1"/>
    </xf>
    <xf numFmtId="165" fontId="6" fillId="2" borderId="0" xfId="0" applyNumberFormat="1" applyFont="1" applyFill="1" applyBorder="1" applyAlignment="1" applyProtection="1">
      <alignment wrapText="1"/>
      <protection hidden="1"/>
    </xf>
    <xf numFmtId="169" fontId="6" fillId="5" borderId="4" xfId="6" applyNumberFormat="1" applyFont="1" applyFill="1" applyBorder="1" applyAlignment="1" applyProtection="1">
      <alignment horizontal="left"/>
      <protection hidden="1"/>
    </xf>
    <xf numFmtId="165" fontId="5" fillId="2" borderId="0" xfId="0" applyNumberFormat="1" applyFont="1" applyFill="1" applyBorder="1" applyProtection="1">
      <protection hidden="1"/>
    </xf>
    <xf numFmtId="0" fontId="12" fillId="9" borderId="0" xfId="1" applyFont="1" applyFill="1" applyBorder="1" applyProtection="1">
      <protection hidden="1"/>
    </xf>
    <xf numFmtId="0" fontId="6" fillId="2" borderId="0" xfId="0" applyFont="1" applyFill="1" applyBorder="1" applyAlignment="1" applyProtection="1">
      <alignment horizontal="left"/>
      <protection hidden="1"/>
    </xf>
    <xf numFmtId="0" fontId="13" fillId="9" borderId="0" xfId="1" applyFont="1" applyFill="1" applyBorder="1" applyProtection="1">
      <protection hidden="1"/>
    </xf>
    <xf numFmtId="0" fontId="6" fillId="2" borderId="4" xfId="0" applyFont="1" applyFill="1" applyBorder="1" applyAlignment="1" applyProtection="1">
      <alignment vertical="center"/>
      <protection hidden="1"/>
    </xf>
    <xf numFmtId="165" fontId="6" fillId="8" borderId="5" xfId="0" applyNumberFormat="1" applyFont="1" applyFill="1" applyBorder="1" applyAlignment="1" applyProtection="1">
      <alignment vertical="center"/>
      <protection hidden="1"/>
    </xf>
    <xf numFmtId="0" fontId="6" fillId="2" borderId="1" xfId="0" applyFont="1" applyFill="1" applyBorder="1" applyAlignment="1" applyProtection="1">
      <alignment vertical="center"/>
      <protection hidden="1"/>
    </xf>
    <xf numFmtId="0" fontId="10" fillId="2" borderId="3" xfId="1" applyFont="1" applyFill="1" applyBorder="1" applyProtection="1">
      <protection hidden="1"/>
    </xf>
    <xf numFmtId="0" fontId="21" fillId="2" borderId="0" xfId="0" applyFont="1" applyFill="1" applyBorder="1" applyProtection="1">
      <protection hidden="1"/>
    </xf>
    <xf numFmtId="0" fontId="0" fillId="0" borderId="0" xfId="0" applyAlignment="1">
      <alignment horizontal="center"/>
    </xf>
    <xf numFmtId="0" fontId="17" fillId="0" borderId="0" xfId="0" applyFont="1"/>
    <xf numFmtId="0" fontId="17" fillId="0" borderId="4" xfId="0" applyFont="1" applyBorder="1" applyAlignment="1">
      <alignment horizontal="center" vertical="center"/>
    </xf>
    <xf numFmtId="44" fontId="17" fillId="0" borderId="4" xfId="14"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44" fontId="17" fillId="0" borderId="0" xfId="14" applyFont="1" applyAlignment="1">
      <alignment vertical="center"/>
    </xf>
    <xf numFmtId="0" fontId="17" fillId="0" borderId="0" xfId="0" applyFont="1" applyAlignment="1">
      <alignment horizontal="center"/>
    </xf>
    <xf numFmtId="0" fontId="28" fillId="2" borderId="1" xfId="0" applyFont="1" applyFill="1" applyBorder="1" applyAlignment="1">
      <alignment vertical="center"/>
    </xf>
    <xf numFmtId="44" fontId="28" fillId="8" borderId="5" xfId="14" applyFont="1" applyFill="1" applyBorder="1" applyAlignment="1">
      <alignment vertical="center"/>
    </xf>
    <xf numFmtId="0" fontId="6" fillId="2" borderId="0" xfId="0" applyFont="1" applyFill="1" applyBorder="1" applyAlignment="1" applyProtection="1">
      <alignment horizontal="right" vertical="center"/>
      <protection hidden="1"/>
    </xf>
    <xf numFmtId="165" fontId="21" fillId="2" borderId="0" xfId="0" applyNumberFormat="1" applyFont="1" applyFill="1" applyBorder="1" applyProtection="1">
      <protection hidden="1"/>
    </xf>
    <xf numFmtId="0" fontId="6" fillId="0" borderId="0" xfId="0" applyFont="1" applyAlignment="1" applyProtection="1">
      <alignment horizontal="center" vertical="center" wrapText="1"/>
      <protection hidden="1"/>
    </xf>
    <xf numFmtId="165" fontId="10" fillId="3" borderId="4" xfId="1" applyNumberFormat="1" applyFont="1" applyFill="1" applyBorder="1" applyAlignment="1" applyProtection="1">
      <alignment horizontal="right" vertical="center"/>
      <protection locked="0"/>
    </xf>
    <xf numFmtId="169" fontId="3" fillId="0" borderId="4" xfId="6" applyNumberFormat="1" applyFont="1" applyFill="1" applyBorder="1" applyAlignment="1" applyProtection="1">
      <alignment horizontal="center" vertical="center"/>
      <protection hidden="1"/>
    </xf>
    <xf numFmtId="44" fontId="17" fillId="6" borderId="4" xfId="14" applyFont="1" applyFill="1" applyBorder="1" applyAlignment="1">
      <alignment vertical="center"/>
    </xf>
    <xf numFmtId="0" fontId="0" fillId="0" borderId="0" xfId="0" applyBorder="1"/>
    <xf numFmtId="0" fontId="29" fillId="0" borderId="0" xfId="0" applyFont="1" applyBorder="1"/>
    <xf numFmtId="0" fontId="28" fillId="2" borderId="7" xfId="0" applyFont="1" applyFill="1" applyBorder="1" applyAlignment="1">
      <alignment vertical="center"/>
    </xf>
    <xf numFmtId="0" fontId="10" fillId="3" borderId="4" xfId="1" quotePrefix="1" applyFont="1" applyFill="1" applyBorder="1" applyAlignment="1" applyProtection="1">
      <alignment vertical="center"/>
      <protection locked="0"/>
    </xf>
    <xf numFmtId="165" fontId="10" fillId="0" borderId="0" xfId="1" applyNumberFormat="1" applyFont="1" applyFill="1" applyBorder="1" applyAlignment="1" applyProtection="1">
      <alignment horizontal="right" vertical="center"/>
      <protection hidden="1"/>
    </xf>
    <xf numFmtId="165" fontId="10" fillId="3" borderId="4" xfId="1" applyNumberFormat="1" applyFont="1" applyFill="1" applyBorder="1" applyAlignment="1" applyProtection="1">
      <alignment vertical="center"/>
      <protection locked="0"/>
    </xf>
    <xf numFmtId="9" fontId="10" fillId="3" borderId="4" xfId="13" applyFont="1" applyFill="1" applyBorder="1" applyAlignment="1" applyProtection="1">
      <alignment vertical="center"/>
      <protection locked="0"/>
    </xf>
    <xf numFmtId="168" fontId="10" fillId="3" borderId="4" xfId="7" applyNumberFormat="1" applyFont="1" applyFill="1" applyBorder="1" applyAlignment="1" applyProtection="1">
      <alignment horizontal="right" vertical="center"/>
      <protection locked="0"/>
    </xf>
    <xf numFmtId="1" fontId="10" fillId="3" borderId="4" xfId="7" applyNumberFormat="1" applyFont="1" applyFill="1" applyBorder="1" applyAlignment="1" applyProtection="1">
      <alignment horizontal="right" vertical="center"/>
      <protection locked="0"/>
    </xf>
    <xf numFmtId="173" fontId="10" fillId="0" borderId="0" xfId="7" applyNumberFormat="1" applyFont="1" applyFill="1" applyBorder="1" applyAlignment="1" applyProtection="1">
      <alignment horizontal="right" vertical="center"/>
      <protection hidden="1"/>
    </xf>
    <xf numFmtId="44" fontId="3" fillId="0" borderId="4" xfId="14" applyFont="1" applyFill="1" applyBorder="1" applyAlignment="1" applyProtection="1">
      <alignment horizontal="center" vertical="center"/>
      <protection hidden="1"/>
    </xf>
    <xf numFmtId="165" fontId="21" fillId="2" borderId="7" xfId="0" applyNumberFormat="1" applyFont="1" applyFill="1" applyBorder="1" applyAlignment="1" applyProtection="1">
      <alignment horizontal="right"/>
      <protection hidden="1"/>
    </xf>
    <xf numFmtId="165" fontId="21" fillId="2" borderId="8" xfId="0" applyNumberFormat="1" applyFont="1" applyFill="1" applyBorder="1" applyAlignment="1" applyProtection="1">
      <alignment horizontal="right"/>
      <protection hidden="1"/>
    </xf>
    <xf numFmtId="165" fontId="7" fillId="0" borderId="0" xfId="0" applyNumberFormat="1" applyFont="1" applyProtection="1">
      <protection hidden="1"/>
    </xf>
    <xf numFmtId="0" fontId="14" fillId="0" borderId="0" xfId="0" applyFont="1" applyProtection="1">
      <protection hidden="1"/>
    </xf>
    <xf numFmtId="0" fontId="33" fillId="0" borderId="13" xfId="0" applyFont="1" applyBorder="1" applyAlignment="1">
      <alignment horizontal="right"/>
    </xf>
    <xf numFmtId="3" fontId="33" fillId="0" borderId="4" xfId="6" applyNumberFormat="1" applyFont="1" applyFill="1" applyBorder="1" applyAlignment="1" applyProtection="1"/>
    <xf numFmtId="168" fontId="34" fillId="0" borderId="4" xfId="6" applyNumberFormat="1" applyFont="1" applyFill="1" applyBorder="1" applyAlignment="1" applyProtection="1">
      <alignment horizontal="right"/>
      <protection locked="0"/>
    </xf>
    <xf numFmtId="171" fontId="33" fillId="0" borderId="13" xfId="6" applyNumberFormat="1" applyFont="1" applyFill="1" applyBorder="1" applyAlignment="1" applyProtection="1">
      <alignment horizontal="right"/>
    </xf>
    <xf numFmtId="164" fontId="33" fillId="0" borderId="13" xfId="15" applyFont="1" applyFill="1" applyBorder="1" applyAlignment="1" applyProtection="1">
      <alignment horizontal="right"/>
    </xf>
    <xf numFmtId="170" fontId="33" fillId="3" borderId="4" xfId="10" applyNumberFormat="1" applyFont="1" applyFill="1" applyBorder="1" applyAlignment="1" applyProtection="1">
      <alignment horizontal="right"/>
      <protection locked="0"/>
    </xf>
    <xf numFmtId="44" fontId="33" fillId="6" borderId="4" xfId="11" applyFont="1" applyFill="1" applyBorder="1" applyAlignment="1" applyProtection="1">
      <alignment horizontal="center"/>
    </xf>
    <xf numFmtId="165" fontId="35" fillId="0" borderId="0" xfId="0" applyNumberFormat="1" applyFont="1"/>
    <xf numFmtId="0" fontId="33" fillId="5" borderId="0" xfId="0" applyFont="1" applyFill="1" applyAlignment="1">
      <alignment horizontal="center"/>
    </xf>
    <xf numFmtId="3" fontId="36" fillId="0" borderId="0" xfId="0" applyNumberFormat="1" applyFont="1"/>
    <xf numFmtId="0" fontId="36" fillId="0" borderId="0" xfId="0" applyFont="1"/>
    <xf numFmtId="0" fontId="33" fillId="0" borderId="4" xfId="0" applyFont="1" applyBorder="1" applyAlignment="1">
      <alignment horizontal="right"/>
    </xf>
    <xf numFmtId="0" fontId="37" fillId="0" borderId="4" xfId="0" applyFont="1" applyBorder="1" applyAlignment="1">
      <alignment horizontal="right"/>
    </xf>
    <xf numFmtId="0" fontId="38" fillId="0" borderId="0" xfId="0" applyFont="1"/>
    <xf numFmtId="0" fontId="39" fillId="4" borderId="4" xfId="0" applyFont="1" applyFill="1" applyBorder="1" applyAlignment="1">
      <alignment horizontal="right"/>
    </xf>
    <xf numFmtId="0" fontId="33" fillId="0" borderId="0" xfId="0" applyFont="1"/>
    <xf numFmtId="44" fontId="36" fillId="0" borderId="0" xfId="0" applyNumberFormat="1" applyFont="1"/>
    <xf numFmtId="165" fontId="40" fillId="0" borderId="0" xfId="0" applyNumberFormat="1" applyFont="1"/>
    <xf numFmtId="165" fontId="6" fillId="2" borderId="15" xfId="0" applyNumberFormat="1" applyFont="1" applyFill="1" applyBorder="1" applyAlignment="1">
      <alignment horizontal="right" wrapText="1"/>
    </xf>
    <xf numFmtId="0" fontId="3" fillId="2" borderId="14" xfId="0" applyFont="1" applyFill="1" applyBorder="1" applyAlignment="1">
      <alignment horizontal="left"/>
    </xf>
    <xf numFmtId="165" fontId="11" fillId="2" borderId="0" xfId="0" applyNumberFormat="1" applyFont="1" applyFill="1" applyAlignment="1">
      <alignment horizontal="center"/>
    </xf>
    <xf numFmtId="165" fontId="11" fillId="2" borderId="0" xfId="0" applyNumberFormat="1" applyFont="1" applyFill="1" applyAlignment="1">
      <alignment horizontal="right"/>
    </xf>
    <xf numFmtId="165" fontId="6" fillId="2" borderId="15" xfId="0" applyNumberFormat="1" applyFont="1" applyFill="1" applyBorder="1" applyAlignment="1">
      <alignment horizontal="right"/>
    </xf>
    <xf numFmtId="0" fontId="6" fillId="2" borderId="14" xfId="0" applyFont="1" applyFill="1" applyBorder="1" applyAlignment="1">
      <alignment horizontal="right"/>
    </xf>
    <xf numFmtId="165" fontId="6" fillId="2" borderId="0" xfId="0" applyNumberFormat="1" applyFont="1" applyFill="1" applyAlignment="1">
      <alignment horizontal="right" wrapText="1"/>
    </xf>
    <xf numFmtId="49" fontId="6" fillId="2" borderId="15" xfId="0" applyNumberFormat="1" applyFont="1" applyFill="1" applyBorder="1" applyAlignment="1">
      <alignment horizontal="right"/>
    </xf>
    <xf numFmtId="0" fontId="6" fillId="2" borderId="10" xfId="0" applyFont="1" applyFill="1" applyBorder="1" applyAlignment="1">
      <alignment horizontal="right"/>
    </xf>
    <xf numFmtId="165" fontId="11" fillId="2" borderId="10" xfId="0" applyNumberFormat="1" applyFont="1" applyFill="1" applyBorder="1" applyAlignment="1">
      <alignment horizontal="center"/>
    </xf>
    <xf numFmtId="165" fontId="11" fillId="2" borderId="12" xfId="0" applyNumberFormat="1" applyFont="1" applyFill="1" applyBorder="1" applyAlignment="1">
      <alignment horizontal="center"/>
    </xf>
    <xf numFmtId="165" fontId="11" fillId="2" borderId="11" xfId="0" applyNumberFormat="1" applyFont="1" applyFill="1" applyBorder="1" applyAlignment="1">
      <alignment horizontal="right"/>
    </xf>
    <xf numFmtId="165" fontId="11" fillId="2" borderId="0" xfId="0" applyNumberFormat="1" applyFont="1" applyFill="1" applyAlignment="1">
      <alignment horizontal="right" wrapText="1"/>
    </xf>
    <xf numFmtId="165" fontId="6" fillId="2" borderId="12" xfId="0" applyNumberFormat="1" applyFont="1" applyFill="1" applyBorder="1" applyAlignment="1">
      <alignment horizontal="right"/>
    </xf>
    <xf numFmtId="165" fontId="0" fillId="0" borderId="0" xfId="0" applyNumberFormat="1" applyProtection="1">
      <protection hidden="1"/>
    </xf>
    <xf numFmtId="0" fontId="37" fillId="0" borderId="0" xfId="0" applyFont="1" applyProtection="1">
      <protection hidden="1"/>
    </xf>
    <xf numFmtId="0" fontId="38" fillId="0" borderId="0" xfId="0" applyFont="1" applyProtection="1">
      <protection hidden="1"/>
    </xf>
    <xf numFmtId="0" fontId="36" fillId="0" borderId="0" xfId="0" applyFont="1" applyProtection="1">
      <protection hidden="1"/>
    </xf>
    <xf numFmtId="1" fontId="42" fillId="0" borderId="6" xfId="0" applyNumberFormat="1" applyFont="1" applyBorder="1" applyProtection="1">
      <protection hidden="1"/>
    </xf>
    <xf numFmtId="1" fontId="37" fillId="0" borderId="6" xfId="0" applyNumberFormat="1" applyFont="1" applyBorder="1" applyProtection="1">
      <protection hidden="1"/>
    </xf>
    <xf numFmtId="165" fontId="35" fillId="0" borderId="0" xfId="0" applyNumberFormat="1" applyFont="1" applyProtection="1">
      <protection hidden="1"/>
    </xf>
    <xf numFmtId="165" fontId="40" fillId="0" borderId="0" xfId="0" applyNumberFormat="1" applyFont="1" applyProtection="1">
      <protection hidden="1"/>
    </xf>
    <xf numFmtId="0" fontId="33" fillId="5" borderId="0" xfId="0" applyFont="1" applyFill="1" applyAlignment="1" applyProtection="1">
      <alignment horizontal="center"/>
      <protection hidden="1"/>
    </xf>
    <xf numFmtId="44" fontId="36" fillId="0" borderId="0" xfId="0" applyNumberFormat="1" applyFont="1" applyProtection="1">
      <protection hidden="1"/>
    </xf>
    <xf numFmtId="0" fontId="36" fillId="0" borderId="4" xfId="0" applyFont="1" applyBorder="1" applyAlignment="1" applyProtection="1">
      <alignment horizontal="right"/>
      <protection hidden="1"/>
    </xf>
    <xf numFmtId="3" fontId="36" fillId="0" borderId="0" xfId="0" applyNumberFormat="1" applyFont="1" applyProtection="1">
      <protection hidden="1"/>
    </xf>
    <xf numFmtId="1" fontId="42" fillId="0" borderId="0" xfId="0" applyNumberFormat="1" applyFont="1" applyProtection="1">
      <protection hidden="1"/>
    </xf>
    <xf numFmtId="1" fontId="37" fillId="0" borderId="0" xfId="0" applyNumberFormat="1" applyFont="1" applyProtection="1">
      <protection hidden="1"/>
    </xf>
    <xf numFmtId="165" fontId="35" fillId="2" borderId="0" xfId="0" applyNumberFormat="1" applyFont="1" applyFill="1" applyProtection="1">
      <protection hidden="1"/>
    </xf>
    <xf numFmtId="165" fontId="43" fillId="2" borderId="0" xfId="0" applyNumberFormat="1" applyFont="1" applyFill="1" applyProtection="1">
      <protection hidden="1"/>
    </xf>
    <xf numFmtId="0" fontId="44"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45" fillId="2" borderId="0" xfId="0" applyFont="1" applyFill="1" applyAlignment="1" applyProtection="1">
      <alignment vertical="center"/>
      <protection hidden="1"/>
    </xf>
    <xf numFmtId="0" fontId="46" fillId="2" borderId="0" xfId="0" applyFont="1" applyFill="1" applyAlignment="1" applyProtection="1">
      <alignment vertical="center"/>
      <protection hidden="1"/>
    </xf>
    <xf numFmtId="0" fontId="47" fillId="0" borderId="0" xfId="0" applyFont="1" applyProtection="1">
      <protection hidden="1"/>
    </xf>
    <xf numFmtId="0" fontId="48" fillId="0" borderId="0" xfId="0" applyFont="1" applyProtection="1">
      <protection hidden="1"/>
    </xf>
    <xf numFmtId="0" fontId="49" fillId="2" borderId="0" xfId="0" applyFont="1" applyFill="1" applyProtection="1">
      <protection hidden="1"/>
    </xf>
    <xf numFmtId="165" fontId="49" fillId="2" borderId="0" xfId="0" applyNumberFormat="1" applyFont="1" applyFill="1" applyProtection="1">
      <protection hidden="1"/>
    </xf>
    <xf numFmtId="0" fontId="49" fillId="2" borderId="0" xfId="0" applyFont="1" applyFill="1" applyAlignment="1" applyProtection="1">
      <alignment vertical="center"/>
      <protection hidden="1"/>
    </xf>
    <xf numFmtId="0" fontId="42" fillId="0" borderId="0" xfId="0" applyFont="1" applyBorder="1" applyAlignment="1" applyProtection="1">
      <alignment horizontal="right"/>
      <protection hidden="1"/>
    </xf>
    <xf numFmtId="1" fontId="51" fillId="0" borderId="0" xfId="0" applyNumberFormat="1" applyFont="1" applyProtection="1">
      <protection hidden="1"/>
    </xf>
    <xf numFmtId="1" fontId="54" fillId="0" borderId="6" xfId="0" applyNumberFormat="1" applyFont="1" applyBorder="1" applyProtection="1">
      <protection hidden="1"/>
    </xf>
    <xf numFmtId="0" fontId="55" fillId="0" borderId="0" xfId="0" applyFont="1" applyProtection="1">
      <protection hidden="1"/>
    </xf>
    <xf numFmtId="0" fontId="55" fillId="2" borderId="8" xfId="0" applyFont="1" applyFill="1" applyBorder="1" applyAlignment="1" applyProtection="1">
      <alignment horizontal="right"/>
      <protection hidden="1"/>
    </xf>
    <xf numFmtId="165" fontId="55" fillId="2" borderId="8" xfId="0" applyNumberFormat="1" applyFont="1" applyFill="1" applyBorder="1" applyAlignment="1" applyProtection="1">
      <alignment horizontal="center"/>
      <protection hidden="1"/>
    </xf>
    <xf numFmtId="165" fontId="55" fillId="2" borderId="9" xfId="0" applyNumberFormat="1" applyFont="1" applyFill="1" applyBorder="1" applyAlignment="1" applyProtection="1">
      <alignment horizontal="center"/>
      <protection hidden="1"/>
    </xf>
    <xf numFmtId="0" fontId="55" fillId="2" borderId="0" xfId="0" applyFont="1" applyFill="1" applyAlignment="1" applyProtection="1">
      <alignment horizontal="right"/>
      <protection hidden="1"/>
    </xf>
    <xf numFmtId="165" fontId="55" fillId="2" borderId="0" xfId="0" applyNumberFormat="1" applyFont="1" applyFill="1" applyAlignment="1" applyProtection="1">
      <alignment horizontal="center"/>
      <protection hidden="1"/>
    </xf>
    <xf numFmtId="165" fontId="55" fillId="2" borderId="15" xfId="0" applyNumberFormat="1" applyFont="1" applyFill="1" applyBorder="1" applyAlignment="1" applyProtection="1">
      <alignment horizontal="center"/>
      <protection hidden="1"/>
    </xf>
    <xf numFmtId="0" fontId="55" fillId="2" borderId="14" xfId="0" applyFont="1" applyFill="1" applyBorder="1" applyAlignment="1" applyProtection="1">
      <alignment horizontal="center"/>
      <protection hidden="1"/>
    </xf>
    <xf numFmtId="0" fontId="55" fillId="2" borderId="14" xfId="0" applyFont="1" applyFill="1" applyBorder="1" applyAlignment="1" applyProtection="1">
      <alignment horizontal="right"/>
      <protection hidden="1"/>
    </xf>
    <xf numFmtId="49" fontId="55" fillId="2" borderId="11" xfId="0" applyNumberFormat="1" applyFont="1" applyFill="1" applyBorder="1" applyAlignment="1" applyProtection="1">
      <alignment horizontal="right"/>
      <protection hidden="1"/>
    </xf>
    <xf numFmtId="165" fontId="55" fillId="2" borderId="14" xfId="0" applyNumberFormat="1" applyFont="1" applyFill="1" applyBorder="1" applyAlignment="1" applyProtection="1">
      <alignment horizontal="center"/>
      <protection hidden="1"/>
    </xf>
    <xf numFmtId="165" fontId="55" fillId="2" borderId="0" xfId="0" applyNumberFormat="1" applyFont="1" applyFill="1" applyAlignment="1" applyProtection="1">
      <alignment horizontal="right"/>
      <protection hidden="1"/>
    </xf>
    <xf numFmtId="0" fontId="50" fillId="2" borderId="14" xfId="0" applyFont="1" applyFill="1" applyBorder="1" applyAlignment="1" applyProtection="1">
      <alignment horizontal="left"/>
      <protection hidden="1"/>
    </xf>
    <xf numFmtId="165" fontId="56" fillId="2" borderId="0" xfId="0" applyNumberFormat="1" applyFont="1" applyFill="1" applyAlignment="1" applyProtection="1">
      <alignment horizontal="center"/>
      <protection hidden="1"/>
    </xf>
    <xf numFmtId="165" fontId="56" fillId="2" borderId="0" xfId="0" applyNumberFormat="1" applyFont="1" applyFill="1" applyAlignment="1" applyProtection="1">
      <alignment horizontal="right"/>
      <protection hidden="1"/>
    </xf>
    <xf numFmtId="165" fontId="56" fillId="2" borderId="0" xfId="0" applyNumberFormat="1" applyFont="1" applyFill="1" applyAlignment="1" applyProtection="1">
      <alignment horizontal="right" wrapText="1"/>
      <protection hidden="1"/>
    </xf>
    <xf numFmtId="0" fontId="55" fillId="2" borderId="10" xfId="0" applyFont="1" applyFill="1" applyBorder="1" applyAlignment="1" applyProtection="1">
      <alignment horizontal="right"/>
      <protection hidden="1"/>
    </xf>
    <xf numFmtId="165" fontId="56" fillId="2" borderId="10" xfId="0" applyNumberFormat="1" applyFont="1" applyFill="1" applyBorder="1" applyAlignment="1" applyProtection="1">
      <alignment horizontal="center"/>
      <protection hidden="1"/>
    </xf>
    <xf numFmtId="165" fontId="56" fillId="2" borderId="12" xfId="0" applyNumberFormat="1" applyFont="1" applyFill="1" applyBorder="1" applyAlignment="1" applyProtection="1">
      <alignment horizontal="center"/>
      <protection hidden="1"/>
    </xf>
    <xf numFmtId="165" fontId="56" fillId="2" borderId="11" xfId="0" applyNumberFormat="1" applyFont="1" applyFill="1" applyBorder="1" applyAlignment="1" applyProtection="1">
      <alignment horizontal="right"/>
      <protection hidden="1"/>
    </xf>
    <xf numFmtId="165" fontId="56" fillId="2" borderId="11" xfId="0" applyNumberFormat="1" applyFont="1" applyFill="1" applyBorder="1" applyAlignment="1" applyProtection="1">
      <alignment horizontal="right" wrapText="1"/>
      <protection hidden="1"/>
    </xf>
    <xf numFmtId="0" fontId="50" fillId="0" borderId="13" xfId="0" applyFont="1" applyBorder="1" applyAlignment="1" applyProtection="1">
      <alignment horizontal="right"/>
      <protection hidden="1"/>
    </xf>
    <xf numFmtId="3" fontId="50" fillId="0" borderId="4" xfId="6" applyNumberFormat="1" applyFont="1" applyFill="1" applyBorder="1" applyAlignment="1" applyProtection="1">
      <protection hidden="1"/>
    </xf>
    <xf numFmtId="168" fontId="53" fillId="0" borderId="4" xfId="6" applyNumberFormat="1" applyFont="1" applyFill="1" applyBorder="1" applyAlignment="1" applyProtection="1">
      <alignment horizontal="right"/>
      <protection locked="0"/>
    </xf>
    <xf numFmtId="171" fontId="50" fillId="0" borderId="13" xfId="6" applyNumberFormat="1" applyFont="1" applyFill="1" applyBorder="1" applyAlignment="1" applyProtection="1">
      <alignment horizontal="right"/>
      <protection hidden="1"/>
    </xf>
    <xf numFmtId="164" fontId="50" fillId="0" borderId="13" xfId="8" applyFont="1" applyFill="1" applyBorder="1" applyAlignment="1" applyProtection="1">
      <alignment horizontal="right"/>
      <protection hidden="1"/>
    </xf>
    <xf numFmtId="170" fontId="50" fillId="3" borderId="4" xfId="10" applyNumberFormat="1" applyFont="1" applyFill="1" applyBorder="1" applyAlignment="1" applyProtection="1">
      <alignment horizontal="right"/>
      <protection locked="0"/>
    </xf>
    <xf numFmtId="44" fontId="50" fillId="6" borderId="4" xfId="11" applyFont="1" applyFill="1" applyBorder="1" applyAlignment="1" applyProtection="1">
      <alignment horizontal="center"/>
      <protection hidden="1"/>
    </xf>
    <xf numFmtId="0" fontId="50" fillId="0" borderId="4" xfId="0" applyFont="1" applyBorder="1" applyAlignment="1" applyProtection="1">
      <alignment horizontal="right"/>
      <protection hidden="1"/>
    </xf>
    <xf numFmtId="0" fontId="51" fillId="0" borderId="4" xfId="0" applyFont="1" applyBorder="1" applyAlignment="1" applyProtection="1">
      <alignment horizontal="right"/>
      <protection hidden="1"/>
    </xf>
    <xf numFmtId="0" fontId="55" fillId="10" borderId="4" xfId="0" applyFont="1" applyFill="1" applyBorder="1" applyAlignment="1" applyProtection="1">
      <alignment horizontal="right"/>
      <protection hidden="1"/>
    </xf>
    <xf numFmtId="0" fontId="50" fillId="0" borderId="0" xfId="0" applyFont="1" applyProtection="1">
      <protection hidden="1"/>
    </xf>
    <xf numFmtId="1" fontId="55" fillId="2" borderId="2" xfId="0" applyNumberFormat="1" applyFont="1" applyFill="1" applyBorder="1" applyAlignment="1" applyProtection="1">
      <alignment horizontal="right"/>
      <protection hidden="1"/>
    </xf>
    <xf numFmtId="1" fontId="55" fillId="2" borderId="3" xfId="0" applyNumberFormat="1" applyFont="1" applyFill="1" applyBorder="1" applyAlignment="1" applyProtection="1">
      <alignment horizontal="right"/>
      <protection hidden="1"/>
    </xf>
    <xf numFmtId="0" fontId="55" fillId="0" borderId="6" xfId="0" applyFont="1" applyBorder="1" applyProtection="1">
      <protection hidden="1"/>
    </xf>
    <xf numFmtId="0" fontId="55" fillId="2" borderId="3" xfId="0" applyFont="1" applyFill="1" applyBorder="1" applyAlignment="1" applyProtection="1">
      <alignment horizontal="right"/>
      <protection hidden="1"/>
    </xf>
    <xf numFmtId="1" fontId="51" fillId="0" borderId="6" xfId="0" applyNumberFormat="1" applyFont="1" applyBorder="1" applyProtection="1">
      <protection hidden="1"/>
    </xf>
    <xf numFmtId="0" fontId="51" fillId="0" borderId="0" xfId="0" applyFont="1" applyProtection="1">
      <protection hidden="1"/>
    </xf>
    <xf numFmtId="0" fontId="51" fillId="0" borderId="0" xfId="0" applyFont="1" applyBorder="1" applyAlignment="1" applyProtection="1">
      <alignment horizontal="right"/>
      <protection hidden="1"/>
    </xf>
    <xf numFmtId="0" fontId="55" fillId="2" borderId="14" xfId="0" applyFont="1" applyFill="1" applyBorder="1" applyAlignment="1" applyProtection="1">
      <alignment horizontal="left"/>
      <protection hidden="1"/>
    </xf>
    <xf numFmtId="0" fontId="59" fillId="0" borderId="0" xfId="0" applyFont="1" applyProtection="1">
      <protection locked="0"/>
    </xf>
    <xf numFmtId="0" fontId="59" fillId="0" borderId="0" xfId="0" applyFont="1" applyProtection="1">
      <protection hidden="1"/>
    </xf>
    <xf numFmtId="165" fontId="50" fillId="0" borderId="0" xfId="0" applyNumberFormat="1" applyFont="1" applyProtection="1">
      <protection hidden="1"/>
    </xf>
    <xf numFmtId="165" fontId="55" fillId="2" borderId="15" xfId="0" applyNumberFormat="1" applyFont="1" applyFill="1" applyBorder="1" applyAlignment="1" applyProtection="1">
      <alignment horizontal="right"/>
      <protection hidden="1"/>
    </xf>
    <xf numFmtId="165" fontId="56" fillId="2" borderId="15" xfId="0" applyNumberFormat="1" applyFont="1" applyFill="1" applyBorder="1" applyAlignment="1" applyProtection="1">
      <alignment horizontal="right"/>
      <protection hidden="1"/>
    </xf>
    <xf numFmtId="49" fontId="56" fillId="2" borderId="15" xfId="0" applyNumberFormat="1" applyFont="1" applyFill="1" applyBorder="1" applyAlignment="1" applyProtection="1">
      <alignment horizontal="right"/>
      <protection hidden="1"/>
    </xf>
    <xf numFmtId="165" fontId="56" fillId="2" borderId="12" xfId="0" applyNumberFormat="1" applyFont="1" applyFill="1" applyBorder="1" applyAlignment="1" applyProtection="1">
      <alignment horizontal="right" wrapText="1"/>
      <protection hidden="1"/>
    </xf>
    <xf numFmtId="165" fontId="10" fillId="4" borderId="4" xfId="1" applyNumberFormat="1" applyFont="1" applyFill="1" applyBorder="1" applyAlignment="1" applyProtection="1">
      <alignment horizontal="right" vertical="center"/>
      <protection hidden="1"/>
    </xf>
    <xf numFmtId="165" fontId="11" fillId="4" borderId="5" xfId="1" applyNumberFormat="1" applyFont="1" applyFill="1" applyBorder="1" applyAlignment="1" applyProtection="1">
      <alignment horizontal="right" vertical="center"/>
      <protection hidden="1"/>
    </xf>
    <xf numFmtId="0" fontId="30" fillId="2" borderId="10" xfId="0" applyFont="1" applyFill="1" applyBorder="1" applyAlignment="1">
      <alignment vertical="center" wrapText="1"/>
    </xf>
    <xf numFmtId="44" fontId="17" fillId="6" borderId="16" xfId="14" applyFont="1" applyFill="1" applyBorder="1" applyAlignment="1">
      <alignment vertical="center"/>
    </xf>
    <xf numFmtId="44" fontId="17" fillId="6" borderId="13" xfId="14" applyFont="1" applyFill="1" applyBorder="1" applyAlignment="1">
      <alignment vertical="center"/>
    </xf>
    <xf numFmtId="44" fontId="30" fillId="0" borderId="4" xfId="14" applyFont="1" applyBorder="1" applyAlignment="1">
      <alignment horizontal="right" vertical="center"/>
    </xf>
    <xf numFmtId="44" fontId="17" fillId="0" borderId="13" xfId="14" applyFont="1" applyBorder="1" applyAlignment="1">
      <alignment vertical="center"/>
    </xf>
    <xf numFmtId="0" fontId="29" fillId="0" borderId="16" xfId="0" applyFont="1" applyBorder="1"/>
    <xf numFmtId="0" fontId="0" fillId="0" borderId="0" xfId="0" applyFont="1"/>
    <xf numFmtId="44" fontId="30" fillId="0" borderId="0" xfId="14" applyFont="1" applyAlignment="1">
      <alignment horizontal="right" vertical="center"/>
    </xf>
    <xf numFmtId="44" fontId="30" fillId="0" borderId="0" xfId="14" applyFont="1" applyAlignment="1">
      <alignment vertical="center"/>
    </xf>
    <xf numFmtId="0" fontId="6" fillId="2" borderId="1" xfId="0" applyFont="1" applyFill="1" applyBorder="1" applyAlignment="1" applyProtection="1">
      <alignment horizontal="right"/>
      <protection hidden="1"/>
    </xf>
    <xf numFmtId="0" fontId="17" fillId="0" borderId="0" xfId="0" applyFont="1" applyFill="1" applyBorder="1" applyAlignment="1">
      <alignment vertical="center"/>
    </xf>
    <xf numFmtId="44" fontId="17" fillId="0" borderId="3" xfId="14" applyFont="1" applyBorder="1" applyAlignment="1">
      <alignment vertical="center"/>
    </xf>
    <xf numFmtId="44" fontId="30" fillId="0" borderId="3" xfId="14" applyFont="1" applyBorder="1" applyAlignment="1">
      <alignment horizontal="right" vertical="center"/>
    </xf>
    <xf numFmtId="0" fontId="29" fillId="0" borderId="9" xfId="0" applyFont="1" applyBorder="1"/>
    <xf numFmtId="44" fontId="17" fillId="0" borderId="12" xfId="14" applyFont="1" applyBorder="1" applyAlignment="1">
      <alignment vertical="center"/>
    </xf>
    <xf numFmtId="0" fontId="6" fillId="2" borderId="17" xfId="0" applyFont="1" applyFill="1" applyBorder="1" applyAlignment="1" applyProtection="1">
      <alignment horizontal="right"/>
      <protection hidden="1"/>
    </xf>
    <xf numFmtId="0" fontId="0" fillId="0" borderId="18" xfId="0" applyBorder="1"/>
    <xf numFmtId="44" fontId="17" fillId="0" borderId="19" xfId="14" applyFont="1" applyBorder="1" applyAlignment="1">
      <alignment vertical="center"/>
    </xf>
    <xf numFmtId="0" fontId="29" fillId="0" borderId="18" xfId="0" applyFont="1" applyBorder="1"/>
    <xf numFmtId="44" fontId="30" fillId="0" borderId="19" xfId="14" applyFont="1" applyBorder="1" applyAlignment="1">
      <alignment horizontal="right" vertical="center"/>
    </xf>
    <xf numFmtId="0" fontId="29" fillId="0" borderId="20" xfId="0" applyFont="1" applyBorder="1"/>
    <xf numFmtId="44" fontId="17" fillId="0" borderId="21" xfId="14" applyFont="1" applyBorder="1" applyAlignment="1">
      <alignment vertical="center"/>
    </xf>
    <xf numFmtId="0" fontId="6" fillId="2" borderId="1" xfId="0" applyFont="1" applyFill="1" applyBorder="1" applyAlignment="1" applyProtection="1">
      <alignment horizontal="left"/>
      <protection hidden="1"/>
    </xf>
    <xf numFmtId="0" fontId="6" fillId="2" borderId="2" xfId="0" applyFont="1" applyFill="1" applyBorder="1" applyAlignment="1" applyProtection="1">
      <alignment horizontal="left"/>
      <protection hidden="1"/>
    </xf>
    <xf numFmtId="0" fontId="10" fillId="0" borderId="4" xfId="1" quotePrefix="1" applyFont="1" applyFill="1" applyBorder="1" applyAlignment="1" applyProtection="1">
      <alignment vertical="center" wrapText="1"/>
      <protection hidden="1"/>
    </xf>
    <xf numFmtId="0" fontId="10" fillId="2" borderId="2" xfId="1" applyFont="1" applyFill="1" applyBorder="1" applyProtection="1">
      <protection hidden="1"/>
    </xf>
    <xf numFmtId="165" fontId="6" fillId="0" borderId="0" xfId="0" applyNumberFormat="1" applyFont="1" applyFill="1" applyBorder="1" applyAlignment="1" applyProtection="1">
      <alignment horizontal="right" vertical="center"/>
      <protection hidden="1"/>
    </xf>
    <xf numFmtId="0" fontId="3" fillId="2" borderId="13" xfId="0" applyFont="1" applyFill="1" applyBorder="1" applyAlignment="1" applyProtection="1">
      <alignment horizontal="right" vertical="center"/>
      <protection hidden="1"/>
    </xf>
    <xf numFmtId="168" fontId="3" fillId="5" borderId="4" xfId="6" applyNumberFormat="1" applyFont="1" applyFill="1" applyBorder="1" applyAlignment="1" applyProtection="1">
      <alignment vertical="center"/>
      <protection hidden="1"/>
    </xf>
    <xf numFmtId="168" fontId="3" fillId="5" borderId="3" xfId="6" applyNumberFormat="1" applyFont="1" applyFill="1" applyBorder="1" applyAlignment="1" applyProtection="1">
      <alignment vertical="center"/>
      <protection hidden="1"/>
    </xf>
    <xf numFmtId="0" fontId="10" fillId="0" borderId="1" xfId="1" quotePrefix="1" applyFont="1" applyFill="1" applyBorder="1" applyAlignment="1" applyProtection="1">
      <alignment vertical="center"/>
      <protection hidden="1"/>
    </xf>
    <xf numFmtId="0" fontId="3" fillId="0" borderId="4" xfId="0" applyFont="1" applyBorder="1" applyAlignment="1" applyProtection="1">
      <alignment vertical="center"/>
      <protection hidden="1"/>
    </xf>
    <xf numFmtId="165" fontId="3" fillId="4" borderId="5" xfId="0" applyNumberFormat="1" applyFont="1" applyFill="1" applyBorder="1" applyAlignment="1" applyProtection="1">
      <alignment vertical="center"/>
      <protection hidden="1"/>
    </xf>
    <xf numFmtId="165" fontId="3" fillId="0" borderId="4" xfId="0" applyNumberFormat="1" applyFont="1" applyFill="1" applyBorder="1" applyAlignment="1" applyProtection="1">
      <alignment vertical="center"/>
      <protection hidden="1"/>
    </xf>
    <xf numFmtId="0" fontId="53" fillId="3" borderId="4" xfId="0" applyFont="1" applyFill="1" applyBorder="1" applyAlignment="1" applyProtection="1">
      <alignment horizontal="left" vertical="center"/>
      <protection locked="0"/>
    </xf>
    <xf numFmtId="0" fontId="53" fillId="3" borderId="4" xfId="6" applyNumberFormat="1" applyFont="1" applyFill="1" applyBorder="1" applyAlignment="1" applyProtection="1">
      <alignment horizontal="left" vertical="center"/>
      <protection locked="0"/>
    </xf>
    <xf numFmtId="0" fontId="53" fillId="3" borderId="1" xfId="6" applyNumberFormat="1" applyFont="1" applyFill="1" applyBorder="1" applyAlignment="1" applyProtection="1">
      <alignment horizontal="left" vertical="center"/>
      <protection locked="0"/>
    </xf>
    <xf numFmtId="0" fontId="53" fillId="3" borderId="2" xfId="6" applyNumberFormat="1" applyFont="1" applyFill="1" applyBorder="1" applyAlignment="1" applyProtection="1">
      <alignment horizontal="left" vertical="center"/>
      <protection locked="0"/>
    </xf>
    <xf numFmtId="0" fontId="53" fillId="3" borderId="3" xfId="6" applyNumberFormat="1" applyFont="1" applyFill="1" applyBorder="1" applyAlignment="1" applyProtection="1">
      <alignment horizontal="left" vertical="center"/>
      <protection locked="0"/>
    </xf>
    <xf numFmtId="44" fontId="50" fillId="3" borderId="4" xfId="11" applyFont="1" applyFill="1" applyBorder="1" applyAlignment="1" applyProtection="1">
      <alignment vertical="center"/>
      <protection locked="0"/>
    </xf>
    <xf numFmtId="44" fontId="50" fillId="0" borderId="4" xfId="11" applyFont="1" applyFill="1" applyBorder="1" applyAlignment="1" applyProtection="1">
      <alignment horizontal="right" vertical="center"/>
      <protection locked="0"/>
    </xf>
    <xf numFmtId="0" fontId="50" fillId="5" borderId="4" xfId="0" applyFont="1" applyFill="1" applyBorder="1" applyAlignment="1" applyProtection="1">
      <alignment horizontal="right" vertical="center"/>
      <protection hidden="1"/>
    </xf>
    <xf numFmtId="7" fontId="50" fillId="0" borderId="4" xfId="11" applyNumberFormat="1" applyFont="1" applyFill="1" applyBorder="1" applyAlignment="1" applyProtection="1">
      <alignment vertical="center"/>
      <protection hidden="1"/>
    </xf>
    <xf numFmtId="165" fontId="50" fillId="11" borderId="5" xfId="0" applyNumberFormat="1" applyFont="1" applyFill="1" applyBorder="1" applyAlignment="1" applyProtection="1">
      <alignment vertical="center"/>
      <protection hidden="1"/>
    </xf>
    <xf numFmtId="165" fontId="60" fillId="2" borderId="8" xfId="0" applyNumberFormat="1" applyFont="1" applyFill="1" applyBorder="1" applyAlignment="1" applyProtection="1">
      <alignment horizontal="right"/>
      <protection hidden="1"/>
    </xf>
    <xf numFmtId="165" fontId="60" fillId="2" borderId="7" xfId="0" applyNumberFormat="1" applyFont="1" applyFill="1" applyBorder="1" applyAlignment="1" applyProtection="1">
      <alignment horizontal="right"/>
      <protection hidden="1"/>
    </xf>
    <xf numFmtId="165" fontId="7" fillId="2" borderId="9" xfId="0" applyNumberFormat="1" applyFont="1" applyFill="1" applyBorder="1" applyAlignment="1" applyProtection="1">
      <alignment horizontal="left"/>
      <protection hidden="1"/>
    </xf>
    <xf numFmtId="172" fontId="3" fillId="3" borderId="4" xfId="11" applyNumberFormat="1" applyFont="1" applyFill="1" applyBorder="1" applyAlignment="1" applyProtection="1">
      <alignment horizontal="right" vertical="center"/>
      <protection locked="0"/>
    </xf>
    <xf numFmtId="172" fontId="3" fillId="3" borderId="4" xfId="11" applyNumberFormat="1" applyFont="1" applyFill="1" applyBorder="1" applyAlignment="1" applyProtection="1">
      <alignment vertical="center"/>
      <protection locked="0"/>
    </xf>
    <xf numFmtId="165" fontId="6" fillId="2" borderId="0" xfId="0" applyNumberFormat="1" applyFont="1" applyFill="1" applyBorder="1" applyAlignment="1" applyProtection="1">
      <alignment horizontal="center" vertical="center"/>
      <protection hidden="1"/>
    </xf>
    <xf numFmtId="44" fontId="6" fillId="0" borderId="4" xfId="10" applyNumberFormat="1" applyFont="1" applyFill="1" applyBorder="1" applyAlignment="1" applyProtection="1">
      <alignment horizontal="right" vertical="center"/>
      <protection hidden="1"/>
    </xf>
    <xf numFmtId="0" fontId="21" fillId="5" borderId="4" xfId="0" applyFont="1" applyFill="1" applyBorder="1" applyAlignment="1" applyProtection="1">
      <alignment horizontal="right" vertical="center"/>
      <protection hidden="1"/>
    </xf>
    <xf numFmtId="169" fontId="21" fillId="5" borderId="4" xfId="6" applyNumberFormat="1" applyFont="1" applyFill="1" applyBorder="1" applyAlignment="1" applyProtection="1">
      <alignment horizontal="right" vertical="center"/>
      <protection hidden="1"/>
    </xf>
    <xf numFmtId="0" fontId="3" fillId="5" borderId="4" xfId="0" applyFont="1" applyFill="1" applyBorder="1" applyAlignment="1" applyProtection="1">
      <alignment horizontal="right" vertical="center"/>
      <protection hidden="1"/>
    </xf>
    <xf numFmtId="7" fontId="3" fillId="5" borderId="4" xfId="11" applyNumberFormat="1" applyFont="1" applyFill="1" applyBorder="1" applyAlignment="1" applyProtection="1">
      <alignment horizontal="right" vertical="center"/>
      <protection hidden="1"/>
    </xf>
    <xf numFmtId="0" fontId="3" fillId="0" borderId="4" xfId="0" applyFont="1" applyFill="1" applyBorder="1" applyAlignment="1" applyProtection="1">
      <alignment horizontal="right" vertical="center"/>
      <protection hidden="1"/>
    </xf>
    <xf numFmtId="172" fontId="6" fillId="6" borderId="5" xfId="0" applyNumberFormat="1" applyFont="1" applyFill="1" applyBorder="1" applyAlignment="1" applyProtection="1">
      <alignment vertical="center"/>
      <protection hidden="1"/>
    </xf>
    <xf numFmtId="169" fontId="3" fillId="5" borderId="4" xfId="6" applyNumberFormat="1" applyFont="1" applyFill="1" applyBorder="1" applyAlignment="1" applyProtection="1">
      <alignment horizontal="right" vertical="center"/>
      <protection hidden="1"/>
    </xf>
    <xf numFmtId="44" fontId="3" fillId="5" borderId="4" xfId="11" applyFont="1" applyFill="1" applyBorder="1" applyAlignment="1" applyProtection="1">
      <alignment horizontal="right" vertical="center"/>
      <protection hidden="1"/>
    </xf>
    <xf numFmtId="165" fontId="6" fillId="6" borderId="5" xfId="0" applyNumberFormat="1" applyFont="1" applyFill="1" applyBorder="1" applyAlignment="1" applyProtection="1">
      <alignment vertical="center"/>
      <protection hidden="1"/>
    </xf>
    <xf numFmtId="0" fontId="52" fillId="2" borderId="13" xfId="0" applyFont="1" applyFill="1" applyBorder="1" applyProtection="1">
      <protection hidden="1"/>
    </xf>
    <xf numFmtId="165" fontId="52" fillId="2" borderId="13" xfId="0" applyNumberFormat="1" applyFont="1" applyFill="1" applyBorder="1" applyAlignment="1" applyProtection="1">
      <alignment horizontal="left"/>
      <protection hidden="1"/>
    </xf>
    <xf numFmtId="165" fontId="52" fillId="2" borderId="10" xfId="0" applyNumberFormat="1" applyFont="1" applyFill="1" applyBorder="1" applyProtection="1">
      <protection hidden="1"/>
    </xf>
    <xf numFmtId="165" fontId="52" fillId="2" borderId="11" xfId="0" applyNumberFormat="1" applyFont="1" applyFill="1" applyBorder="1" applyProtection="1">
      <protection hidden="1"/>
    </xf>
    <xf numFmtId="165" fontId="52" fillId="2" borderId="12" xfId="0" applyNumberFormat="1" applyFont="1" applyFill="1" applyBorder="1" applyProtection="1">
      <protection hidden="1"/>
    </xf>
    <xf numFmtId="165" fontId="50" fillId="2" borderId="8" xfId="0" applyNumberFormat="1" applyFont="1" applyFill="1" applyBorder="1" applyProtection="1">
      <protection hidden="1"/>
    </xf>
    <xf numFmtId="165" fontId="59" fillId="2" borderId="8" xfId="0" applyNumberFormat="1" applyFont="1" applyFill="1" applyBorder="1" applyProtection="1">
      <protection hidden="1"/>
    </xf>
    <xf numFmtId="165" fontId="59" fillId="2" borderId="9" xfId="0" applyNumberFormat="1" applyFont="1" applyFill="1" applyBorder="1" applyProtection="1">
      <protection hidden="1"/>
    </xf>
    <xf numFmtId="0" fontId="61" fillId="2" borderId="1" xfId="0" applyFont="1" applyFill="1" applyBorder="1" applyAlignment="1" applyProtection="1">
      <alignment vertical="center"/>
      <protection hidden="1"/>
    </xf>
    <xf numFmtId="0" fontId="61" fillId="2" borderId="1" xfId="0" applyFont="1" applyFill="1" applyBorder="1" applyProtection="1">
      <protection hidden="1"/>
    </xf>
    <xf numFmtId="165" fontId="7" fillId="2" borderId="1" xfId="0" applyNumberFormat="1" applyFont="1" applyFill="1" applyBorder="1" applyAlignment="1" applyProtection="1">
      <alignment vertical="center"/>
      <protection hidden="1"/>
    </xf>
    <xf numFmtId="174" fontId="30" fillId="0" borderId="3" xfId="0" applyNumberFormat="1" applyFont="1" applyBorder="1" applyAlignment="1" applyProtection="1">
      <alignment horizontal="left" vertical="center"/>
      <protection hidden="1"/>
    </xf>
    <xf numFmtId="0" fontId="30" fillId="0" borderId="1" xfId="16" applyNumberFormat="1" applyFont="1" applyBorder="1" applyAlignment="1" applyProtection="1">
      <alignment vertical="center"/>
      <protection hidden="1"/>
    </xf>
    <xf numFmtId="0" fontId="17" fillId="0" borderId="4" xfId="0" applyFont="1" applyBorder="1" applyAlignment="1" applyProtection="1">
      <alignment horizontal="right" vertical="center"/>
      <protection hidden="1"/>
    </xf>
    <xf numFmtId="0" fontId="28" fillId="2" borderId="0" xfId="0" applyFont="1" applyFill="1" applyAlignment="1" applyProtection="1">
      <alignment horizontal="center" vertical="center"/>
      <protection hidden="1"/>
    </xf>
    <xf numFmtId="0" fontId="28" fillId="2" borderId="14" xfId="0" applyFont="1" applyFill="1" applyBorder="1" applyAlignment="1" applyProtection="1">
      <alignment horizontal="center" vertical="center"/>
      <protection hidden="1"/>
    </xf>
    <xf numFmtId="0" fontId="17" fillId="0" borderId="0" xfId="0" applyFont="1" applyAlignment="1" applyProtection="1">
      <alignment wrapText="1"/>
      <protection hidden="1"/>
    </xf>
    <xf numFmtId="1" fontId="62" fillId="0" borderId="6" xfId="0" applyNumberFormat="1" applyFont="1" applyBorder="1" applyProtection="1">
      <protection hidden="1"/>
    </xf>
    <xf numFmtId="1" fontId="19" fillId="0" borderId="6" xfId="0" applyNumberFormat="1" applyFont="1" applyBorder="1" applyProtection="1">
      <protection hidden="1"/>
    </xf>
    <xf numFmtId="1" fontId="19" fillId="0" borderId="6" xfId="0" applyNumberFormat="1" applyFont="1" applyBorder="1" applyAlignment="1" applyProtection="1">
      <alignment horizontal="right"/>
      <protection hidden="1"/>
    </xf>
    <xf numFmtId="1" fontId="10" fillId="0" borderId="6" xfId="0" applyNumberFormat="1" applyFont="1" applyBorder="1" applyProtection="1">
      <protection hidden="1"/>
    </xf>
    <xf numFmtId="0" fontId="19" fillId="0" borderId="0" xfId="0" applyFont="1" applyProtection="1">
      <protection hidden="1"/>
    </xf>
    <xf numFmtId="0" fontId="17" fillId="0" borderId="0" xfId="0" applyFont="1" applyAlignment="1" applyProtection="1">
      <alignment wrapText="1"/>
      <protection locked="0"/>
    </xf>
    <xf numFmtId="0" fontId="17" fillId="0" borderId="0" xfId="0" applyFont="1" applyProtection="1">
      <protection locked="0"/>
    </xf>
    <xf numFmtId="174" fontId="30" fillId="0" borderId="8" xfId="0" applyNumberFormat="1" applyFont="1" applyBorder="1" applyAlignment="1" applyProtection="1">
      <alignment horizontal="left" vertical="center"/>
      <protection hidden="1"/>
    </xf>
    <xf numFmtId="174" fontId="30" fillId="0" borderId="8" xfId="0" applyNumberFormat="1" applyFont="1" applyBorder="1" applyAlignment="1" applyProtection="1">
      <alignment horizontal="right" vertical="center"/>
      <protection hidden="1"/>
    </xf>
    <xf numFmtId="3" fontId="17" fillId="0" borderId="8" xfId="0" applyNumberFormat="1" applyFont="1" applyBorder="1" applyAlignment="1" applyProtection="1">
      <alignment horizontal="right" vertical="center"/>
      <protection hidden="1"/>
    </xf>
    <xf numFmtId="174" fontId="30" fillId="0" borderId="1" xfId="0" applyNumberFormat="1" applyFont="1" applyBorder="1" applyAlignment="1" applyProtection="1">
      <alignment horizontal="right" vertical="center"/>
      <protection hidden="1"/>
    </xf>
    <xf numFmtId="3" fontId="17" fillId="0" borderId="4" xfId="0" applyNumberFormat="1" applyFont="1" applyBorder="1" applyAlignment="1" applyProtection="1">
      <alignment horizontal="right" vertical="center"/>
      <protection hidden="1"/>
    </xf>
    <xf numFmtId="0" fontId="30" fillId="0" borderId="0" xfId="0" applyFont="1" applyProtection="1">
      <protection hidden="1"/>
    </xf>
    <xf numFmtId="0" fontId="28" fillId="2" borderId="8" xfId="0" applyFont="1" applyFill="1" applyBorder="1" applyAlignment="1" applyProtection="1">
      <alignment horizontal="right" vertical="center" wrapText="1"/>
      <protection hidden="1"/>
    </xf>
    <xf numFmtId="0" fontId="30" fillId="0" borderId="0" xfId="9" applyFont="1" applyAlignment="1" applyProtection="1">
      <alignment horizontal="left" vertical="center"/>
      <protection hidden="1"/>
    </xf>
    <xf numFmtId="0" fontId="63" fillId="0" borderId="0" xfId="0" applyFont="1" applyAlignment="1" applyProtection="1">
      <alignment horizontal="right" vertical="center"/>
      <protection hidden="1"/>
    </xf>
    <xf numFmtId="0" fontId="30" fillId="0" borderId="14" xfId="9" applyFont="1" applyBorder="1" applyAlignment="1" applyProtection="1">
      <alignment vertical="center"/>
      <protection hidden="1"/>
    </xf>
    <xf numFmtId="0" fontId="30" fillId="0" borderId="3" xfId="9" applyFont="1" applyBorder="1" applyAlignment="1" applyProtection="1">
      <alignment vertical="center"/>
      <protection hidden="1"/>
    </xf>
    <xf numFmtId="0" fontId="21" fillId="0" borderId="2" xfId="9" applyFont="1" applyBorder="1" applyAlignment="1" applyProtection="1">
      <alignment vertical="center"/>
      <protection hidden="1"/>
    </xf>
    <xf numFmtId="0" fontId="63" fillId="0" borderId="1" xfId="0" applyFont="1" applyBorder="1" applyAlignment="1" applyProtection="1">
      <alignment horizontal="right" vertical="center"/>
      <protection hidden="1"/>
    </xf>
    <xf numFmtId="175" fontId="64" fillId="0" borderId="4" xfId="0" applyNumberFormat="1" applyFont="1" applyBorder="1" applyAlignment="1" applyProtection="1">
      <alignment horizontal="right" vertical="center"/>
      <protection hidden="1"/>
    </xf>
    <xf numFmtId="0" fontId="17" fillId="0" borderId="3" xfId="0" applyFont="1" applyBorder="1" applyAlignment="1" applyProtection="1">
      <alignment horizontal="right" vertical="center"/>
      <protection hidden="1"/>
    </xf>
    <xf numFmtId="0" fontId="17" fillId="0" borderId="1" xfId="0" applyFont="1" applyBorder="1" applyAlignment="1" applyProtection="1">
      <alignment horizontal="center" vertical="center"/>
      <protection hidden="1"/>
    </xf>
    <xf numFmtId="176" fontId="17" fillId="7" borderId="4" xfId="17" applyNumberFormat="1" applyFont="1" applyFill="1" applyBorder="1" applyAlignment="1" applyProtection="1">
      <alignment horizontal="right" vertical="center" wrapText="1"/>
      <protection locked="0"/>
    </xf>
    <xf numFmtId="3" fontId="30" fillId="5" borderId="4" xfId="0" quotePrefix="1" applyNumberFormat="1" applyFont="1" applyFill="1" applyBorder="1" applyAlignment="1" applyProtection="1">
      <alignment horizontal="right" vertical="center" wrapText="1"/>
      <protection hidden="1"/>
    </xf>
    <xf numFmtId="0" fontId="28" fillId="2" borderId="3" xfId="0" applyFont="1" applyFill="1" applyBorder="1" applyAlignment="1" applyProtection="1">
      <alignment horizontal="right" vertical="center" wrapText="1"/>
      <protection hidden="1"/>
    </xf>
    <xf numFmtId="177" fontId="30" fillId="4" borderId="4" xfId="8" quotePrefix="1" applyNumberFormat="1" applyFont="1" applyFill="1" applyBorder="1" applyAlignment="1" applyProtection="1">
      <alignment horizontal="right" vertical="center" wrapText="1"/>
      <protection hidden="1"/>
    </xf>
    <xf numFmtId="164" fontId="19" fillId="0" borderId="0" xfId="8" applyFont="1" applyAlignment="1" applyProtection="1">
      <alignment horizontal="left"/>
      <protection hidden="1"/>
    </xf>
    <xf numFmtId="0" fontId="17" fillId="2" borderId="0" xfId="0" applyFont="1" applyFill="1" applyProtection="1">
      <protection hidden="1"/>
    </xf>
    <xf numFmtId="0" fontId="3" fillId="2" borderId="0" xfId="0" applyFont="1" applyFill="1" applyProtection="1">
      <protection hidden="1"/>
    </xf>
    <xf numFmtId="0" fontId="21" fillId="2" borderId="0" xfId="0" applyFont="1" applyFill="1" applyAlignment="1" applyProtection="1">
      <alignment vertical="center"/>
      <protection hidden="1"/>
    </xf>
    <xf numFmtId="0" fontId="28" fillId="2" borderId="0" xfId="0" applyFont="1" applyFill="1" applyAlignment="1" applyProtection="1">
      <alignment vertical="center"/>
      <protection hidden="1"/>
    </xf>
    <xf numFmtId="0" fontId="65"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0" fontId="66" fillId="5" borderId="0" xfId="0" applyFont="1" applyFill="1" applyProtection="1">
      <protection hidden="1"/>
    </xf>
    <xf numFmtId="0" fontId="66" fillId="5" borderId="0" xfId="0" applyFont="1" applyFill="1" applyProtection="1">
      <protection locked="0"/>
    </xf>
    <xf numFmtId="0" fontId="67" fillId="5" borderId="0" xfId="0" quotePrefix="1" applyFont="1" applyFill="1" applyAlignment="1" applyProtection="1">
      <alignment vertical="center"/>
      <protection locked="0"/>
    </xf>
    <xf numFmtId="0" fontId="67" fillId="5" borderId="0" xfId="0" applyFont="1" applyFill="1" applyAlignment="1" applyProtection="1">
      <alignment horizontal="center" vertical="center"/>
      <protection locked="0"/>
    </xf>
    <xf numFmtId="164" fontId="67" fillId="5" borderId="0" xfId="8" applyFont="1" applyFill="1" applyBorder="1" applyAlignment="1" applyProtection="1">
      <alignment horizontal="right" vertical="center"/>
      <protection locked="0"/>
    </xf>
    <xf numFmtId="0" fontId="67" fillId="5" borderId="0" xfId="0" applyFont="1" applyFill="1" applyAlignment="1" applyProtection="1">
      <alignment horizontal="right" vertical="center"/>
      <protection locked="0"/>
    </xf>
    <xf numFmtId="0" fontId="67" fillId="5" borderId="0" xfId="0" applyFont="1" applyFill="1" applyAlignment="1" applyProtection="1">
      <alignment vertical="center"/>
      <protection locked="0"/>
    </xf>
    <xf numFmtId="164" fontId="67" fillId="5" borderId="0" xfId="8" applyFont="1" applyFill="1" applyBorder="1" applyAlignment="1" applyProtection="1">
      <alignment horizontal="center" vertical="center"/>
      <protection locked="0"/>
    </xf>
    <xf numFmtId="1" fontId="67" fillId="5" borderId="0" xfId="0" applyNumberFormat="1" applyFont="1" applyFill="1" applyAlignment="1" applyProtection="1">
      <alignment horizontal="center" vertical="center"/>
      <protection locked="0"/>
    </xf>
    <xf numFmtId="1" fontId="67" fillId="5" borderId="0" xfId="0" applyNumberFormat="1" applyFont="1" applyFill="1" applyAlignment="1" applyProtection="1">
      <alignment horizontal="right" vertical="center"/>
      <protection locked="0"/>
    </xf>
    <xf numFmtId="0" fontId="66" fillId="5" borderId="0" xfId="0" applyFont="1" applyFill="1" applyAlignment="1" applyProtection="1">
      <alignment horizontal="center" vertical="center"/>
      <protection locked="0"/>
    </xf>
    <xf numFmtId="178" fontId="67" fillId="5" borderId="0" xfId="8" applyNumberFormat="1" applyFont="1" applyFill="1" applyBorder="1" applyAlignment="1" applyProtection="1">
      <alignment horizontal="right" vertical="center"/>
      <protection locked="0"/>
    </xf>
    <xf numFmtId="1" fontId="67" fillId="5" borderId="0" xfId="17" applyNumberFormat="1" applyFont="1" applyFill="1" applyBorder="1" applyAlignment="1" applyProtection="1">
      <alignment horizontal="center" vertical="center"/>
      <protection locked="0"/>
    </xf>
    <xf numFmtId="0" fontId="68" fillId="5" borderId="0" xfId="0" applyFont="1" applyFill="1" applyAlignment="1" applyProtection="1">
      <alignment horizontal="left" vertical="center"/>
      <protection locked="0"/>
    </xf>
    <xf numFmtId="0" fontId="67" fillId="5" borderId="0" xfId="0" applyFont="1" applyFill="1" applyProtection="1">
      <protection locked="0"/>
    </xf>
    <xf numFmtId="0" fontId="67" fillId="5" borderId="0" xfId="0" applyFont="1" applyFill="1" applyProtection="1">
      <protection hidden="1"/>
    </xf>
    <xf numFmtId="166" fontId="67" fillId="5" borderId="0" xfId="17" applyFont="1" applyFill="1" applyBorder="1" applyAlignment="1" applyProtection="1">
      <alignment horizontal="right"/>
      <protection locked="0"/>
    </xf>
    <xf numFmtId="2" fontId="67" fillId="5" borderId="0" xfId="0" applyNumberFormat="1" applyFont="1" applyFill="1" applyProtection="1">
      <protection locked="0"/>
    </xf>
    <xf numFmtId="0" fontId="67" fillId="5" borderId="0" xfId="0" applyFont="1" applyFill="1" applyAlignment="1" applyProtection="1">
      <alignment wrapText="1"/>
      <protection locked="0"/>
    </xf>
    <xf numFmtId="166" fontId="67" fillId="5" borderId="0" xfId="17" applyFont="1" applyFill="1" applyBorder="1" applyAlignment="1" applyProtection="1">
      <alignment vertical="center"/>
      <protection locked="0"/>
    </xf>
    <xf numFmtId="0" fontId="67" fillId="5" borderId="0" xfId="0" applyFont="1" applyFill="1" applyAlignment="1" applyProtection="1">
      <alignment vertical="center" wrapText="1"/>
      <protection locked="0"/>
    </xf>
    <xf numFmtId="166" fontId="68" fillId="5" borderId="0" xfId="17" applyFont="1" applyFill="1" applyBorder="1" applyAlignment="1" applyProtection="1">
      <alignment vertical="center"/>
      <protection locked="0"/>
    </xf>
    <xf numFmtId="0" fontId="68" fillId="5" borderId="0" xfId="0" applyFont="1" applyFill="1" applyAlignment="1" applyProtection="1">
      <alignment horizontal="right" vertical="center"/>
      <protection locked="0"/>
    </xf>
    <xf numFmtId="0" fontId="68" fillId="5" borderId="0" xfId="0" applyFont="1" applyFill="1" applyAlignment="1" applyProtection="1">
      <alignment vertical="center"/>
      <protection locked="0"/>
    </xf>
    <xf numFmtId="175" fontId="69" fillId="5" borderId="0" xfId="0" applyNumberFormat="1" applyFont="1" applyFill="1" applyAlignment="1" applyProtection="1">
      <alignment horizontal="right" vertical="center"/>
      <protection locked="0"/>
    </xf>
    <xf numFmtId="174" fontId="69" fillId="5" borderId="0" xfId="0" applyNumberFormat="1" applyFont="1" applyFill="1" applyAlignment="1" applyProtection="1">
      <alignment horizontal="right" vertical="center"/>
      <protection locked="0"/>
    </xf>
    <xf numFmtId="177" fontId="69" fillId="5" borderId="0" xfId="8" applyNumberFormat="1" applyFont="1" applyFill="1" applyBorder="1" applyAlignment="1" applyProtection="1">
      <alignment horizontal="right" vertical="center"/>
      <protection locked="0"/>
    </xf>
    <xf numFmtId="0" fontId="69" fillId="5" borderId="0" xfId="0" applyFont="1" applyFill="1" applyAlignment="1" applyProtection="1">
      <alignment horizontal="center" vertical="center"/>
      <protection locked="0"/>
    </xf>
    <xf numFmtId="0" fontId="67" fillId="5" borderId="0" xfId="0" applyFont="1" applyFill="1" applyAlignment="1" applyProtection="1">
      <alignment vertical="center"/>
      <protection hidden="1"/>
    </xf>
    <xf numFmtId="0" fontId="70" fillId="5" borderId="0" xfId="0" applyFont="1" applyFill="1" applyAlignment="1" applyProtection="1">
      <alignment vertical="center"/>
      <protection hidden="1"/>
    </xf>
    <xf numFmtId="0" fontId="72" fillId="5" borderId="0" xfId="0" applyFont="1" applyFill="1" applyAlignment="1" applyProtection="1">
      <alignment vertical="center"/>
      <protection hidden="1"/>
    </xf>
    <xf numFmtId="1" fontId="69" fillId="5" borderId="0" xfId="0" applyNumberFormat="1" applyFont="1" applyFill="1" applyAlignment="1" applyProtection="1">
      <alignment horizontal="right" vertical="center"/>
      <protection hidden="1"/>
    </xf>
    <xf numFmtId="175" fontId="69" fillId="5" borderId="0" xfId="0" applyNumberFormat="1" applyFont="1" applyFill="1" applyAlignment="1" applyProtection="1">
      <alignment horizontal="right" vertical="center"/>
      <protection hidden="1"/>
    </xf>
    <xf numFmtId="174" fontId="67" fillId="5" borderId="0" xfId="0" applyNumberFormat="1" applyFont="1" applyFill="1" applyAlignment="1" applyProtection="1">
      <alignment horizontal="right" vertical="center" wrapText="1"/>
      <protection hidden="1"/>
    </xf>
    <xf numFmtId="164" fontId="67" fillId="5" borderId="0" xfId="8" applyFont="1" applyFill="1" applyBorder="1" applyAlignment="1" applyProtection="1">
      <alignment horizontal="right" vertical="center" wrapText="1"/>
      <protection hidden="1"/>
    </xf>
    <xf numFmtId="0" fontId="67" fillId="5" borderId="0" xfId="0" applyFont="1" applyFill="1" applyAlignment="1" applyProtection="1">
      <alignment horizontal="center" vertical="center"/>
      <protection hidden="1"/>
    </xf>
    <xf numFmtId="0" fontId="68" fillId="5" borderId="0" xfId="0" applyFont="1" applyFill="1" applyAlignment="1" applyProtection="1">
      <alignment horizontal="left" vertical="center"/>
      <protection hidden="1"/>
    </xf>
    <xf numFmtId="0" fontId="67" fillId="5" borderId="0" xfId="0" applyFont="1" applyFill="1" applyAlignment="1" applyProtection="1">
      <alignment wrapText="1"/>
      <protection hidden="1"/>
    </xf>
    <xf numFmtId="0" fontId="38" fillId="0" borderId="0" xfId="0" applyFont="1" applyAlignment="1" applyProtection="1">
      <alignment vertical="center"/>
      <protection hidden="1"/>
    </xf>
    <xf numFmtId="0" fontId="55" fillId="0" borderId="4" xfId="0" applyFont="1" applyBorder="1" applyAlignment="1" applyProtection="1">
      <alignment vertical="center"/>
      <protection hidden="1"/>
    </xf>
    <xf numFmtId="165" fontId="55" fillId="8" borderId="5" xfId="0" applyNumberFormat="1" applyFont="1" applyFill="1" applyBorder="1" applyAlignment="1" applyProtection="1">
      <alignment vertical="center"/>
      <protection hidden="1"/>
    </xf>
    <xf numFmtId="8" fontId="55" fillId="0" borderId="0" xfId="0" applyNumberFormat="1" applyFont="1" applyAlignment="1" applyProtection="1">
      <alignment vertical="center"/>
      <protection hidden="1"/>
    </xf>
    <xf numFmtId="0" fontId="59" fillId="0" borderId="0" xfId="0" applyFont="1" applyAlignment="1" applyProtection="1">
      <alignment vertical="center"/>
      <protection hidden="1"/>
    </xf>
    <xf numFmtId="0" fontId="55" fillId="0" borderId="0" xfId="0" applyFont="1" applyAlignment="1" applyProtection="1">
      <alignment vertical="center"/>
      <protection hidden="1"/>
    </xf>
    <xf numFmtId="0" fontId="36" fillId="0" borderId="0" xfId="0" applyFont="1" applyAlignment="1" applyProtection="1">
      <alignment vertical="center"/>
      <protection hidden="1"/>
    </xf>
    <xf numFmtId="44" fontId="17" fillId="0" borderId="4" xfId="14" applyNumberFormat="1" applyFont="1" applyBorder="1" applyAlignment="1">
      <alignment vertical="center"/>
    </xf>
    <xf numFmtId="165" fontId="3" fillId="7" borderId="5" xfId="0" applyNumberFormat="1" applyFont="1" applyFill="1" applyBorder="1" applyAlignment="1" applyProtection="1">
      <alignment vertical="center"/>
      <protection locked="0"/>
    </xf>
    <xf numFmtId="9" fontId="3" fillId="7" borderId="4" xfId="10" applyFont="1" applyFill="1" applyBorder="1" applyAlignment="1" applyProtection="1">
      <alignment vertical="center"/>
      <protection locked="0"/>
    </xf>
    <xf numFmtId="2" fontId="10" fillId="5" borderId="4" xfId="7" applyNumberFormat="1" applyFont="1" applyFill="1" applyBorder="1" applyAlignment="1" applyProtection="1">
      <alignment horizontal="right" vertical="center"/>
      <protection hidden="1"/>
    </xf>
    <xf numFmtId="0" fontId="30" fillId="0" borderId="0" xfId="0" applyFont="1" applyAlignment="1">
      <alignment vertical="center"/>
    </xf>
    <xf numFmtId="44" fontId="10" fillId="0" borderId="4" xfId="11" applyFont="1" applyFill="1" applyBorder="1" applyAlignment="1" applyProtection="1">
      <alignment vertical="center"/>
      <protection hidden="1"/>
    </xf>
    <xf numFmtId="169" fontId="50" fillId="5" borderId="4" xfId="6" applyNumberFormat="1" applyFont="1" applyFill="1" applyBorder="1" applyAlignment="1" applyProtection="1">
      <alignment horizontal="right" vertical="center"/>
      <protection hidden="1"/>
    </xf>
    <xf numFmtId="0" fontId="17" fillId="0" borderId="16" xfId="0" applyFont="1" applyBorder="1" applyAlignment="1">
      <alignment horizontal="center" vertical="top"/>
    </xf>
    <xf numFmtId="0" fontId="17" fillId="0" borderId="13" xfId="0" applyFont="1" applyBorder="1" applyAlignment="1">
      <alignment horizontal="center" vertical="top"/>
    </xf>
    <xf numFmtId="0" fontId="6" fillId="7" borderId="1" xfId="0" applyFont="1" applyFill="1" applyBorder="1" applyAlignment="1" applyProtection="1">
      <alignment horizontal="left"/>
      <protection locked="0"/>
    </xf>
    <xf numFmtId="0" fontId="6" fillId="7" borderId="2" xfId="0" applyFont="1" applyFill="1" applyBorder="1" applyAlignment="1" applyProtection="1">
      <alignment horizontal="left"/>
      <protection locked="0"/>
    </xf>
    <xf numFmtId="0" fontId="6" fillId="7" borderId="3" xfId="0" applyFont="1" applyFill="1" applyBorder="1" applyAlignment="1" applyProtection="1">
      <alignment horizontal="left"/>
      <protection locked="0"/>
    </xf>
    <xf numFmtId="0" fontId="33" fillId="0" borderId="4" xfId="0" applyFont="1" applyBorder="1" applyAlignment="1">
      <alignment horizontal="left" vertical="top" wrapText="1"/>
    </xf>
    <xf numFmtId="165" fontId="11" fillId="2" borderId="0" xfId="0" applyNumberFormat="1" applyFont="1" applyFill="1" applyAlignment="1">
      <alignment horizontal="right" wrapText="1"/>
    </xf>
    <xf numFmtId="0" fontId="41" fillId="0" borderId="0" xfId="0" applyFont="1" applyAlignment="1">
      <alignment horizontal="right" wrapText="1"/>
    </xf>
    <xf numFmtId="165" fontId="11" fillId="2" borderId="14" xfId="0" applyNumberFormat="1" applyFont="1" applyFill="1" applyBorder="1" applyAlignment="1">
      <alignment horizontal="center"/>
    </xf>
    <xf numFmtId="165" fontId="11" fillId="2" borderId="15" xfId="0" applyNumberFormat="1" applyFont="1" applyFill="1" applyBorder="1" applyAlignment="1">
      <alignment horizontal="center"/>
    </xf>
    <xf numFmtId="173" fontId="20" fillId="3" borderId="1" xfId="6" applyNumberFormat="1" applyFont="1" applyFill="1" applyBorder="1" applyAlignment="1" applyProtection="1">
      <alignment horizontal="left"/>
      <protection locked="0"/>
    </xf>
    <xf numFmtId="173" fontId="20" fillId="3" borderId="2" xfId="6" applyNumberFormat="1" applyFont="1" applyFill="1" applyBorder="1" applyAlignment="1" applyProtection="1">
      <alignment horizontal="left"/>
      <protection locked="0"/>
    </xf>
    <xf numFmtId="173" fontId="20" fillId="3" borderId="3" xfId="6" applyNumberFormat="1" applyFont="1" applyFill="1" applyBorder="1" applyAlignment="1" applyProtection="1">
      <alignment horizontal="left"/>
      <protection locked="0"/>
    </xf>
    <xf numFmtId="165" fontId="56" fillId="2" borderId="0" xfId="0" applyNumberFormat="1" applyFont="1" applyFill="1" applyAlignment="1" applyProtection="1">
      <alignment horizontal="right" wrapText="1"/>
      <protection hidden="1"/>
    </xf>
    <xf numFmtId="0" fontId="51" fillId="0" borderId="0" xfId="0" applyFont="1" applyAlignment="1" applyProtection="1">
      <alignment horizontal="right" wrapText="1"/>
      <protection hidden="1"/>
    </xf>
    <xf numFmtId="165" fontId="56" fillId="2" borderId="14" xfId="0" applyNumberFormat="1" applyFont="1" applyFill="1" applyBorder="1" applyAlignment="1" applyProtection="1">
      <alignment horizontal="center"/>
      <protection hidden="1"/>
    </xf>
    <xf numFmtId="165" fontId="56" fillId="2" borderId="15" xfId="0" applyNumberFormat="1" applyFont="1" applyFill="1" applyBorder="1" applyAlignment="1" applyProtection="1">
      <alignment horizontal="center"/>
      <protection hidden="1"/>
    </xf>
    <xf numFmtId="165" fontId="56" fillId="2" borderId="11" xfId="0" applyNumberFormat="1" applyFont="1" applyFill="1" applyBorder="1" applyAlignment="1" applyProtection="1">
      <alignment horizontal="right" wrapText="1"/>
      <protection hidden="1"/>
    </xf>
    <xf numFmtId="0" fontId="50" fillId="0" borderId="7" xfId="0" applyFont="1" applyBorder="1" applyAlignment="1" applyProtection="1">
      <alignment horizontal="left" vertical="top" wrapText="1"/>
      <protection hidden="1"/>
    </xf>
    <xf numFmtId="0" fontId="50" fillId="0" borderId="8" xfId="0" applyFont="1" applyBorder="1" applyAlignment="1" applyProtection="1">
      <alignment horizontal="left" vertical="top" wrapText="1"/>
      <protection hidden="1"/>
    </xf>
    <xf numFmtId="0" fontId="50" fillId="0" borderId="9" xfId="0" applyFont="1" applyBorder="1" applyAlignment="1" applyProtection="1">
      <alignment horizontal="left" vertical="top" wrapText="1"/>
      <protection hidden="1"/>
    </xf>
    <xf numFmtId="0" fontId="50" fillId="0" borderId="10" xfId="0" applyFont="1" applyBorder="1" applyAlignment="1" applyProtection="1">
      <alignment horizontal="left" vertical="top" wrapText="1"/>
      <protection hidden="1"/>
    </xf>
    <xf numFmtId="0" fontId="50" fillId="0" borderId="11" xfId="0" applyFont="1" applyBorder="1" applyAlignment="1" applyProtection="1">
      <alignment horizontal="left" vertical="top" wrapText="1"/>
      <protection hidden="1"/>
    </xf>
    <xf numFmtId="0" fontId="50" fillId="0" borderId="12" xfId="0" applyFont="1" applyBorder="1" applyAlignment="1" applyProtection="1">
      <alignment horizontal="left" vertical="top" wrapText="1"/>
      <protection hidden="1"/>
    </xf>
    <xf numFmtId="0" fontId="53" fillId="3" borderId="1" xfId="6" applyNumberFormat="1" applyFont="1" applyFill="1" applyBorder="1" applyAlignment="1" applyProtection="1">
      <alignment horizontal="left" vertical="center"/>
      <protection locked="0"/>
    </xf>
    <xf numFmtId="0" fontId="53" fillId="3" borderId="2" xfId="6" applyNumberFormat="1" applyFont="1" applyFill="1" applyBorder="1" applyAlignment="1" applyProtection="1">
      <alignment horizontal="left" vertical="center"/>
      <protection locked="0"/>
    </xf>
    <xf numFmtId="0" fontId="53" fillId="3" borderId="3" xfId="6" applyNumberFormat="1" applyFont="1" applyFill="1" applyBorder="1" applyAlignment="1" applyProtection="1">
      <alignment horizontal="left" vertical="center"/>
      <protection locked="0"/>
    </xf>
    <xf numFmtId="165" fontId="31" fillId="0" borderId="1" xfId="1" applyNumberFormat="1" applyFont="1" applyFill="1" applyBorder="1" applyAlignment="1" applyProtection="1">
      <alignment horizontal="left" vertical="top" wrapText="1"/>
      <protection hidden="1"/>
    </xf>
    <xf numFmtId="165" fontId="31" fillId="0" borderId="2" xfId="1" applyNumberFormat="1" applyFont="1" applyFill="1" applyBorder="1" applyAlignment="1" applyProtection="1">
      <alignment horizontal="left" vertical="top" wrapText="1"/>
      <protection hidden="1"/>
    </xf>
    <xf numFmtId="165" fontId="31" fillId="0" borderId="3" xfId="1" applyNumberFormat="1" applyFont="1" applyFill="1" applyBorder="1" applyAlignment="1" applyProtection="1">
      <alignment horizontal="left" vertical="top" wrapText="1"/>
      <protection hidden="1"/>
    </xf>
    <xf numFmtId="0" fontId="28" fillId="2" borderId="1" xfId="0" applyFont="1" applyFill="1" applyBorder="1" applyAlignment="1" applyProtection="1">
      <alignment horizontal="right" vertical="center" wrapText="1"/>
      <protection hidden="1"/>
    </xf>
    <xf numFmtId="0" fontId="28" fillId="2" borderId="3" xfId="0" applyFont="1" applyFill="1" applyBorder="1" applyAlignment="1" applyProtection="1">
      <alignment horizontal="right" vertical="center" wrapText="1"/>
      <protection hidden="1"/>
    </xf>
    <xf numFmtId="0" fontId="17" fillId="0" borderId="1" xfId="0" applyFont="1" applyBorder="1" applyAlignment="1" applyProtection="1">
      <alignment horizontal="right" vertical="center"/>
      <protection hidden="1"/>
    </xf>
    <xf numFmtId="0" fontId="17" fillId="0" borderId="3" xfId="0" applyFont="1" applyBorder="1" applyAlignment="1" applyProtection="1">
      <alignment horizontal="right" vertical="center"/>
      <protection hidden="1"/>
    </xf>
    <xf numFmtId="0" fontId="28" fillId="0" borderId="1" xfId="0" applyFont="1" applyBorder="1" applyAlignment="1" applyProtection="1">
      <alignment horizontal="right" vertical="center"/>
      <protection hidden="1"/>
    </xf>
    <xf numFmtId="0" fontId="28" fillId="0" borderId="3" xfId="0" applyFont="1" applyBorder="1" applyAlignment="1" applyProtection="1">
      <alignment horizontal="right" vertical="center"/>
      <protection hidden="1"/>
    </xf>
    <xf numFmtId="0" fontId="28" fillId="2" borderId="1" xfId="0" applyFont="1" applyFill="1" applyBorder="1" applyAlignment="1" applyProtection="1">
      <alignment horizontal="left" vertical="center" wrapText="1"/>
      <protection hidden="1"/>
    </xf>
    <xf numFmtId="0" fontId="28" fillId="2" borderId="3" xfId="0" applyFont="1" applyFill="1" applyBorder="1" applyAlignment="1" applyProtection="1">
      <alignment horizontal="left" vertical="center" wrapText="1"/>
      <protection hidden="1"/>
    </xf>
    <xf numFmtId="0" fontId="28" fillId="0" borderId="4" xfId="0" applyFont="1" applyBorder="1" applyAlignment="1" applyProtection="1">
      <alignment horizontal="right" vertical="center"/>
      <protection hidden="1"/>
    </xf>
    <xf numFmtId="0" fontId="28" fillId="0" borderId="8" xfId="0" applyFont="1" applyBorder="1" applyAlignment="1" applyProtection="1">
      <alignment horizontal="right" vertical="center"/>
      <protection hidden="1"/>
    </xf>
    <xf numFmtId="0" fontId="73" fillId="5" borderId="0" xfId="0" applyFont="1" applyFill="1" applyAlignment="1" applyProtection="1">
      <alignment vertical="center"/>
      <protection hidden="1"/>
    </xf>
    <xf numFmtId="0" fontId="70" fillId="5" borderId="0" xfId="0" applyFont="1" applyFill="1" applyAlignment="1" applyProtection="1">
      <alignment horizontal="left" vertical="top" wrapText="1"/>
      <protection hidden="1"/>
    </xf>
  </cellXfs>
  <cellStyles count="18">
    <cellStyle name="Komma" xfId="6" builtinId="3"/>
    <cellStyle name="Komma 2" xfId="7" xr:uid="{00000000-0005-0000-0000-000001000000}"/>
    <cellStyle name="Komma 2 2" xfId="17" xr:uid="{4030555B-B39E-4FA0-B744-AC60770068CE}"/>
    <cellStyle name="Komma 3" xfId="2" xr:uid="{00000000-0005-0000-0000-000002000000}"/>
    <cellStyle name="Komma 4" xfId="12" xr:uid="{00000000-0005-0000-0000-000003000000}"/>
    <cellStyle name="Procent" xfId="10" builtinId="5"/>
    <cellStyle name="Procent 2" xfId="13" xr:uid="{00000000-0005-0000-0000-000005000000}"/>
    <cellStyle name="Procent 2 2" xfId="16" xr:uid="{25FBA01B-B988-4605-9058-87515B53FC32}"/>
    <cellStyle name="Procent 3" xfId="4" xr:uid="{00000000-0005-0000-0000-000006000000}"/>
    <cellStyle name="Standaard" xfId="0" builtinId="0"/>
    <cellStyle name="Standaard 3" xfId="9" xr:uid="{00000000-0005-0000-0000-000008000000}"/>
    <cellStyle name="Standaard 4" xfId="1" xr:uid="{00000000-0005-0000-0000-000009000000}"/>
    <cellStyle name="Standaard 5" xfId="5" xr:uid="{00000000-0005-0000-0000-00000A000000}"/>
    <cellStyle name="Valuta" xfId="14" builtinId="4"/>
    <cellStyle name="Valuta 2" xfId="8" xr:uid="{00000000-0005-0000-0000-00000C000000}"/>
    <cellStyle name="Valuta 2 4" xfId="15" xr:uid="{17E56779-51E4-4EE5-B425-D59599AF8958}"/>
    <cellStyle name="Valuta 3" xfId="11" xr:uid="{00000000-0005-0000-0000-00000D000000}"/>
    <cellStyle name="Valuta 4" xfId="3" xr:uid="{00000000-0005-0000-0000-00000E000000}"/>
  </cellStyles>
  <dxfs count="104">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ont>
        <color theme="0"/>
      </font>
      <fill>
        <patternFill>
          <bgColor rgb="FFC0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64.133387678690596</c:v>
                </c:pt>
                <c:pt idx="1">
                  <c:v>64.581720332706951</c:v>
                </c:pt>
                <c:pt idx="2">
                  <c:v>65.030052986723319</c:v>
                </c:pt>
                <c:pt idx="3">
                  <c:v>65.926718294756057</c:v>
                </c:pt>
                <c:pt idx="4">
                  <c:v>67.720048910821532</c:v>
                </c:pt>
                <c:pt idx="5">
                  <c:v>69.513379526886993</c:v>
                </c:pt>
                <c:pt idx="6">
                  <c:v>71.306710142952483</c:v>
                </c:pt>
                <c:pt idx="7">
                  <c:v>73.100040759017944</c:v>
                </c:pt>
                <c:pt idx="8">
                  <c:v>74.893371375083419</c:v>
                </c:pt>
                <c:pt idx="9">
                  <c:v>76.68670199114888</c:v>
                </c:pt>
                <c:pt idx="10">
                  <c:v>78.480032607214355</c:v>
                </c:pt>
                <c:pt idx="11">
                  <c:v>80.27336322327983</c:v>
                </c:pt>
                <c:pt idx="12">
                  <c:v>82.066693839345277</c:v>
                </c:pt>
                <c:pt idx="13">
                  <c:v>83.86002445541078</c:v>
                </c:pt>
                <c:pt idx="14">
                  <c:v>85.653355071476227</c:v>
                </c:pt>
                <c:pt idx="15">
                  <c:v>87.446685687541716</c:v>
                </c:pt>
                <c:pt idx="16">
                  <c:v>89.240016303607177</c:v>
                </c:pt>
                <c:pt idx="17">
                  <c:v>91.033346919672638</c:v>
                </c:pt>
                <c:pt idx="18">
                  <c:v>92.826677535738114</c:v>
                </c:pt>
                <c:pt idx="19">
                  <c:v>94.620008151803574</c:v>
                </c:pt>
                <c:pt idx="20">
                  <c:v>96.413338767869064</c:v>
                </c:pt>
                <c:pt idx="21">
                  <c:v>98.206669383934525</c:v>
                </c:pt>
                <c:pt idx="22">
                  <c:v>100</c:v>
                </c:pt>
              </c:numCache>
            </c:numRef>
          </c:xVal>
          <c:yVal>
            <c:numRef>
              <c:f>DATA!$D$19:$Z$19</c:f>
              <c:numCache>
                <c:formatCode>_(* #,##0.00_);_(* \(#,##0.00\);_(* "-"??_);_(@_)</c:formatCode>
                <c:ptCount val="23"/>
                <c:pt idx="0">
                  <c:v>0</c:v>
                </c:pt>
                <c:pt idx="1">
                  <c:v>1465351.9360857469</c:v>
                </c:pt>
                <c:pt idx="2">
                  <c:v>1752943.3463533209</c:v>
                </c:pt>
                <c:pt idx="3">
                  <c:v>2093342.8318736444</c:v>
                </c:pt>
                <c:pt idx="4">
                  <c:v>2491151.3768746308</c:v>
                </c:pt>
                <c:pt idx="5">
                  <c:v>2750029.2453408251</c:v>
                </c:pt>
                <c:pt idx="6">
                  <c:v>2943830.2345958035</c:v>
                </c:pt>
                <c:pt idx="7">
                  <c:v>3098581.9710253999</c:v>
                </c:pt>
                <c:pt idx="8">
                  <c:v>3226838.0549481036</c:v>
                </c:pt>
                <c:pt idx="9">
                  <c:v>3335723.9520448297</c:v>
                </c:pt>
                <c:pt idx="10">
                  <c:v>3429718.9330638344</c:v>
                </c:pt>
                <c:pt idx="11">
                  <c:v>3511845.0541723082</c:v>
                </c:pt>
                <c:pt idx="12">
                  <c:v>3584250.2823539753</c:v>
                </c:pt>
                <c:pt idx="13">
                  <c:v>3648523.8489532317</c:v>
                </c:pt>
                <c:pt idx="14">
                  <c:v>3705879.7912910003</c:v>
                </c:pt>
                <c:pt idx="15">
                  <c:v>3757270.0899018138</c:v>
                </c:pt>
                <c:pt idx="16">
                  <c:v>3803457.7052331339</c:v>
                </c:pt>
                <c:pt idx="17">
                  <c:v>3845065.5544580705</c:v>
                </c:pt>
                <c:pt idx="18">
                  <c:v>3882610.4175346121</c:v>
                </c:pt>
                <c:pt idx="19">
                  <c:v>3916527.0545133846</c:v>
                </c:pt>
                <c:pt idx="20">
                  <c:v>3947185.7646553782</c:v>
                </c:pt>
                <c:pt idx="21">
                  <c:v>3974905.4322459428</c:v>
                </c:pt>
                <c:pt idx="22">
                  <c:v>3999963.3925961163</c:v>
                </c:pt>
              </c:numCache>
            </c:numRef>
          </c:yVal>
          <c:smooth val="0"/>
          <c:extLst>
            <c:ext xmlns:c16="http://schemas.microsoft.com/office/drawing/2014/chart" uri="{C3380CC4-5D6E-409C-BE32-E72D297353CC}">
              <c16:uniqueId val="{00000000-6AC2-4480-B6FA-D43C2DD9262A}"/>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73.720048910821546</c:v>
                </c:pt>
                <c:pt idx="1">
                  <c:v>74.048548299436263</c:v>
                </c:pt>
                <c:pt idx="2">
                  <c:v>74.377047688051007</c:v>
                </c:pt>
                <c:pt idx="3">
                  <c:v>75.034046465280468</c:v>
                </c:pt>
                <c:pt idx="4">
                  <c:v>76.34804401973939</c:v>
                </c:pt>
                <c:pt idx="5">
                  <c:v>77.662041574198298</c:v>
                </c:pt>
                <c:pt idx="6">
                  <c:v>78.976039128657234</c:v>
                </c:pt>
                <c:pt idx="7">
                  <c:v>80.290036683116156</c:v>
                </c:pt>
                <c:pt idx="8">
                  <c:v>81.604034237575078</c:v>
                </c:pt>
                <c:pt idx="9">
                  <c:v>82.918031792034014</c:v>
                </c:pt>
                <c:pt idx="10">
                  <c:v>84.232029346492922</c:v>
                </c:pt>
                <c:pt idx="11">
                  <c:v>85.546026900951844</c:v>
                </c:pt>
                <c:pt idx="12">
                  <c:v>86.86002445541078</c:v>
                </c:pt>
                <c:pt idx="13">
                  <c:v>88.174022009869702</c:v>
                </c:pt>
                <c:pt idx="14">
                  <c:v>89.488019564328624</c:v>
                </c:pt>
                <c:pt idx="15">
                  <c:v>90.802017118787532</c:v>
                </c:pt>
                <c:pt idx="16">
                  <c:v>92.116014673246454</c:v>
                </c:pt>
                <c:pt idx="17">
                  <c:v>93.43001222770539</c:v>
                </c:pt>
                <c:pt idx="18">
                  <c:v>94.744009782164312</c:v>
                </c:pt>
                <c:pt idx="19">
                  <c:v>96.058007336623234</c:v>
                </c:pt>
                <c:pt idx="20">
                  <c:v>97.372004891082156</c:v>
                </c:pt>
                <c:pt idx="21">
                  <c:v>98.686002445541078</c:v>
                </c:pt>
                <c:pt idx="22">
                  <c:v>100</c:v>
                </c:pt>
              </c:numCache>
            </c:numRef>
          </c:xVal>
          <c:yVal>
            <c:numRef>
              <c:f>DATA!$D$22:$Z$22</c:f>
              <c:numCache>
                <c:formatCode>_(* #,##0.00_);_(* \(#,##0.00\);_(* "-"??_);_(@_)</c:formatCode>
                <c:ptCount val="23"/>
                <c:pt idx="0">
                  <c:v>0</c:v>
                </c:pt>
                <c:pt idx="1">
                  <c:v>1250293.6982055297</c:v>
                </c:pt>
                <c:pt idx="2">
                  <c:v>1496159.2057108853</c:v>
                </c:pt>
                <c:pt idx="3">
                  <c:v>1787848.093149391</c:v>
                </c:pt>
                <c:pt idx="4">
                  <c:v>2130362.9973234367</c:v>
                </c:pt>
                <c:pt idx="5">
                  <c:v>2354817.685144336</c:v>
                </c:pt>
                <c:pt idx="6">
                  <c:v>2524074.8196134898</c:v>
                </c:pt>
                <c:pt idx="7">
                  <c:v>2660263.6041018004</c:v>
                </c:pt>
                <c:pt idx="8">
                  <c:v>2774045.1056191325</c:v>
                </c:pt>
                <c:pt idx="9">
                  <c:v>2871463.174798687</c:v>
                </c:pt>
                <c:pt idx="10">
                  <c:v>2956312.0833318685</c:v>
                </c:pt>
                <c:pt idx="11">
                  <c:v>3031147.9684429192</c:v>
                </c:pt>
                <c:pt idx="12">
                  <c:v>3097784.6632408551</c:v>
                </c:pt>
                <c:pt idx="13">
                  <c:v>3157561.7217750899</c:v>
                </c:pt>
                <c:pt idx="14">
                  <c:v>3211500.3460674924</c:v>
                </c:pt>
                <c:pt idx="15">
                  <c:v>3260399.4599348982</c:v>
                </c:pt>
                <c:pt idx="16">
                  <c:v>3304897.7042580065</c:v>
                </c:pt>
                <c:pt idx="17">
                  <c:v>3345514.9930258882</c:v>
                </c:pt>
                <c:pt idx="18">
                  <c:v>3382681.271451789</c:v>
                </c:pt>
                <c:pt idx="19">
                  <c:v>3416756.9649466062</c:v>
                </c:pt>
                <c:pt idx="20">
                  <c:v>3448047.8636420579</c:v>
                </c:pt>
                <c:pt idx="21">
                  <c:v>3476816.1793665579</c:v>
                </c:pt>
                <c:pt idx="22">
                  <c:v>3503288.9074605913</c:v>
                </c:pt>
              </c:numCache>
            </c:numRef>
          </c:yVal>
          <c:smooth val="0"/>
          <c:extLst>
            <c:ext xmlns:c16="http://schemas.microsoft.com/office/drawing/2014/chart" uri="{C3380CC4-5D6E-409C-BE32-E72D297353CC}">
              <c16:uniqueId val="{00000001-6AC2-4480-B6FA-D43C2DD9262A}"/>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83.306710142952483</c:v>
                </c:pt>
                <c:pt idx="1">
                  <c:v>83.515376266165575</c:v>
                </c:pt>
                <c:pt idx="2">
                  <c:v>83.724042389378667</c:v>
                </c:pt>
                <c:pt idx="3">
                  <c:v>84.141374635804866</c:v>
                </c:pt>
                <c:pt idx="4">
                  <c:v>84.976039128657234</c:v>
                </c:pt>
                <c:pt idx="5">
                  <c:v>85.810703621509603</c:v>
                </c:pt>
                <c:pt idx="6">
                  <c:v>86.645368114362</c:v>
                </c:pt>
                <c:pt idx="7">
                  <c:v>87.480032607214369</c:v>
                </c:pt>
                <c:pt idx="8">
                  <c:v>88.314697100066738</c:v>
                </c:pt>
                <c:pt idx="9">
                  <c:v>89.149361592919121</c:v>
                </c:pt>
                <c:pt idx="10">
                  <c:v>89.98402608577149</c:v>
                </c:pt>
                <c:pt idx="11">
                  <c:v>90.818690578623858</c:v>
                </c:pt>
                <c:pt idx="12">
                  <c:v>91.653355071476241</c:v>
                </c:pt>
                <c:pt idx="13">
                  <c:v>92.488019564328624</c:v>
                </c:pt>
                <c:pt idx="14">
                  <c:v>93.322684057180993</c:v>
                </c:pt>
                <c:pt idx="15">
                  <c:v>94.157348550033376</c:v>
                </c:pt>
                <c:pt idx="16">
                  <c:v>94.992013042885745</c:v>
                </c:pt>
                <c:pt idx="17">
                  <c:v>95.826677535738114</c:v>
                </c:pt>
                <c:pt idx="18">
                  <c:v>96.661342028590497</c:v>
                </c:pt>
                <c:pt idx="19">
                  <c:v>97.496006521442879</c:v>
                </c:pt>
                <c:pt idx="20">
                  <c:v>98.330671014295262</c:v>
                </c:pt>
                <c:pt idx="21">
                  <c:v>99.165335507147617</c:v>
                </c:pt>
                <c:pt idx="22">
                  <c:v>100</c:v>
                </c:pt>
              </c:numCache>
            </c:numRef>
          </c:xVal>
          <c:yVal>
            <c:numRef>
              <c:f>DATA!$D$25:$Z$25</c:f>
              <c:numCache>
                <c:formatCode>_(* #,##0.00_);_(* \(#,##0.00\);_(* "-"??_);_(@_)</c:formatCode>
                <c:ptCount val="23"/>
                <c:pt idx="0">
                  <c:v>0</c:v>
                </c:pt>
                <c:pt idx="1">
                  <c:v>1018455.5563469367</c:v>
                </c:pt>
                <c:pt idx="2">
                  <c:v>1219221.2887816213</c:v>
                </c:pt>
                <c:pt idx="3">
                  <c:v>1458093.4848646165</c:v>
                </c:pt>
                <c:pt idx="4">
                  <c:v>1740247.1848333646</c:v>
                </c:pt>
                <c:pt idx="5">
                  <c:v>1926728.0578378043</c:v>
                </c:pt>
                <c:pt idx="6">
                  <c:v>2068589.0035688176</c:v>
                </c:pt>
                <c:pt idx="7">
                  <c:v>2183777.4545526188</c:v>
                </c:pt>
                <c:pt idx="8">
                  <c:v>2280928.1522580674</c:v>
                </c:pt>
                <c:pt idx="9">
                  <c:v>2364929.3581459806</c:v>
                </c:pt>
                <c:pt idx="10">
                  <c:v>2438845.355662527</c:v>
                </c:pt>
                <c:pt idx="11">
                  <c:v>2504737.2615398858</c:v>
                </c:pt>
                <c:pt idx="12">
                  <c:v>2564065.1764237732</c:v>
                </c:pt>
                <c:pt idx="13">
                  <c:v>2617905.4491284527</c:v>
                </c:pt>
                <c:pt idx="14">
                  <c:v>2667077.0028810748</c:v>
                </c:pt>
                <c:pt idx="15">
                  <c:v>2712219.1279185913</c:v>
                </c:pt>
                <c:pt idx="16">
                  <c:v>2753841.6527034831</c:v>
                </c:pt>
                <c:pt idx="17">
                  <c:v>2792358.55601484</c:v>
                </c:pt>
                <c:pt idx="18">
                  <c:v>2828111.2152047637</c:v>
                </c:pt>
                <c:pt idx="19">
                  <c:v>2861384.928672289</c:v>
                </c:pt>
                <c:pt idx="20">
                  <c:v>2892420.9362770314</c:v>
                </c:pt>
                <c:pt idx="21">
                  <c:v>2921425.3444244177</c:v>
                </c:pt>
                <c:pt idx="22">
                  <c:v>2948575.872637603</c:v>
                </c:pt>
              </c:numCache>
            </c:numRef>
          </c:yVal>
          <c:smooth val="0"/>
          <c:extLst>
            <c:ext xmlns:c16="http://schemas.microsoft.com/office/drawing/2014/chart" uri="{C3380CC4-5D6E-409C-BE32-E72D297353CC}">
              <c16:uniqueId val="{00000002-6AC2-4480-B6FA-D43C2DD9262A}"/>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92.893371375083404</c:v>
                </c:pt>
                <c:pt idx="1">
                  <c:v>92.982204232894873</c:v>
                </c:pt>
                <c:pt idx="2">
                  <c:v>93.071037090706326</c:v>
                </c:pt>
                <c:pt idx="3">
                  <c:v>93.248702806329248</c:v>
                </c:pt>
                <c:pt idx="4">
                  <c:v>93.604034237575078</c:v>
                </c:pt>
                <c:pt idx="5">
                  <c:v>93.959365668820908</c:v>
                </c:pt>
                <c:pt idx="6">
                  <c:v>94.314697100066738</c:v>
                </c:pt>
                <c:pt idx="7">
                  <c:v>94.670028531312553</c:v>
                </c:pt>
                <c:pt idx="8">
                  <c:v>95.025359962558397</c:v>
                </c:pt>
                <c:pt idx="9">
                  <c:v>95.380691393804227</c:v>
                </c:pt>
                <c:pt idx="10">
                  <c:v>95.736022825050043</c:v>
                </c:pt>
                <c:pt idx="11">
                  <c:v>96.091354256295887</c:v>
                </c:pt>
                <c:pt idx="12">
                  <c:v>96.446685687541716</c:v>
                </c:pt>
                <c:pt idx="13">
                  <c:v>96.802017118787532</c:v>
                </c:pt>
                <c:pt idx="14">
                  <c:v>97.157348550033376</c:v>
                </c:pt>
                <c:pt idx="15">
                  <c:v>97.512679981279192</c:v>
                </c:pt>
                <c:pt idx="16">
                  <c:v>97.868011412525021</c:v>
                </c:pt>
                <c:pt idx="17">
                  <c:v>98.223342843770851</c:v>
                </c:pt>
                <c:pt idx="18">
                  <c:v>98.578674275016681</c:v>
                </c:pt>
                <c:pt idx="19">
                  <c:v>98.934005706262511</c:v>
                </c:pt>
                <c:pt idx="20">
                  <c:v>99.289337137508355</c:v>
                </c:pt>
                <c:pt idx="21">
                  <c:v>99.64466856875417</c:v>
                </c:pt>
                <c:pt idx="22">
                  <c:v>100</c:v>
                </c:pt>
              </c:numCache>
            </c:numRef>
          </c:xVal>
          <c:yVal>
            <c:numRef>
              <c:f>DATA!$D$28:$Z$28</c:f>
              <c:numCache>
                <c:formatCode>_(* #,##0.00_);_(* \(#,##0.00\);_(* "-"??_);_(@_)</c:formatCode>
                <c:ptCount val="23"/>
                <c:pt idx="0">
                  <c:v>0</c:v>
                </c:pt>
                <c:pt idx="1">
                  <c:v>738757.92782526324</c:v>
                </c:pt>
                <c:pt idx="2">
                  <c:v>884844.68954458192</c:v>
                </c:pt>
                <c:pt idx="3">
                  <c:v>1059300.7514804895</c:v>
                </c:pt>
                <c:pt idx="4">
                  <c:v>1266909.8161216639</c:v>
                </c:pt>
                <c:pt idx="5">
                  <c:v>1405590.1350927325</c:v>
                </c:pt>
                <c:pt idx="6">
                  <c:v>1512232.5791304631</c:v>
                </c:pt>
                <c:pt idx="7">
                  <c:v>1599784.0045479895</c:v>
                </c:pt>
                <c:pt idx="8">
                  <c:v>1674463.0678088579</c:v>
                </c:pt>
                <c:pt idx="9">
                  <c:v>1739784.4361863236</c:v>
                </c:pt>
                <c:pt idx="10">
                  <c:v>1797947.6348660276</c:v>
                </c:pt>
                <c:pt idx="11">
                  <c:v>1850429.574974102</c:v>
                </c:pt>
                <c:pt idx="12">
                  <c:v>1898274.6472274135</c:v>
                </c:pt>
                <c:pt idx="13">
                  <c:v>1942251.3340122742</c:v>
                </c:pt>
                <c:pt idx="14">
                  <c:v>1982943.2049919195</c:v>
                </c:pt>
                <c:pt idx="15">
                  <c:v>2020804.9130603794</c:v>
                </c:pt>
                <c:pt idx="16">
                  <c:v>2056198.2825884887</c:v>
                </c:pt>
                <c:pt idx="17">
                  <c:v>2089416.4696190432</c:v>
                </c:pt>
                <c:pt idx="18">
                  <c:v>2120700.6608452862</c:v>
                </c:pt>
                <c:pt idx="19">
                  <c:v>2150251.9332105992</c:v>
                </c:pt>
                <c:pt idx="20">
                  <c:v>2178239.8759617293</c:v>
                </c:pt>
                <c:pt idx="21">
                  <c:v>2204808.9880127348</c:v>
                </c:pt>
                <c:pt idx="22">
                  <c:v>2230083.5104309171</c:v>
                </c:pt>
              </c:numCache>
            </c:numRef>
          </c:yVal>
          <c:smooth val="0"/>
          <c:extLst>
            <c:ext xmlns:c16="http://schemas.microsoft.com/office/drawing/2014/chart" uri="{C3380CC4-5D6E-409C-BE32-E72D297353CC}">
              <c16:uniqueId val="{00000003-6AC2-4480-B6FA-D43C2DD9262A}"/>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7000000.0000000019</c:v>
                </c:pt>
              </c:numCache>
            </c:numRef>
          </c:yVal>
          <c:smooth val="0"/>
          <c:extLst>
            <c:ext xmlns:c16="http://schemas.microsoft.com/office/drawing/2014/chart" uri="{C3380CC4-5D6E-409C-BE32-E72D297353CC}">
              <c16:uniqueId val="{00000004-6AC2-4480-B6FA-D43C2DD9262A}"/>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7000000.0000000019</c:v>
                </c:pt>
              </c:numCache>
            </c:numRef>
          </c:yVal>
          <c:smooth val="0"/>
          <c:extLst>
            <c:ext xmlns:c16="http://schemas.microsoft.com/office/drawing/2014/chart" uri="{C3380CC4-5D6E-409C-BE32-E72D297353CC}">
              <c16:uniqueId val="{00000005-6AC2-4480-B6FA-D43C2DD9262A}"/>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AC2-4480-B6FA-D43C2DD9262A}"/>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3500000</c:v>
                </c:pt>
              </c:numCache>
            </c:numRef>
          </c:yVal>
          <c:smooth val="0"/>
          <c:extLst>
            <c:ext xmlns:c16="http://schemas.microsoft.com/office/drawing/2014/chart" uri="{C3380CC4-5D6E-409C-BE32-E72D297353CC}">
              <c16:uniqueId val="{00000007-6AC2-4480-B6FA-D43C2DD9262A}"/>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6AC2-4480-B6FA-D43C2DD9262A}"/>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4000000</c:v>
                </c:pt>
              </c:numCache>
            </c:numRef>
          </c:yVal>
          <c:smooth val="0"/>
          <c:extLst>
            <c:ext xmlns:c16="http://schemas.microsoft.com/office/drawing/2014/chart" uri="{C3380CC4-5D6E-409C-BE32-E72D297353CC}">
              <c16:uniqueId val="{00000009-6AC2-4480-B6FA-D43C2DD9262A}"/>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AC2-4480-B6FA-D43C2DD9262A}"/>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6AC2-4480-B6FA-D43C2DD9262A}"/>
            </c:ext>
          </c:extLst>
        </c:ser>
        <c:ser>
          <c:idx val="3"/>
          <c:order val="9"/>
          <c:tx>
            <c:strRef>
              <c:f>DATA!$G$41</c:f>
              <c:strCache>
                <c:ptCount val="1"/>
                <c:pt idx="0">
                  <c:v>450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6AC2-4480-B6FA-D43C2DD9262A}"/>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6AC2-4480-B6FA-D43C2DD9262A}"/>
            </c:ext>
          </c:extLst>
        </c:ser>
        <c:ser>
          <c:idx val="5"/>
          <c:order val="10"/>
          <c:tx>
            <c:strRef>
              <c:f>DATA!$G$40</c:f>
              <c:strCache>
                <c:ptCount val="1"/>
                <c:pt idx="0">
                  <c:v>750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AC2-4480-B6FA-D43C2DD9262A}"/>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6AC2-4480-B6FA-D43C2DD9262A}"/>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7000000.0000000019</c:v>
                </c:pt>
              </c:numCache>
            </c:numRef>
          </c:yVal>
          <c:smooth val="0"/>
          <c:extLst>
            <c:ext xmlns:c16="http://schemas.microsoft.com/office/drawing/2014/chart" uri="{C3380CC4-5D6E-409C-BE32-E72D297353CC}">
              <c16:uniqueId val="{00000010-6AC2-4480-B6FA-D43C2DD9262A}"/>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-1.3333333333333335</c:v>
                </c:pt>
                <c:pt idx="1">
                  <c:v>-1.3333333333333335</c:v>
                </c:pt>
              </c:numCache>
            </c:numRef>
          </c:xVal>
          <c:yVal>
            <c:numRef>
              <c:f>DATA!$C$43:$D$43</c:f>
              <c:numCache>
                <c:formatCode>_ "€"\ * #,##0_ ;_ "€"\ * \-#,##0_ ;_ "€"\ * "-"??_ ;_ @_ </c:formatCode>
                <c:ptCount val="2"/>
                <c:pt idx="0" formatCode="_(&quot;€&quot;* #,##0.00_);_(&quot;€&quot;* \(#,##0.00\);_(&quot;€&quot;* &quot;-&quot;??_);_(@_)">
                  <c:v>0</c:v>
                </c:pt>
                <c:pt idx="1">
                  <c:v>7000000.0000000019</c:v>
                </c:pt>
              </c:numCache>
            </c:numRef>
          </c:yVal>
          <c:smooth val="0"/>
          <c:extLst>
            <c:ext xmlns:c16="http://schemas.microsoft.com/office/drawing/2014/chart" uri="{C3380CC4-5D6E-409C-BE32-E72D297353CC}">
              <c16:uniqueId val="{00000011-6AC2-4480-B6FA-D43C2DD9262A}"/>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6AC2-4480-B6FA-D43C2DD9262A}"/>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AC2-4480-B6FA-D43C2DD9262A}"/>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6AC2-4480-B6FA-D43C2DD9262A}"/>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7000000.000000001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3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226061</xdr:colOff>
      <xdr:row>1</xdr:row>
      <xdr:rowOff>100119</xdr:rowOff>
    </xdr:from>
    <xdr:ext cx="1076325" cy="792377"/>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4746394" y="290619"/>
          <a:ext cx="1076325" cy="792377"/>
        </a:xfrm>
        <a:prstGeom prst="rect">
          <a:avLst/>
        </a:prstGeom>
      </xdr:spPr>
    </xdr:pic>
    <xdr:clientData/>
  </xdr:oneCellAnchor>
  <xdr:oneCellAnchor>
    <xdr:from>
      <xdr:col>12</xdr:col>
      <xdr:colOff>941917</xdr:colOff>
      <xdr:row>4</xdr:row>
      <xdr:rowOff>10583</xdr:rowOff>
    </xdr:from>
    <xdr:ext cx="1743075" cy="520125"/>
    <xdr:pic>
      <xdr:nvPicPr>
        <xdr:cNvPr id="31" name="Afbeelding 30">
          <a:extLst>
            <a:ext uri="{FF2B5EF4-FFF2-40B4-BE49-F238E27FC236}">
              <a16:creationId xmlns:a16="http://schemas.microsoft.com/office/drawing/2014/main" id="{69D00E22-6D59-4956-89BC-89D16EEB6FC4}"/>
            </a:ext>
          </a:extLst>
        </xdr:cNvPr>
        <xdr:cNvPicPr>
          <a:picLocks noChangeAspect="1"/>
        </xdr:cNvPicPr>
      </xdr:nvPicPr>
      <xdr:blipFill>
        <a:blip xmlns:r="http://schemas.openxmlformats.org/officeDocument/2006/relationships" r:embed="rId2"/>
        <a:stretch>
          <a:fillRect/>
        </a:stretch>
      </xdr:blipFill>
      <xdr:spPr>
        <a:xfrm>
          <a:off x="15462250" y="963083"/>
          <a:ext cx="1743075" cy="5201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2406</xdr:colOff>
      <xdr:row>1</xdr:row>
      <xdr:rowOff>110356</xdr:rowOff>
    </xdr:from>
    <xdr:ext cx="1076325" cy="801902"/>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4744989" y="300856"/>
          <a:ext cx="1076325" cy="801902"/>
        </a:xfrm>
        <a:prstGeom prst="rect">
          <a:avLst/>
        </a:prstGeom>
      </xdr:spPr>
    </xdr:pic>
    <xdr:clientData/>
  </xdr:oneCellAnchor>
  <xdr:oneCellAnchor>
    <xdr:from>
      <xdr:col>9</xdr:col>
      <xdr:colOff>51859</xdr:colOff>
      <xdr:row>3</xdr:row>
      <xdr:rowOff>221191</xdr:rowOff>
    </xdr:from>
    <xdr:ext cx="2304762" cy="580952"/>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2296776" y="983191"/>
          <a:ext cx="2304762" cy="580952"/>
        </a:xfrm>
        <a:prstGeom prst="rect">
          <a:avLst/>
        </a:prstGeom>
      </xdr:spPr>
    </xdr:pic>
    <xdr:clientData/>
  </xdr:oneCellAnchor>
  <xdr:twoCellAnchor>
    <xdr:from>
      <xdr:col>4</xdr:col>
      <xdr:colOff>97366</xdr:colOff>
      <xdr:row>27</xdr:row>
      <xdr:rowOff>104775</xdr:rowOff>
    </xdr:from>
    <xdr:to>
      <xdr:col>9</xdr:col>
      <xdr:colOff>21166</xdr:colOff>
      <xdr:row>27</xdr:row>
      <xdr:rowOff>114300</xdr:rowOff>
    </xdr:to>
    <xdr:cxnSp macro="">
      <xdr:nvCxnSpPr>
        <xdr:cNvPr id="4" name="Rechte verbindingslijn met pijl 3">
          <a:extLst>
            <a:ext uri="{FF2B5EF4-FFF2-40B4-BE49-F238E27FC236}">
              <a16:creationId xmlns:a16="http://schemas.microsoft.com/office/drawing/2014/main" id="{00000000-0008-0000-0100-000004000000}"/>
            </a:ext>
          </a:extLst>
        </xdr:cNvPr>
        <xdr:cNvCxnSpPr/>
      </xdr:nvCxnSpPr>
      <xdr:spPr>
        <a:xfrm flipV="1">
          <a:off x="6288616" y="5830358"/>
          <a:ext cx="6167967" cy="9525"/>
        </a:xfrm>
        <a:prstGeom prst="straightConnector1">
          <a:avLst/>
        </a:prstGeom>
        <a:ln>
          <a:solidFill>
            <a:schemeClr val="tx1"/>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367524</xdr:colOff>
      <xdr:row>1</xdr:row>
      <xdr:rowOff>57150</xdr:rowOff>
    </xdr:from>
    <xdr:ext cx="1076325" cy="801902"/>
    <xdr:pic>
      <xdr:nvPicPr>
        <xdr:cNvPr id="2" name="Afbeelding 1">
          <a:extLst>
            <a:ext uri="{FF2B5EF4-FFF2-40B4-BE49-F238E27FC236}">
              <a16:creationId xmlns:a16="http://schemas.microsoft.com/office/drawing/2014/main" id="{2D3921BB-E713-4076-BD46-418691AC065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473549" y="247650"/>
          <a:ext cx="1076325" cy="801902"/>
        </a:xfrm>
        <a:prstGeom prst="rect">
          <a:avLst/>
        </a:prstGeom>
      </xdr:spPr>
    </xdr:pic>
    <xdr:clientData/>
  </xdr:oneCellAnchor>
  <xdr:oneCellAnchor>
    <xdr:from>
      <xdr:col>6</xdr:col>
      <xdr:colOff>790988</xdr:colOff>
      <xdr:row>3</xdr:row>
      <xdr:rowOff>78829</xdr:rowOff>
    </xdr:from>
    <xdr:ext cx="1743075" cy="520125"/>
    <xdr:pic>
      <xdr:nvPicPr>
        <xdr:cNvPr id="3" name="Afbeelding 2">
          <a:extLst>
            <a:ext uri="{FF2B5EF4-FFF2-40B4-BE49-F238E27FC236}">
              <a16:creationId xmlns:a16="http://schemas.microsoft.com/office/drawing/2014/main" id="{B3D271C2-6192-4959-BDBD-DA80695DF8D9}"/>
            </a:ext>
          </a:extLst>
        </xdr:cNvPr>
        <xdr:cNvPicPr>
          <a:picLocks noChangeAspect="1"/>
        </xdr:cNvPicPr>
      </xdr:nvPicPr>
      <xdr:blipFill>
        <a:blip xmlns:r="http://schemas.openxmlformats.org/officeDocument/2006/relationships" r:embed="rId2"/>
        <a:stretch>
          <a:fillRect/>
        </a:stretch>
      </xdr:blipFill>
      <xdr:spPr>
        <a:xfrm>
          <a:off x="8306213" y="650329"/>
          <a:ext cx="1743075" cy="5201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9</xdr:col>
      <xdr:colOff>26748</xdr:colOff>
      <xdr:row>1</xdr:row>
      <xdr:rowOff>118822</xdr:rowOff>
    </xdr:from>
    <xdr:ext cx="1076325" cy="801902"/>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028248" y="309322"/>
          <a:ext cx="1076325" cy="801902"/>
        </a:xfrm>
        <a:prstGeom prst="rect">
          <a:avLst/>
        </a:prstGeom>
      </xdr:spPr>
    </xdr:pic>
    <xdr:clientData/>
  </xdr:oneCellAnchor>
  <xdr:oneCellAnchor>
    <xdr:from>
      <xdr:col>6</xdr:col>
      <xdr:colOff>1152525</xdr:colOff>
      <xdr:row>3</xdr:row>
      <xdr:rowOff>209550</xdr:rowOff>
    </xdr:from>
    <xdr:ext cx="2304762" cy="580952"/>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9610725" y="914400"/>
          <a:ext cx="2304762" cy="58095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433916</xdr:colOff>
      <xdr:row>3</xdr:row>
      <xdr:rowOff>73025</xdr:rowOff>
    </xdr:from>
    <xdr:ext cx="2365722" cy="58095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514166" y="782108"/>
          <a:ext cx="2365722" cy="580952"/>
        </a:xfrm>
        <a:prstGeom prst="rect">
          <a:avLst/>
        </a:prstGeom>
      </xdr:spPr>
    </xdr:pic>
    <xdr:clientData/>
  </xdr:oneCellAnchor>
  <xdr:oneCellAnchor>
    <xdr:from>
      <xdr:col>12</xdr:col>
      <xdr:colOff>169334</xdr:colOff>
      <xdr:row>1</xdr:row>
      <xdr:rowOff>81491</xdr:rowOff>
    </xdr:from>
    <xdr:ext cx="1076325" cy="792377"/>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149417" y="271991"/>
          <a:ext cx="1076325" cy="79237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1035037</xdr:colOff>
      <xdr:row>1</xdr:row>
      <xdr:rowOff>114089</xdr:rowOff>
    </xdr:from>
    <xdr:ext cx="1076325" cy="801902"/>
    <xdr:pic>
      <xdr:nvPicPr>
        <xdr:cNvPr id="5" name="Afbeelding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826612" y="304589"/>
          <a:ext cx="1076325" cy="801902"/>
        </a:xfrm>
        <a:prstGeom prst="rect">
          <a:avLst/>
        </a:prstGeom>
      </xdr:spPr>
    </xdr:pic>
    <xdr:clientData/>
  </xdr:oneCellAnchor>
  <xdr:oneCellAnchor>
    <xdr:from>
      <xdr:col>4</xdr:col>
      <xdr:colOff>723963</xdr:colOff>
      <xdr:row>3</xdr:row>
      <xdr:rowOff>150894</xdr:rowOff>
    </xdr:from>
    <xdr:ext cx="2365722" cy="580952"/>
    <xdr:pic>
      <xdr:nvPicPr>
        <xdr:cNvPr id="2" name="Afbeelding 1">
          <a:extLst>
            <a:ext uri="{FF2B5EF4-FFF2-40B4-BE49-F238E27FC236}">
              <a16:creationId xmlns:a16="http://schemas.microsoft.com/office/drawing/2014/main" id="{371A51BB-FA62-4632-828C-8422B7759D3F}"/>
            </a:ext>
          </a:extLst>
        </xdr:cNvPr>
        <xdr:cNvPicPr>
          <a:picLocks noChangeAspect="1"/>
        </xdr:cNvPicPr>
      </xdr:nvPicPr>
      <xdr:blipFill>
        <a:blip xmlns:r="http://schemas.openxmlformats.org/officeDocument/2006/relationships" r:embed="rId2"/>
        <a:stretch>
          <a:fillRect/>
        </a:stretch>
      </xdr:blipFill>
      <xdr:spPr>
        <a:xfrm>
          <a:off x="7420038" y="855744"/>
          <a:ext cx="2365722" cy="58095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207496</xdr:colOff>
      <xdr:row>8</xdr:row>
      <xdr:rowOff>11579</xdr:rowOff>
    </xdr:from>
    <xdr:to>
      <xdr:col>1</xdr:col>
      <xdr:colOff>6309846</xdr:colOff>
      <xdr:row>26</xdr:row>
      <xdr:rowOff>294154</xdr:rowOff>
    </xdr:to>
    <xdr:graphicFrame macro="">
      <xdr:nvGraphicFramePr>
        <xdr:cNvPr id="2" name="Grafiek1">
          <a:extLst>
            <a:ext uri="{FF2B5EF4-FFF2-40B4-BE49-F238E27FC236}">
              <a16:creationId xmlns:a16="http://schemas.microsoft.com/office/drawing/2014/main" id="{027CB339-5D2B-4C5A-98FB-746B5A3DB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862853</xdr:colOff>
      <xdr:row>10</xdr:row>
      <xdr:rowOff>11206</xdr:rowOff>
    </xdr:from>
    <xdr:ext cx="1501589" cy="1874183"/>
    <xdr:pic>
      <xdr:nvPicPr>
        <xdr:cNvPr id="3" name="Afbeelding 2">
          <a:extLst>
            <a:ext uri="{FF2B5EF4-FFF2-40B4-BE49-F238E27FC236}">
              <a16:creationId xmlns:a16="http://schemas.microsoft.com/office/drawing/2014/main" id="{F00D293A-EF2E-4475-94AD-711BDBC9B46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1916206"/>
          <a:ext cx="1501589" cy="1874183"/>
        </a:xfrm>
        <a:prstGeom prst="rect">
          <a:avLst/>
        </a:prstGeom>
      </xdr:spPr>
    </xdr:pic>
    <xdr:clientData/>
  </xdr:oneCellAnchor>
  <xdr:oneCellAnchor>
    <xdr:from>
      <xdr:col>4</xdr:col>
      <xdr:colOff>2384485</xdr:colOff>
      <xdr:row>4</xdr:row>
      <xdr:rowOff>29696</xdr:rowOff>
    </xdr:from>
    <xdr:ext cx="2529854" cy="365934"/>
    <xdr:pic>
      <xdr:nvPicPr>
        <xdr:cNvPr id="4" name="Afbeelding 3">
          <a:extLst>
            <a:ext uri="{FF2B5EF4-FFF2-40B4-BE49-F238E27FC236}">
              <a16:creationId xmlns:a16="http://schemas.microsoft.com/office/drawing/2014/main" id="{DAF68465-5DF3-41D8-ABB4-A982DF40A6F5}"/>
            </a:ext>
          </a:extLst>
        </xdr:cNvPr>
        <xdr:cNvPicPr>
          <a:picLocks noChangeAspect="1"/>
        </xdr:cNvPicPr>
      </xdr:nvPicPr>
      <xdr:blipFill rotWithShape="1">
        <a:blip xmlns:r="http://schemas.openxmlformats.org/officeDocument/2006/relationships" r:embed="rId3"/>
        <a:srcRect t="19675" b="22940"/>
        <a:stretch/>
      </xdr:blipFill>
      <xdr:spPr>
        <a:xfrm>
          <a:off x="9394885" y="1144121"/>
          <a:ext cx="2529854" cy="365934"/>
        </a:xfrm>
        <a:prstGeom prst="rect">
          <a:avLst/>
        </a:prstGeom>
      </xdr:spPr>
    </xdr:pic>
    <xdr:clientData/>
  </xdr:oneCellAnchor>
  <xdr:oneCellAnchor>
    <xdr:from>
      <xdr:col>5</xdr:col>
      <xdr:colOff>1133475</xdr:colOff>
      <xdr:row>1</xdr:row>
      <xdr:rowOff>85725</xdr:rowOff>
    </xdr:from>
    <xdr:ext cx="1076325" cy="801902"/>
    <xdr:pic>
      <xdr:nvPicPr>
        <xdr:cNvPr id="5" name="Afbeelding 4">
          <a:extLst>
            <a:ext uri="{FF2B5EF4-FFF2-40B4-BE49-F238E27FC236}">
              <a16:creationId xmlns:a16="http://schemas.microsoft.com/office/drawing/2014/main" id="{7D4BA2A5-AABD-4CF4-BD7E-0C14338DEE81}"/>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907"/>
        <a:stretch/>
      </xdr:blipFill>
      <xdr:spPr>
        <a:xfrm>
          <a:off x="11782425" y="352425"/>
          <a:ext cx="1076325" cy="801902"/>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A\AANBESTEDINGEN\IUC23-014%20LAK-software\UITGANGSPUNTEN%20-%20IUC23-00x%20-%20UHT%20-%20Laksoftwar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EN\AANBESTEDINGEN\IUC21-002%20Analysetool%20tbv%20audits\07%20Advies%20Gunningsmethodiek\UITGANGSPUNTEN%20-%20Superformule%20-%20IUC21-002%20-%20Analsyetool%20tbv%20Audit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1.3157894736842106</v>
          </cell>
        </row>
        <row r="80">
          <cell r="J80">
            <v>0.6</v>
          </cell>
        </row>
      </sheetData>
      <sheetData sheetId="7">
        <row r="7">
          <cell r="B7" t="str">
            <v>Uw inschrijving</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190</v>
          </cell>
        </row>
      </sheetData>
      <sheetData sheetId="2"/>
      <sheetData sheetId="3"/>
      <sheetData sheetId="4"/>
      <sheetData sheetId="5"/>
      <sheetData sheetId="6">
        <row r="20">
          <cell r="L20">
            <v>1.25</v>
          </cell>
        </row>
        <row r="80">
          <cell r="J80">
            <v>0.6</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
  <sheetViews>
    <sheetView showGridLines="0" tabSelected="1" zoomScale="90" zoomScaleNormal="90" workbookViewId="0">
      <selection activeCell="D7" sqref="D7:G7"/>
    </sheetView>
  </sheetViews>
  <sheetFormatPr defaultColWidth="0" defaultRowHeight="15" zeroHeight="1"/>
  <cols>
    <col min="1" max="1" width="3.7109375" customWidth="1"/>
    <col min="2" max="2" width="3.7109375" style="119" bestFit="1" customWidth="1"/>
    <col min="3" max="3" width="41.42578125" customWidth="1"/>
    <col min="4" max="4" width="20.7109375" customWidth="1"/>
    <col min="5" max="5" width="2.7109375" customWidth="1"/>
    <col min="6" max="6" width="20.7109375" customWidth="1"/>
    <col min="7" max="14" width="20.7109375" style="135" customWidth="1"/>
    <col min="15" max="15" width="3.7109375" style="135" customWidth="1"/>
    <col min="16" max="20" width="15.7109375" style="135" hidden="1" customWidth="1"/>
    <col min="21" max="16384" width="8.85546875" style="135" hidden="1"/>
  </cols>
  <sheetData>
    <row r="1" spans="1:14" ht="15" customHeight="1"/>
    <row r="2" spans="1:14" ht="22.5">
      <c r="B2" s="6" t="s">
        <v>62</v>
      </c>
      <c r="C2" s="10"/>
      <c r="D2" s="6"/>
      <c r="E2" s="6"/>
      <c r="F2" s="6"/>
      <c r="G2" s="6"/>
      <c r="H2" s="6"/>
      <c r="I2" s="6"/>
      <c r="J2" s="6"/>
      <c r="K2" s="6"/>
      <c r="L2" s="6"/>
      <c r="M2" s="6"/>
      <c r="N2" s="6"/>
    </row>
    <row r="3" spans="1:14" ht="18">
      <c r="B3" s="9" t="s">
        <v>101</v>
      </c>
      <c r="C3" s="10"/>
      <c r="D3" s="10"/>
      <c r="E3" s="10"/>
      <c r="F3" s="10"/>
      <c r="G3" s="10"/>
      <c r="H3" s="10"/>
      <c r="I3" s="10"/>
      <c r="J3" s="10"/>
      <c r="K3" s="10"/>
      <c r="L3" s="10"/>
      <c r="M3" s="10"/>
      <c r="N3" s="10"/>
    </row>
    <row r="4" spans="1:14" ht="19.5">
      <c r="B4" s="12" t="s">
        <v>49</v>
      </c>
      <c r="C4" s="10"/>
      <c r="D4" s="10"/>
      <c r="E4" s="10"/>
      <c r="F4" s="10"/>
      <c r="G4" s="10"/>
      <c r="H4" s="10"/>
      <c r="I4" s="10"/>
      <c r="J4" s="10"/>
      <c r="K4" s="10"/>
      <c r="L4" s="10"/>
      <c r="M4" s="10"/>
      <c r="N4" s="10"/>
    </row>
    <row r="5" spans="1:14">
      <c r="B5" s="1" t="s">
        <v>63</v>
      </c>
      <c r="C5" s="10"/>
      <c r="D5" s="10"/>
      <c r="E5" s="10"/>
      <c r="F5" s="10"/>
      <c r="G5" s="10"/>
      <c r="H5" s="10"/>
      <c r="I5" s="10"/>
      <c r="J5" s="10"/>
      <c r="K5" s="10"/>
      <c r="L5" s="10"/>
      <c r="M5" s="10"/>
      <c r="N5" s="10"/>
    </row>
    <row r="6" spans="1:14">
      <c r="B6" s="118" t="s">
        <v>48</v>
      </c>
      <c r="C6" s="10"/>
      <c r="D6" s="10"/>
      <c r="E6" s="10"/>
      <c r="F6" s="10"/>
      <c r="G6" s="10"/>
      <c r="H6" s="10"/>
      <c r="I6" s="10"/>
      <c r="J6" s="10"/>
      <c r="K6" s="10"/>
      <c r="L6" s="10"/>
      <c r="M6" s="10"/>
      <c r="N6" s="10"/>
    </row>
    <row r="7" spans="1:14" ht="24.95" customHeight="1">
      <c r="B7" s="4"/>
      <c r="C7" s="129" t="s">
        <v>50</v>
      </c>
      <c r="D7" s="425"/>
      <c r="E7" s="426"/>
      <c r="F7" s="426"/>
      <c r="G7" s="427"/>
      <c r="H7" s="10"/>
      <c r="I7" s="11"/>
      <c r="J7" s="11"/>
      <c r="K7" s="11"/>
      <c r="L7" s="11"/>
      <c r="M7" s="11"/>
      <c r="N7" s="11"/>
    </row>
    <row r="8" spans="1:14">
      <c r="B8" s="4"/>
      <c r="C8" s="10"/>
      <c r="D8" s="11"/>
      <c r="E8" s="11"/>
      <c r="F8" s="11"/>
      <c r="G8" s="11"/>
      <c r="H8" s="11"/>
      <c r="I8" s="11"/>
      <c r="J8" s="11"/>
      <c r="K8" s="11"/>
      <c r="L8" s="11"/>
      <c r="M8" s="11"/>
      <c r="N8" s="11"/>
    </row>
    <row r="9" spans="1:14" ht="15.75" thickBot="1">
      <c r="B9" s="15"/>
      <c r="C9" s="15"/>
      <c r="D9" s="16"/>
      <c r="E9" s="16"/>
      <c r="F9" s="16"/>
      <c r="G9" s="16"/>
      <c r="H9" s="16"/>
      <c r="I9" s="16"/>
      <c r="J9" s="16"/>
      <c r="K9" s="16"/>
      <c r="L9" s="16"/>
      <c r="M9" s="16"/>
      <c r="N9" s="16"/>
    </row>
    <row r="10" spans="1:14">
      <c r="B10" s="19"/>
      <c r="C10" s="19"/>
      <c r="D10" s="20"/>
      <c r="E10" s="20"/>
      <c r="F10" s="20"/>
      <c r="G10" s="20"/>
      <c r="H10" s="20"/>
      <c r="I10" s="20"/>
      <c r="J10" s="20"/>
      <c r="K10" s="20"/>
      <c r="L10" s="20"/>
      <c r="M10" s="20"/>
      <c r="N10" s="20"/>
    </row>
    <row r="11" spans="1:14">
      <c r="C11" s="19"/>
      <c r="D11" s="20"/>
      <c r="E11" s="20"/>
      <c r="F11" s="20"/>
      <c r="G11" s="281" t="s">
        <v>66</v>
      </c>
      <c r="H11" s="75"/>
      <c r="I11" s="75"/>
      <c r="J11" s="274"/>
      <c r="K11" s="282" t="s">
        <v>67</v>
      </c>
      <c r="L11" s="75"/>
      <c r="M11" s="75"/>
      <c r="N11" s="52"/>
    </row>
    <row r="12" spans="1:14">
      <c r="C12" s="19"/>
      <c r="D12" s="20"/>
      <c r="G12" s="268">
        <v>2025</v>
      </c>
      <c r="H12" s="75">
        <f>+G12+1</f>
        <v>2026</v>
      </c>
      <c r="I12" s="75">
        <f t="shared" ref="I12:N12" si="0">+H12+1</f>
        <v>2027</v>
      </c>
      <c r="J12" s="274">
        <f t="shared" si="0"/>
        <v>2028</v>
      </c>
      <c r="K12" s="75">
        <f t="shared" si="0"/>
        <v>2029</v>
      </c>
      <c r="L12" s="75">
        <f t="shared" si="0"/>
        <v>2030</v>
      </c>
      <c r="M12" s="75">
        <f t="shared" si="0"/>
        <v>2031</v>
      </c>
      <c r="N12" s="52">
        <f t="shared" si="0"/>
        <v>2032</v>
      </c>
    </row>
    <row r="13" spans="1:14">
      <c r="C13" s="19"/>
      <c r="D13" s="20"/>
      <c r="J13" s="275"/>
    </row>
    <row r="14" spans="1:14" s="136" customFormat="1" ht="24.95" customHeight="1">
      <c r="A14" s="120"/>
      <c r="B14" s="121" t="s">
        <v>51</v>
      </c>
      <c r="C14" s="127" t="str">
        <f>+'1a. Gebruiksrecht Aanschaf'!$B$4</f>
        <v xml:space="preserve">Gebruiksrecht Aanschaf </v>
      </c>
      <c r="D14" s="262" t="str">
        <f>IF(+'1a. Gebruiksrecht Aanschaf'!C62=0,"niet geoffreert","geoffreert")</f>
        <v>niet geoffreert</v>
      </c>
      <c r="E14" s="265"/>
      <c r="F14" s="122">
        <f>SUM(G14:N14)</f>
        <v>0</v>
      </c>
      <c r="G14" s="122">
        <f>+'1a. Gebruiksrecht Aanschaf'!C60</f>
        <v>0</v>
      </c>
      <c r="H14" s="122">
        <f>+'1a. Gebruiksrecht Aanschaf'!D60</f>
        <v>0</v>
      </c>
      <c r="I14" s="122">
        <f>+'1a. Gebruiksrecht Aanschaf'!E60</f>
        <v>0</v>
      </c>
      <c r="J14" s="276">
        <f>+'1a. Gebruiksrecht Aanschaf'!F60</f>
        <v>0</v>
      </c>
      <c r="K14" s="270">
        <f>+'1a. Gebruiksrecht Aanschaf'!G60</f>
        <v>0</v>
      </c>
      <c r="L14" s="122">
        <f>+'1a. Gebruiksrecht Aanschaf'!H60</f>
        <v>0</v>
      </c>
      <c r="M14" s="122">
        <f>+'1a. Gebruiksrecht Aanschaf'!I60</f>
        <v>0</v>
      </c>
      <c r="N14" s="122">
        <f>+'1a. Gebruiksrecht Aanschaf'!J60</f>
        <v>0</v>
      </c>
    </row>
    <row r="15" spans="1:14" s="136" customFormat="1" ht="15" customHeight="1">
      <c r="A15" s="120"/>
      <c r="B15" s="123"/>
      <c r="C15" s="124" t="s">
        <v>53</v>
      </c>
      <c r="D15" s="266"/>
      <c r="E15" s="265"/>
      <c r="F15" s="265"/>
      <c r="G15" s="135"/>
      <c r="J15" s="277"/>
    </row>
    <row r="16" spans="1:14" s="136" customFormat="1" ht="24.95" customHeight="1">
      <c r="A16" s="120"/>
      <c r="B16" s="121" t="s">
        <v>52</v>
      </c>
      <c r="C16" s="127" t="str">
        <f>'1b. Licenties - Subscription'!B4</f>
        <v>Gebruiksrecht Subcription</v>
      </c>
      <c r="D16" s="262" t="str">
        <f>IF('1b. Licenties - Subscription'!C49=0,"niet geoffreert","geoffreert")</f>
        <v>niet geoffreert</v>
      </c>
      <c r="E16" s="265"/>
      <c r="F16" s="122">
        <f>SUM(G16:N16)</f>
        <v>0</v>
      </c>
      <c r="G16" s="262">
        <f>'1b. Licenties - Subscription'!C45</f>
        <v>0</v>
      </c>
      <c r="H16" s="262">
        <f>'1b. Licenties - Subscription'!D45</f>
        <v>0</v>
      </c>
      <c r="I16" s="262">
        <f>'1b. Licenties - Subscription'!E45</f>
        <v>0</v>
      </c>
      <c r="J16" s="278">
        <f>'1b. Licenties - Subscription'!F45</f>
        <v>0</v>
      </c>
      <c r="K16" s="271">
        <f>'1b. Licenties - Subscription'!G45</f>
        <v>0</v>
      </c>
      <c r="L16" s="262">
        <f>'1b. Licenties - Subscription'!H45</f>
        <v>0</v>
      </c>
      <c r="M16" s="262">
        <f>'1b. Licenties - Subscription'!I45</f>
        <v>0</v>
      </c>
      <c r="N16" s="262">
        <f>'1b. Licenties - Subscription'!J45</f>
        <v>0</v>
      </c>
    </row>
    <row r="17" spans="1:14" s="136" customFormat="1" ht="15" customHeight="1">
      <c r="A17" s="120"/>
      <c r="B17" s="123"/>
      <c r="C17" s="124" t="s">
        <v>53</v>
      </c>
      <c r="D17" s="267"/>
      <c r="E17" s="265"/>
      <c r="F17" s="265"/>
      <c r="J17" s="277"/>
    </row>
    <row r="18" spans="1:14" s="136" customFormat="1" ht="24.95" customHeight="1">
      <c r="A18" s="120"/>
      <c r="B18" s="121" t="s">
        <v>55</v>
      </c>
      <c r="C18" s="127" t="str">
        <f>+'1c. Gebruiksrecht Enterprise'!B4</f>
        <v>Gebruiksrecht Enterprise</v>
      </c>
      <c r="D18" s="262" t="str">
        <f>IF('1c. Gebruiksrecht Enterprise'!C33=0,"niet geoffreert","geoffreert")</f>
        <v>niet geoffreert</v>
      </c>
      <c r="E18" s="265"/>
      <c r="F18" s="122">
        <f>SUM(G18:N18)</f>
        <v>0</v>
      </c>
      <c r="G18" s="122">
        <f>'1c. Gebruiksrecht Enterprise'!C31</f>
        <v>0</v>
      </c>
      <c r="H18" s="122">
        <f>'1c. Gebruiksrecht Enterprise'!D31</f>
        <v>0</v>
      </c>
      <c r="I18" s="122">
        <f>'1c. Gebruiksrecht Enterprise'!E31</f>
        <v>0</v>
      </c>
      <c r="J18" s="276">
        <f>'1c. Gebruiksrecht Enterprise'!F31</f>
        <v>0</v>
      </c>
      <c r="K18" s="270">
        <f>'1c. Gebruiksrecht Enterprise'!G31</f>
        <v>0</v>
      </c>
      <c r="L18" s="122">
        <f>'1c. Gebruiksrecht Enterprise'!H31</f>
        <v>0</v>
      </c>
      <c r="M18" s="122">
        <f>'1c. Gebruiksrecht Enterprise'!I31</f>
        <v>0</v>
      </c>
      <c r="N18" s="122">
        <f>'1c. Gebruiksrecht Enterprise'!J31</f>
        <v>0</v>
      </c>
    </row>
    <row r="19" spans="1:14" ht="15" customHeight="1">
      <c r="A19" s="120"/>
      <c r="B19" s="123"/>
      <c r="C19" s="124"/>
      <c r="D19" s="125"/>
      <c r="G19" s="136"/>
      <c r="J19" s="275"/>
    </row>
    <row r="20" spans="1:14" ht="15" customHeight="1">
      <c r="A20" s="120"/>
      <c r="B20" s="123"/>
      <c r="C20" s="420" t="s">
        <v>178</v>
      </c>
      <c r="D20" s="125"/>
      <c r="G20" s="136"/>
      <c r="J20" s="275"/>
    </row>
    <row r="21" spans="1:14" ht="15" customHeight="1">
      <c r="A21" s="120"/>
      <c r="B21" s="123"/>
      <c r="C21" s="420" t="s">
        <v>177</v>
      </c>
      <c r="D21" s="125"/>
      <c r="G21" s="136"/>
      <c r="J21" s="275"/>
    </row>
    <row r="22" spans="1:14" ht="15" customHeight="1">
      <c r="A22" s="120"/>
      <c r="B22" s="423">
        <v>1</v>
      </c>
      <c r="C22" s="137" t="s">
        <v>30</v>
      </c>
      <c r="D22" s="260"/>
      <c r="G22" s="264"/>
      <c r="H22" s="264"/>
      <c r="I22" s="264"/>
      <c r="J22" s="279"/>
      <c r="K22" s="272"/>
      <c r="L22" s="264"/>
      <c r="M22" s="264"/>
      <c r="N22" s="264"/>
    </row>
    <row r="23" spans="1:14" ht="24.95" customHeight="1">
      <c r="A23" s="120"/>
      <c r="B23" s="424"/>
      <c r="C23" s="259" t="str">
        <f>"Ten behoeve van gunningswaarde &gt;"</f>
        <v>Ten behoeve van gunningswaarde &gt;</v>
      </c>
      <c r="D23" s="261">
        <f>SUM(G23:N23)</f>
        <v>0</v>
      </c>
      <c r="G23" s="263">
        <f t="shared" ref="G23:N23" si="1">SUM(G14:G18)</f>
        <v>0</v>
      </c>
      <c r="H23" s="263">
        <f t="shared" si="1"/>
        <v>0</v>
      </c>
      <c r="I23" s="263">
        <f t="shared" si="1"/>
        <v>0</v>
      </c>
      <c r="J23" s="280">
        <f t="shared" si="1"/>
        <v>0</v>
      </c>
      <c r="K23" s="273">
        <f t="shared" si="1"/>
        <v>0</v>
      </c>
      <c r="L23" s="263">
        <f t="shared" si="1"/>
        <v>0</v>
      </c>
      <c r="M23" s="263">
        <f t="shared" si="1"/>
        <v>0</v>
      </c>
      <c r="N23" s="263">
        <f t="shared" si="1"/>
        <v>0</v>
      </c>
    </row>
    <row r="24" spans="1:14" ht="15" customHeight="1">
      <c r="A24" s="120"/>
      <c r="B24" s="123"/>
      <c r="C24" s="124"/>
      <c r="D24" s="125"/>
      <c r="J24" s="275"/>
    </row>
    <row r="25" spans="1:14" ht="24.95" customHeight="1">
      <c r="A25" s="120"/>
      <c r="B25" s="121">
        <v>2</v>
      </c>
      <c r="C25" s="127" t="str">
        <f>+'2. Opleiding'!B4</f>
        <v>Opleiding</v>
      </c>
      <c r="D25" s="134">
        <f>SUM(G25)</f>
        <v>0</v>
      </c>
      <c r="G25" s="416">
        <f>+'2. Opleiding'!M19</f>
        <v>0</v>
      </c>
      <c r="J25" s="275"/>
    </row>
    <row r="26" spans="1:14" ht="15" customHeight="1">
      <c r="A26" s="120"/>
      <c r="B26" s="123"/>
      <c r="C26" s="124"/>
      <c r="D26" s="125"/>
      <c r="J26" s="275"/>
    </row>
    <row r="27" spans="1:14" ht="24.95" customHeight="1">
      <c r="A27" s="120"/>
      <c r="B27" s="121">
        <v>3</v>
      </c>
      <c r="C27" s="127" t="str">
        <f>+'3. Additionele diensten'!$B$4</f>
        <v>Additionele diensten</v>
      </c>
      <c r="D27" s="134">
        <f>SUM(G27)</f>
        <v>0</v>
      </c>
      <c r="G27" s="122">
        <f>+'3. Additionele diensten'!F13</f>
        <v>0</v>
      </c>
      <c r="H27" s="122">
        <f>+'3. Additionele diensten'!G13</f>
        <v>0</v>
      </c>
      <c r="I27" s="122">
        <f t="shared" ref="I27:N27" si="2">+H27</f>
        <v>0</v>
      </c>
      <c r="J27" s="276">
        <f t="shared" si="2"/>
        <v>0</v>
      </c>
      <c r="K27" s="270">
        <f t="shared" si="2"/>
        <v>0</v>
      </c>
      <c r="L27" s="122">
        <f t="shared" si="2"/>
        <v>0</v>
      </c>
      <c r="M27" s="122">
        <f t="shared" si="2"/>
        <v>0</v>
      </c>
      <c r="N27" s="122">
        <f t="shared" si="2"/>
        <v>0</v>
      </c>
    </row>
    <row r="28" spans="1:14" ht="15" customHeight="1" thickBot="1">
      <c r="A28" s="120"/>
      <c r="B28" s="15"/>
      <c r="C28" s="15"/>
      <c r="D28" s="16"/>
      <c r="E28" s="16"/>
      <c r="F28" s="16"/>
      <c r="G28" s="16"/>
      <c r="H28" s="16"/>
      <c r="I28" s="16"/>
      <c r="J28" s="16"/>
      <c r="K28" s="16"/>
      <c r="L28" s="16"/>
      <c r="M28" s="16"/>
      <c r="N28" s="16"/>
    </row>
    <row r="29" spans="1:14" ht="15" customHeight="1">
      <c r="A29" s="120"/>
      <c r="B29" s="19"/>
      <c r="C29" s="19"/>
      <c r="D29" s="20"/>
      <c r="E29" s="20"/>
      <c r="F29" s="20"/>
      <c r="G29" s="20"/>
      <c r="H29" s="20"/>
      <c r="I29" s="20"/>
      <c r="J29" s="20"/>
      <c r="K29" s="20"/>
      <c r="L29" s="20"/>
      <c r="M29" s="20"/>
      <c r="N29" s="20"/>
    </row>
    <row r="30" spans="1:14" ht="25.15" customHeight="1" thickBot="1">
      <c r="A30" s="120"/>
      <c r="B30" s="126"/>
      <c r="C30" s="127" t="s">
        <v>110</v>
      </c>
      <c r="D30" s="128">
        <f>SUM(D22:D27)</f>
        <v>0</v>
      </c>
    </row>
    <row r="31" spans="1:14" ht="15" customHeight="1" thickTop="1" thickBot="1">
      <c r="A31" s="120"/>
      <c r="B31" s="15"/>
      <c r="C31" s="15"/>
      <c r="D31" s="16"/>
      <c r="E31" s="16"/>
      <c r="F31" s="16"/>
      <c r="G31" s="16"/>
      <c r="H31" s="16"/>
      <c r="I31" s="16"/>
      <c r="J31" s="16"/>
      <c r="K31" s="16"/>
      <c r="L31" s="16"/>
      <c r="M31" s="16"/>
      <c r="N31" s="16"/>
    </row>
    <row r="32" spans="1:14" ht="15" customHeight="1">
      <c r="B32" s="19"/>
      <c r="C32" s="19"/>
      <c r="D32" s="20"/>
      <c r="E32" s="20"/>
      <c r="F32" s="20"/>
      <c r="G32" s="20"/>
      <c r="H32" s="20"/>
      <c r="I32" s="20"/>
      <c r="J32" s="20"/>
      <c r="K32" s="20"/>
      <c r="L32" s="20"/>
      <c r="M32" s="20"/>
      <c r="N32" s="20"/>
    </row>
    <row r="33" spans="3:3" hidden="1">
      <c r="C33" s="269"/>
    </row>
  </sheetData>
  <sheetProtection algorithmName="SHA-512" hashValue="wPkOv/gGDkqwESt8rFPnAV0tz7M+slDMgVGWUdsmxCxeOcvBOiukVEvge3hXCa9T631laiFdviv3H9kT6Xj5HA==" saltValue="+xi4KKKaBVZGLAvP7JtkWQ==" spinCount="100000" sheet="1" objects="1" scenarios="1"/>
  <mergeCells count="2">
    <mergeCell ref="B22:B23"/>
    <mergeCell ref="D7: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1"/>
  <dimension ref="A1:AC878"/>
  <sheetViews>
    <sheetView showGridLines="0" topLeftCell="A28" zoomScale="90" zoomScaleNormal="90" workbookViewId="0">
      <selection activeCell="B11" sqref="B11"/>
    </sheetView>
  </sheetViews>
  <sheetFormatPr defaultColWidth="0" defaultRowHeight="0" customHeight="1" zeroHeight="1"/>
  <cols>
    <col min="1" max="1" width="3.7109375" style="25" customWidth="1"/>
    <col min="2" max="2" width="48.85546875" style="27" customWidth="1"/>
    <col min="3" max="3" width="23.7109375" style="25" customWidth="1"/>
    <col min="4" max="4" width="23.7109375" style="28" customWidth="1"/>
    <col min="5" max="5" width="23.7109375" style="72" customWidth="1"/>
    <col min="6" max="12" width="23.7109375" style="28" customWidth="1"/>
    <col min="13" max="13" width="3.7109375" style="72" customWidth="1"/>
    <col min="14" max="16" width="17" style="53" hidden="1" customWidth="1"/>
    <col min="17" max="17" width="8.85546875" style="53" hidden="1" customWidth="1"/>
    <col min="18" max="18" width="8.85546875" style="25" hidden="1" customWidth="1"/>
    <col min="19" max="29" width="0" style="25" hidden="1" customWidth="1"/>
    <col min="30" max="16384" width="8.85546875" style="25" hidden="1"/>
  </cols>
  <sheetData>
    <row r="1" spans="2:28" ht="15" customHeight="1">
      <c r="N1" s="29"/>
      <c r="O1" s="29"/>
      <c r="P1" s="29"/>
      <c r="Q1" s="29"/>
      <c r="R1" s="29"/>
      <c r="S1" s="29"/>
      <c r="T1" s="29"/>
      <c r="U1" s="29"/>
      <c r="V1" s="29"/>
      <c r="W1" s="29"/>
    </row>
    <row r="2" spans="2:28" s="30" customFormat="1" ht="22.5">
      <c r="B2" s="6" t="str">
        <f>+'0. Samenvatting'!B2</f>
        <v>Europese aanbesteding</v>
      </c>
      <c r="C2" s="6"/>
      <c r="D2" s="7"/>
      <c r="E2" s="8"/>
      <c r="F2" s="6"/>
      <c r="G2" s="6"/>
      <c r="H2" s="101"/>
      <c r="I2" s="101"/>
      <c r="J2" s="101"/>
      <c r="K2" s="101"/>
      <c r="L2" s="101"/>
      <c r="M2" s="72"/>
      <c r="N2" s="100"/>
      <c r="O2" s="100"/>
      <c r="P2" s="100"/>
      <c r="Q2" s="100"/>
      <c r="R2" s="100"/>
      <c r="S2" s="100"/>
      <c r="T2" s="100"/>
      <c r="U2" s="100"/>
      <c r="V2" s="100"/>
      <c r="W2" s="100"/>
      <c r="X2" s="100"/>
      <c r="AA2" s="99"/>
    </row>
    <row r="3" spans="2:28" s="26" customFormat="1" ht="22.5">
      <c r="B3" s="6" t="str">
        <f>+'0. Samenvatting'!B3</f>
        <v>Process Mining</v>
      </c>
      <c r="C3" s="10"/>
      <c r="D3" s="10"/>
      <c r="E3" s="11"/>
      <c r="F3" s="10"/>
      <c r="G3" s="10"/>
      <c r="H3" s="10"/>
      <c r="I3" s="10"/>
      <c r="J3" s="10"/>
      <c r="K3" s="10"/>
      <c r="L3" s="10"/>
      <c r="M3" s="72"/>
      <c r="N3" s="29"/>
      <c r="O3" s="29"/>
      <c r="P3" s="29"/>
      <c r="Q3" s="29"/>
      <c r="R3" s="29"/>
      <c r="S3" s="29"/>
      <c r="T3" s="29"/>
      <c r="U3" s="29"/>
      <c r="V3" s="29"/>
      <c r="W3" s="29"/>
      <c r="X3" s="29"/>
      <c r="AA3" s="98"/>
    </row>
    <row r="4" spans="2:28" s="26" customFormat="1" ht="19.5">
      <c r="B4" s="12" t="s">
        <v>56</v>
      </c>
      <c r="C4" s="10"/>
      <c r="D4" s="10"/>
      <c r="E4" s="11"/>
      <c r="F4" s="10"/>
      <c r="G4" s="10"/>
      <c r="H4" s="10"/>
      <c r="I4" s="10"/>
      <c r="J4" s="10"/>
      <c r="K4" s="10"/>
      <c r="L4" s="10"/>
      <c r="M4" s="72"/>
      <c r="N4" s="29"/>
      <c r="O4" s="29"/>
      <c r="P4" s="29"/>
      <c r="Q4" s="29"/>
      <c r="R4" s="29"/>
      <c r="S4" s="29"/>
      <c r="T4" s="29"/>
      <c r="U4" s="29"/>
      <c r="V4" s="29"/>
      <c r="W4" s="29"/>
      <c r="X4" s="29"/>
      <c r="AA4" s="98"/>
    </row>
    <row r="5" spans="2:28" s="26" customFormat="1" ht="15">
      <c r="B5" s="1" t="str">
        <f>+'0. Samenvatting'!B5</f>
        <v>IUC23-033</v>
      </c>
      <c r="C5" s="10"/>
      <c r="D5" s="10"/>
      <c r="E5" s="11"/>
      <c r="F5" s="10"/>
      <c r="G5" s="10"/>
      <c r="H5" s="10"/>
      <c r="I5" s="10"/>
      <c r="J5" s="10"/>
      <c r="K5" s="10"/>
      <c r="L5" s="10"/>
      <c r="M5" s="72"/>
      <c r="N5" s="29"/>
      <c r="O5" s="29"/>
      <c r="P5" s="29"/>
      <c r="Q5" s="29"/>
      <c r="R5" s="29"/>
      <c r="S5" s="29"/>
      <c r="T5" s="29"/>
      <c r="U5" s="29"/>
      <c r="V5" s="29"/>
      <c r="W5" s="29"/>
      <c r="X5" s="29"/>
      <c r="AA5" s="98"/>
    </row>
    <row r="6" spans="2:28" s="26" customFormat="1" ht="15">
      <c r="B6" s="118" t="s">
        <v>48</v>
      </c>
      <c r="C6" s="10"/>
      <c r="D6" s="10"/>
      <c r="E6" s="11"/>
      <c r="F6" s="10"/>
      <c r="G6" s="10"/>
      <c r="H6" s="10"/>
      <c r="I6" s="10"/>
      <c r="J6" s="10"/>
      <c r="K6" s="10"/>
      <c r="L6" s="10"/>
      <c r="M6" s="72"/>
      <c r="N6" s="29"/>
      <c r="O6" s="29"/>
      <c r="P6" s="29"/>
      <c r="Q6" s="29"/>
      <c r="R6" s="29"/>
      <c r="S6" s="29"/>
      <c r="T6" s="29"/>
      <c r="U6" s="29"/>
      <c r="V6" s="29"/>
      <c r="W6" s="29"/>
      <c r="X6" s="29"/>
      <c r="AA6" s="98"/>
    </row>
    <row r="7" spans="2:28" s="26" customFormat="1" ht="15">
      <c r="B7" s="4"/>
      <c r="C7" s="13"/>
      <c r="D7" s="14"/>
      <c r="E7" s="14"/>
      <c r="F7" s="11"/>
      <c r="G7" s="14"/>
      <c r="H7" s="11"/>
      <c r="I7" s="11"/>
      <c r="J7" s="11"/>
      <c r="K7" s="11"/>
      <c r="L7" s="11"/>
      <c r="M7" s="72"/>
      <c r="N7" s="29"/>
      <c r="O7" s="29"/>
      <c r="P7" s="29"/>
      <c r="Q7" s="29"/>
      <c r="R7" s="29"/>
      <c r="S7" s="29"/>
      <c r="T7" s="29"/>
      <c r="U7" s="29"/>
      <c r="V7" s="29"/>
      <c r="W7" s="29"/>
      <c r="X7" s="29"/>
      <c r="Y7" s="29"/>
      <c r="Z7" s="29"/>
      <c r="AA7" s="29"/>
      <c r="AB7" s="29"/>
    </row>
    <row r="8" spans="2:28" s="26" customFormat="1" ht="15">
      <c r="B8" s="97" t="s">
        <v>0</v>
      </c>
      <c r="C8" s="96"/>
      <c r="D8" s="96"/>
      <c r="E8" s="95"/>
      <c r="F8" s="31"/>
      <c r="G8" s="95"/>
      <c r="H8" s="95"/>
      <c r="I8" s="95"/>
      <c r="J8" s="95"/>
      <c r="K8" s="95"/>
      <c r="L8" s="95"/>
      <c r="M8" s="72"/>
      <c r="N8" s="29"/>
      <c r="O8" s="29"/>
      <c r="P8" s="29"/>
      <c r="Q8" s="29"/>
      <c r="R8" s="29"/>
      <c r="S8" s="29"/>
      <c r="T8" s="29"/>
      <c r="U8" s="29"/>
      <c r="V8" s="29"/>
      <c r="W8" s="29"/>
      <c r="X8" s="29"/>
      <c r="Y8" s="29"/>
      <c r="Z8" s="29"/>
      <c r="AA8" s="29"/>
    </row>
    <row r="9" spans="2:28" s="26" customFormat="1" ht="15">
      <c r="B9" s="94" t="s">
        <v>106</v>
      </c>
      <c r="C9" s="93"/>
      <c r="D9" s="93"/>
      <c r="E9" s="93"/>
      <c r="F9" s="93"/>
      <c r="G9" s="92"/>
      <c r="H9" s="91"/>
      <c r="I9" s="74"/>
      <c r="J9" s="74"/>
      <c r="K9" s="74"/>
      <c r="L9" s="74"/>
      <c r="M9" s="72"/>
      <c r="N9" s="29"/>
      <c r="O9" s="29"/>
      <c r="P9" s="29"/>
      <c r="Q9" s="29"/>
      <c r="R9" s="29"/>
      <c r="S9" s="29"/>
      <c r="T9" s="29"/>
      <c r="U9" s="29"/>
      <c r="V9" s="29"/>
    </row>
    <row r="10" spans="2:28" s="26" customFormat="1" ht="15">
      <c r="B10" s="90" t="s">
        <v>40</v>
      </c>
      <c r="C10" s="89" t="s">
        <v>39</v>
      </c>
      <c r="D10" s="89" t="s">
        <v>38</v>
      </c>
      <c r="E10" s="88" t="s">
        <v>5</v>
      </c>
      <c r="F10" s="88"/>
      <c r="G10" s="88"/>
      <c r="H10" s="87"/>
      <c r="I10" s="74"/>
      <c r="J10" s="74"/>
      <c r="K10" s="74"/>
      <c r="L10" s="29"/>
      <c r="M10" s="72"/>
      <c r="N10" s="29"/>
      <c r="O10" s="29"/>
      <c r="P10" s="29"/>
      <c r="Q10" s="29"/>
      <c r="R10" s="29"/>
      <c r="S10" s="29"/>
      <c r="T10" s="29"/>
    </row>
    <row r="11" spans="2:28" s="26" customFormat="1" ht="24.95" customHeight="1">
      <c r="B11" s="86"/>
      <c r="C11" s="85"/>
      <c r="D11" s="84"/>
      <c r="E11" s="433"/>
      <c r="F11" s="434"/>
      <c r="G11" s="434"/>
      <c r="H11" s="435"/>
      <c r="I11" s="74"/>
      <c r="J11" s="74"/>
      <c r="K11" s="74"/>
      <c r="L11" s="29"/>
      <c r="M11" s="72"/>
      <c r="N11" s="29"/>
      <c r="O11" s="29"/>
      <c r="P11" s="29"/>
      <c r="Q11" s="29"/>
      <c r="R11" s="29"/>
      <c r="S11" s="29"/>
      <c r="T11" s="29"/>
    </row>
    <row r="12" spans="2:28" s="26" customFormat="1" ht="24.95" customHeight="1">
      <c r="B12" s="86"/>
      <c r="C12" s="85"/>
      <c r="D12" s="84"/>
      <c r="E12" s="433"/>
      <c r="F12" s="434"/>
      <c r="G12" s="434"/>
      <c r="H12" s="435"/>
      <c r="I12" s="74"/>
      <c r="J12" s="74"/>
      <c r="K12" s="74"/>
      <c r="L12" s="29"/>
      <c r="M12" s="72"/>
      <c r="N12" s="29"/>
      <c r="O12" s="29"/>
      <c r="P12" s="29"/>
      <c r="Q12" s="29"/>
      <c r="R12" s="29"/>
      <c r="S12" s="29"/>
      <c r="T12" s="29"/>
    </row>
    <row r="13" spans="2:28" s="26" customFormat="1" ht="24.95" customHeight="1">
      <c r="B13" s="83"/>
      <c r="C13" s="82"/>
      <c r="D13" s="81"/>
      <c r="E13" s="433"/>
      <c r="F13" s="434"/>
      <c r="G13" s="434"/>
      <c r="H13" s="435"/>
      <c r="I13" s="74"/>
      <c r="J13" s="74"/>
      <c r="K13" s="74"/>
      <c r="L13" s="29"/>
      <c r="M13" s="72"/>
      <c r="N13" s="29"/>
      <c r="O13" s="29"/>
      <c r="P13" s="29"/>
      <c r="Q13" s="29"/>
      <c r="R13" s="29"/>
      <c r="S13" s="29"/>
      <c r="T13" s="29"/>
    </row>
    <row r="14" spans="2:28" s="26" customFormat="1" ht="24.95" customHeight="1">
      <c r="B14" s="83"/>
      <c r="C14" s="82"/>
      <c r="D14" s="81"/>
      <c r="E14" s="433"/>
      <c r="F14" s="434"/>
      <c r="G14" s="434"/>
      <c r="H14" s="435"/>
      <c r="I14" s="74"/>
      <c r="J14" s="74"/>
      <c r="K14" s="74"/>
      <c r="L14" s="29"/>
      <c r="M14" s="72"/>
      <c r="N14" s="29"/>
      <c r="O14" s="29"/>
      <c r="P14" s="29"/>
      <c r="Q14" s="29"/>
      <c r="R14" s="29"/>
      <c r="S14" s="29"/>
      <c r="T14" s="29"/>
    </row>
    <row r="15" spans="2:28" s="26" customFormat="1" ht="15.75" thickBot="1">
      <c r="B15" s="32"/>
      <c r="C15" s="33"/>
      <c r="D15" s="33"/>
      <c r="E15" s="65"/>
      <c r="F15" s="33"/>
      <c r="G15" s="33"/>
      <c r="H15" s="33"/>
      <c r="I15" s="33"/>
      <c r="J15" s="33"/>
      <c r="K15" s="33"/>
      <c r="L15" s="33"/>
      <c r="M15" s="72"/>
      <c r="N15" s="29"/>
      <c r="O15" s="29"/>
      <c r="P15" s="29"/>
      <c r="Q15" s="29"/>
      <c r="R15" s="29"/>
      <c r="S15" s="29"/>
      <c r="T15" s="29"/>
      <c r="U15" s="29"/>
      <c r="V15" s="29"/>
      <c r="W15" s="29"/>
      <c r="X15" s="29"/>
      <c r="Y15" s="29"/>
      <c r="Z15" s="29"/>
      <c r="AA15" s="29"/>
    </row>
    <row r="16" spans="2:28" s="26" customFormat="1" ht="15">
      <c r="B16" s="34"/>
      <c r="C16" s="31"/>
      <c r="D16" s="31"/>
      <c r="E16" s="73"/>
      <c r="F16" s="31"/>
      <c r="G16" s="31"/>
      <c r="H16" s="31"/>
      <c r="I16" s="31"/>
      <c r="J16" s="31"/>
      <c r="K16" s="31"/>
      <c r="L16" s="31"/>
      <c r="M16" s="72"/>
      <c r="N16" s="29"/>
      <c r="O16" s="29"/>
      <c r="P16" s="29"/>
      <c r="Q16" s="29"/>
      <c r="R16" s="29"/>
      <c r="S16" s="29"/>
      <c r="T16" s="29"/>
      <c r="U16" s="29"/>
      <c r="V16" s="29"/>
      <c r="W16" s="29"/>
      <c r="X16" s="29"/>
      <c r="Y16" s="29"/>
      <c r="Z16" s="29"/>
      <c r="AA16" s="29"/>
    </row>
    <row r="17" spans="2:28" s="26" customFormat="1" ht="15">
      <c r="B17" s="35" t="s">
        <v>6</v>
      </c>
      <c r="C17" s="303" t="s">
        <v>66</v>
      </c>
      <c r="D17" s="36"/>
      <c r="E17" s="36"/>
      <c r="F17" s="80"/>
      <c r="G17" s="304" t="s">
        <v>67</v>
      </c>
      <c r="H17" s="36"/>
      <c r="I17" s="36"/>
      <c r="J17" s="80"/>
      <c r="K17" s="31"/>
      <c r="L17" s="31"/>
      <c r="M17" s="72"/>
      <c r="N17" s="29"/>
      <c r="O17" s="29"/>
      <c r="P17" s="29"/>
      <c r="Q17" s="29"/>
      <c r="R17" s="29"/>
      <c r="S17" s="29"/>
      <c r="T17" s="29"/>
      <c r="U17" s="29"/>
      <c r="V17" s="29"/>
      <c r="W17" s="29"/>
      <c r="X17" s="29"/>
      <c r="Y17" s="29"/>
      <c r="Z17" s="29"/>
    </row>
    <row r="18" spans="2:28" s="26" customFormat="1" ht="15">
      <c r="B18" s="79"/>
      <c r="C18" s="37">
        <v>2025</v>
      </c>
      <c r="D18" s="37">
        <f>+C18+1</f>
        <v>2026</v>
      </c>
      <c r="E18" s="37">
        <f t="shared" ref="E18:H18" si="0">+D18+1</f>
        <v>2027</v>
      </c>
      <c r="F18" s="78">
        <f t="shared" si="0"/>
        <v>2028</v>
      </c>
      <c r="G18" s="50">
        <f t="shared" si="0"/>
        <v>2029</v>
      </c>
      <c r="H18" s="37">
        <f t="shared" si="0"/>
        <v>2030</v>
      </c>
      <c r="I18" s="37">
        <f t="shared" ref="I18:J18" si="1">+H18+1</f>
        <v>2031</v>
      </c>
      <c r="J18" s="78">
        <f t="shared" si="1"/>
        <v>2032</v>
      </c>
      <c r="K18" s="31"/>
      <c r="L18" s="31"/>
      <c r="M18" s="72"/>
      <c r="N18" s="29"/>
      <c r="O18" s="29"/>
      <c r="P18" s="29"/>
      <c r="Q18" s="29"/>
      <c r="R18" s="29"/>
      <c r="S18" s="29"/>
      <c r="T18" s="29"/>
      <c r="U18" s="29"/>
      <c r="V18" s="29"/>
      <c r="W18" s="29"/>
      <c r="X18" s="29"/>
      <c r="Y18" s="29"/>
      <c r="Z18" s="29"/>
    </row>
    <row r="19" spans="2:28" s="26" customFormat="1" ht="24.95" customHeight="1">
      <c r="B19" s="286" t="s">
        <v>37</v>
      </c>
      <c r="C19" s="287">
        <v>50</v>
      </c>
      <c r="D19" s="287">
        <f>+C19+25</f>
        <v>75</v>
      </c>
      <c r="E19" s="287">
        <f t="shared" ref="E19:F19" si="2">+D19+25</f>
        <v>100</v>
      </c>
      <c r="F19" s="287">
        <f t="shared" si="2"/>
        <v>125</v>
      </c>
      <c r="G19" s="287">
        <f>+F19*0.6</f>
        <v>75</v>
      </c>
      <c r="H19" s="288">
        <v>85</v>
      </c>
      <c r="I19" s="287">
        <v>95</v>
      </c>
      <c r="J19" s="287">
        <v>105</v>
      </c>
      <c r="K19" s="31"/>
      <c r="L19" s="31"/>
      <c r="M19" s="72"/>
      <c r="N19" s="29"/>
      <c r="O19" s="29"/>
      <c r="P19" s="29"/>
      <c r="Q19" s="29"/>
      <c r="R19" s="29"/>
      <c r="S19" s="29"/>
      <c r="T19" s="29"/>
      <c r="U19" s="29"/>
      <c r="V19" s="29"/>
      <c r="W19" s="29"/>
      <c r="X19" s="29"/>
      <c r="Y19" s="29"/>
      <c r="Z19" s="29"/>
    </row>
    <row r="20" spans="2:28" s="26" customFormat="1" ht="15.75" thickBot="1">
      <c r="B20" s="32"/>
      <c r="C20" s="33"/>
      <c r="D20" s="33"/>
      <c r="E20" s="65"/>
      <c r="F20" s="33"/>
      <c r="G20" s="33"/>
      <c r="H20" s="33"/>
      <c r="I20" s="33"/>
      <c r="J20" s="33"/>
      <c r="K20" s="33"/>
      <c r="L20" s="33"/>
      <c r="M20" s="72"/>
      <c r="N20" s="29"/>
      <c r="O20" s="29"/>
      <c r="P20" s="29"/>
      <c r="Q20" s="29"/>
      <c r="R20" s="29"/>
      <c r="S20" s="29"/>
      <c r="T20" s="29"/>
      <c r="U20" s="29"/>
      <c r="V20" s="29"/>
      <c r="W20" s="29"/>
      <c r="X20" s="29"/>
      <c r="Y20" s="29"/>
      <c r="Z20" s="29"/>
      <c r="AA20" s="29"/>
    </row>
    <row r="21" spans="2:28" s="26" customFormat="1" ht="15">
      <c r="B21" s="34"/>
      <c r="C21" s="31"/>
      <c r="D21" s="31"/>
      <c r="E21" s="73"/>
      <c r="F21" s="31"/>
      <c r="G21" s="31"/>
      <c r="H21" s="31"/>
      <c r="I21" s="31"/>
      <c r="J21" s="31"/>
      <c r="K21" s="31"/>
      <c r="L21" s="31"/>
      <c r="M21" s="72"/>
      <c r="N21" s="29"/>
      <c r="O21" s="148"/>
      <c r="P21" s="148"/>
      <c r="Q21" s="148"/>
      <c r="R21" s="148"/>
      <c r="S21" s="148"/>
      <c r="T21" s="148"/>
      <c r="U21" s="148"/>
      <c r="V21" s="148"/>
      <c r="W21" s="148"/>
      <c r="X21" s="148"/>
      <c r="Y21" s="148"/>
      <c r="Z21" s="148"/>
      <c r="AA21" s="148"/>
      <c r="AB21" s="149"/>
    </row>
    <row r="22" spans="2:28" s="26" customFormat="1" ht="25.15" customHeight="1">
      <c r="B22" s="38" t="s">
        <v>107</v>
      </c>
      <c r="C22" s="39"/>
      <c r="D22" s="39"/>
      <c r="E22" s="39"/>
      <c r="F22" s="39"/>
      <c r="G22" s="39"/>
      <c r="H22" s="39"/>
      <c r="I22" s="39"/>
      <c r="J22" s="39"/>
      <c r="K22" s="39"/>
      <c r="L22" s="39"/>
      <c r="M22" s="72"/>
      <c r="N22" s="29"/>
      <c r="O22" s="148"/>
      <c r="P22" s="148"/>
      <c r="Q22" s="148"/>
      <c r="R22" s="148"/>
      <c r="S22" s="148"/>
      <c r="T22" s="148"/>
      <c r="U22" s="148"/>
      <c r="V22" s="148"/>
      <c r="W22" s="148"/>
      <c r="X22" s="149"/>
      <c r="Y22" s="149"/>
      <c r="Z22" s="149"/>
      <c r="AA22" s="149"/>
      <c r="AB22" s="149"/>
    </row>
    <row r="23" spans="2:28" s="26" customFormat="1" ht="15">
      <c r="B23" s="40"/>
      <c r="C23" s="40"/>
      <c r="D23" s="40"/>
      <c r="E23" s="40"/>
      <c r="F23" s="40"/>
      <c r="G23" s="40"/>
      <c r="H23" s="40"/>
      <c r="I23" s="40"/>
      <c r="J23" s="40"/>
      <c r="K23" s="40"/>
      <c r="L23" s="40"/>
      <c r="M23" s="72"/>
      <c r="N23" s="29"/>
      <c r="O23" s="148"/>
      <c r="P23" s="148"/>
      <c r="Q23" s="149"/>
      <c r="R23" s="149"/>
      <c r="S23" s="149"/>
      <c r="T23" s="149"/>
      <c r="U23" s="149"/>
      <c r="V23" s="149"/>
      <c r="W23" s="149"/>
      <c r="X23" s="149"/>
      <c r="Y23" s="149"/>
      <c r="Z23" s="149"/>
      <c r="AA23" s="149"/>
      <c r="AB23" s="149"/>
    </row>
    <row r="24" spans="2:28" s="26" customFormat="1" ht="15">
      <c r="B24" s="41"/>
      <c r="C24" s="42"/>
      <c r="D24" s="77" t="s">
        <v>29</v>
      </c>
      <c r="E24" s="43"/>
      <c r="F24" s="43" t="s">
        <v>0</v>
      </c>
      <c r="G24" s="43"/>
      <c r="H24" s="43"/>
      <c r="I24" s="43"/>
      <c r="J24" s="76" t="s">
        <v>23</v>
      </c>
      <c r="K24" s="76"/>
      <c r="L24" s="305"/>
      <c r="M24" s="72"/>
      <c r="N24" s="29"/>
      <c r="O24" s="148"/>
      <c r="P24" s="148"/>
      <c r="Q24" s="148"/>
      <c r="R24" s="149"/>
      <c r="S24" s="149"/>
      <c r="T24" s="149"/>
      <c r="U24" s="149"/>
      <c r="V24" s="149"/>
      <c r="W24" s="149"/>
      <c r="X24" s="149"/>
      <c r="Y24" s="149"/>
      <c r="Z24" s="149"/>
      <c r="AA24" s="149"/>
      <c r="AB24" s="149"/>
    </row>
    <row r="25" spans="2:28" s="26" customFormat="1" ht="15">
      <c r="B25" s="44" t="s">
        <v>0</v>
      </c>
      <c r="C25" s="24" t="s">
        <v>32</v>
      </c>
      <c r="D25" s="24" t="s">
        <v>28</v>
      </c>
      <c r="E25" s="45"/>
      <c r="F25" s="45"/>
      <c r="G25" s="45"/>
      <c r="H25" s="45"/>
      <c r="I25" s="45"/>
      <c r="J25" s="45" t="s">
        <v>0</v>
      </c>
      <c r="K25" s="45"/>
      <c r="L25" s="71"/>
      <c r="M25" s="72"/>
      <c r="N25" s="29"/>
      <c r="O25" s="148"/>
      <c r="P25" s="148"/>
      <c r="Q25" s="148"/>
      <c r="R25" s="149"/>
      <c r="S25" s="149"/>
      <c r="T25" s="149"/>
      <c r="U25" s="149"/>
      <c r="V25" s="149"/>
      <c r="W25" s="149"/>
      <c r="X25" s="149"/>
      <c r="Y25" s="149"/>
      <c r="Z25" s="149"/>
      <c r="AA25" s="149"/>
      <c r="AB25" s="149"/>
    </row>
    <row r="26" spans="2:28" s="26" customFormat="1" ht="15">
      <c r="B26" s="44" t="s">
        <v>0</v>
      </c>
      <c r="C26" s="46" t="s">
        <v>30</v>
      </c>
      <c r="D26" s="24" t="s">
        <v>35</v>
      </c>
      <c r="E26" s="45"/>
      <c r="F26" s="45"/>
      <c r="G26" s="45"/>
      <c r="H26" s="45"/>
      <c r="I26" s="45"/>
      <c r="J26" s="45" t="s">
        <v>0</v>
      </c>
      <c r="K26" s="45"/>
      <c r="L26" s="71"/>
      <c r="M26" s="72"/>
      <c r="N26" s="29"/>
      <c r="O26" s="148"/>
      <c r="P26" s="148"/>
      <c r="Q26" s="148"/>
      <c r="R26" s="149"/>
      <c r="S26" s="149"/>
      <c r="T26" s="149"/>
      <c r="U26" s="149"/>
      <c r="V26" s="149"/>
      <c r="W26" s="149"/>
      <c r="X26" s="149"/>
      <c r="Y26" s="149"/>
      <c r="Z26" s="149"/>
      <c r="AA26" s="149"/>
      <c r="AB26" s="149"/>
    </row>
    <row r="27" spans="2:28" s="26" customFormat="1" ht="15">
      <c r="B27" s="48" t="s">
        <v>36</v>
      </c>
      <c r="C27" s="37" t="s">
        <v>35</v>
      </c>
      <c r="D27" s="47" t="s">
        <v>34</v>
      </c>
      <c r="E27" s="45"/>
      <c r="F27" s="45"/>
      <c r="G27" s="45"/>
      <c r="H27" s="45"/>
      <c r="I27" s="45"/>
      <c r="J27" s="45"/>
      <c r="K27" s="45"/>
      <c r="L27" s="71"/>
      <c r="M27" s="72"/>
      <c r="N27" s="29"/>
      <c r="O27" s="148"/>
      <c r="P27" s="148"/>
      <c r="Q27" s="148"/>
      <c r="R27" s="149"/>
      <c r="S27" s="149"/>
      <c r="T27" s="149"/>
      <c r="U27" s="149"/>
      <c r="V27" s="149"/>
      <c r="W27" s="149"/>
      <c r="X27" s="149"/>
      <c r="Y27" s="149"/>
      <c r="Z27" s="149"/>
      <c r="AA27" s="149"/>
      <c r="AB27" s="149"/>
    </row>
    <row r="28" spans="2:28" s="26" customFormat="1" ht="24.95" customHeight="1">
      <c r="B28" s="306" t="s">
        <v>33</v>
      </c>
      <c r="C28" s="307"/>
      <c r="D28" s="307"/>
      <c r="E28" s="308"/>
      <c r="F28" s="308"/>
      <c r="G28" s="308"/>
      <c r="H28" s="308"/>
      <c r="I28" s="308"/>
      <c r="J28" s="309">
        <f>+D28</f>
        <v>0</v>
      </c>
      <c r="K28" s="45"/>
      <c r="L28" s="71"/>
      <c r="M28" s="72"/>
      <c r="N28" s="29"/>
      <c r="O28" s="148"/>
      <c r="P28" s="148"/>
      <c r="Q28" s="148"/>
      <c r="R28" s="149"/>
      <c r="S28" s="149"/>
      <c r="T28" s="149"/>
      <c r="U28" s="149"/>
      <c r="V28" s="149"/>
      <c r="W28" s="149"/>
      <c r="X28" s="149"/>
      <c r="Y28" s="149"/>
      <c r="Z28" s="149"/>
      <c r="AA28" s="149"/>
      <c r="AB28" s="149"/>
    </row>
    <row r="29" spans="2:28" s="26" customFormat="1" ht="25.5">
      <c r="B29" s="70"/>
      <c r="C29" s="45"/>
      <c r="D29" s="45"/>
      <c r="E29" s="45"/>
      <c r="F29" s="45"/>
      <c r="G29" s="45"/>
      <c r="H29" s="168" t="s">
        <v>85</v>
      </c>
      <c r="I29" s="45"/>
      <c r="J29" s="45"/>
      <c r="K29" s="45"/>
      <c r="L29" s="168" t="s">
        <v>85</v>
      </c>
      <c r="M29" s="72"/>
      <c r="N29" s="29"/>
      <c r="O29" s="148"/>
      <c r="P29" s="148"/>
      <c r="Q29" s="148"/>
      <c r="R29" s="149"/>
      <c r="S29" s="149"/>
      <c r="T29" s="149"/>
      <c r="U29" s="149"/>
      <c r="V29" s="149"/>
      <c r="W29" s="149"/>
      <c r="X29" s="149"/>
      <c r="Y29" s="149"/>
      <c r="Z29" s="149"/>
      <c r="AA29" s="149"/>
      <c r="AB29" s="149"/>
    </row>
    <row r="30" spans="2:28" s="26" customFormat="1" ht="15.75" customHeight="1">
      <c r="B30" s="169" t="s">
        <v>7</v>
      </c>
      <c r="C30" s="170"/>
      <c r="D30" s="170"/>
      <c r="E30" s="429" t="str">
        <f>"# "&amp;B28</f>
        <v># Gebruiker</v>
      </c>
      <c r="F30" s="171"/>
      <c r="G30" s="171" t="s">
        <v>0</v>
      </c>
      <c r="H30" s="172" t="s">
        <v>77</v>
      </c>
      <c r="I30" s="24"/>
      <c r="J30" s="24" t="s">
        <v>31</v>
      </c>
      <c r="K30" s="24"/>
      <c r="L30" s="172" t="s">
        <v>102</v>
      </c>
      <c r="M30" s="72"/>
      <c r="N30" s="29"/>
      <c r="O30" s="148"/>
      <c r="P30" s="148"/>
      <c r="Q30" s="148"/>
      <c r="R30" s="148"/>
      <c r="S30" s="149"/>
      <c r="T30" s="149"/>
      <c r="U30" s="149"/>
      <c r="V30" s="149"/>
      <c r="W30" s="149"/>
      <c r="X30" s="149"/>
      <c r="Y30" s="149"/>
      <c r="Z30" s="149"/>
      <c r="AA30" s="149"/>
      <c r="AB30" s="149"/>
    </row>
    <row r="31" spans="2:28" s="26" customFormat="1" ht="15.75" customHeight="1">
      <c r="B31" s="173"/>
      <c r="C31" s="431" t="str">
        <f>"# "&amp;B28</f>
        <v># Gebruiker</v>
      </c>
      <c r="D31" s="432"/>
      <c r="E31" s="430"/>
      <c r="F31" s="174" t="s">
        <v>78</v>
      </c>
      <c r="G31" s="171" t="s">
        <v>79</v>
      </c>
      <c r="H31" s="175" t="s">
        <v>80</v>
      </c>
      <c r="I31" s="49"/>
      <c r="J31" s="24" t="s">
        <v>29</v>
      </c>
      <c r="K31" s="24"/>
      <c r="L31" s="175" t="s">
        <v>80</v>
      </c>
      <c r="M31" s="72"/>
      <c r="N31" s="29"/>
      <c r="O31" s="148"/>
      <c r="P31" s="148"/>
      <c r="Q31" s="148"/>
      <c r="R31" s="148"/>
      <c r="S31" s="149"/>
      <c r="T31" s="149"/>
      <c r="U31" s="149"/>
      <c r="V31" s="149"/>
      <c r="W31" s="149"/>
      <c r="X31" s="149"/>
      <c r="Y31" s="149"/>
      <c r="Z31" s="149"/>
      <c r="AA31" s="149"/>
      <c r="AB31" s="149"/>
    </row>
    <row r="32" spans="2:28" s="26" customFormat="1" ht="15.75" customHeight="1">
      <c r="B32" s="176" t="s">
        <v>81</v>
      </c>
      <c r="C32" s="177" t="s">
        <v>8</v>
      </c>
      <c r="D32" s="178" t="s">
        <v>9</v>
      </c>
      <c r="E32" s="179" t="s">
        <v>82</v>
      </c>
      <c r="F32" s="180" t="str">
        <f>B28</f>
        <v>Gebruiker</v>
      </c>
      <c r="G32" s="180" t="s">
        <v>83</v>
      </c>
      <c r="H32" s="181" t="s">
        <v>84</v>
      </c>
      <c r="I32" s="47"/>
      <c r="J32" s="47" t="s">
        <v>28</v>
      </c>
      <c r="K32" s="47" t="s">
        <v>27</v>
      </c>
      <c r="L32" s="181" t="s">
        <v>84</v>
      </c>
      <c r="M32" s="72"/>
      <c r="N32" s="29"/>
      <c r="O32" s="148"/>
      <c r="P32" s="148"/>
      <c r="Q32" s="148"/>
      <c r="R32" s="148"/>
      <c r="S32" s="149"/>
      <c r="T32" s="149"/>
      <c r="U32" s="149"/>
      <c r="V32" s="149"/>
      <c r="W32" s="149"/>
      <c r="X32" s="149"/>
      <c r="Y32" s="149"/>
      <c r="Z32" s="149"/>
      <c r="AA32" s="149"/>
      <c r="AB32" s="149"/>
    </row>
    <row r="33" spans="2:28" s="26" customFormat="1" ht="15.75" customHeight="1">
      <c r="B33" s="150" t="s">
        <v>10</v>
      </c>
      <c r="C33" s="151">
        <v>1</v>
      </c>
      <c r="D33" s="152" t="s">
        <v>12</v>
      </c>
      <c r="E33" s="153" t="str">
        <f>IF(+D33&lt;&gt;0,D33,"&gt;")</f>
        <v>&gt;</v>
      </c>
      <c r="F33" s="154" t="str">
        <f>+$B$25</f>
        <v xml:space="preserve"> </v>
      </c>
      <c r="G33" s="155"/>
      <c r="H33" s="156">
        <f t="shared" ref="H33:H41" si="3">IF(N33=2,"",+$C$28*(1-G33))</f>
        <v>0</v>
      </c>
      <c r="I33" s="157"/>
      <c r="J33" s="154">
        <f>IF(N33=2,"",$J$28)</f>
        <v>0</v>
      </c>
      <c r="K33" s="155"/>
      <c r="L33" s="156">
        <f t="shared" ref="L33:L41" si="4">IF(N33=2,"",+$D$28*(1-K33))</f>
        <v>0</v>
      </c>
      <c r="M33" s="72"/>
      <c r="N33" s="158">
        <f t="shared" ref="N33:N41" si="5">IF(AND(C33&lt;&gt;" ",D33="&gt;"),0,IF(AND(C33=" ",D33="&gt;"),2,1))</f>
        <v>0</v>
      </c>
      <c r="O33" s="158">
        <v>0</v>
      </c>
      <c r="P33" s="158">
        <v>0</v>
      </c>
      <c r="Q33" s="159"/>
      <c r="R33" s="148"/>
      <c r="S33" s="149"/>
      <c r="T33" s="149"/>
      <c r="U33" s="160"/>
      <c r="V33" s="160"/>
      <c r="W33" s="149"/>
      <c r="X33" s="149"/>
      <c r="Y33" s="149"/>
      <c r="Z33" s="149"/>
      <c r="AA33" s="149"/>
      <c r="AB33" s="149"/>
    </row>
    <row r="34" spans="2:28" s="26" customFormat="1" ht="15.75" customHeight="1">
      <c r="B34" s="161" t="s">
        <v>11</v>
      </c>
      <c r="C34" s="151" t="str">
        <f t="shared" ref="C34:C41" si="6">IF(ISERROR(+D33+1)," ",D33+1)</f>
        <v xml:space="preserve"> </v>
      </c>
      <c r="D34" s="152" t="s">
        <v>12</v>
      </c>
      <c r="E34" s="153" t="str">
        <f t="shared" ref="E34:E41" si="7">IF(N34=2,"",IF(+D34&lt;&gt;0,D34,"&gt;"))</f>
        <v/>
      </c>
      <c r="F34" s="154" t="str">
        <f t="shared" ref="F34:F41" si="8">IF(N34=2," ",+$B$25)</f>
        <v xml:space="preserve"> </v>
      </c>
      <c r="G34" s="155"/>
      <c r="H34" s="156" t="str">
        <f t="shared" si="3"/>
        <v/>
      </c>
      <c r="I34" s="157"/>
      <c r="J34" s="154" t="str">
        <f t="shared" ref="J34:J41" si="9">IF(N34=2,"",$J$28)</f>
        <v/>
      </c>
      <c r="K34" s="155"/>
      <c r="L34" s="156" t="str">
        <f t="shared" si="4"/>
        <v/>
      </c>
      <c r="M34" s="72"/>
      <c r="N34" s="158">
        <f t="shared" si="5"/>
        <v>2</v>
      </c>
      <c r="O34" s="158">
        <f t="shared" ref="O34:O41" si="10">IF(N34&lt;&gt;2,IF(H34&gt;H33,1,0),0)</f>
        <v>0</v>
      </c>
      <c r="P34" s="158">
        <f t="shared" ref="P34:P41" si="11">IF(N34&lt;&gt;2,IF(L34&gt;L33,1,0),0)</f>
        <v>0</v>
      </c>
      <c r="Q34" s="159"/>
      <c r="R34" s="148"/>
      <c r="S34" s="149"/>
      <c r="T34" s="149"/>
      <c r="U34" s="160"/>
      <c r="V34" s="160"/>
      <c r="W34" s="149"/>
      <c r="X34" s="149"/>
      <c r="Y34" s="149"/>
      <c r="Z34" s="149"/>
      <c r="AA34" s="149"/>
      <c r="AB34" s="149"/>
    </row>
    <row r="35" spans="2:28" s="26" customFormat="1" ht="15.75" customHeight="1">
      <c r="B35" s="162" t="s">
        <v>68</v>
      </c>
      <c r="C35" s="151" t="str">
        <f t="shared" si="6"/>
        <v xml:space="preserve"> </v>
      </c>
      <c r="D35" s="152" t="s">
        <v>12</v>
      </c>
      <c r="E35" s="153" t="str">
        <f t="shared" si="7"/>
        <v/>
      </c>
      <c r="F35" s="154" t="str">
        <f t="shared" si="8"/>
        <v xml:space="preserve"> </v>
      </c>
      <c r="G35" s="155"/>
      <c r="H35" s="156" t="str">
        <f t="shared" si="3"/>
        <v/>
      </c>
      <c r="I35" s="157"/>
      <c r="J35" s="154" t="str">
        <f t="shared" si="9"/>
        <v/>
      </c>
      <c r="K35" s="155"/>
      <c r="L35" s="156" t="str">
        <f t="shared" si="4"/>
        <v/>
      </c>
      <c r="M35" s="72"/>
      <c r="N35" s="158">
        <f t="shared" si="5"/>
        <v>2</v>
      </c>
      <c r="O35" s="158">
        <f t="shared" si="10"/>
        <v>0</v>
      </c>
      <c r="P35" s="158">
        <f t="shared" si="11"/>
        <v>0</v>
      </c>
      <c r="Q35" s="159"/>
      <c r="R35" s="148"/>
      <c r="S35" s="149"/>
      <c r="T35" s="149"/>
      <c r="U35" s="160"/>
      <c r="V35" s="160"/>
      <c r="W35" s="149"/>
      <c r="X35" s="149"/>
      <c r="Y35" s="149"/>
      <c r="Z35" s="149"/>
      <c r="AA35" s="149"/>
      <c r="AB35" s="149"/>
    </row>
    <row r="36" spans="2:28" s="26" customFormat="1" ht="15.75" customHeight="1">
      <c r="B36" s="162" t="s">
        <v>69</v>
      </c>
      <c r="C36" s="151" t="str">
        <f t="shared" si="6"/>
        <v xml:space="preserve"> </v>
      </c>
      <c r="D36" s="152" t="s">
        <v>12</v>
      </c>
      <c r="E36" s="153" t="str">
        <f t="shared" si="7"/>
        <v/>
      </c>
      <c r="F36" s="154" t="str">
        <f t="shared" si="8"/>
        <v xml:space="preserve"> </v>
      </c>
      <c r="G36" s="155"/>
      <c r="H36" s="156" t="str">
        <f t="shared" si="3"/>
        <v/>
      </c>
      <c r="I36" s="157"/>
      <c r="J36" s="154" t="str">
        <f t="shared" si="9"/>
        <v/>
      </c>
      <c r="K36" s="155"/>
      <c r="L36" s="156" t="str">
        <f t="shared" si="4"/>
        <v/>
      </c>
      <c r="M36" s="72"/>
      <c r="N36" s="158">
        <f t="shared" si="5"/>
        <v>2</v>
      </c>
      <c r="O36" s="158">
        <f t="shared" si="10"/>
        <v>0</v>
      </c>
      <c r="P36" s="158">
        <f t="shared" si="11"/>
        <v>0</v>
      </c>
      <c r="Q36" s="159"/>
      <c r="R36" s="148"/>
      <c r="S36" s="149"/>
      <c r="T36" s="149"/>
      <c r="U36" s="160"/>
      <c r="V36" s="160"/>
      <c r="W36" s="149"/>
      <c r="X36" s="149"/>
      <c r="Y36" s="149"/>
      <c r="Z36" s="149"/>
      <c r="AA36" s="149"/>
      <c r="AB36" s="149"/>
    </row>
    <row r="37" spans="2:28" s="26" customFormat="1" ht="15.75" customHeight="1">
      <c r="B37" s="150" t="s">
        <v>70</v>
      </c>
      <c r="C37" s="151" t="str">
        <f t="shared" si="6"/>
        <v xml:space="preserve"> </v>
      </c>
      <c r="D37" s="152" t="s">
        <v>12</v>
      </c>
      <c r="E37" s="153" t="str">
        <f t="shared" si="7"/>
        <v/>
      </c>
      <c r="F37" s="154" t="str">
        <f t="shared" si="8"/>
        <v xml:space="preserve"> </v>
      </c>
      <c r="G37" s="155"/>
      <c r="H37" s="156" t="str">
        <f t="shared" si="3"/>
        <v/>
      </c>
      <c r="I37" s="157"/>
      <c r="J37" s="154" t="str">
        <f t="shared" si="9"/>
        <v/>
      </c>
      <c r="K37" s="155"/>
      <c r="L37" s="156" t="str">
        <f t="shared" si="4"/>
        <v/>
      </c>
      <c r="M37" s="72"/>
      <c r="N37" s="158">
        <f t="shared" si="5"/>
        <v>2</v>
      </c>
      <c r="O37" s="158">
        <f t="shared" si="10"/>
        <v>0</v>
      </c>
      <c r="P37" s="158">
        <f t="shared" si="11"/>
        <v>0</v>
      </c>
      <c r="Q37" s="159"/>
      <c r="R37" s="148"/>
      <c r="S37" s="149"/>
      <c r="T37" s="149"/>
      <c r="U37" s="160"/>
      <c r="V37" s="160"/>
      <c r="W37" s="149"/>
      <c r="X37" s="149"/>
      <c r="Y37" s="149"/>
      <c r="Z37" s="149"/>
      <c r="AA37" s="149"/>
      <c r="AB37" s="149"/>
    </row>
    <row r="38" spans="2:28" s="26" customFormat="1" ht="15.75" customHeight="1">
      <c r="B38" s="161" t="s">
        <v>71</v>
      </c>
      <c r="C38" s="151" t="str">
        <f t="shared" si="6"/>
        <v xml:space="preserve"> </v>
      </c>
      <c r="D38" s="152" t="s">
        <v>12</v>
      </c>
      <c r="E38" s="153" t="str">
        <f t="shared" si="7"/>
        <v/>
      </c>
      <c r="F38" s="154" t="str">
        <f t="shared" si="8"/>
        <v xml:space="preserve"> </v>
      </c>
      <c r="G38" s="155"/>
      <c r="H38" s="156" t="str">
        <f t="shared" si="3"/>
        <v/>
      </c>
      <c r="I38" s="157"/>
      <c r="J38" s="154" t="str">
        <f t="shared" si="9"/>
        <v/>
      </c>
      <c r="K38" s="155"/>
      <c r="L38" s="156" t="str">
        <f t="shared" si="4"/>
        <v/>
      </c>
      <c r="M38" s="72"/>
      <c r="N38" s="158">
        <f t="shared" si="5"/>
        <v>2</v>
      </c>
      <c r="O38" s="158">
        <f t="shared" si="10"/>
        <v>0</v>
      </c>
      <c r="P38" s="158">
        <f t="shared" si="11"/>
        <v>0</v>
      </c>
      <c r="Q38" s="159"/>
      <c r="R38" s="148"/>
      <c r="S38" s="149"/>
      <c r="T38" s="149"/>
      <c r="U38" s="160"/>
      <c r="V38" s="160"/>
      <c r="W38" s="149"/>
      <c r="X38" s="149"/>
      <c r="Y38" s="149"/>
      <c r="Z38" s="149"/>
      <c r="AA38" s="149"/>
      <c r="AB38" s="149"/>
    </row>
    <row r="39" spans="2:28" s="26" customFormat="1" ht="15.75" customHeight="1">
      <c r="B39" s="161" t="s">
        <v>72</v>
      </c>
      <c r="C39" s="151" t="str">
        <f t="shared" si="6"/>
        <v xml:space="preserve"> </v>
      </c>
      <c r="D39" s="152" t="s">
        <v>12</v>
      </c>
      <c r="E39" s="153" t="str">
        <f t="shared" si="7"/>
        <v/>
      </c>
      <c r="F39" s="154" t="str">
        <f t="shared" si="8"/>
        <v xml:space="preserve"> </v>
      </c>
      <c r="G39" s="155"/>
      <c r="H39" s="156" t="str">
        <f t="shared" si="3"/>
        <v/>
      </c>
      <c r="I39" s="157"/>
      <c r="J39" s="154" t="str">
        <f t="shared" si="9"/>
        <v/>
      </c>
      <c r="K39" s="155"/>
      <c r="L39" s="156" t="str">
        <f t="shared" si="4"/>
        <v/>
      </c>
      <c r="M39" s="72"/>
      <c r="N39" s="158">
        <f t="shared" si="5"/>
        <v>2</v>
      </c>
      <c r="O39" s="158">
        <f t="shared" si="10"/>
        <v>0</v>
      </c>
      <c r="P39" s="158">
        <f t="shared" si="11"/>
        <v>0</v>
      </c>
      <c r="Q39" s="159"/>
      <c r="R39" s="148"/>
      <c r="S39" s="149"/>
      <c r="T39" s="149"/>
      <c r="U39" s="160"/>
      <c r="V39" s="160"/>
      <c r="W39" s="149"/>
      <c r="X39" s="149"/>
      <c r="Y39" s="149"/>
      <c r="Z39" s="149"/>
      <c r="AA39" s="149"/>
      <c r="AB39" s="149"/>
    </row>
    <row r="40" spans="2:28" s="26" customFormat="1" ht="15.75" customHeight="1">
      <c r="B40" s="161" t="s">
        <v>73</v>
      </c>
      <c r="C40" s="151" t="str">
        <f t="shared" si="6"/>
        <v xml:space="preserve"> </v>
      </c>
      <c r="D40" s="152" t="s">
        <v>12</v>
      </c>
      <c r="E40" s="153" t="str">
        <f t="shared" si="7"/>
        <v/>
      </c>
      <c r="F40" s="154" t="str">
        <f t="shared" si="8"/>
        <v xml:space="preserve"> </v>
      </c>
      <c r="G40" s="155"/>
      <c r="H40" s="156" t="str">
        <f t="shared" si="3"/>
        <v/>
      </c>
      <c r="I40" s="157"/>
      <c r="J40" s="154" t="str">
        <f t="shared" si="9"/>
        <v/>
      </c>
      <c r="K40" s="155"/>
      <c r="L40" s="156" t="str">
        <f t="shared" si="4"/>
        <v/>
      </c>
      <c r="M40" s="72"/>
      <c r="N40" s="158">
        <f t="shared" si="5"/>
        <v>2</v>
      </c>
      <c r="O40" s="158">
        <f t="shared" si="10"/>
        <v>0</v>
      </c>
      <c r="P40" s="158">
        <f t="shared" si="11"/>
        <v>0</v>
      </c>
      <c r="Q40" s="159"/>
      <c r="R40" s="148"/>
      <c r="S40" s="149"/>
      <c r="T40" s="149"/>
      <c r="U40" s="160"/>
      <c r="V40" s="160"/>
      <c r="W40" s="149"/>
      <c r="X40" s="149"/>
      <c r="Y40" s="149"/>
      <c r="Z40" s="149"/>
      <c r="AA40" s="149"/>
      <c r="AB40" s="149"/>
    </row>
    <row r="41" spans="2:28" s="26" customFormat="1" ht="15.75" customHeight="1">
      <c r="B41" s="162" t="s">
        <v>74</v>
      </c>
      <c r="C41" s="151" t="str">
        <f t="shared" si="6"/>
        <v xml:space="preserve"> </v>
      </c>
      <c r="D41" s="152" t="s">
        <v>12</v>
      </c>
      <c r="E41" s="153" t="str">
        <f t="shared" si="7"/>
        <v/>
      </c>
      <c r="F41" s="154" t="str">
        <f t="shared" si="8"/>
        <v xml:space="preserve"> </v>
      </c>
      <c r="G41" s="155"/>
      <c r="H41" s="156" t="str">
        <f t="shared" si="3"/>
        <v/>
      </c>
      <c r="I41" s="157"/>
      <c r="J41" s="154" t="str">
        <f t="shared" si="9"/>
        <v/>
      </c>
      <c r="K41" s="155"/>
      <c r="L41" s="156" t="str">
        <f t="shared" si="4"/>
        <v/>
      </c>
      <c r="M41" s="72"/>
      <c r="N41" s="158">
        <f t="shared" si="5"/>
        <v>2</v>
      </c>
      <c r="O41" s="158">
        <f t="shared" si="10"/>
        <v>0</v>
      </c>
      <c r="P41" s="158">
        <f t="shared" si="11"/>
        <v>0</v>
      </c>
      <c r="Q41" s="160"/>
      <c r="R41" s="148"/>
      <c r="S41" s="149"/>
      <c r="T41" s="149"/>
      <c r="U41" s="160"/>
      <c r="V41" s="160"/>
      <c r="W41" s="149"/>
      <c r="X41" s="149"/>
      <c r="Y41" s="149"/>
      <c r="Z41" s="149"/>
      <c r="AA41" s="149"/>
      <c r="AB41" s="149"/>
    </row>
    <row r="42" spans="2:28" s="26" customFormat="1" ht="15.75">
      <c r="B42" s="428" t="s">
        <v>75</v>
      </c>
      <c r="C42" s="428"/>
      <c r="D42" s="428"/>
      <c r="E42" s="428"/>
      <c r="F42" s="428"/>
      <c r="G42" s="163"/>
      <c r="H42" s="164" t="str">
        <f>IF(O42=0,"OK","Fout !")</f>
        <v>OK</v>
      </c>
      <c r="I42" s="165" t="s">
        <v>76</v>
      </c>
      <c r="J42" s="157"/>
      <c r="K42" s="163"/>
      <c r="L42" s="164" t="str">
        <f>IF(P42=0,"OK","Fout !")</f>
        <v>OK</v>
      </c>
      <c r="M42" s="72"/>
      <c r="N42" s="166"/>
      <c r="O42" s="158">
        <f>SUM(O33:O41)</f>
        <v>0</v>
      </c>
      <c r="P42" s="158">
        <f>SUM(P33:P41)</f>
        <v>0</v>
      </c>
      <c r="Q42" s="160"/>
      <c r="R42" s="148"/>
      <c r="S42" s="149"/>
      <c r="T42" s="149"/>
      <c r="U42" s="160"/>
      <c r="V42" s="160"/>
      <c r="W42" s="149"/>
      <c r="X42" s="149"/>
      <c r="Y42" s="149"/>
      <c r="Z42" s="149"/>
      <c r="AA42" s="149"/>
      <c r="AB42" s="149"/>
    </row>
    <row r="43" spans="2:28" s="26" customFormat="1" ht="15.75">
      <c r="B43" s="428"/>
      <c r="C43" s="428"/>
      <c r="D43" s="428"/>
      <c r="E43" s="428"/>
      <c r="F43" s="428"/>
      <c r="G43" s="163"/>
      <c r="H43" s="163"/>
      <c r="I43" s="157"/>
      <c r="J43" s="157"/>
      <c r="K43" s="157"/>
      <c r="L43" s="157"/>
      <c r="M43" s="72"/>
      <c r="N43" s="166"/>
      <c r="O43" s="158"/>
      <c r="P43" s="167"/>
      <c r="Q43" s="160"/>
      <c r="R43" s="160"/>
      <c r="S43" s="160"/>
      <c r="T43" s="160"/>
      <c r="U43" s="160"/>
      <c r="V43" s="160"/>
      <c r="W43" s="149"/>
      <c r="X43" s="149"/>
      <c r="Y43" s="149"/>
      <c r="Z43" s="149"/>
      <c r="AA43" s="149"/>
      <c r="AB43" s="149"/>
    </row>
    <row r="44" spans="2:28" s="26" customFormat="1" ht="15">
      <c r="B44" s="40"/>
      <c r="C44" s="40"/>
      <c r="D44" s="40"/>
      <c r="E44" s="40"/>
      <c r="F44" s="40"/>
      <c r="G44" s="40"/>
      <c r="H44" s="40"/>
      <c r="I44" s="40"/>
      <c r="J44" s="40"/>
      <c r="K44" s="40"/>
      <c r="L44" s="40"/>
      <c r="M44" s="72"/>
      <c r="N44" s="29"/>
      <c r="O44" s="148"/>
      <c r="P44" s="148"/>
      <c r="Q44" s="149"/>
      <c r="R44" s="149"/>
      <c r="S44" s="149"/>
      <c r="T44" s="149"/>
      <c r="U44" s="149"/>
      <c r="V44" s="149"/>
      <c r="W44" s="149"/>
      <c r="X44" s="149"/>
      <c r="Y44" s="149"/>
      <c r="Z44" s="149"/>
      <c r="AA44" s="149"/>
      <c r="AB44" s="149"/>
    </row>
    <row r="45" spans="2:28" s="26" customFormat="1" ht="15" customHeight="1">
      <c r="B45" s="51" t="s">
        <v>108</v>
      </c>
      <c r="C45" s="75">
        <f>+C18</f>
        <v>2025</v>
      </c>
      <c r="D45" s="75">
        <f>+C45+1</f>
        <v>2026</v>
      </c>
      <c r="E45" s="75">
        <f t="shared" ref="E45:J45" si="12">+D45+1</f>
        <v>2027</v>
      </c>
      <c r="F45" s="75">
        <f t="shared" si="12"/>
        <v>2028</v>
      </c>
      <c r="G45" s="75" t="s">
        <v>174</v>
      </c>
      <c r="H45" s="75">
        <v>2030</v>
      </c>
      <c r="I45" s="75">
        <f t="shared" si="12"/>
        <v>2031</v>
      </c>
      <c r="J45" s="52">
        <f t="shared" si="12"/>
        <v>2032</v>
      </c>
      <c r="K45" s="131"/>
      <c r="L45" s="131"/>
      <c r="M45" s="72"/>
      <c r="N45" s="29"/>
      <c r="O45" s="148"/>
      <c r="P45" s="149"/>
      <c r="Q45" s="149"/>
      <c r="R45" s="149"/>
      <c r="S45" s="149"/>
      <c r="T45" s="149"/>
      <c r="U45" s="149"/>
      <c r="V45" s="149"/>
      <c r="W45" s="149"/>
      <c r="X45" s="149"/>
      <c r="Y45" s="149"/>
      <c r="Z45" s="149"/>
      <c r="AA45" s="149"/>
      <c r="AB45" s="149"/>
    </row>
    <row r="46" spans="2:28" s="26" customFormat="1" ht="24.95" customHeight="1">
      <c r="B46" s="310" t="s">
        <v>179</v>
      </c>
      <c r="C46" s="311">
        <f>+C19</f>
        <v>50</v>
      </c>
      <c r="D46" s="311">
        <f t="shared" ref="D46:F46" si="13">+D19-C19</f>
        <v>25</v>
      </c>
      <c r="E46" s="311">
        <f t="shared" si="13"/>
        <v>25</v>
      </c>
      <c r="F46" s="311">
        <f t="shared" si="13"/>
        <v>25</v>
      </c>
      <c r="G46" s="311"/>
      <c r="H46" s="311"/>
      <c r="I46" s="311"/>
      <c r="J46" s="311"/>
      <c r="K46" s="131"/>
      <c r="L46" s="131"/>
      <c r="M46" s="72"/>
      <c r="N46" s="29"/>
      <c r="O46" s="148"/>
      <c r="P46" s="149"/>
      <c r="Q46" s="149"/>
      <c r="R46" s="149"/>
      <c r="S46" s="149"/>
      <c r="T46" s="149"/>
      <c r="U46" s="149"/>
      <c r="V46" s="149"/>
      <c r="W46" s="149"/>
      <c r="X46" s="149"/>
      <c r="Y46" s="149"/>
      <c r="Z46" s="149"/>
      <c r="AA46" s="149"/>
      <c r="AB46" s="149"/>
    </row>
    <row r="47" spans="2:28" s="26" customFormat="1" ht="24.95" customHeight="1">
      <c r="B47" s="310" t="s">
        <v>26</v>
      </c>
      <c r="C47" s="311">
        <f>+C46</f>
        <v>50</v>
      </c>
      <c r="D47" s="311">
        <f t="shared" ref="D47:J47" si="14">+C47+D46</f>
        <v>75</v>
      </c>
      <c r="E47" s="311">
        <f t="shared" si="14"/>
        <v>100</v>
      </c>
      <c r="F47" s="311">
        <f t="shared" si="14"/>
        <v>125</v>
      </c>
      <c r="G47" s="311">
        <f t="shared" si="14"/>
        <v>125</v>
      </c>
      <c r="H47" s="311">
        <f t="shared" si="14"/>
        <v>125</v>
      </c>
      <c r="I47" s="311">
        <f t="shared" si="14"/>
        <v>125</v>
      </c>
      <c r="J47" s="311">
        <f t="shared" si="14"/>
        <v>125</v>
      </c>
      <c r="K47" s="131"/>
      <c r="L47" s="131"/>
      <c r="M47" s="72"/>
      <c r="N47" s="29"/>
      <c r="O47" s="148"/>
      <c r="P47" s="149"/>
      <c r="Q47" s="149"/>
      <c r="R47" s="149"/>
      <c r="S47" s="149"/>
      <c r="T47" s="149"/>
      <c r="U47" s="149"/>
      <c r="V47" s="149"/>
      <c r="W47" s="149"/>
      <c r="X47" s="149"/>
      <c r="Y47" s="149"/>
      <c r="Z47" s="149"/>
      <c r="AA47" s="149"/>
      <c r="AB47" s="149"/>
    </row>
    <row r="48" spans="2:28" s="26" customFormat="1" ht="24.95" customHeight="1">
      <c r="B48" s="312" t="s">
        <v>25</v>
      </c>
      <c r="C48" s="313">
        <f t="shared" ref="C48:F48" si="15">VLOOKUP(C47,$C$33:$H$43,6,TRUE)</f>
        <v>0</v>
      </c>
      <c r="D48" s="313">
        <f t="shared" si="15"/>
        <v>0</v>
      </c>
      <c r="E48" s="313">
        <f t="shared" si="15"/>
        <v>0</v>
      </c>
      <c r="F48" s="313">
        <f t="shared" si="15"/>
        <v>0</v>
      </c>
      <c r="G48" s="313"/>
      <c r="H48" s="313"/>
      <c r="I48" s="313"/>
      <c r="J48" s="313"/>
      <c r="K48" s="131"/>
      <c r="L48" s="131"/>
      <c r="M48" s="72"/>
      <c r="N48" s="29"/>
      <c r="O48" s="29"/>
    </row>
    <row r="49" spans="2:15" s="26" customFormat="1" ht="24.95" customHeight="1" thickBot="1">
      <c r="B49" s="314" t="s">
        <v>24</v>
      </c>
      <c r="C49" s="315">
        <f t="shared" ref="C49:J49" si="16">+C46*C48</f>
        <v>0</v>
      </c>
      <c r="D49" s="315">
        <f t="shared" si="16"/>
        <v>0</v>
      </c>
      <c r="E49" s="315">
        <f t="shared" si="16"/>
        <v>0</v>
      </c>
      <c r="F49" s="315">
        <f t="shared" si="16"/>
        <v>0</v>
      </c>
      <c r="G49" s="315">
        <f t="shared" si="16"/>
        <v>0</v>
      </c>
      <c r="H49" s="315">
        <f t="shared" si="16"/>
        <v>0</v>
      </c>
      <c r="I49" s="315">
        <f t="shared" si="16"/>
        <v>0</v>
      </c>
      <c r="J49" s="315">
        <f t="shared" si="16"/>
        <v>0</v>
      </c>
      <c r="K49" s="40"/>
      <c r="L49" s="40"/>
      <c r="M49" s="72"/>
      <c r="N49" s="29"/>
      <c r="O49" s="29"/>
    </row>
    <row r="50" spans="2:15" s="26" customFormat="1" ht="15.75" thickTop="1">
      <c r="B50" s="40"/>
      <c r="C50" s="40"/>
      <c r="D50" s="40"/>
      <c r="E50" s="40"/>
      <c r="F50" s="40"/>
      <c r="G50" s="40"/>
      <c r="H50" s="40"/>
      <c r="I50" s="40"/>
      <c r="J50" s="40"/>
      <c r="K50" s="40"/>
      <c r="L50" s="40"/>
      <c r="M50" s="72"/>
      <c r="N50" s="29"/>
      <c r="O50" s="29"/>
    </row>
    <row r="51" spans="2:15" s="26" customFormat="1" ht="15">
      <c r="B51" s="51" t="s">
        <v>23</v>
      </c>
      <c r="C51" s="75">
        <f t="shared" ref="C51:J51" si="17">+C45</f>
        <v>2025</v>
      </c>
      <c r="D51" s="75">
        <f t="shared" si="17"/>
        <v>2026</v>
      </c>
      <c r="E51" s="75">
        <f t="shared" si="17"/>
        <v>2027</v>
      </c>
      <c r="F51" s="75">
        <f t="shared" si="17"/>
        <v>2028</v>
      </c>
      <c r="G51" s="75" t="str">
        <f t="shared" si="17"/>
        <v xml:space="preserve">2029* </v>
      </c>
      <c r="H51" s="75">
        <f t="shared" si="17"/>
        <v>2030</v>
      </c>
      <c r="I51" s="75">
        <f t="shared" si="17"/>
        <v>2031</v>
      </c>
      <c r="J51" s="75">
        <f t="shared" si="17"/>
        <v>2032</v>
      </c>
      <c r="K51" s="40"/>
      <c r="L51" s="40"/>
      <c r="M51" s="72"/>
      <c r="N51" s="29"/>
      <c r="O51" s="29"/>
    </row>
    <row r="52" spans="2:15" s="26" customFormat="1" ht="24.95" customHeight="1">
      <c r="B52" s="312" t="s">
        <v>26</v>
      </c>
      <c r="C52" s="316">
        <f t="shared" ref="C52:J52" si="18">+C19</f>
        <v>50</v>
      </c>
      <c r="D52" s="316">
        <f t="shared" si="18"/>
        <v>75</v>
      </c>
      <c r="E52" s="316">
        <f t="shared" si="18"/>
        <v>100</v>
      </c>
      <c r="F52" s="316">
        <f t="shared" si="18"/>
        <v>125</v>
      </c>
      <c r="G52" s="316">
        <f t="shared" si="18"/>
        <v>75</v>
      </c>
      <c r="H52" s="316">
        <f t="shared" si="18"/>
        <v>85</v>
      </c>
      <c r="I52" s="316">
        <f t="shared" si="18"/>
        <v>95</v>
      </c>
      <c r="J52" s="316">
        <f t="shared" si="18"/>
        <v>105</v>
      </c>
      <c r="K52" s="40"/>
      <c r="L52" s="40"/>
      <c r="M52" s="72"/>
      <c r="N52" s="29"/>
      <c r="O52" s="29"/>
    </row>
    <row r="53" spans="2:15" s="26" customFormat="1" ht="24.95" customHeight="1">
      <c r="B53" s="312" t="s">
        <v>22</v>
      </c>
      <c r="C53" s="317">
        <f t="shared" ref="C53:J53" si="19">VLOOKUP(C52,$C$33:$L$43,10,TRUE)</f>
        <v>0</v>
      </c>
      <c r="D53" s="317">
        <f t="shared" si="19"/>
        <v>0</v>
      </c>
      <c r="E53" s="317">
        <f t="shared" si="19"/>
        <v>0</v>
      </c>
      <c r="F53" s="317">
        <f t="shared" si="19"/>
        <v>0</v>
      </c>
      <c r="G53" s="317">
        <f t="shared" si="19"/>
        <v>0</v>
      </c>
      <c r="H53" s="317">
        <f t="shared" si="19"/>
        <v>0</v>
      </c>
      <c r="I53" s="317">
        <f t="shared" si="19"/>
        <v>0</v>
      </c>
      <c r="J53" s="317">
        <f t="shared" si="19"/>
        <v>0</v>
      </c>
      <c r="K53" s="40"/>
      <c r="L53" s="40"/>
      <c r="M53" s="72"/>
      <c r="N53" s="29"/>
      <c r="O53" s="29"/>
    </row>
    <row r="54" spans="2:15" s="26" customFormat="1" ht="24.95" customHeight="1" thickBot="1">
      <c r="B54" s="314" t="s">
        <v>21</v>
      </c>
      <c r="C54" s="318">
        <f t="shared" ref="C54:J54" si="20">+C52*C53</f>
        <v>0</v>
      </c>
      <c r="D54" s="318">
        <f t="shared" si="20"/>
        <v>0</v>
      </c>
      <c r="E54" s="318">
        <f t="shared" si="20"/>
        <v>0</v>
      </c>
      <c r="F54" s="318">
        <f t="shared" si="20"/>
        <v>0</v>
      </c>
      <c r="G54" s="318">
        <f t="shared" si="20"/>
        <v>0</v>
      </c>
      <c r="H54" s="318">
        <f t="shared" si="20"/>
        <v>0</v>
      </c>
      <c r="I54" s="318">
        <f t="shared" si="20"/>
        <v>0</v>
      </c>
      <c r="J54" s="318">
        <f t="shared" si="20"/>
        <v>0</v>
      </c>
      <c r="K54" s="40"/>
      <c r="L54" s="40"/>
      <c r="M54" s="72"/>
      <c r="N54" s="29"/>
      <c r="O54" s="29"/>
    </row>
    <row r="55" spans="2:15" s="26" customFormat="1" ht="15.75" thickTop="1">
      <c r="B55" s="40"/>
      <c r="C55" s="40"/>
      <c r="D55" s="40"/>
      <c r="E55" s="40"/>
      <c r="F55" s="40"/>
      <c r="G55" s="40"/>
      <c r="H55" s="40"/>
      <c r="I55" s="40"/>
      <c r="J55" s="40"/>
      <c r="K55" s="40"/>
      <c r="L55" s="40"/>
      <c r="M55" s="72"/>
      <c r="N55" s="29"/>
      <c r="O55" s="29"/>
    </row>
    <row r="56" spans="2:15" s="26" customFormat="1" ht="15">
      <c r="B56" s="53" t="s">
        <v>175</v>
      </c>
      <c r="C56" s="40"/>
      <c r="D56" s="40"/>
      <c r="E56" s="40"/>
      <c r="F56" s="40"/>
      <c r="G56" s="40"/>
      <c r="H56" s="40"/>
      <c r="I56" s="40"/>
      <c r="J56" s="40"/>
      <c r="K56" s="40"/>
      <c r="L56" s="40"/>
      <c r="M56" s="72"/>
      <c r="N56" s="29"/>
      <c r="O56" s="29"/>
    </row>
    <row r="57" spans="2:15" s="26" customFormat="1" ht="15">
      <c r="B57" s="53" t="s">
        <v>176</v>
      </c>
      <c r="C57" s="40"/>
      <c r="D57" s="40"/>
      <c r="E57" s="40"/>
      <c r="F57" s="40"/>
      <c r="G57" s="40"/>
      <c r="H57" s="40"/>
      <c r="I57" s="40"/>
      <c r="J57" s="40"/>
      <c r="K57" s="40"/>
      <c r="L57" s="40"/>
      <c r="M57" s="72"/>
      <c r="N57" s="29"/>
      <c r="O57" s="29"/>
    </row>
    <row r="58" spans="2:15" s="26" customFormat="1" ht="15">
      <c r="B58" s="40"/>
      <c r="C58" s="40"/>
      <c r="D58" s="40"/>
      <c r="E58" s="40"/>
      <c r="F58" s="40"/>
      <c r="G58" s="40"/>
      <c r="H58" s="40"/>
      <c r="I58" s="40"/>
      <c r="J58" s="40"/>
      <c r="K58" s="40"/>
      <c r="L58" s="40"/>
      <c r="M58" s="72"/>
      <c r="N58" s="29"/>
      <c r="O58" s="29"/>
    </row>
    <row r="59" spans="2:15" s="26" customFormat="1" ht="15">
      <c r="B59" s="51" t="s">
        <v>4</v>
      </c>
      <c r="C59" s="75">
        <f t="shared" ref="C59:J59" si="21">+C51</f>
        <v>2025</v>
      </c>
      <c r="D59" s="75">
        <f t="shared" si="21"/>
        <v>2026</v>
      </c>
      <c r="E59" s="75">
        <f t="shared" si="21"/>
        <v>2027</v>
      </c>
      <c r="F59" s="75">
        <f t="shared" si="21"/>
        <v>2028</v>
      </c>
      <c r="G59" s="75" t="str">
        <f t="shared" si="21"/>
        <v xml:space="preserve">2029* </v>
      </c>
      <c r="H59" s="75">
        <f t="shared" si="21"/>
        <v>2030</v>
      </c>
      <c r="I59" s="75">
        <f t="shared" si="21"/>
        <v>2031</v>
      </c>
      <c r="J59" s="52">
        <f t="shared" si="21"/>
        <v>2032</v>
      </c>
      <c r="K59" s="40"/>
      <c r="L59" s="40"/>
      <c r="M59" s="72"/>
      <c r="N59" s="29"/>
      <c r="O59" s="29"/>
    </row>
    <row r="60" spans="2:15" s="26" customFormat="1" ht="24.95" customHeight="1" thickBot="1">
      <c r="B60" s="314" t="s">
        <v>58</v>
      </c>
      <c r="C60" s="318">
        <f t="shared" ref="C60:J60" si="22">+C54+C49</f>
        <v>0</v>
      </c>
      <c r="D60" s="318">
        <f t="shared" si="22"/>
        <v>0</v>
      </c>
      <c r="E60" s="318">
        <f t="shared" si="22"/>
        <v>0</v>
      </c>
      <c r="F60" s="318">
        <f t="shared" si="22"/>
        <v>0</v>
      </c>
      <c r="G60" s="318">
        <f t="shared" si="22"/>
        <v>0</v>
      </c>
      <c r="H60" s="318">
        <f t="shared" si="22"/>
        <v>0</v>
      </c>
      <c r="I60" s="318">
        <f t="shared" si="22"/>
        <v>0</v>
      </c>
      <c r="J60" s="318">
        <f t="shared" si="22"/>
        <v>0</v>
      </c>
      <c r="K60" s="40"/>
      <c r="L60" s="40"/>
      <c r="M60" s="72"/>
      <c r="N60" s="29"/>
      <c r="O60" s="29"/>
    </row>
    <row r="61" spans="2:15" s="26" customFormat="1" ht="15.75" thickTop="1">
      <c r="B61" s="40"/>
      <c r="C61" s="40"/>
      <c r="D61" s="40"/>
      <c r="E61" s="40"/>
      <c r="F61" s="40"/>
      <c r="G61" s="40"/>
      <c r="H61" s="40"/>
      <c r="I61" s="40"/>
      <c r="J61" s="40"/>
      <c r="K61" s="40"/>
      <c r="L61" s="40"/>
      <c r="M61" s="72"/>
      <c r="N61" s="29"/>
      <c r="O61" s="29"/>
    </row>
    <row r="62" spans="2:15" s="26" customFormat="1" ht="24.95" customHeight="1" thickBot="1">
      <c r="B62" s="114" t="s">
        <v>19</v>
      </c>
      <c r="C62" s="115">
        <f>SUM(C60:J60)</f>
        <v>0</v>
      </c>
      <c r="D62" s="40" t="s">
        <v>0</v>
      </c>
      <c r="E62" s="40"/>
      <c r="F62" s="40"/>
      <c r="G62" s="40"/>
      <c r="H62" s="40"/>
      <c r="I62" s="40"/>
      <c r="J62" s="40"/>
      <c r="K62" s="40"/>
      <c r="L62" s="40"/>
      <c r="M62" s="72"/>
      <c r="N62" s="29"/>
      <c r="O62" s="29"/>
    </row>
    <row r="63" spans="2:15" s="26" customFormat="1" ht="16.5" thickTop="1" thickBot="1">
      <c r="B63" s="32"/>
      <c r="C63" s="33"/>
      <c r="D63" s="33"/>
      <c r="E63" s="65"/>
      <c r="F63" s="33"/>
      <c r="G63" s="33"/>
      <c r="H63" s="33"/>
      <c r="I63" s="33"/>
      <c r="J63" s="33"/>
      <c r="K63" s="33"/>
      <c r="L63" s="33"/>
      <c r="M63" s="72"/>
      <c r="N63" s="29"/>
      <c r="O63" s="29"/>
    </row>
    <row r="64" spans="2:15" s="26" customFormat="1" ht="15">
      <c r="B64" s="34"/>
      <c r="C64" s="31"/>
      <c r="D64" s="31"/>
      <c r="E64" s="73"/>
      <c r="F64" s="31"/>
      <c r="G64" s="31"/>
      <c r="H64" s="31"/>
      <c r="I64" s="31"/>
      <c r="J64" s="31"/>
      <c r="K64" s="31"/>
      <c r="L64" s="31"/>
      <c r="M64" s="72"/>
      <c r="N64" s="29"/>
      <c r="O64" s="29"/>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sheetData>
  <sheetProtection algorithmName="SHA-512" hashValue="p2DlpwLcKf8gX7MkKApvgO7OcYnZVhopebwunNpocu/IOGLyjAke7wk0YGdjGCMZlFyxr55vTWpweyGzYH9k4A==" saltValue="Sb66KEr8aeU0lL08X+sVJA==" spinCount="100000" sheet="1" objects="1" scenarios="1"/>
  <mergeCells count="7">
    <mergeCell ref="B42:F43"/>
    <mergeCell ref="E30:E31"/>
    <mergeCell ref="C31:D31"/>
    <mergeCell ref="E11:H11"/>
    <mergeCell ref="E12:H12"/>
    <mergeCell ref="E13:H13"/>
    <mergeCell ref="E14:H14"/>
  </mergeCells>
  <conditionalFormatting sqref="K45:L45">
    <cfRule type="expression" dxfId="103" priority="77">
      <formula>OR(#REF!&lt;G33,#REF!&lt;#REF!)</formula>
    </cfRule>
  </conditionalFormatting>
  <conditionalFormatting sqref="C49 C54">
    <cfRule type="expression" dxfId="102" priority="271">
      <formula>C49&gt;#REF!</formula>
    </cfRule>
  </conditionalFormatting>
  <conditionalFormatting sqref="H42">
    <cfRule type="expression" dxfId="101" priority="67">
      <formula>$H$42&lt;&gt;"OK"</formula>
    </cfRule>
  </conditionalFormatting>
  <conditionalFormatting sqref="G33">
    <cfRule type="expression" dxfId="100" priority="66">
      <formula>N33=2</formula>
    </cfRule>
  </conditionalFormatting>
  <conditionalFormatting sqref="G37">
    <cfRule type="expression" dxfId="99" priority="65">
      <formula>N37=2</formula>
    </cfRule>
  </conditionalFormatting>
  <conditionalFormatting sqref="G38">
    <cfRule type="expression" dxfId="98" priority="64">
      <formula>N38=2</formula>
    </cfRule>
  </conditionalFormatting>
  <conditionalFormatting sqref="G39">
    <cfRule type="expression" dxfId="97" priority="63">
      <formula>N39=2</formula>
    </cfRule>
  </conditionalFormatting>
  <conditionalFormatting sqref="G40">
    <cfRule type="expression" dxfId="96" priority="62">
      <formula>N40=2</formula>
    </cfRule>
  </conditionalFormatting>
  <conditionalFormatting sqref="G41">
    <cfRule type="expression" dxfId="95" priority="61">
      <formula>N41=2</formula>
    </cfRule>
  </conditionalFormatting>
  <conditionalFormatting sqref="G36">
    <cfRule type="expression" dxfId="94" priority="60">
      <formula>N36=2</formula>
    </cfRule>
  </conditionalFormatting>
  <conditionalFormatting sqref="H33:H41">
    <cfRule type="expression" dxfId="93" priority="57">
      <formula>N33=2</formula>
    </cfRule>
    <cfRule type="expression" dxfId="92" priority="58">
      <formula>O33=0</formula>
    </cfRule>
    <cfRule type="expression" dxfId="91" priority="59">
      <formula>O33=1</formula>
    </cfRule>
  </conditionalFormatting>
  <conditionalFormatting sqref="L42">
    <cfRule type="expression" dxfId="90" priority="53">
      <formula>$O$39&gt;0</formula>
    </cfRule>
  </conditionalFormatting>
  <conditionalFormatting sqref="L34:L38">
    <cfRule type="expression" dxfId="89" priority="54">
      <formula>N34=2</formula>
    </cfRule>
    <cfRule type="expression" dxfId="88" priority="55">
      <formula>P34=0</formula>
    </cfRule>
    <cfRule type="expression" dxfId="87" priority="56">
      <formula>P34=1</formula>
    </cfRule>
  </conditionalFormatting>
  <conditionalFormatting sqref="D41">
    <cfRule type="expression" dxfId="86" priority="51">
      <formula>D40&lt;&gt;"&gt;"</formula>
    </cfRule>
    <cfRule type="expression" dxfId="85" priority="52">
      <formula>D40="&gt;"</formula>
    </cfRule>
  </conditionalFormatting>
  <conditionalFormatting sqref="K37">
    <cfRule type="expression" dxfId="84" priority="50">
      <formula>N37=2</formula>
    </cfRule>
  </conditionalFormatting>
  <conditionalFormatting sqref="K38">
    <cfRule type="expression" dxfId="83" priority="49">
      <formula>N38=2</formula>
    </cfRule>
  </conditionalFormatting>
  <conditionalFormatting sqref="K39">
    <cfRule type="expression" dxfId="82" priority="48">
      <formula>N39=2</formula>
    </cfRule>
  </conditionalFormatting>
  <conditionalFormatting sqref="K40">
    <cfRule type="expression" dxfId="81" priority="47">
      <formula>N40=2</formula>
    </cfRule>
  </conditionalFormatting>
  <conditionalFormatting sqref="K41">
    <cfRule type="expression" dxfId="80" priority="46">
      <formula>N41=2</formula>
    </cfRule>
  </conditionalFormatting>
  <conditionalFormatting sqref="G34">
    <cfRule type="expression" dxfId="79" priority="45">
      <formula>N34=2</formula>
    </cfRule>
  </conditionalFormatting>
  <conditionalFormatting sqref="G35:G41">
    <cfRule type="expression" dxfId="78" priority="44">
      <formula>N35=2</formula>
    </cfRule>
  </conditionalFormatting>
  <conditionalFormatting sqref="L39">
    <cfRule type="expression" dxfId="77" priority="41">
      <formula>N39=2</formula>
    </cfRule>
    <cfRule type="expression" dxfId="76" priority="42">
      <formula>P39=0</formula>
    </cfRule>
    <cfRule type="expression" dxfId="75" priority="43">
      <formula>P39=1</formula>
    </cfRule>
  </conditionalFormatting>
  <conditionalFormatting sqref="L40">
    <cfRule type="expression" dxfId="74" priority="38">
      <formula>N40=2</formula>
    </cfRule>
    <cfRule type="expression" dxfId="73" priority="39">
      <formula>P40=0</formula>
    </cfRule>
    <cfRule type="expression" dxfId="72" priority="40">
      <formula>P40=1</formula>
    </cfRule>
  </conditionalFormatting>
  <conditionalFormatting sqref="L41">
    <cfRule type="expression" dxfId="71" priority="35">
      <formula>N41=2</formula>
    </cfRule>
    <cfRule type="expression" dxfId="70" priority="36">
      <formula>P41=0</formula>
    </cfRule>
    <cfRule type="expression" dxfId="69" priority="37">
      <formula>P41=1</formula>
    </cfRule>
  </conditionalFormatting>
  <conditionalFormatting sqref="L33:L41">
    <cfRule type="expression" dxfId="68" priority="32">
      <formula>N33=2</formula>
    </cfRule>
    <cfRule type="expression" dxfId="67" priority="33">
      <formula>P33=0</formula>
    </cfRule>
    <cfRule type="expression" dxfId="66" priority="34">
      <formula>P33=1</formula>
    </cfRule>
  </conditionalFormatting>
  <conditionalFormatting sqref="G40">
    <cfRule type="expression" dxfId="65" priority="31">
      <formula>N40=2</formula>
    </cfRule>
  </conditionalFormatting>
  <conditionalFormatting sqref="D33:D40">
    <cfRule type="expression" dxfId="64" priority="5">
      <formula>D32&lt;&gt;"&gt;"</formula>
    </cfRule>
    <cfRule type="expression" dxfId="63" priority="6">
      <formula>D32="&gt;"</formula>
    </cfRule>
  </conditionalFormatting>
  <conditionalFormatting sqref="K36">
    <cfRule type="expression" dxfId="62" priority="4">
      <formula>N36=2</formula>
    </cfRule>
  </conditionalFormatting>
  <conditionalFormatting sqref="K35">
    <cfRule type="expression" dxfId="61" priority="3">
      <formula>N35=2</formula>
    </cfRule>
  </conditionalFormatting>
  <conditionalFormatting sqref="K34">
    <cfRule type="expression" dxfId="60" priority="2">
      <formula>N34=2</formula>
    </cfRule>
  </conditionalFormatting>
  <conditionalFormatting sqref="K33">
    <cfRule type="expression" dxfId="59" priority="1">
      <formula>N33=2</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C613-3599-4307-A6C2-25E7F0E22A2E}">
  <dimension ref="A1:AB51"/>
  <sheetViews>
    <sheetView showGridLines="0" topLeftCell="A19" zoomScaleNormal="100" workbookViewId="0">
      <selection activeCell="I34" sqref="I34"/>
    </sheetView>
  </sheetViews>
  <sheetFormatPr defaultColWidth="0" defaultRowHeight="0" customHeight="1" zeroHeight="1"/>
  <cols>
    <col min="1" max="1" width="3.7109375" style="54" customWidth="1"/>
    <col min="2" max="2" width="39.85546875" style="247" customWidth="1"/>
    <col min="3" max="3" width="19.42578125" style="241" customWidth="1"/>
    <col min="4" max="8" width="19.42578125" style="252" customWidth="1"/>
    <col min="9" max="10" width="22.42578125" style="252" customWidth="1"/>
    <col min="11" max="11" width="3.7109375" style="54" customWidth="1"/>
    <col min="12" max="12" width="8.85546875" style="54" hidden="1" customWidth="1"/>
    <col min="13" max="13" width="8.7109375" style="54" hidden="1" customWidth="1"/>
    <col min="14" max="14" width="8.85546875" style="54" hidden="1" customWidth="1"/>
    <col min="15" max="15" width="3.7109375" style="54" hidden="1" customWidth="1"/>
    <col min="16" max="18" width="23.7109375" style="54" hidden="1" customWidth="1"/>
    <col min="19" max="28" width="0" style="54" hidden="1" customWidth="1"/>
    <col min="29" max="16384" width="8.85546875" style="54" hidden="1"/>
  </cols>
  <sheetData>
    <row r="1" spans="1:19" ht="15" customHeight="1">
      <c r="A1" s="202"/>
      <c r="B1" s="183"/>
      <c r="C1" s="54"/>
      <c r="D1" s="182"/>
      <c r="E1" s="182"/>
      <c r="F1" s="182"/>
      <c r="G1" s="182"/>
      <c r="H1" s="182"/>
      <c r="I1" s="188"/>
      <c r="J1" s="188"/>
    </row>
    <row r="2" spans="1:19" s="202" customFormat="1" ht="21" customHeight="1">
      <c r="B2" s="206" t="str">
        <f>+'1a. Gebruiksrecht Aanschaf'!B2</f>
        <v>Europese aanbesteding</v>
      </c>
      <c r="C2" s="204"/>
      <c r="D2" s="205"/>
      <c r="E2" s="204"/>
      <c r="F2" s="204"/>
      <c r="G2" s="204"/>
      <c r="H2" s="204"/>
      <c r="I2" s="196"/>
      <c r="J2" s="196"/>
      <c r="K2" s="203"/>
      <c r="L2" s="203"/>
      <c r="M2" s="203"/>
      <c r="N2" s="203"/>
      <c r="O2" s="203"/>
      <c r="P2" s="203"/>
      <c r="Q2" s="203"/>
      <c r="R2" s="203"/>
      <c r="S2" s="203"/>
    </row>
    <row r="3" spans="1:19" s="184" customFormat="1" ht="21" customHeight="1">
      <c r="B3" s="201" t="str">
        <f>+'1a. Gebruiksrecht Aanschaf'!B3</f>
        <v>Process Mining</v>
      </c>
      <c r="C3" s="197"/>
      <c r="D3" s="197"/>
      <c r="E3" s="197"/>
      <c r="F3" s="197"/>
      <c r="G3" s="197"/>
      <c r="H3" s="197"/>
      <c r="I3" s="196"/>
      <c r="J3" s="196"/>
      <c r="K3" s="185"/>
      <c r="L3" s="185"/>
      <c r="M3" s="185"/>
      <c r="N3" s="185"/>
      <c r="O3" s="185"/>
      <c r="P3" s="185"/>
      <c r="Q3" s="185"/>
      <c r="R3" s="185"/>
      <c r="S3" s="185"/>
    </row>
    <row r="4" spans="1:19" s="184" customFormat="1" ht="21" customHeight="1">
      <c r="B4" s="200" t="s">
        <v>94</v>
      </c>
      <c r="C4" s="197"/>
      <c r="D4" s="197"/>
      <c r="E4" s="197"/>
      <c r="F4" s="197"/>
      <c r="G4" s="197"/>
      <c r="H4" s="197"/>
      <c r="I4" s="196"/>
      <c r="J4" s="196"/>
      <c r="K4" s="185"/>
      <c r="L4" s="185"/>
      <c r="M4" s="185"/>
      <c r="N4" s="185"/>
      <c r="O4" s="185"/>
      <c r="P4" s="185"/>
      <c r="Q4" s="185"/>
      <c r="R4" s="185"/>
      <c r="S4" s="185"/>
    </row>
    <row r="5" spans="1:19" s="184" customFormat="1" ht="15.75">
      <c r="B5" s="199" t="str">
        <f>+'1a. Gebruiksrecht Aanschaf'!B5</f>
        <v>IUC23-033</v>
      </c>
      <c r="C5" s="197"/>
      <c r="D5" s="197"/>
      <c r="E5" s="197"/>
      <c r="F5" s="197"/>
      <c r="G5" s="197"/>
      <c r="H5" s="197"/>
      <c r="I5" s="196"/>
      <c r="J5" s="196"/>
      <c r="K5" s="185"/>
      <c r="L5" s="185"/>
      <c r="M5" s="185"/>
      <c r="N5" s="185"/>
      <c r="O5" s="185"/>
      <c r="P5" s="185"/>
      <c r="Q5" s="185"/>
      <c r="R5" s="185"/>
      <c r="S5" s="185"/>
    </row>
    <row r="6" spans="1:19" s="184" customFormat="1" ht="15.75">
      <c r="B6" s="198" t="str">
        <f>+'1a. Gebruiksrecht Aanschaf'!B6</f>
        <v>(prijzen exclusief BTW)</v>
      </c>
      <c r="C6" s="197"/>
      <c r="D6" s="197"/>
      <c r="E6" s="197"/>
      <c r="F6" s="197"/>
      <c r="G6" s="197"/>
      <c r="H6" s="197"/>
      <c r="I6" s="196"/>
      <c r="J6" s="196"/>
      <c r="K6" s="185"/>
      <c r="L6" s="185"/>
      <c r="M6" s="185"/>
      <c r="N6" s="185"/>
      <c r="O6" s="185"/>
      <c r="P6" s="185"/>
      <c r="Q6" s="185"/>
      <c r="R6" s="185"/>
      <c r="S6" s="185"/>
    </row>
    <row r="7" spans="1:19" s="184" customFormat="1" ht="15" customHeight="1">
      <c r="B7" s="195"/>
      <c r="C7" s="194"/>
      <c r="D7" s="194"/>
      <c r="E7" s="194"/>
      <c r="F7" s="194"/>
      <c r="G7" s="194"/>
      <c r="H7" s="194"/>
      <c r="I7" s="188"/>
      <c r="J7" s="188"/>
      <c r="K7" s="185"/>
      <c r="L7" s="185"/>
      <c r="M7" s="185"/>
      <c r="N7" s="185"/>
      <c r="O7" s="185"/>
      <c r="P7" s="185"/>
      <c r="Q7" s="185"/>
      <c r="R7" s="185"/>
      <c r="S7" s="185"/>
    </row>
    <row r="8" spans="1:19" s="184" customFormat="1" ht="15" customHeight="1">
      <c r="B8" s="35" t="s">
        <v>6</v>
      </c>
      <c r="C8" s="147" t="s">
        <v>66</v>
      </c>
      <c r="D8" s="36"/>
      <c r="E8" s="36"/>
      <c r="F8" s="80"/>
      <c r="G8" s="146" t="s">
        <v>67</v>
      </c>
      <c r="H8" s="36"/>
      <c r="I8" s="36"/>
      <c r="J8" s="80"/>
      <c r="K8" s="185"/>
      <c r="L8" s="185"/>
      <c r="M8" s="185"/>
      <c r="N8" s="185"/>
      <c r="O8" s="185"/>
      <c r="P8" s="185"/>
      <c r="Q8" s="185"/>
      <c r="R8" s="185"/>
      <c r="S8" s="185"/>
    </row>
    <row r="9" spans="1:19" s="184" customFormat="1" ht="12.75">
      <c r="B9" s="79"/>
      <c r="C9" s="37">
        <v>2025</v>
      </c>
      <c r="D9" s="37">
        <f>+C9+1</f>
        <v>2026</v>
      </c>
      <c r="E9" s="37">
        <f t="shared" ref="E9:J9" si="0">+D9+1</f>
        <v>2027</v>
      </c>
      <c r="F9" s="78">
        <f t="shared" si="0"/>
        <v>2028</v>
      </c>
      <c r="G9" s="50">
        <f t="shared" si="0"/>
        <v>2029</v>
      </c>
      <c r="H9" s="37">
        <f t="shared" si="0"/>
        <v>2030</v>
      </c>
      <c r="I9" s="37">
        <f t="shared" si="0"/>
        <v>2031</v>
      </c>
      <c r="J9" s="78">
        <f t="shared" si="0"/>
        <v>2032</v>
      </c>
      <c r="K9" s="185"/>
      <c r="L9" s="185"/>
      <c r="M9" s="185"/>
      <c r="N9" s="185"/>
      <c r="O9" s="185"/>
      <c r="P9" s="185"/>
      <c r="Q9" s="185"/>
      <c r="R9" s="185"/>
      <c r="S9" s="185"/>
    </row>
    <row r="10" spans="1:19" s="184" customFormat="1" ht="24.95" customHeight="1">
      <c r="B10" s="286" t="s">
        <v>37</v>
      </c>
      <c r="C10" s="287">
        <v>50</v>
      </c>
      <c r="D10" s="287">
        <f>+C10+25</f>
        <v>75</v>
      </c>
      <c r="E10" s="287">
        <f t="shared" ref="E10:F10" si="1">+D10+25</f>
        <v>100</v>
      </c>
      <c r="F10" s="287">
        <f t="shared" si="1"/>
        <v>125</v>
      </c>
      <c r="G10" s="287">
        <f>+F10*0.6</f>
        <v>75</v>
      </c>
      <c r="H10" s="288">
        <v>85</v>
      </c>
      <c r="I10" s="287">
        <v>95</v>
      </c>
      <c r="J10" s="287">
        <v>105</v>
      </c>
      <c r="K10" s="185"/>
      <c r="L10" s="185"/>
      <c r="M10" s="185"/>
      <c r="N10" s="185"/>
      <c r="O10" s="185"/>
      <c r="P10" s="185"/>
      <c r="Q10" s="185"/>
      <c r="R10" s="185"/>
      <c r="S10" s="185"/>
    </row>
    <row r="11" spans="1:19" s="184" customFormat="1" ht="13.5" thickBot="1">
      <c r="B11" s="187"/>
      <c r="C11" s="186"/>
      <c r="D11" s="186"/>
      <c r="E11" s="186"/>
      <c r="F11" s="186"/>
      <c r="G11" s="186"/>
      <c r="H11" s="186"/>
      <c r="I11" s="186"/>
      <c r="J11" s="186"/>
      <c r="K11" s="185"/>
      <c r="L11" s="185"/>
      <c r="M11" s="185"/>
      <c r="N11" s="185"/>
      <c r="O11" s="185"/>
      <c r="P11" s="185"/>
      <c r="Q11" s="185"/>
      <c r="R11" s="185"/>
      <c r="S11" s="185"/>
    </row>
    <row r="12" spans="1:19" s="184" customFormat="1" ht="12.75">
      <c r="B12" s="195"/>
      <c r="C12" s="194"/>
      <c r="D12" s="194"/>
      <c r="E12" s="194"/>
      <c r="F12" s="194"/>
      <c r="G12" s="194"/>
      <c r="H12" s="194"/>
      <c r="I12" s="194"/>
      <c r="J12" s="207"/>
      <c r="K12" s="185"/>
      <c r="L12" s="185"/>
      <c r="M12" s="185"/>
      <c r="N12" s="185"/>
      <c r="O12" s="185"/>
      <c r="P12" s="185"/>
      <c r="Q12" s="185"/>
      <c r="R12" s="185"/>
      <c r="S12" s="185"/>
    </row>
    <row r="13" spans="1:19" s="184" customFormat="1" ht="15">
      <c r="B13" s="94" t="s">
        <v>106</v>
      </c>
      <c r="C13" s="324"/>
      <c r="D13" s="324"/>
      <c r="E13" s="325"/>
      <c r="F13" s="325"/>
      <c r="G13" s="325"/>
      <c r="H13" s="325"/>
      <c r="I13" s="326"/>
      <c r="J13" s="248"/>
      <c r="K13" s="185"/>
      <c r="L13" s="185"/>
      <c r="M13" s="185"/>
      <c r="N13" s="185"/>
      <c r="O13" s="185"/>
      <c r="P13" s="185"/>
      <c r="Q13" s="185"/>
      <c r="R13" s="185"/>
      <c r="S13" s="185"/>
    </row>
    <row r="14" spans="1:19" s="184" customFormat="1" ht="12.75">
      <c r="B14" s="319" t="s">
        <v>93</v>
      </c>
      <c r="C14" s="320" t="s">
        <v>39</v>
      </c>
      <c r="D14" s="320" t="s">
        <v>38</v>
      </c>
      <c r="E14" s="321" t="s">
        <v>5</v>
      </c>
      <c r="F14" s="322"/>
      <c r="G14" s="322"/>
      <c r="H14" s="322"/>
      <c r="I14" s="323"/>
      <c r="J14" s="248"/>
      <c r="K14" s="185"/>
      <c r="L14" s="185"/>
      <c r="M14" s="185"/>
      <c r="N14" s="185"/>
      <c r="O14" s="185"/>
      <c r="P14" s="185"/>
      <c r="Q14" s="185"/>
      <c r="R14" s="185"/>
      <c r="S14" s="185"/>
    </row>
    <row r="15" spans="1:19" s="184" customFormat="1" ht="24.95" customHeight="1">
      <c r="B15" s="293" t="s">
        <v>0</v>
      </c>
      <c r="C15" s="294"/>
      <c r="D15" s="294"/>
      <c r="E15" s="447"/>
      <c r="F15" s="448"/>
      <c r="G15" s="448"/>
      <c r="H15" s="448"/>
      <c r="I15" s="449"/>
      <c r="J15" s="248"/>
      <c r="K15" s="185"/>
      <c r="L15" s="185"/>
      <c r="M15" s="185"/>
      <c r="N15" s="185"/>
      <c r="O15" s="185"/>
      <c r="P15" s="185"/>
      <c r="Q15" s="185"/>
      <c r="R15" s="185"/>
      <c r="S15" s="185"/>
    </row>
    <row r="16" spans="1:19" s="184" customFormat="1" ht="24.95" customHeight="1">
      <c r="B16" s="293"/>
      <c r="C16" s="294"/>
      <c r="D16" s="294"/>
      <c r="E16" s="295"/>
      <c r="F16" s="296"/>
      <c r="G16" s="296"/>
      <c r="H16" s="296"/>
      <c r="I16" s="297"/>
      <c r="J16" s="248"/>
      <c r="K16" s="185"/>
      <c r="L16" s="185"/>
      <c r="M16" s="185"/>
      <c r="N16" s="185"/>
      <c r="O16" s="185"/>
      <c r="P16" s="185"/>
      <c r="Q16" s="185"/>
      <c r="R16" s="185"/>
      <c r="S16" s="185"/>
    </row>
    <row r="17" spans="2:21" s="184" customFormat="1" ht="24.95" customHeight="1">
      <c r="B17" s="293"/>
      <c r="C17" s="294"/>
      <c r="D17" s="294"/>
      <c r="E17" s="295"/>
      <c r="F17" s="296"/>
      <c r="G17" s="296"/>
      <c r="H17" s="296"/>
      <c r="I17" s="297"/>
      <c r="J17" s="248"/>
      <c r="K17" s="185"/>
      <c r="L17" s="185"/>
      <c r="M17" s="185"/>
      <c r="N17" s="185"/>
      <c r="O17" s="185"/>
      <c r="P17" s="185"/>
      <c r="Q17" s="185"/>
      <c r="R17" s="185"/>
      <c r="S17" s="185"/>
    </row>
    <row r="18" spans="2:21" s="184" customFormat="1" ht="24.95" customHeight="1">
      <c r="B18" s="293" t="s">
        <v>0</v>
      </c>
      <c r="C18" s="294"/>
      <c r="D18" s="294"/>
      <c r="E18" s="447"/>
      <c r="F18" s="448"/>
      <c r="G18" s="448"/>
      <c r="H18" s="448"/>
      <c r="I18" s="449"/>
      <c r="J18" s="248"/>
      <c r="K18" s="185"/>
      <c r="L18" s="185"/>
      <c r="M18" s="185"/>
      <c r="N18" s="185"/>
      <c r="O18" s="185"/>
      <c r="P18" s="185"/>
      <c r="Q18" s="185"/>
      <c r="R18" s="185"/>
      <c r="S18" s="185"/>
    </row>
    <row r="19" spans="2:21" s="184" customFormat="1" ht="13.5" thickBot="1">
      <c r="B19" s="209" t="s">
        <v>92</v>
      </c>
      <c r="C19" s="246"/>
      <c r="D19" s="246"/>
      <c r="E19" s="246"/>
      <c r="F19" s="246"/>
      <c r="G19" s="246"/>
      <c r="H19" s="246"/>
      <c r="I19" s="246"/>
      <c r="J19" s="248"/>
      <c r="K19" s="185"/>
      <c r="L19" s="185"/>
      <c r="M19" s="185"/>
      <c r="N19" s="185"/>
      <c r="O19" s="185"/>
      <c r="P19" s="185"/>
      <c r="Q19" s="185"/>
      <c r="R19" s="185"/>
      <c r="S19" s="185"/>
    </row>
    <row r="20" spans="2:21" s="184" customFormat="1" ht="12.75">
      <c r="B20" s="208"/>
      <c r="C20" s="208"/>
      <c r="D20" s="208"/>
      <c r="E20" s="208"/>
      <c r="F20" s="208"/>
      <c r="G20" s="208"/>
      <c r="H20" s="208"/>
      <c r="I20" s="208"/>
      <c r="J20" s="248"/>
      <c r="K20" s="185"/>
      <c r="L20" s="185"/>
      <c r="M20" s="185"/>
      <c r="N20" s="185"/>
      <c r="O20" s="185"/>
      <c r="P20" s="185"/>
      <c r="Q20" s="185"/>
      <c r="R20" s="185"/>
      <c r="S20" s="185"/>
    </row>
    <row r="21" spans="2:21" s="184" customFormat="1" ht="15.75">
      <c r="B21" s="327" t="s">
        <v>109</v>
      </c>
      <c r="C21" s="211"/>
      <c r="D21" s="212"/>
      <c r="E21" s="212" t="s">
        <v>0</v>
      </c>
      <c r="F21" s="212"/>
      <c r="G21" s="212"/>
      <c r="H21" s="213"/>
      <c r="I21" s="248"/>
      <c r="J21" s="248"/>
      <c r="K21" s="185"/>
      <c r="L21" s="185"/>
      <c r="M21" s="185"/>
      <c r="N21" s="185"/>
      <c r="O21" s="185"/>
      <c r="P21" s="185"/>
      <c r="Q21" s="185"/>
      <c r="R21" s="185"/>
      <c r="S21" s="185"/>
    </row>
    <row r="22" spans="2:21" s="184" customFormat="1" ht="12.75">
      <c r="B22" s="249"/>
      <c r="C22" s="214"/>
      <c r="D22" s="215"/>
      <c r="E22" s="215"/>
      <c r="F22" s="215"/>
      <c r="G22" s="215"/>
      <c r="H22" s="216"/>
      <c r="I22" s="248"/>
      <c r="J22" s="248"/>
      <c r="K22" s="185"/>
      <c r="L22" s="185"/>
      <c r="M22" s="185"/>
      <c r="N22" s="185"/>
      <c r="O22" s="185"/>
      <c r="P22" s="185"/>
      <c r="Q22" s="185"/>
      <c r="R22" s="185"/>
      <c r="S22" s="185"/>
    </row>
    <row r="23" spans="2:21" s="184" customFormat="1" ht="12.75">
      <c r="B23" s="217" t="s">
        <v>0</v>
      </c>
      <c r="C23" s="214" t="s">
        <v>90</v>
      </c>
      <c r="D23" s="215"/>
      <c r="E23" s="215"/>
      <c r="F23" s="215"/>
      <c r="G23" s="215"/>
      <c r="H23" s="216"/>
      <c r="I23" s="248"/>
      <c r="J23" s="248"/>
      <c r="K23" s="185"/>
      <c r="L23" s="185"/>
      <c r="M23" s="185"/>
      <c r="N23" s="185"/>
      <c r="O23" s="185"/>
      <c r="P23" s="185"/>
      <c r="Q23" s="185"/>
      <c r="R23" s="185"/>
      <c r="S23" s="185"/>
    </row>
    <row r="24" spans="2:21" s="184" customFormat="1" ht="12.75">
      <c r="B24" s="218" t="s">
        <v>91</v>
      </c>
      <c r="C24" s="219" t="str">
        <f>B25</f>
        <v>Gebruikers</v>
      </c>
      <c r="D24" s="215"/>
      <c r="E24" s="215"/>
      <c r="F24" s="215"/>
      <c r="G24" s="215"/>
      <c r="H24" s="216"/>
      <c r="I24" s="248"/>
      <c r="J24" s="248"/>
      <c r="K24" s="185"/>
      <c r="L24" s="185"/>
      <c r="M24" s="185"/>
      <c r="N24" s="185"/>
      <c r="O24" s="185"/>
      <c r="P24" s="185"/>
      <c r="Q24" s="185"/>
      <c r="R24" s="185"/>
      <c r="S24" s="185"/>
    </row>
    <row r="25" spans="2:21" s="184" customFormat="1" ht="24.95" customHeight="1">
      <c r="B25" s="299" t="s">
        <v>37</v>
      </c>
      <c r="C25" s="298"/>
      <c r="D25" s="215" t="s">
        <v>0</v>
      </c>
      <c r="E25" s="215" t="s">
        <v>0</v>
      </c>
      <c r="F25" s="215"/>
      <c r="G25" s="215"/>
      <c r="H25" s="253" t="s">
        <v>95</v>
      </c>
      <c r="I25" s="248"/>
      <c r="J25" s="248"/>
      <c r="K25" s="185"/>
      <c r="L25" s="185"/>
      <c r="M25" s="185"/>
      <c r="N25" s="185"/>
      <c r="O25" s="185"/>
      <c r="P25" s="185"/>
      <c r="Q25" s="185"/>
      <c r="R25" s="185"/>
      <c r="S25" s="185"/>
    </row>
    <row r="26" spans="2:21" s="184" customFormat="1" ht="12.75">
      <c r="B26" s="220"/>
      <c r="C26" s="215"/>
      <c r="D26" s="221" t="s">
        <v>0</v>
      </c>
      <c r="E26" s="221" t="s">
        <v>0</v>
      </c>
      <c r="F26" s="221"/>
      <c r="G26" s="221" t="s">
        <v>0</v>
      </c>
      <c r="H26" s="253" t="s">
        <v>98</v>
      </c>
      <c r="I26" s="248"/>
      <c r="J26" s="248"/>
      <c r="K26" s="185"/>
      <c r="L26" s="185"/>
      <c r="M26" s="185"/>
      <c r="N26" s="185"/>
      <c r="O26" s="185"/>
      <c r="P26" s="185"/>
      <c r="Q26" s="185"/>
      <c r="R26" s="185"/>
      <c r="S26" s="185"/>
    </row>
    <row r="27" spans="2:21" s="184" customFormat="1" ht="12.75">
      <c r="B27" s="222" t="s">
        <v>7</v>
      </c>
      <c r="C27" s="223"/>
      <c r="D27" s="223"/>
      <c r="E27" s="436" t="str">
        <f>"# "&amp;B25</f>
        <v># Gebruikers</v>
      </c>
      <c r="F27" s="224"/>
      <c r="G27" s="224" t="s">
        <v>0</v>
      </c>
      <c r="H27" s="254" t="s">
        <v>80</v>
      </c>
      <c r="I27" s="248"/>
      <c r="J27" s="248"/>
      <c r="K27" s="185"/>
      <c r="L27" s="185"/>
      <c r="M27" s="185"/>
      <c r="N27" s="185"/>
      <c r="O27" s="185"/>
      <c r="P27" s="185"/>
      <c r="Q27" s="185"/>
      <c r="R27" s="185"/>
      <c r="S27" s="185"/>
      <c r="T27" s="185"/>
    </row>
    <row r="28" spans="2:21" s="184" customFormat="1" ht="15" customHeight="1">
      <c r="B28" s="218"/>
      <c r="C28" s="438" t="str">
        <f>"# "&amp;B25</f>
        <v># Gebruikers</v>
      </c>
      <c r="D28" s="439"/>
      <c r="E28" s="437"/>
      <c r="F28" s="225" t="s">
        <v>90</v>
      </c>
      <c r="G28" s="436" t="s">
        <v>96</v>
      </c>
      <c r="H28" s="255" t="s">
        <v>84</v>
      </c>
      <c r="I28" s="248"/>
      <c r="J28" s="248"/>
      <c r="K28" s="185"/>
      <c r="L28" s="185"/>
      <c r="M28" s="185"/>
      <c r="N28" s="185"/>
      <c r="O28" s="185"/>
      <c r="P28" s="185"/>
      <c r="Q28" s="185"/>
      <c r="R28" s="185"/>
      <c r="S28" s="185"/>
      <c r="T28" s="185"/>
    </row>
    <row r="29" spans="2:21" s="184" customFormat="1" ht="16.149999999999999" customHeight="1">
      <c r="B29" s="226" t="s">
        <v>81</v>
      </c>
      <c r="C29" s="227" t="s">
        <v>8</v>
      </c>
      <c r="D29" s="228" t="s">
        <v>9</v>
      </c>
      <c r="E29" s="229" t="s">
        <v>82</v>
      </c>
      <c r="F29" s="230" t="str">
        <f>$B$25</f>
        <v>Gebruikers</v>
      </c>
      <c r="G29" s="440"/>
      <c r="H29" s="256" t="s">
        <v>37</v>
      </c>
      <c r="I29" s="248"/>
      <c r="J29" s="248"/>
      <c r="K29" s="188"/>
      <c r="L29" s="185" t="s">
        <v>61</v>
      </c>
      <c r="M29" s="185" t="s">
        <v>61</v>
      </c>
      <c r="N29" s="185" t="s">
        <v>61</v>
      </c>
      <c r="O29" s="193"/>
      <c r="P29" s="185" t="s">
        <v>89</v>
      </c>
      <c r="Q29" s="185" t="s">
        <v>88</v>
      </c>
      <c r="R29" s="185" t="s">
        <v>87</v>
      </c>
      <c r="S29" s="185"/>
      <c r="T29" s="185"/>
      <c r="U29" s="185"/>
    </row>
    <row r="30" spans="2:21" s="184" customFormat="1" ht="15.75">
      <c r="B30" s="231" t="s">
        <v>10</v>
      </c>
      <c r="C30" s="232">
        <v>1</v>
      </c>
      <c r="D30" s="233" t="s">
        <v>12</v>
      </c>
      <c r="E30" s="234" t="str">
        <f>IF(+D30&lt;&gt;0,D30,"&gt;")</f>
        <v>&gt;</v>
      </c>
      <c r="F30" s="235">
        <f>+$C$25</f>
        <v>0</v>
      </c>
      <c r="G30" s="236"/>
      <c r="H30" s="237">
        <f t="shared" ref="H30:H38" si="2">IF(L30=2,"",+$C$25*(1-G30))</f>
        <v>0</v>
      </c>
      <c r="I30" s="248"/>
      <c r="J30" s="248"/>
      <c r="K30" s="188"/>
      <c r="L30" s="190">
        <f t="shared" ref="L30:L38" si="3">IF(AND(C30&lt;&gt;" ",D30="&gt;"),0,IF(AND(C30=" ",D30="&gt;"),2,1))</f>
        <v>0</v>
      </c>
      <c r="M30" s="190">
        <v>0</v>
      </c>
      <c r="N30" s="190">
        <v>0</v>
      </c>
      <c r="O30" s="193"/>
      <c r="P30" s="192" t="str">
        <f t="shared" ref="P30:P38" si="4">C30&amp; " t/m " &amp; D30 &amp; " " &amp; $B$25 &amp; "s"</f>
        <v>1 t/m &gt; Gebruikerss</v>
      </c>
      <c r="Q30" s="192" t="str">
        <f t="shared" ref="Q30:Q38" si="5" xml:space="preserve"> "1 t/m " &amp; E30 &amp; " " &amp; $B$25 &amp; "s"</f>
        <v>1 t/m &gt; Gebruikerss</v>
      </c>
      <c r="R30" s="192" t="str">
        <f t="shared" ref="R30:R38" si="6">E30&amp;" "&amp;D29&amp;" "&amp;$B$25&amp;"s"</f>
        <v>&gt; tot en met Gebruikerss</v>
      </c>
      <c r="S30" s="185"/>
      <c r="T30" s="185"/>
    </row>
    <row r="31" spans="2:21" s="184" customFormat="1" ht="15.75">
      <c r="B31" s="238" t="s">
        <v>11</v>
      </c>
      <c r="C31" s="232" t="str">
        <f t="shared" ref="C31:C38" si="7">IF(ISERROR(+D30+1)," ",D30+1)</f>
        <v xml:space="preserve"> </v>
      </c>
      <c r="D31" s="233" t="s">
        <v>12</v>
      </c>
      <c r="E31" s="234" t="str">
        <f t="shared" ref="E31:E38" si="8">IF(L31=2,"",IF(+D31&lt;&gt;0,D31,"&gt;"))</f>
        <v/>
      </c>
      <c r="F31" s="235" t="str">
        <f t="shared" ref="F31:F38" si="9">IF(L31=2," ",+$C$25)</f>
        <v xml:space="preserve"> </v>
      </c>
      <c r="G31" s="236"/>
      <c r="H31" s="237" t="str">
        <f t="shared" si="2"/>
        <v/>
      </c>
      <c r="I31" s="248"/>
      <c r="J31" s="248"/>
      <c r="K31" s="188"/>
      <c r="L31" s="190">
        <f t="shared" si="3"/>
        <v>2</v>
      </c>
      <c r="M31" s="190">
        <f t="shared" ref="M31:M38" si="10">IF(L31&lt;&gt;2,IF(H31&gt;H30,1,0),0)</f>
        <v>0</v>
      </c>
      <c r="N31" s="190">
        <f>IF(L31&lt;&gt;2,IF(#REF!&gt;#REF!,1,0),0)</f>
        <v>0</v>
      </c>
      <c r="O31" s="193"/>
      <c r="P31" s="192" t="str">
        <f t="shared" si="4"/>
        <v xml:space="preserve">  t/m &gt; Gebruikerss</v>
      </c>
      <c r="Q31" s="192" t="str">
        <f t="shared" si="5"/>
        <v>1 t/m  Gebruikerss</v>
      </c>
      <c r="R31" s="192" t="str">
        <f t="shared" si="6"/>
        <v xml:space="preserve"> &gt; Gebruikerss</v>
      </c>
      <c r="S31" s="185"/>
      <c r="T31" s="185"/>
    </row>
    <row r="32" spans="2:21" s="184" customFormat="1" ht="15.75">
      <c r="B32" s="239" t="s">
        <v>68</v>
      </c>
      <c r="C32" s="232" t="str">
        <f t="shared" si="7"/>
        <v xml:space="preserve"> </v>
      </c>
      <c r="D32" s="233" t="s">
        <v>12</v>
      </c>
      <c r="E32" s="234" t="str">
        <f t="shared" si="8"/>
        <v/>
      </c>
      <c r="F32" s="235" t="str">
        <f t="shared" si="9"/>
        <v xml:space="preserve"> </v>
      </c>
      <c r="G32" s="236"/>
      <c r="H32" s="237" t="str">
        <f t="shared" si="2"/>
        <v/>
      </c>
      <c r="I32" s="248"/>
      <c r="J32" s="248"/>
      <c r="K32" s="188"/>
      <c r="L32" s="190">
        <f t="shared" si="3"/>
        <v>2</v>
      </c>
      <c r="M32" s="190">
        <f t="shared" si="10"/>
        <v>0</v>
      </c>
      <c r="N32" s="190">
        <f>IF(L32&lt;&gt;2,IF(#REF!&gt;#REF!,1,0),0)</f>
        <v>0</v>
      </c>
      <c r="O32" s="193"/>
      <c r="P32" s="192" t="str">
        <f t="shared" si="4"/>
        <v xml:space="preserve">  t/m &gt; Gebruikerss</v>
      </c>
      <c r="Q32" s="192" t="str">
        <f t="shared" si="5"/>
        <v>1 t/m  Gebruikerss</v>
      </c>
      <c r="R32" s="192" t="str">
        <f t="shared" si="6"/>
        <v xml:space="preserve"> &gt; Gebruikerss</v>
      </c>
      <c r="S32" s="185"/>
      <c r="T32" s="185"/>
    </row>
    <row r="33" spans="2:20" s="184" customFormat="1" ht="15.75">
      <c r="B33" s="239" t="s">
        <v>69</v>
      </c>
      <c r="C33" s="232" t="str">
        <f t="shared" si="7"/>
        <v xml:space="preserve"> </v>
      </c>
      <c r="D33" s="233" t="s">
        <v>12</v>
      </c>
      <c r="E33" s="234" t="str">
        <f t="shared" si="8"/>
        <v/>
      </c>
      <c r="F33" s="235" t="str">
        <f t="shared" si="9"/>
        <v xml:space="preserve"> </v>
      </c>
      <c r="G33" s="236"/>
      <c r="H33" s="237" t="str">
        <f t="shared" si="2"/>
        <v/>
      </c>
      <c r="I33" s="248"/>
      <c r="J33" s="248"/>
      <c r="K33" s="188"/>
      <c r="L33" s="190">
        <f t="shared" si="3"/>
        <v>2</v>
      </c>
      <c r="M33" s="190">
        <f t="shared" si="10"/>
        <v>0</v>
      </c>
      <c r="N33" s="190">
        <f>IF(L33&lt;&gt;2,IF(#REF!&gt;#REF!,1,0),0)</f>
        <v>0</v>
      </c>
      <c r="O33" s="193"/>
      <c r="P33" s="192" t="str">
        <f t="shared" si="4"/>
        <v xml:space="preserve">  t/m &gt; Gebruikerss</v>
      </c>
      <c r="Q33" s="192" t="str">
        <f t="shared" si="5"/>
        <v>1 t/m  Gebruikerss</v>
      </c>
      <c r="R33" s="192" t="str">
        <f t="shared" si="6"/>
        <v xml:space="preserve"> &gt; Gebruikerss</v>
      </c>
      <c r="S33" s="185"/>
      <c r="T33" s="185"/>
    </row>
    <row r="34" spans="2:20" s="184" customFormat="1" ht="15.75">
      <c r="B34" s="231" t="s">
        <v>70</v>
      </c>
      <c r="C34" s="232" t="str">
        <f t="shared" si="7"/>
        <v xml:space="preserve"> </v>
      </c>
      <c r="D34" s="233" t="s">
        <v>12</v>
      </c>
      <c r="E34" s="234" t="str">
        <f t="shared" si="8"/>
        <v/>
      </c>
      <c r="F34" s="235" t="str">
        <f t="shared" si="9"/>
        <v xml:space="preserve"> </v>
      </c>
      <c r="G34" s="236"/>
      <c r="H34" s="237" t="str">
        <f t="shared" si="2"/>
        <v/>
      </c>
      <c r="I34" s="248"/>
      <c r="J34" s="248"/>
      <c r="K34" s="188"/>
      <c r="L34" s="190">
        <f t="shared" si="3"/>
        <v>2</v>
      </c>
      <c r="M34" s="190">
        <f t="shared" si="10"/>
        <v>0</v>
      </c>
      <c r="N34" s="190">
        <f>IF(L34&lt;&gt;2,IF(#REF!&gt;#REF!,1,0),0)</f>
        <v>0</v>
      </c>
      <c r="O34" s="193"/>
      <c r="P34" s="192" t="str">
        <f t="shared" si="4"/>
        <v xml:space="preserve">  t/m &gt; Gebruikerss</v>
      </c>
      <c r="Q34" s="192" t="str">
        <f t="shared" si="5"/>
        <v>1 t/m  Gebruikerss</v>
      </c>
      <c r="R34" s="192" t="str">
        <f t="shared" si="6"/>
        <v xml:space="preserve"> &gt; Gebruikerss</v>
      </c>
      <c r="S34" s="185"/>
      <c r="T34" s="185"/>
    </row>
    <row r="35" spans="2:20" s="184" customFormat="1" ht="15.75">
      <c r="B35" s="238" t="s">
        <v>71</v>
      </c>
      <c r="C35" s="232" t="str">
        <f t="shared" si="7"/>
        <v xml:space="preserve"> </v>
      </c>
      <c r="D35" s="233" t="s">
        <v>12</v>
      </c>
      <c r="E35" s="234" t="str">
        <f t="shared" si="8"/>
        <v/>
      </c>
      <c r="F35" s="235" t="str">
        <f t="shared" si="9"/>
        <v xml:space="preserve"> </v>
      </c>
      <c r="G35" s="236"/>
      <c r="H35" s="237" t="str">
        <f t="shared" si="2"/>
        <v/>
      </c>
      <c r="I35" s="248"/>
      <c r="J35" s="248"/>
      <c r="K35" s="188"/>
      <c r="L35" s="190">
        <f t="shared" si="3"/>
        <v>2</v>
      </c>
      <c r="M35" s="190">
        <f t="shared" si="10"/>
        <v>0</v>
      </c>
      <c r="N35" s="190">
        <f>IF(L35&lt;&gt;2,IF(#REF!&gt;#REF!,1,0),0)</f>
        <v>0</v>
      </c>
      <c r="O35" s="193"/>
      <c r="P35" s="192" t="str">
        <f t="shared" si="4"/>
        <v xml:space="preserve">  t/m &gt; Gebruikerss</v>
      </c>
      <c r="Q35" s="192" t="str">
        <f t="shared" si="5"/>
        <v>1 t/m  Gebruikerss</v>
      </c>
      <c r="R35" s="192" t="str">
        <f t="shared" si="6"/>
        <v xml:space="preserve"> &gt; Gebruikerss</v>
      </c>
      <c r="S35" s="185"/>
      <c r="T35" s="185"/>
    </row>
    <row r="36" spans="2:20" s="184" customFormat="1" ht="15.75">
      <c r="B36" s="238" t="s">
        <v>72</v>
      </c>
      <c r="C36" s="232" t="str">
        <f t="shared" si="7"/>
        <v xml:space="preserve"> </v>
      </c>
      <c r="D36" s="233" t="s">
        <v>12</v>
      </c>
      <c r="E36" s="234" t="str">
        <f t="shared" si="8"/>
        <v/>
      </c>
      <c r="F36" s="235" t="str">
        <f t="shared" si="9"/>
        <v xml:space="preserve"> </v>
      </c>
      <c r="G36" s="236"/>
      <c r="H36" s="237" t="str">
        <f t="shared" si="2"/>
        <v/>
      </c>
      <c r="I36" s="248"/>
      <c r="J36" s="248"/>
      <c r="K36" s="188"/>
      <c r="L36" s="190">
        <f t="shared" si="3"/>
        <v>2</v>
      </c>
      <c r="M36" s="190">
        <f t="shared" si="10"/>
        <v>0</v>
      </c>
      <c r="N36" s="190">
        <f>IF(L36&lt;&gt;2,IF(#REF!&gt;#REF!,1,0),0)</f>
        <v>0</v>
      </c>
      <c r="O36" s="193"/>
      <c r="P36" s="192" t="str">
        <f t="shared" si="4"/>
        <v xml:space="preserve">  t/m &gt; Gebruikerss</v>
      </c>
      <c r="Q36" s="192" t="str">
        <f t="shared" si="5"/>
        <v>1 t/m  Gebruikerss</v>
      </c>
      <c r="R36" s="192" t="str">
        <f t="shared" si="6"/>
        <v xml:space="preserve"> &gt; Gebruikerss</v>
      </c>
      <c r="S36" s="185"/>
      <c r="T36" s="185"/>
    </row>
    <row r="37" spans="2:20" s="184" customFormat="1" ht="15.75">
      <c r="B37" s="238" t="s">
        <v>73</v>
      </c>
      <c r="C37" s="232" t="str">
        <f t="shared" si="7"/>
        <v xml:space="preserve"> </v>
      </c>
      <c r="D37" s="233" t="s">
        <v>12</v>
      </c>
      <c r="E37" s="234" t="str">
        <f t="shared" si="8"/>
        <v/>
      </c>
      <c r="F37" s="235" t="str">
        <f t="shared" si="9"/>
        <v xml:space="preserve"> </v>
      </c>
      <c r="G37" s="236"/>
      <c r="H37" s="237" t="str">
        <f t="shared" si="2"/>
        <v/>
      </c>
      <c r="I37" s="248"/>
      <c r="J37" s="248"/>
      <c r="K37" s="188"/>
      <c r="L37" s="190">
        <f t="shared" si="3"/>
        <v>2</v>
      </c>
      <c r="M37" s="190">
        <f t="shared" si="10"/>
        <v>0</v>
      </c>
      <c r="N37" s="190">
        <f>IF(L37&lt;&gt;2,IF(#REF!&gt;#REF!,1,0),0)</f>
        <v>0</v>
      </c>
      <c r="O37" s="193"/>
      <c r="P37" s="192" t="str">
        <f t="shared" si="4"/>
        <v xml:space="preserve">  t/m &gt; Gebruikerss</v>
      </c>
      <c r="Q37" s="192" t="str">
        <f t="shared" si="5"/>
        <v>1 t/m  Gebruikerss</v>
      </c>
      <c r="R37" s="192" t="str">
        <f t="shared" si="6"/>
        <v xml:space="preserve"> &gt; Gebruikerss</v>
      </c>
      <c r="S37" s="185"/>
      <c r="T37" s="185"/>
    </row>
    <row r="38" spans="2:20" s="184" customFormat="1" ht="15.75">
      <c r="B38" s="239" t="s">
        <v>74</v>
      </c>
      <c r="C38" s="232" t="str">
        <f t="shared" si="7"/>
        <v xml:space="preserve"> </v>
      </c>
      <c r="D38" s="233" t="s">
        <v>12</v>
      </c>
      <c r="E38" s="234" t="str">
        <f t="shared" si="8"/>
        <v/>
      </c>
      <c r="F38" s="235" t="str">
        <f t="shared" si="9"/>
        <v xml:space="preserve"> </v>
      </c>
      <c r="G38" s="236"/>
      <c r="H38" s="237" t="str">
        <f t="shared" si="2"/>
        <v/>
      </c>
      <c r="I38" s="248"/>
      <c r="J38" s="248"/>
      <c r="K38" s="188"/>
      <c r="L38" s="190">
        <f t="shared" si="3"/>
        <v>2</v>
      </c>
      <c r="M38" s="190">
        <f t="shared" si="10"/>
        <v>0</v>
      </c>
      <c r="N38" s="190">
        <f>IF(L38&lt;&gt;2,IF(#REF!&gt;#REF!,1,0),0)</f>
        <v>0</v>
      </c>
      <c r="O38" s="185"/>
      <c r="P38" s="192" t="str">
        <f t="shared" si="4"/>
        <v xml:space="preserve">  t/m &gt; Gebruikerss</v>
      </c>
      <c r="Q38" s="192" t="str">
        <f t="shared" si="5"/>
        <v>1 t/m  Gebruikerss</v>
      </c>
      <c r="R38" s="192" t="str">
        <f t="shared" si="6"/>
        <v xml:space="preserve"> &gt; Gebruikerss</v>
      </c>
      <c r="S38" s="185"/>
      <c r="T38" s="185"/>
    </row>
    <row r="39" spans="2:20" s="184" customFormat="1" ht="16.149999999999999" customHeight="1">
      <c r="B39" s="441" t="s">
        <v>97</v>
      </c>
      <c r="C39" s="442"/>
      <c r="D39" s="442"/>
      <c r="E39" s="442"/>
      <c r="F39" s="443"/>
      <c r="G39" s="250"/>
      <c r="H39" s="240" t="str">
        <f>IF(M39=0,"OK","Fout !")</f>
        <v>OK</v>
      </c>
      <c r="I39" s="241" t="s">
        <v>76</v>
      </c>
      <c r="J39" s="241"/>
      <c r="K39" s="188"/>
      <c r="L39" s="191"/>
      <c r="M39" s="190">
        <f>SUM(M30:M38)</f>
        <v>0</v>
      </c>
      <c r="N39" s="190">
        <f>SUM(N30:N38)</f>
        <v>0</v>
      </c>
      <c r="O39" s="185"/>
      <c r="P39" s="185"/>
      <c r="Q39" s="185"/>
      <c r="R39" s="185"/>
      <c r="S39" s="185"/>
      <c r="T39" s="185"/>
    </row>
    <row r="40" spans="2:20" s="184" customFormat="1" ht="15.75">
      <c r="B40" s="444"/>
      <c r="C40" s="445"/>
      <c r="D40" s="445"/>
      <c r="E40" s="445"/>
      <c r="F40" s="446"/>
      <c r="G40" s="250"/>
      <c r="H40" s="250"/>
      <c r="I40" s="241"/>
      <c r="J40" s="241"/>
      <c r="K40" s="188"/>
      <c r="L40" s="191"/>
      <c r="M40" s="190"/>
      <c r="N40" s="189"/>
      <c r="O40" s="185"/>
      <c r="P40" s="185"/>
      <c r="Q40" s="185"/>
      <c r="R40" s="185"/>
      <c r="S40" s="185"/>
      <c r="T40" s="185"/>
    </row>
    <row r="41" spans="2:20" s="184" customFormat="1" ht="15.75">
      <c r="B41" s="241"/>
      <c r="C41" s="210"/>
      <c r="D41" s="210"/>
      <c r="E41" s="210"/>
      <c r="F41" s="210"/>
      <c r="G41" s="250"/>
      <c r="H41" s="250"/>
      <c r="I41" s="241"/>
      <c r="J41" s="241"/>
      <c r="K41" s="188"/>
      <c r="L41" s="191"/>
      <c r="M41" s="190"/>
      <c r="N41" s="189"/>
      <c r="O41" s="185"/>
      <c r="P41" s="185"/>
      <c r="Q41" s="185"/>
      <c r="R41" s="185"/>
      <c r="S41" s="185"/>
      <c r="T41" s="185"/>
    </row>
    <row r="42" spans="2:20" s="184" customFormat="1" ht="15.75">
      <c r="B42" s="328" t="s">
        <v>59</v>
      </c>
      <c r="C42" s="242">
        <f t="shared" ref="C42:J42" si="11">+C9</f>
        <v>2025</v>
      </c>
      <c r="D42" s="242">
        <f t="shared" si="11"/>
        <v>2026</v>
      </c>
      <c r="E42" s="242">
        <f t="shared" si="11"/>
        <v>2027</v>
      </c>
      <c r="F42" s="242">
        <f t="shared" si="11"/>
        <v>2028</v>
      </c>
      <c r="G42" s="242">
        <f t="shared" si="11"/>
        <v>2029</v>
      </c>
      <c r="H42" s="242">
        <f t="shared" si="11"/>
        <v>2030</v>
      </c>
      <c r="I42" s="242">
        <f t="shared" si="11"/>
        <v>2031</v>
      </c>
      <c r="J42" s="243">
        <f t="shared" si="11"/>
        <v>2032</v>
      </c>
      <c r="K42" s="188"/>
      <c r="L42" s="185"/>
      <c r="M42" s="185"/>
      <c r="N42" s="185"/>
      <c r="O42" s="185"/>
      <c r="P42" s="185"/>
      <c r="Q42" s="185"/>
      <c r="R42" s="185"/>
      <c r="S42" s="185"/>
      <c r="T42" s="185"/>
    </row>
    <row r="43" spans="2:20" s="184" customFormat="1" ht="24.95" customHeight="1">
      <c r="B43" s="300" t="str">
        <f>"Benodigd aantal " &amp; B25</f>
        <v>Benodigd aantal Gebruikers</v>
      </c>
      <c r="C43" s="422">
        <f t="shared" ref="C43:J43" si="12">+C10</f>
        <v>50</v>
      </c>
      <c r="D43" s="422">
        <f t="shared" si="12"/>
        <v>75</v>
      </c>
      <c r="E43" s="422">
        <f t="shared" si="12"/>
        <v>100</v>
      </c>
      <c r="F43" s="422">
        <f t="shared" si="12"/>
        <v>125</v>
      </c>
      <c r="G43" s="422">
        <f t="shared" si="12"/>
        <v>75</v>
      </c>
      <c r="H43" s="422">
        <f t="shared" si="12"/>
        <v>85</v>
      </c>
      <c r="I43" s="422">
        <f t="shared" si="12"/>
        <v>95</v>
      </c>
      <c r="J43" s="422">
        <f t="shared" si="12"/>
        <v>105</v>
      </c>
      <c r="K43" s="188"/>
      <c r="L43" s="185"/>
      <c r="M43" s="185"/>
      <c r="N43" s="185"/>
      <c r="O43" s="185"/>
      <c r="P43" s="185"/>
      <c r="Q43" s="185"/>
      <c r="R43" s="185"/>
      <c r="S43" s="185"/>
      <c r="T43" s="185"/>
    </row>
    <row r="44" spans="2:20" s="184" customFormat="1" ht="24.95" customHeight="1">
      <c r="B44" s="300" t="str">
        <f>"Prijs per "&amp;B25&amp;" conform staffel "</f>
        <v xml:space="preserve">Prijs per Gebruikers conform staffel </v>
      </c>
      <c r="C44" s="301">
        <f t="shared" ref="C44:J44" si="13">IF(ISERROR(VLOOKUP(C43,$C$30:$H$38,6,TRUE)),"",VLOOKUP(C43,$C$30:$H$38,6,TRUE))</f>
        <v>0</v>
      </c>
      <c r="D44" s="301">
        <f t="shared" si="13"/>
        <v>0</v>
      </c>
      <c r="E44" s="301">
        <f t="shared" si="13"/>
        <v>0</v>
      </c>
      <c r="F44" s="301">
        <f t="shared" si="13"/>
        <v>0</v>
      </c>
      <c r="G44" s="301">
        <f t="shared" si="13"/>
        <v>0</v>
      </c>
      <c r="H44" s="301">
        <f t="shared" si="13"/>
        <v>0</v>
      </c>
      <c r="I44" s="301">
        <f t="shared" si="13"/>
        <v>0</v>
      </c>
      <c r="J44" s="301">
        <f t="shared" si="13"/>
        <v>0</v>
      </c>
      <c r="K44" s="185"/>
      <c r="L44" s="185"/>
      <c r="M44" s="185"/>
      <c r="N44" s="185"/>
      <c r="O44" s="185"/>
      <c r="P44" s="185"/>
      <c r="Q44" s="185"/>
      <c r="R44" s="185"/>
      <c r="S44" s="185"/>
    </row>
    <row r="45" spans="2:20" s="184" customFormat="1" ht="24.95" customHeight="1" thickBot="1">
      <c r="B45" s="300" t="s">
        <v>86</v>
      </c>
      <c r="C45" s="302">
        <f t="shared" ref="C45:J45" si="14">IF(ISERROR(+C44*C43),0,+C44*C43)</f>
        <v>0</v>
      </c>
      <c r="D45" s="302">
        <f t="shared" si="14"/>
        <v>0</v>
      </c>
      <c r="E45" s="302">
        <f t="shared" si="14"/>
        <v>0</v>
      </c>
      <c r="F45" s="302">
        <f t="shared" si="14"/>
        <v>0</v>
      </c>
      <c r="G45" s="302">
        <f t="shared" si="14"/>
        <v>0</v>
      </c>
      <c r="H45" s="302">
        <f t="shared" si="14"/>
        <v>0</v>
      </c>
      <c r="I45" s="302">
        <f t="shared" si="14"/>
        <v>0</v>
      </c>
      <c r="J45" s="302">
        <f t="shared" si="14"/>
        <v>0</v>
      </c>
      <c r="K45" s="185"/>
      <c r="L45" s="185"/>
      <c r="M45" s="185"/>
      <c r="N45" s="185"/>
      <c r="O45" s="185"/>
      <c r="P45" s="185"/>
      <c r="Q45" s="185"/>
      <c r="R45" s="185"/>
      <c r="S45" s="185"/>
    </row>
    <row r="46" spans="2:20" s="184" customFormat="1" ht="14.25" thickTop="1" thickBot="1">
      <c r="B46" s="244"/>
      <c r="C46" s="244"/>
      <c r="D46" s="244"/>
      <c r="E46" s="244"/>
      <c r="F46" s="244"/>
      <c r="G46" s="244"/>
      <c r="H46" s="244"/>
      <c r="I46" s="244"/>
      <c r="J46" s="244"/>
      <c r="K46" s="185"/>
      <c r="L46" s="185"/>
      <c r="M46" s="185"/>
      <c r="N46" s="185"/>
      <c r="O46" s="185"/>
      <c r="P46" s="185"/>
      <c r="Q46" s="185"/>
      <c r="R46" s="185"/>
      <c r="S46" s="185"/>
    </row>
    <row r="47" spans="2:20" s="184" customFormat="1" ht="12.75">
      <c r="B47" s="210"/>
      <c r="C47" s="210"/>
      <c r="D47" s="210"/>
      <c r="E47" s="210"/>
      <c r="F47" s="210"/>
      <c r="G47" s="210"/>
      <c r="H47" s="210"/>
      <c r="I47" s="210"/>
      <c r="J47" s="210"/>
      <c r="K47" s="185"/>
      <c r="L47" s="185"/>
      <c r="M47" s="185"/>
      <c r="N47" s="185"/>
      <c r="O47" s="185"/>
      <c r="P47" s="185"/>
      <c r="Q47" s="185"/>
      <c r="R47" s="185"/>
      <c r="S47" s="185"/>
    </row>
    <row r="48" spans="2:20" s="184" customFormat="1" ht="15.75">
      <c r="B48" s="328" t="s">
        <v>4</v>
      </c>
      <c r="C48" s="245" t="s">
        <v>15</v>
      </c>
      <c r="D48" s="210"/>
      <c r="E48" s="210"/>
      <c r="F48" s="210"/>
      <c r="G48" s="210"/>
      <c r="H48" s="210"/>
      <c r="I48" s="210"/>
      <c r="J48" s="210"/>
      <c r="K48" s="185"/>
      <c r="L48" s="185"/>
      <c r="M48" s="185"/>
      <c r="N48" s="185"/>
      <c r="O48" s="185"/>
      <c r="P48" s="185"/>
      <c r="Q48" s="185"/>
      <c r="R48" s="185"/>
      <c r="S48" s="185"/>
    </row>
    <row r="49" spans="2:19" s="409" customFormat="1" ht="24.95" customHeight="1" thickBot="1">
      <c r="B49" s="410" t="s">
        <v>19</v>
      </c>
      <c r="C49" s="411">
        <f>SUM(C45:J45)</f>
        <v>0</v>
      </c>
      <c r="D49" s="412"/>
      <c r="E49" s="413"/>
      <c r="F49" s="414"/>
      <c r="G49" s="414"/>
      <c r="H49" s="414"/>
      <c r="I49" s="414"/>
      <c r="J49" s="414"/>
      <c r="K49" s="415"/>
      <c r="L49" s="415"/>
      <c r="M49" s="415"/>
      <c r="N49" s="415"/>
      <c r="O49" s="415"/>
      <c r="P49" s="415"/>
      <c r="Q49" s="415"/>
      <c r="R49" s="415"/>
      <c r="S49" s="415"/>
    </row>
    <row r="50" spans="2:19" s="184" customFormat="1" ht="14.25" thickTop="1" thickBot="1">
      <c r="B50" s="246"/>
      <c r="C50" s="246"/>
      <c r="D50" s="246"/>
      <c r="E50" s="246"/>
      <c r="F50" s="246"/>
      <c r="G50" s="246"/>
      <c r="H50" s="246"/>
      <c r="I50" s="246"/>
      <c r="J50" s="246"/>
      <c r="K50" s="185"/>
      <c r="L50" s="185"/>
      <c r="M50" s="185"/>
      <c r="N50" s="185"/>
      <c r="O50" s="185"/>
      <c r="P50" s="185"/>
      <c r="Q50" s="185"/>
      <c r="R50" s="185"/>
      <c r="S50" s="185"/>
    </row>
    <row r="51" spans="2:19" s="184" customFormat="1" ht="12.75">
      <c r="B51" s="251"/>
      <c r="C51" s="251"/>
      <c r="D51" s="251"/>
      <c r="E51" s="251"/>
      <c r="F51" s="251"/>
      <c r="G51" s="251"/>
      <c r="H51" s="251"/>
      <c r="I51" s="251"/>
      <c r="J51" s="251"/>
      <c r="L51" s="185"/>
      <c r="M51" s="185"/>
      <c r="N51" s="185"/>
      <c r="O51" s="185"/>
      <c r="P51" s="185"/>
      <c r="Q51" s="185"/>
      <c r="R51" s="185"/>
      <c r="S51" s="185"/>
    </row>
  </sheetData>
  <sheetProtection algorithmName="SHA-512" hashValue="ZXbOKRLXmVenBvkR5eQPVzTbb0o0FWGu3RNNxJOaOZcY4aRcg/uROZrGslMgu6ERe3g5UH6OT6HZgHaO/hh+zA==" saltValue="4xG+EmoiRgpuy7dRak0vQg==" spinCount="100000" sheet="1" objects="1" scenarios="1"/>
  <mergeCells count="6">
    <mergeCell ref="E27:E28"/>
    <mergeCell ref="C28:D28"/>
    <mergeCell ref="G28:G29"/>
    <mergeCell ref="B39:F40"/>
    <mergeCell ref="E15:I15"/>
    <mergeCell ref="E18:I18"/>
  </mergeCells>
  <conditionalFormatting sqref="H39">
    <cfRule type="expression" dxfId="58" priority="79">
      <formula>$M$39&gt;0</formula>
    </cfRule>
  </conditionalFormatting>
  <conditionalFormatting sqref="H31:H35 H38">
    <cfRule type="expression" dxfId="57" priority="80">
      <formula>L31=2</formula>
    </cfRule>
    <cfRule type="expression" dxfId="56" priority="81">
      <formula>M31=0</formula>
    </cfRule>
    <cfRule type="expression" dxfId="55" priority="82">
      <formula>M31=1</formula>
    </cfRule>
  </conditionalFormatting>
  <conditionalFormatting sqref="G30">
    <cfRule type="expression" dxfId="54" priority="78">
      <formula>L30=2</formula>
    </cfRule>
  </conditionalFormatting>
  <conditionalFormatting sqref="G34">
    <cfRule type="expression" dxfId="53" priority="77">
      <formula>L34=2</formula>
    </cfRule>
  </conditionalFormatting>
  <conditionalFormatting sqref="G35">
    <cfRule type="expression" dxfId="52" priority="76">
      <formula>L35=2</formula>
    </cfRule>
  </conditionalFormatting>
  <conditionalFormatting sqref="G36">
    <cfRule type="expression" dxfId="51" priority="75">
      <formula>L36=2</formula>
    </cfRule>
  </conditionalFormatting>
  <conditionalFormatting sqref="G37">
    <cfRule type="expression" dxfId="50" priority="74">
      <formula>L37=2</formula>
    </cfRule>
  </conditionalFormatting>
  <conditionalFormatting sqref="G38">
    <cfRule type="expression" dxfId="49" priority="73">
      <formula>L38=2</formula>
    </cfRule>
  </conditionalFormatting>
  <conditionalFormatting sqref="G33">
    <cfRule type="expression" dxfId="48" priority="72">
      <formula>L33=2</formula>
    </cfRule>
  </conditionalFormatting>
  <conditionalFormatting sqref="H36">
    <cfRule type="expression" dxfId="47" priority="69">
      <formula>L36=2</formula>
    </cfRule>
    <cfRule type="expression" dxfId="46" priority="70">
      <formula>M36=0</formula>
    </cfRule>
    <cfRule type="expression" dxfId="45" priority="71">
      <formula>M36=1</formula>
    </cfRule>
  </conditionalFormatting>
  <conditionalFormatting sqref="H37">
    <cfRule type="expression" dxfId="44" priority="66">
      <formula>L37=2</formula>
    </cfRule>
    <cfRule type="expression" dxfId="43" priority="67">
      <formula>M37=0</formula>
    </cfRule>
    <cfRule type="expression" dxfId="42" priority="68">
      <formula>M37=1</formula>
    </cfRule>
  </conditionalFormatting>
  <conditionalFormatting sqref="H30">
    <cfRule type="expression" dxfId="41" priority="63">
      <formula>L30=2</formula>
    </cfRule>
    <cfRule type="expression" dxfId="40" priority="64">
      <formula>M30=0</formula>
    </cfRule>
    <cfRule type="expression" dxfId="39" priority="65">
      <formula>M30=1</formula>
    </cfRule>
  </conditionalFormatting>
  <conditionalFormatting sqref="D30:D37">
    <cfRule type="expression" dxfId="38" priority="51">
      <formula>D29&lt;&gt;"&gt;"</formula>
    </cfRule>
    <cfRule type="expression" dxfId="37" priority="52">
      <formula>D29="&gt;"</formula>
    </cfRule>
  </conditionalFormatting>
  <conditionalFormatting sqref="D38">
    <cfRule type="expression" dxfId="36" priority="49">
      <formula>D37&lt;&gt;"&gt;"</formula>
    </cfRule>
    <cfRule type="expression" dxfId="35" priority="50">
      <formula>D37="&gt;"</formula>
    </cfRule>
  </conditionalFormatting>
  <conditionalFormatting sqref="G31">
    <cfRule type="expression" dxfId="34" priority="48">
      <formula>L31=2</formula>
    </cfRule>
  </conditionalFormatting>
  <conditionalFormatting sqref="G32:G38">
    <cfRule type="expression" dxfId="33" priority="47">
      <formula>L32=2</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46"/>
  <sheetViews>
    <sheetView showGridLines="0" zoomScaleNormal="100" workbookViewId="0">
      <selection activeCell="B11" sqref="B11"/>
    </sheetView>
  </sheetViews>
  <sheetFormatPr defaultColWidth="0" defaultRowHeight="0" customHeight="1" zeroHeight="1"/>
  <cols>
    <col min="1" max="1" width="3.7109375" style="25" customWidth="1"/>
    <col min="2" max="2" width="37.85546875" style="27" customWidth="1"/>
    <col min="3" max="3" width="20.7109375" style="25" customWidth="1"/>
    <col min="4" max="4" width="20.7109375" style="28" customWidth="1"/>
    <col min="5" max="5" width="20.7109375" style="72" customWidth="1"/>
    <col min="6" max="10" width="20.7109375" style="28" customWidth="1"/>
    <col min="11" max="11" width="3.7109375" style="28" customWidth="1"/>
    <col min="12" max="12" width="6" style="28" hidden="1" customWidth="1"/>
    <col min="13" max="13" width="4.140625" style="53" hidden="1" customWidth="1"/>
    <col min="14" max="14" width="4.140625" style="25" hidden="1" customWidth="1"/>
    <col min="15" max="16384" width="8.85546875" style="25" hidden="1"/>
  </cols>
  <sheetData>
    <row r="1" spans="2:13" ht="15" customHeight="1">
      <c r="M1" s="29"/>
    </row>
    <row r="2" spans="2:13" s="30" customFormat="1" ht="22.5">
      <c r="B2" s="6" t="str">
        <f>+'0. Samenvatting'!B2</f>
        <v>Europese aanbesteding</v>
      </c>
      <c r="C2" s="6"/>
      <c r="D2" s="7"/>
      <c r="E2" s="8"/>
      <c r="F2" s="6"/>
      <c r="G2" s="6"/>
      <c r="H2" s="101"/>
      <c r="I2" s="101"/>
      <c r="J2" s="101"/>
      <c r="K2" s="28"/>
      <c r="L2" s="28"/>
      <c r="M2" s="29"/>
    </row>
    <row r="3" spans="2:13" s="26" customFormat="1" ht="18">
      <c r="B3" s="9" t="str">
        <f>+'0. Samenvatting'!B3</f>
        <v>Process Mining</v>
      </c>
      <c r="C3" s="10"/>
      <c r="D3" s="10"/>
      <c r="E3" s="11"/>
      <c r="F3" s="10"/>
      <c r="G3" s="10"/>
      <c r="H3" s="10"/>
      <c r="I3" s="10"/>
      <c r="J3" s="10"/>
      <c r="K3" s="28"/>
      <c r="L3" s="28"/>
      <c r="M3" s="29"/>
    </row>
    <row r="4" spans="2:13" s="26" customFormat="1" ht="19.5">
      <c r="B4" s="12" t="s">
        <v>57</v>
      </c>
      <c r="C4" s="10"/>
      <c r="D4" s="10"/>
      <c r="E4" s="11"/>
      <c r="F4" s="10"/>
      <c r="G4" s="10"/>
      <c r="H4" s="10"/>
      <c r="I4" s="10"/>
      <c r="J4" s="10"/>
      <c r="K4" s="28"/>
      <c r="L4" s="28"/>
      <c r="M4" s="29"/>
    </row>
    <row r="5" spans="2:13" s="26" customFormat="1" ht="15">
      <c r="B5" s="1" t="str">
        <f>+'0. Samenvatting'!B5</f>
        <v>IUC23-033</v>
      </c>
      <c r="C5" s="10"/>
      <c r="D5" s="10"/>
      <c r="E5" s="11"/>
      <c r="F5" s="10"/>
      <c r="G5" s="10"/>
      <c r="H5" s="10"/>
      <c r="I5" s="10"/>
      <c r="J5" s="10"/>
      <c r="K5" s="28"/>
      <c r="L5" s="28"/>
      <c r="M5" s="29"/>
    </row>
    <row r="6" spans="2:13" s="26" customFormat="1" ht="15">
      <c r="B6" s="118" t="str">
        <f>+'0. Samenvatting'!B6</f>
        <v>(prijzen exclusief BTW)</v>
      </c>
      <c r="C6" s="10"/>
      <c r="D6" s="10"/>
      <c r="E6" s="11"/>
      <c r="F6" s="10"/>
      <c r="G6" s="10"/>
      <c r="H6" s="10"/>
      <c r="I6" s="10"/>
      <c r="J6" s="10"/>
      <c r="K6" s="28"/>
      <c r="L6" s="28"/>
      <c r="M6" s="29"/>
    </row>
    <row r="7" spans="2:13" s="26" customFormat="1" ht="15">
      <c r="B7" s="4"/>
      <c r="C7" s="13"/>
      <c r="D7" s="14"/>
      <c r="E7" s="14"/>
      <c r="F7" s="11"/>
      <c r="G7" s="14"/>
      <c r="H7" s="11"/>
      <c r="I7" s="11"/>
      <c r="J7" s="11"/>
      <c r="K7" s="28"/>
      <c r="L7" s="28"/>
      <c r="M7" s="29"/>
    </row>
    <row r="8" spans="2:13" s="26" customFormat="1" ht="15">
      <c r="B8" s="97" t="s">
        <v>0</v>
      </c>
      <c r="C8" s="96"/>
      <c r="D8" s="96"/>
      <c r="E8" s="95"/>
      <c r="F8" s="31"/>
      <c r="G8" s="95"/>
      <c r="H8" s="95"/>
      <c r="I8" s="95"/>
      <c r="J8" s="95"/>
      <c r="K8" s="28"/>
      <c r="L8" s="28"/>
      <c r="M8" s="29"/>
    </row>
    <row r="9" spans="2:13" s="26" customFormat="1" ht="15">
      <c r="B9" s="94" t="s">
        <v>106</v>
      </c>
      <c r="C9" s="93"/>
      <c r="D9" s="93"/>
      <c r="E9" s="93"/>
      <c r="F9" s="93"/>
      <c r="G9" s="92"/>
      <c r="H9" s="91"/>
      <c r="I9" s="95"/>
      <c r="J9" s="95"/>
      <c r="K9" s="28"/>
      <c r="L9" s="28"/>
      <c r="M9" s="29"/>
    </row>
    <row r="10" spans="2:13" s="26" customFormat="1" ht="15">
      <c r="B10" s="90" t="s">
        <v>40</v>
      </c>
      <c r="C10" s="89" t="s">
        <v>39</v>
      </c>
      <c r="D10" s="89" t="s">
        <v>38</v>
      </c>
      <c r="E10" s="88" t="s">
        <v>5</v>
      </c>
      <c r="F10" s="88"/>
      <c r="G10" s="88"/>
      <c r="H10" s="87"/>
      <c r="I10" s="95"/>
      <c r="J10" s="95"/>
      <c r="K10" s="28"/>
      <c r="L10" s="28"/>
      <c r="M10" s="29"/>
    </row>
    <row r="11" spans="2:13" s="26" customFormat="1" ht="24.95" customHeight="1">
      <c r="B11" s="86"/>
      <c r="C11" s="85"/>
      <c r="D11" s="84"/>
      <c r="E11" s="433"/>
      <c r="F11" s="434"/>
      <c r="G11" s="434"/>
      <c r="H11" s="435"/>
      <c r="I11" s="95"/>
      <c r="J11" s="95"/>
      <c r="K11" s="28"/>
      <c r="L11" s="28"/>
      <c r="M11" s="29"/>
    </row>
    <row r="12" spans="2:13" s="26" customFormat="1" ht="24.95" customHeight="1">
      <c r="B12" s="86"/>
      <c r="C12" s="85"/>
      <c r="D12" s="84"/>
      <c r="E12" s="433"/>
      <c r="F12" s="434"/>
      <c r="G12" s="434"/>
      <c r="H12" s="435"/>
      <c r="I12" s="95"/>
      <c r="J12" s="95"/>
      <c r="K12" s="28"/>
      <c r="L12" s="28"/>
      <c r="M12" s="29"/>
    </row>
    <row r="13" spans="2:13" s="26" customFormat="1" ht="24.95" customHeight="1">
      <c r="B13" s="83"/>
      <c r="C13" s="82"/>
      <c r="D13" s="81"/>
      <c r="E13" s="433"/>
      <c r="F13" s="434"/>
      <c r="G13" s="434"/>
      <c r="H13" s="435"/>
      <c r="I13" s="95"/>
      <c r="J13" s="95"/>
      <c r="K13" s="28"/>
      <c r="L13" s="28"/>
      <c r="M13" s="29"/>
    </row>
    <row r="14" spans="2:13" s="26" customFormat="1" ht="24.95" customHeight="1">
      <c r="B14" s="83"/>
      <c r="C14" s="82"/>
      <c r="D14" s="81"/>
      <c r="E14" s="433"/>
      <c r="F14" s="434"/>
      <c r="G14" s="434"/>
      <c r="H14" s="435"/>
      <c r="I14" s="95"/>
      <c r="J14" s="95"/>
      <c r="K14" s="28"/>
      <c r="L14" s="28"/>
      <c r="M14" s="29"/>
    </row>
    <row r="15" spans="2:13" s="26" customFormat="1" ht="15.75" thickBot="1">
      <c r="B15" s="32"/>
      <c r="C15" s="33"/>
      <c r="D15" s="33"/>
      <c r="E15" s="65"/>
      <c r="F15" s="33"/>
      <c r="G15" s="33"/>
      <c r="H15" s="33"/>
      <c r="I15" s="33"/>
      <c r="J15" s="33"/>
      <c r="K15" s="28"/>
      <c r="L15" s="28"/>
      <c r="M15" s="29"/>
    </row>
    <row r="16" spans="2:13" s="26" customFormat="1" ht="15">
      <c r="B16" s="34"/>
      <c r="C16" s="31"/>
      <c r="D16" s="31"/>
      <c r="E16" s="73"/>
      <c r="F16" s="31"/>
      <c r="G16" s="31"/>
      <c r="H16" s="31"/>
      <c r="I16" s="31"/>
      <c r="J16" s="31"/>
      <c r="K16" s="28"/>
      <c r="L16" s="28"/>
      <c r="M16" s="29"/>
    </row>
    <row r="17" spans="1:13" s="26" customFormat="1" ht="15">
      <c r="B17" s="35" t="s">
        <v>6</v>
      </c>
      <c r="C17" s="147" t="s">
        <v>66</v>
      </c>
      <c r="D17" s="36"/>
      <c r="E17" s="36"/>
      <c r="F17" s="80"/>
      <c r="G17" s="146" t="s">
        <v>67</v>
      </c>
      <c r="H17" s="36"/>
      <c r="I17" s="36"/>
      <c r="J17" s="80"/>
      <c r="K17" s="28"/>
      <c r="L17" s="28"/>
      <c r="M17" s="29"/>
    </row>
    <row r="18" spans="1:13" s="26" customFormat="1" ht="15">
      <c r="B18" s="79"/>
      <c r="C18" s="37">
        <v>2025</v>
      </c>
      <c r="D18" s="37">
        <f>+C18+1</f>
        <v>2026</v>
      </c>
      <c r="E18" s="37">
        <f t="shared" ref="E18:J18" si="0">+D18+1</f>
        <v>2027</v>
      </c>
      <c r="F18" s="78">
        <f t="shared" si="0"/>
        <v>2028</v>
      </c>
      <c r="G18" s="50">
        <f t="shared" si="0"/>
        <v>2029</v>
      </c>
      <c r="H18" s="37">
        <f t="shared" si="0"/>
        <v>2030</v>
      </c>
      <c r="I18" s="37">
        <f t="shared" si="0"/>
        <v>2031</v>
      </c>
      <c r="J18" s="78">
        <f t="shared" si="0"/>
        <v>2032</v>
      </c>
      <c r="K18" s="28"/>
      <c r="L18" s="28"/>
      <c r="M18" s="29"/>
    </row>
    <row r="19" spans="1:13" s="26" customFormat="1" ht="24.95" customHeight="1">
      <c r="B19" s="286" t="s">
        <v>37</v>
      </c>
      <c r="C19" s="287">
        <v>50</v>
      </c>
      <c r="D19" s="287">
        <f>+C19+25</f>
        <v>75</v>
      </c>
      <c r="E19" s="287">
        <f t="shared" ref="E19:F19" si="1">+D19+25</f>
        <v>100</v>
      </c>
      <c r="F19" s="287">
        <f t="shared" si="1"/>
        <v>125</v>
      </c>
      <c r="G19" s="287">
        <f>+F19*0.6</f>
        <v>75</v>
      </c>
      <c r="H19" s="288">
        <v>85</v>
      </c>
      <c r="I19" s="287">
        <v>95</v>
      </c>
      <c r="J19" s="287">
        <v>105</v>
      </c>
      <c r="K19" s="28"/>
      <c r="L19" s="28"/>
      <c r="M19" s="29"/>
    </row>
    <row r="20" spans="1:13" s="26" customFormat="1" ht="15.75" thickBot="1">
      <c r="B20" s="32"/>
      <c r="C20" s="33"/>
      <c r="D20" s="33"/>
      <c r="E20" s="65"/>
      <c r="F20" s="33"/>
      <c r="G20" s="33"/>
      <c r="H20" s="33"/>
      <c r="I20" s="33"/>
      <c r="J20" s="33"/>
      <c r="K20" s="28"/>
      <c r="L20" s="28"/>
      <c r="M20" s="29"/>
    </row>
    <row r="21" spans="1:13" s="26" customFormat="1" ht="15">
      <c r="B21" s="34"/>
      <c r="C21" s="31"/>
      <c r="D21" s="31"/>
      <c r="E21" s="73"/>
      <c r="F21" s="31"/>
      <c r="G21" s="31"/>
      <c r="H21" s="31"/>
      <c r="I21" s="31"/>
      <c r="J21" s="31"/>
      <c r="K21" s="28"/>
      <c r="L21" s="28"/>
      <c r="M21" s="29"/>
    </row>
    <row r="22" spans="1:13" s="53" customFormat="1" ht="15">
      <c r="A22" s="25"/>
      <c r="B22" s="329" t="s">
        <v>57</v>
      </c>
      <c r="C22" s="56"/>
      <c r="D22" s="58" t="s">
        <v>17</v>
      </c>
      <c r="E22" s="56"/>
      <c r="F22" s="56"/>
      <c r="G22" s="57"/>
      <c r="H22" s="2"/>
      <c r="I22" s="2"/>
      <c r="J22" s="2"/>
      <c r="K22" s="28"/>
      <c r="L22" s="28"/>
      <c r="M22" s="29"/>
    </row>
    <row r="23" spans="1:13" s="53" customFormat="1" ht="14.25" customHeight="1">
      <c r="A23" s="25"/>
      <c r="B23" s="2" t="s">
        <v>0</v>
      </c>
      <c r="C23" s="2" t="s">
        <v>0</v>
      </c>
      <c r="D23" s="2"/>
      <c r="E23" s="2"/>
      <c r="F23" s="2"/>
      <c r="G23" s="2"/>
      <c r="H23" s="2"/>
      <c r="I23" s="2"/>
      <c r="J23" s="2"/>
      <c r="K23" s="28"/>
      <c r="L23" s="28"/>
      <c r="M23" s="29"/>
    </row>
    <row r="24" spans="1:13" s="53" customFormat="1" ht="14.25" customHeight="1">
      <c r="A24" s="25"/>
      <c r="B24" s="59" t="s">
        <v>5</v>
      </c>
      <c r="C24" s="61" t="s">
        <v>99</v>
      </c>
      <c r="D24" s="2"/>
      <c r="E24" s="2"/>
      <c r="F24" s="55" t="s">
        <v>0</v>
      </c>
      <c r="G24" s="2"/>
      <c r="H24" s="2"/>
      <c r="I24" s="2"/>
      <c r="J24" s="2"/>
      <c r="K24" s="28"/>
      <c r="L24" s="28"/>
      <c r="M24" s="29"/>
    </row>
    <row r="25" spans="1:13" s="53" customFormat="1" ht="24.95" customHeight="1" thickBot="1">
      <c r="A25" s="25"/>
      <c r="B25" s="289" t="s">
        <v>20</v>
      </c>
      <c r="C25" s="417"/>
      <c r="D25" s="2"/>
      <c r="E25" s="2"/>
      <c r="F25" s="55"/>
      <c r="G25" s="2"/>
      <c r="H25" s="2"/>
      <c r="I25" s="2"/>
      <c r="J25" s="2"/>
      <c r="K25" s="28"/>
      <c r="L25" s="28"/>
      <c r="M25" s="29"/>
    </row>
    <row r="26" spans="1:13" s="53" customFormat="1" ht="14.25" customHeight="1" thickTop="1">
      <c r="A26" s="25"/>
      <c r="B26" s="2"/>
      <c r="C26" s="2"/>
      <c r="D26" s="2"/>
      <c r="E26" s="2"/>
      <c r="F26" s="63"/>
      <c r="G26" s="2"/>
      <c r="H26" s="2"/>
      <c r="I26" s="2"/>
      <c r="J26" s="2"/>
      <c r="K26" s="28"/>
      <c r="L26" s="28"/>
      <c r="M26" s="29"/>
    </row>
    <row r="27" spans="1:13" s="53" customFormat="1" ht="14.25" customHeight="1">
      <c r="A27" s="25"/>
      <c r="B27" s="51" t="s">
        <v>18</v>
      </c>
      <c r="C27" s="75">
        <f t="shared" ref="C27:J27" si="2">+C18</f>
        <v>2025</v>
      </c>
      <c r="D27" s="75">
        <f t="shared" si="2"/>
        <v>2026</v>
      </c>
      <c r="E27" s="75">
        <f t="shared" si="2"/>
        <v>2027</v>
      </c>
      <c r="F27" s="75">
        <f t="shared" si="2"/>
        <v>2028</v>
      </c>
      <c r="G27" s="75">
        <f t="shared" si="2"/>
        <v>2029</v>
      </c>
      <c r="H27" s="75">
        <f t="shared" si="2"/>
        <v>2030</v>
      </c>
      <c r="I27" s="75">
        <f t="shared" si="2"/>
        <v>2031</v>
      </c>
      <c r="J27" s="52">
        <f t="shared" si="2"/>
        <v>2032</v>
      </c>
      <c r="K27" s="28"/>
      <c r="L27" s="28"/>
      <c r="M27" s="29"/>
    </row>
    <row r="28" spans="1:13" s="53" customFormat="1" ht="24.95" customHeight="1">
      <c r="A28" s="25"/>
      <c r="B28" s="290" t="s">
        <v>18</v>
      </c>
      <c r="C28" s="292">
        <f>+$C$25</f>
        <v>0</v>
      </c>
      <c r="D28" s="292">
        <f t="shared" ref="D28" si="3">+C28</f>
        <v>0</v>
      </c>
      <c r="E28" s="292">
        <f t="shared" ref="E28" si="4">+D28</f>
        <v>0</v>
      </c>
      <c r="F28" s="292">
        <f t="shared" ref="F28" si="5">+E28</f>
        <v>0</v>
      </c>
      <c r="G28" s="292">
        <f t="shared" ref="G28" si="6">+F28</f>
        <v>0</v>
      </c>
      <c r="H28" s="292">
        <f t="shared" ref="H28" si="7">+G28</f>
        <v>0</v>
      </c>
      <c r="I28" s="292">
        <f t="shared" ref="I28" si="8">+H28</f>
        <v>0</v>
      </c>
      <c r="J28" s="292">
        <f t="shared" ref="J28" si="9">+I28</f>
        <v>0</v>
      </c>
      <c r="K28" s="28"/>
      <c r="L28" s="28"/>
      <c r="M28" s="29"/>
    </row>
    <row r="29" spans="1:13" s="53" customFormat="1" ht="24.95" customHeight="1">
      <c r="A29" s="25"/>
      <c r="B29" s="290" t="s">
        <v>27</v>
      </c>
      <c r="C29" s="418"/>
      <c r="D29" s="418"/>
      <c r="E29" s="418"/>
      <c r="F29" s="418"/>
      <c r="G29" s="418"/>
      <c r="H29" s="418"/>
      <c r="I29" s="418"/>
      <c r="J29" s="418"/>
      <c r="K29" s="28"/>
      <c r="L29" s="28"/>
      <c r="M29" s="29"/>
    </row>
    <row r="30" spans="1:13" s="53" customFormat="1" ht="14.25" customHeight="1">
      <c r="A30" s="25"/>
      <c r="B30" s="51"/>
      <c r="C30" s="46"/>
      <c r="D30" s="42"/>
      <c r="E30" s="42"/>
      <c r="F30" s="42"/>
      <c r="G30" s="42"/>
      <c r="H30" s="42"/>
      <c r="I30" s="42"/>
      <c r="J30" s="42"/>
      <c r="K30" s="28"/>
      <c r="L30" s="28"/>
      <c r="M30" s="29"/>
    </row>
    <row r="31" spans="1:13" s="53" customFormat="1" ht="24.95" customHeight="1" thickBot="1">
      <c r="A31" s="25"/>
      <c r="B31" s="290" t="s">
        <v>18</v>
      </c>
      <c r="C31" s="291">
        <f>+C28*(1-C29)</f>
        <v>0</v>
      </c>
      <c r="D31" s="291">
        <f t="shared" ref="D31:J31" si="10">+D28*(1-D29)</f>
        <v>0</v>
      </c>
      <c r="E31" s="291">
        <f t="shared" si="10"/>
        <v>0</v>
      </c>
      <c r="F31" s="291">
        <f t="shared" si="10"/>
        <v>0</v>
      </c>
      <c r="G31" s="291">
        <f t="shared" si="10"/>
        <v>0</v>
      </c>
      <c r="H31" s="291">
        <f t="shared" si="10"/>
        <v>0</v>
      </c>
      <c r="I31" s="291">
        <f t="shared" si="10"/>
        <v>0</v>
      </c>
      <c r="J31" s="291">
        <f t="shared" si="10"/>
        <v>0</v>
      </c>
      <c r="K31" s="28"/>
      <c r="L31" s="28"/>
      <c r="M31" s="29"/>
    </row>
    <row r="32" spans="1:13" s="53" customFormat="1" ht="14.25" customHeight="1" thickTop="1">
      <c r="A32" s="25"/>
      <c r="B32" s="20"/>
      <c r="C32" s="2"/>
      <c r="D32" s="60"/>
      <c r="E32" s="60"/>
      <c r="F32" s="60"/>
      <c r="G32" s="60"/>
      <c r="H32" s="2"/>
      <c r="I32" s="2"/>
      <c r="J32" s="2"/>
      <c r="K32" s="28"/>
      <c r="L32" s="28"/>
      <c r="M32" s="29"/>
    </row>
    <row r="33" spans="1:13" s="53" customFormat="1" ht="25.15" customHeight="1" thickBot="1">
      <c r="A33" s="25"/>
      <c r="B33" s="114" t="s">
        <v>19</v>
      </c>
      <c r="C33" s="115">
        <f>SUM(C31:L31)</f>
        <v>0</v>
      </c>
      <c r="D33" s="20"/>
      <c r="E33" s="20"/>
      <c r="F33" s="20"/>
      <c r="G33" s="20"/>
      <c r="H33" s="20"/>
      <c r="I33" s="20"/>
      <c r="J33" s="20"/>
      <c r="K33" s="28"/>
      <c r="L33" s="28"/>
      <c r="M33" s="29"/>
    </row>
    <row r="34" spans="1:13" s="53" customFormat="1" ht="14.25" customHeight="1" thickTop="1" thickBot="1">
      <c r="A34" s="25"/>
      <c r="B34" s="15"/>
      <c r="C34" s="15"/>
      <c r="D34" s="15"/>
      <c r="E34" s="16"/>
      <c r="F34" s="16"/>
      <c r="G34" s="16"/>
      <c r="H34" s="16"/>
      <c r="I34" s="16"/>
      <c r="J34" s="16"/>
      <c r="K34" s="28"/>
      <c r="L34" s="28"/>
      <c r="M34" s="29"/>
    </row>
    <row r="35" spans="1:13" s="53" customFormat="1" ht="14.25" customHeight="1">
      <c r="A35" s="25"/>
      <c r="B35" s="27"/>
      <c r="C35" s="25"/>
      <c r="D35" s="28"/>
      <c r="E35" s="72"/>
      <c r="F35" s="28"/>
      <c r="G35" s="28"/>
      <c r="H35" s="28"/>
      <c r="I35" s="28"/>
      <c r="J35" s="28"/>
      <c r="K35" s="28"/>
      <c r="L35" s="28"/>
      <c r="M35" s="29"/>
    </row>
    <row r="36" spans="1:13" s="53" customFormat="1" ht="14.25" hidden="1" customHeight="1">
      <c r="A36" s="25"/>
      <c r="B36" s="27"/>
      <c r="C36" s="25"/>
      <c r="D36" s="28"/>
      <c r="E36" s="72"/>
      <c r="F36" s="28"/>
      <c r="G36" s="28"/>
      <c r="H36" s="28"/>
      <c r="I36" s="28"/>
      <c r="J36" s="28"/>
      <c r="K36" s="28"/>
      <c r="L36" s="28"/>
    </row>
    <row r="37" spans="1:13" s="53" customFormat="1" ht="14.25" hidden="1" customHeight="1">
      <c r="A37" s="25"/>
      <c r="B37" s="27"/>
      <c r="C37" s="25"/>
      <c r="D37" s="28"/>
      <c r="E37" s="72"/>
      <c r="F37" s="28"/>
      <c r="G37" s="28"/>
      <c r="H37" s="28"/>
      <c r="I37" s="28"/>
      <c r="J37" s="28"/>
      <c r="K37" s="28"/>
      <c r="L37" s="28"/>
    </row>
    <row r="38" spans="1:13" s="53" customFormat="1" ht="14.25" hidden="1" customHeight="1">
      <c r="A38" s="25"/>
      <c r="B38" s="27"/>
      <c r="C38" s="25"/>
      <c r="D38" s="28"/>
      <c r="E38" s="72"/>
      <c r="F38" s="28"/>
      <c r="G38" s="28"/>
      <c r="H38" s="28"/>
      <c r="I38" s="28"/>
      <c r="J38" s="28"/>
      <c r="K38" s="28"/>
      <c r="L38" s="28"/>
    </row>
    <row r="39" spans="1:13" s="53" customFormat="1" ht="14.25" hidden="1" customHeight="1">
      <c r="A39" s="25"/>
      <c r="B39" s="27"/>
      <c r="C39" s="25"/>
      <c r="D39" s="28"/>
      <c r="E39" s="72"/>
      <c r="F39" s="28"/>
      <c r="G39" s="28"/>
      <c r="H39" s="28"/>
      <c r="I39" s="28"/>
      <c r="J39" s="28"/>
      <c r="K39" s="28"/>
      <c r="L39" s="28"/>
    </row>
    <row r="40" spans="1:13" s="53" customFormat="1" ht="14.25" hidden="1" customHeight="1">
      <c r="A40" s="25"/>
      <c r="B40" s="27"/>
      <c r="C40" s="25"/>
      <c r="D40" s="28"/>
      <c r="E40" s="72"/>
      <c r="F40" s="28"/>
      <c r="G40" s="28"/>
      <c r="H40" s="28"/>
      <c r="I40" s="28"/>
      <c r="J40" s="28"/>
      <c r="K40" s="28"/>
      <c r="L40" s="28"/>
    </row>
    <row r="41" spans="1:13" s="53" customFormat="1" ht="14.25" hidden="1" customHeight="1">
      <c r="A41" s="25"/>
      <c r="B41" s="27"/>
      <c r="C41" s="25"/>
      <c r="D41" s="28"/>
      <c r="E41" s="72"/>
      <c r="F41" s="28"/>
      <c r="G41" s="28"/>
      <c r="H41" s="28"/>
      <c r="I41" s="28"/>
      <c r="J41" s="28"/>
      <c r="K41" s="28"/>
      <c r="L41" s="28"/>
    </row>
    <row r="42" spans="1:13" s="53" customFormat="1" ht="14.25" hidden="1" customHeight="1">
      <c r="A42" s="25"/>
      <c r="B42" s="27"/>
      <c r="C42" s="25"/>
      <c r="D42" s="28"/>
      <c r="E42" s="72"/>
      <c r="F42" s="28"/>
      <c r="G42" s="28"/>
      <c r="H42" s="28"/>
      <c r="I42" s="28"/>
      <c r="J42" s="28"/>
      <c r="K42" s="28"/>
      <c r="L42" s="28"/>
    </row>
    <row r="43" spans="1:13" s="53" customFormat="1" ht="14.25" hidden="1" customHeight="1">
      <c r="A43" s="25"/>
      <c r="B43" s="27"/>
      <c r="C43" s="25"/>
      <c r="D43" s="28"/>
      <c r="E43" s="72"/>
      <c r="F43" s="28"/>
      <c r="G43" s="28"/>
      <c r="H43" s="28"/>
      <c r="I43" s="28"/>
      <c r="J43" s="28"/>
      <c r="K43" s="28"/>
      <c r="L43" s="28"/>
    </row>
    <row r="44" spans="1:13" ht="14.25" hidden="1" customHeight="1"/>
    <row r="45" spans="1:13" ht="14.25" hidden="1" customHeight="1"/>
    <row r="46" spans="1:13" ht="14.25" hidden="1" customHeight="1"/>
    <row r="47" spans="1:13" ht="14.25" hidden="1" customHeight="1"/>
    <row r="48" spans="1:13"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hidden="1" customHeight="1"/>
    <row r="105" ht="14.25" hidden="1" customHeight="1"/>
    <row r="106" ht="14.25" hidden="1" customHeight="1"/>
    <row r="107" ht="14.25" hidden="1" customHeight="1"/>
    <row r="108" ht="14.25" hidden="1" customHeight="1"/>
    <row r="109" ht="14.25" hidden="1" customHeight="1"/>
    <row r="110" ht="14.25" hidden="1" customHeight="1"/>
    <row r="111" ht="14.25" hidden="1" customHeight="1"/>
    <row r="112" ht="14.25" hidden="1" customHeight="1"/>
    <row r="113" ht="14.25" hidden="1" customHeight="1"/>
    <row r="114" ht="14.25" hidden="1" customHeight="1"/>
    <row r="115" ht="14.25" hidden="1" customHeight="1"/>
    <row r="116" ht="14.25" hidden="1" customHeight="1"/>
    <row r="117" ht="14.25" hidden="1" customHeight="1"/>
    <row r="118" ht="14.25" hidden="1" customHeight="1"/>
    <row r="119" ht="14.25" hidden="1" customHeight="1"/>
    <row r="120" ht="14.25" hidden="1" customHeight="1"/>
    <row r="121" ht="14.25" hidden="1" customHeight="1"/>
    <row r="122" ht="14.25" hidden="1" customHeight="1"/>
    <row r="123" ht="14.25" hidden="1" customHeight="1"/>
    <row r="124" ht="14.25" hidden="1" customHeight="1"/>
    <row r="125" ht="14.25" hidden="1" customHeight="1"/>
    <row r="126" ht="14.25" hidden="1" customHeight="1"/>
    <row r="127" ht="14.25" hidden="1" customHeight="1"/>
    <row r="128" ht="14.25" hidden="1" customHeight="1"/>
    <row r="129" ht="14.25" hidden="1" customHeight="1"/>
    <row r="130" ht="14.25" hidden="1" customHeight="1"/>
    <row r="131" ht="14.25" hidden="1" customHeight="1"/>
    <row r="132" ht="14.25" hidden="1" customHeight="1"/>
    <row r="133" ht="14.25" hidden="1" customHeight="1"/>
    <row r="134" ht="14.25" hidden="1" customHeight="1"/>
    <row r="135" ht="14.25" hidden="1" customHeight="1"/>
    <row r="136" ht="14.25" hidden="1" customHeight="1"/>
    <row r="137" ht="14.25" hidden="1" customHeight="1"/>
    <row r="138" ht="14.25" hidden="1" customHeight="1"/>
    <row r="139" ht="14.25" hidden="1" customHeight="1"/>
    <row r="140" ht="14.25" hidden="1" customHeight="1"/>
    <row r="141" ht="14.25" hidden="1" customHeight="1"/>
    <row r="142" ht="14.25" hidden="1" customHeight="1"/>
    <row r="143" ht="14.25" hidden="1" customHeight="1"/>
    <row r="144" ht="14.25" hidden="1" customHeight="1"/>
    <row r="145" ht="14.25" hidden="1" customHeight="1"/>
    <row r="146" ht="14.25" hidden="1" customHeight="1"/>
    <row r="147" ht="14.25" hidden="1" customHeight="1"/>
    <row r="148" ht="14.25" hidden="1" customHeight="1"/>
    <row r="149" ht="14.25" hidden="1" customHeight="1"/>
    <row r="150" ht="14.25" hidden="1" customHeight="1"/>
    <row r="151" ht="14.25" hidden="1" customHeight="1"/>
    <row r="152" ht="14.25" hidden="1" customHeight="1"/>
    <row r="153" ht="14.25" hidden="1" customHeight="1"/>
    <row r="154" ht="14.25" hidden="1" customHeight="1"/>
    <row r="155" ht="14.25" hidden="1" customHeight="1"/>
    <row r="156" ht="14.25" hidden="1" customHeight="1"/>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row r="175" ht="14.25" hidden="1" customHeight="1"/>
    <row r="176" ht="14.25" hidden="1" customHeight="1"/>
    <row r="177" ht="14.25" hidden="1" customHeight="1"/>
    <row r="178" ht="14.25" hidden="1" customHeight="1"/>
    <row r="179" ht="14.25" hidden="1" customHeight="1"/>
    <row r="180" ht="14.25" hidden="1" customHeight="1"/>
    <row r="181" ht="14.25" hidden="1" customHeight="1"/>
    <row r="182" ht="14.25" hidden="1" customHeight="1"/>
    <row r="183" ht="14.25" hidden="1" customHeight="1"/>
    <row r="184" ht="14.25" hidden="1" customHeight="1"/>
    <row r="185" ht="14.25" hidden="1" customHeight="1"/>
    <row r="186" ht="14.25" hidden="1" customHeight="1"/>
    <row r="187" ht="14.25" hidden="1" customHeight="1"/>
    <row r="188" ht="14.25" hidden="1" customHeight="1"/>
    <row r="189" ht="14.25" hidden="1" customHeight="1"/>
    <row r="190" ht="14.25" hidden="1" customHeight="1"/>
    <row r="191" ht="14.25" hidden="1" customHeight="1"/>
    <row r="192" ht="14.25" hidden="1" customHeight="1"/>
    <row r="193" ht="14.25" hidden="1" customHeight="1"/>
    <row r="194" ht="14.25" hidden="1" customHeight="1"/>
    <row r="195" ht="14.25" hidden="1" customHeight="1"/>
    <row r="196" ht="14.25" hidden="1" customHeight="1"/>
    <row r="197" ht="14.25" hidden="1" customHeight="1"/>
    <row r="198" ht="14.25" hidden="1" customHeight="1"/>
    <row r="199" ht="14.25" hidden="1" customHeight="1"/>
    <row r="200" ht="14.25" hidden="1" customHeight="1"/>
    <row r="201" ht="14.25" hidden="1" customHeight="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row r="213" ht="14.25" hidden="1" customHeight="1"/>
    <row r="214" ht="14.25" hidden="1" customHeight="1"/>
    <row r="215" ht="14.25" hidden="1" customHeight="1"/>
    <row r="216" ht="14.25" hidden="1" customHeight="1"/>
    <row r="217" ht="14.25" hidden="1" customHeight="1"/>
    <row r="218" ht="14.25" hidden="1" customHeight="1"/>
    <row r="219" ht="14.25" hidden="1" customHeight="1"/>
    <row r="220" ht="14.25" hidden="1" customHeight="1"/>
    <row r="221" ht="14.25" hidden="1" customHeight="1"/>
    <row r="222" ht="14.25" hidden="1" customHeight="1"/>
    <row r="223" ht="14.25" hidden="1" customHeight="1"/>
    <row r="224" ht="14.25" hidden="1" customHeight="1"/>
    <row r="225" ht="14.25" hidden="1" customHeight="1"/>
    <row r="226" ht="14.25" hidden="1" customHeight="1"/>
    <row r="227" ht="14.25" hidden="1" customHeight="1"/>
    <row r="228" ht="14.25" hidden="1" customHeight="1"/>
    <row r="229" ht="14.25" hidden="1" customHeight="1"/>
    <row r="230" ht="14.25" hidden="1" customHeight="1"/>
    <row r="231" ht="14.25" hidden="1" customHeight="1"/>
    <row r="232" ht="14.25" hidden="1" customHeight="1"/>
    <row r="233" ht="14.25" hidden="1" customHeight="1"/>
    <row r="234" ht="14.25" hidden="1" customHeight="1"/>
    <row r="235" ht="14.25" hidden="1" customHeight="1"/>
    <row r="236" ht="14.25" hidden="1" customHeight="1"/>
    <row r="237" ht="14.25" hidden="1" customHeight="1"/>
    <row r="238" ht="14.25" hidden="1" customHeight="1"/>
    <row r="239" ht="14.25" hidden="1" customHeight="1"/>
    <row r="240" ht="14.25" hidden="1" customHeight="1"/>
    <row r="241" ht="14.25" hidden="1" customHeight="1"/>
    <row r="242" ht="14.25" hidden="1" customHeight="1"/>
    <row r="243" ht="14.25" hidden="1" customHeight="1"/>
    <row r="244" ht="14.25" hidden="1" customHeight="1"/>
    <row r="245" ht="14.25" hidden="1" customHeight="1"/>
    <row r="246" ht="14.25" hidden="1" customHeight="1"/>
    <row r="247" ht="14.25" hidden="1" customHeight="1"/>
    <row r="248" ht="14.25" hidden="1" customHeight="1"/>
    <row r="249" ht="14.25" hidden="1" customHeight="1"/>
    <row r="250" ht="14.25" hidden="1" customHeight="1"/>
    <row r="251" ht="14.25" hidden="1" customHeight="1"/>
    <row r="252" ht="14.25" hidden="1" customHeight="1"/>
    <row r="253" ht="14.25" hidden="1" customHeight="1"/>
    <row r="254" ht="14.25" hidden="1" customHeight="1"/>
    <row r="255" ht="14.25" hidden="1" customHeight="1"/>
    <row r="256" ht="14.25" hidden="1" customHeight="1"/>
    <row r="257" ht="14.25" hidden="1" customHeight="1"/>
    <row r="258" ht="14.25" hidden="1" customHeight="1"/>
    <row r="259" ht="14.25" hidden="1" customHeight="1"/>
    <row r="260" ht="14.25" hidden="1" customHeight="1"/>
    <row r="261" ht="14.25" hidden="1" customHeight="1"/>
    <row r="262" ht="14.25" hidden="1" customHeight="1"/>
    <row r="263" ht="14.25" hidden="1" customHeight="1"/>
    <row r="264" ht="14.25" hidden="1" customHeight="1"/>
    <row r="265" ht="14.25" hidden="1" customHeight="1"/>
    <row r="266" ht="14.25" hidden="1" customHeight="1"/>
    <row r="267" ht="14.25" hidden="1" customHeight="1"/>
    <row r="268" ht="14.25" hidden="1" customHeight="1"/>
    <row r="269" ht="14.25" hidden="1" customHeight="1"/>
    <row r="270" ht="14.25" hidden="1" customHeight="1"/>
    <row r="271" ht="14.25" hidden="1" customHeight="1"/>
    <row r="272" ht="14.25" hidden="1" customHeight="1"/>
    <row r="273" ht="14.25" hidden="1" customHeight="1"/>
    <row r="274" ht="14.25" hidden="1" customHeight="1"/>
    <row r="275" ht="14.25" hidden="1" customHeight="1"/>
    <row r="276" ht="14.25" hidden="1" customHeight="1"/>
    <row r="277" ht="14.25" hidden="1" customHeight="1"/>
    <row r="278" ht="14.25" hidden="1" customHeight="1"/>
    <row r="279" ht="14.25" hidden="1" customHeight="1"/>
    <row r="280" ht="14.25" hidden="1" customHeight="1"/>
    <row r="281" ht="14.25" hidden="1" customHeight="1"/>
    <row r="282" ht="14.25" hidden="1" customHeight="1"/>
    <row r="283" ht="14.25" hidden="1" customHeight="1"/>
    <row r="284" ht="14.25" hidden="1" customHeight="1"/>
    <row r="285" ht="14.25" hidden="1" customHeight="1"/>
    <row r="286" ht="14.25" hidden="1" customHeight="1"/>
    <row r="287" ht="14.25" hidden="1" customHeight="1"/>
    <row r="288" ht="14.25" hidden="1" customHeight="1"/>
    <row r="289" ht="14.25" hidden="1" customHeight="1"/>
    <row r="290" ht="14.25" hidden="1" customHeight="1"/>
    <row r="291" ht="14.25" hidden="1" customHeight="1"/>
    <row r="292" ht="14.25" hidden="1" customHeight="1"/>
    <row r="293" ht="14.25" hidden="1" customHeight="1"/>
    <row r="294" ht="14.25" hidden="1" customHeight="1"/>
    <row r="295" ht="14.25" hidden="1" customHeight="1"/>
    <row r="296" ht="14.25" hidden="1" customHeight="1"/>
    <row r="297" ht="14.25" hidden="1" customHeight="1"/>
    <row r="298" ht="14.25" hidden="1" customHeight="1"/>
    <row r="299" ht="14.25" hidden="1" customHeight="1"/>
    <row r="300" ht="14.25" hidden="1" customHeight="1"/>
    <row r="301" ht="14.25" hidden="1" customHeight="1"/>
    <row r="302" ht="14.25" hidden="1" customHeight="1"/>
    <row r="303" ht="14.25" hidden="1" customHeight="1"/>
    <row r="304" ht="14.25" hidden="1" customHeight="1"/>
    <row r="305" ht="14.25" hidden="1" customHeight="1"/>
    <row r="306" ht="14.25" hidden="1" customHeight="1"/>
    <row r="307" ht="14.25" hidden="1" customHeight="1"/>
    <row r="308" ht="14.25" hidden="1" customHeight="1"/>
    <row r="309" ht="14.25" hidden="1" customHeight="1"/>
    <row r="310" ht="14.25" hidden="1" customHeight="1"/>
    <row r="311" ht="14.25" hidden="1" customHeight="1"/>
    <row r="312" ht="14.25" hidden="1" customHeight="1"/>
    <row r="313" ht="14.25" hidden="1" customHeight="1"/>
    <row r="314" ht="14.25" hidden="1" customHeight="1"/>
    <row r="315" ht="14.25" hidden="1" customHeight="1"/>
    <row r="316" ht="14.25" hidden="1" customHeight="1"/>
    <row r="317" ht="14.25" hidden="1" customHeight="1"/>
    <row r="318" ht="14.25" hidden="1" customHeight="1"/>
    <row r="319" ht="14.25" hidden="1" customHeight="1"/>
    <row r="320" ht="14.25" hidden="1" customHeight="1"/>
    <row r="321" ht="14.25" hidden="1" customHeight="1"/>
    <row r="322" ht="14.25" hidden="1" customHeight="1"/>
    <row r="323" ht="14.25" hidden="1" customHeight="1"/>
    <row r="324" ht="14.25" hidden="1" customHeight="1"/>
    <row r="325" ht="14.25" hidden="1" customHeight="1"/>
    <row r="326" ht="14.25" hidden="1" customHeight="1"/>
    <row r="327" ht="14.25" hidden="1" customHeight="1"/>
    <row r="328" ht="14.25" hidden="1" customHeight="1"/>
    <row r="329" ht="14.25" hidden="1" customHeight="1"/>
    <row r="330" ht="14.25" hidden="1" customHeight="1"/>
    <row r="331" ht="14.25" hidden="1" customHeight="1"/>
    <row r="332" ht="14.25" hidden="1" customHeight="1"/>
    <row r="333" ht="14.25" hidden="1" customHeight="1"/>
    <row r="334" ht="14.25" hidden="1" customHeight="1"/>
    <row r="335" ht="14.25" hidden="1" customHeight="1"/>
    <row r="336" ht="14.25" hidden="1" customHeight="1"/>
    <row r="337" ht="14.25" hidden="1" customHeight="1"/>
    <row r="338" ht="14.25" hidden="1" customHeight="1"/>
    <row r="339" ht="14.25" hidden="1" customHeight="1"/>
    <row r="340" ht="14.25" hidden="1" customHeight="1"/>
    <row r="341" ht="14.25" hidden="1" customHeight="1"/>
    <row r="342" ht="14.25" hidden="1" customHeight="1"/>
    <row r="343" ht="14.25" hidden="1" customHeight="1"/>
    <row r="344" ht="14.25" hidden="1" customHeight="1"/>
    <row r="345" ht="14.25" hidden="1" customHeight="1"/>
    <row r="346" ht="14.25" hidden="1" customHeight="1"/>
    <row r="347" ht="14.25" hidden="1" customHeight="1"/>
    <row r="348" ht="14.25" hidden="1" customHeight="1"/>
    <row r="349" ht="14.25" hidden="1" customHeight="1"/>
    <row r="350" ht="14.25" hidden="1" customHeight="1"/>
    <row r="351" ht="14.25" hidden="1" customHeight="1"/>
    <row r="352" ht="14.25" hidden="1" customHeight="1"/>
    <row r="353" ht="14.25" hidden="1" customHeight="1"/>
    <row r="354" ht="14.25" hidden="1" customHeight="1"/>
    <row r="355" ht="14.25" hidden="1" customHeight="1"/>
    <row r="356" ht="14.25" hidden="1" customHeight="1"/>
    <row r="357" ht="14.25" hidden="1" customHeight="1"/>
    <row r="358" ht="14.25" hidden="1" customHeight="1"/>
    <row r="359" ht="14.25" hidden="1" customHeight="1"/>
    <row r="360" ht="14.25" hidden="1" customHeight="1"/>
    <row r="361" ht="14.25" hidden="1" customHeight="1"/>
    <row r="362" ht="14.25" hidden="1" customHeight="1"/>
    <row r="363" ht="14.25" hidden="1" customHeight="1"/>
    <row r="364" ht="14.25" hidden="1" customHeight="1"/>
    <row r="365" ht="14.25" hidden="1" customHeight="1"/>
    <row r="366" ht="14.25" hidden="1" customHeight="1"/>
    <row r="367" ht="14.25" hidden="1" customHeight="1"/>
    <row r="368" ht="14.25" hidden="1" customHeight="1"/>
    <row r="369" ht="14.25" hidden="1" customHeight="1"/>
    <row r="370" ht="14.25" hidden="1" customHeight="1"/>
    <row r="371" ht="14.25" hidden="1" customHeight="1"/>
    <row r="372" ht="14.25" hidden="1" customHeight="1"/>
    <row r="373" ht="14.25" hidden="1" customHeight="1"/>
    <row r="374" ht="14.25" hidden="1" customHeight="1"/>
    <row r="375" ht="14.25" hidden="1" customHeight="1"/>
    <row r="376" ht="14.25" hidden="1" customHeight="1"/>
    <row r="377" ht="14.25" hidden="1" customHeight="1"/>
    <row r="378" ht="14.25" hidden="1" customHeight="1"/>
    <row r="379" ht="14.25" hidden="1" customHeight="1"/>
    <row r="380" ht="14.25" hidden="1" customHeight="1"/>
    <row r="381" ht="14.25" hidden="1" customHeight="1"/>
    <row r="382" ht="14.25" hidden="1" customHeight="1"/>
    <row r="383" ht="14.25" hidden="1" customHeight="1"/>
    <row r="384" ht="14.25" hidden="1" customHeight="1"/>
    <row r="385" ht="14.25" hidden="1" customHeight="1"/>
    <row r="386" ht="14.25" hidden="1" customHeight="1"/>
    <row r="387" ht="14.25" hidden="1" customHeight="1"/>
    <row r="388" ht="14.25" hidden="1" customHeight="1"/>
    <row r="389" ht="14.25" hidden="1" customHeight="1"/>
    <row r="390" ht="14.25" hidden="1" customHeight="1"/>
    <row r="391" ht="14.25" hidden="1" customHeight="1"/>
    <row r="392" ht="14.25" hidden="1" customHeight="1"/>
    <row r="393" ht="14.25" hidden="1" customHeight="1"/>
    <row r="394" ht="14.25" hidden="1" customHeight="1"/>
    <row r="395" ht="14.25" hidden="1" customHeight="1"/>
    <row r="396" ht="14.25" hidden="1" customHeight="1"/>
    <row r="397" ht="14.25" hidden="1" customHeight="1"/>
    <row r="398" ht="14.25" hidden="1" customHeight="1"/>
    <row r="399" ht="14.25" hidden="1" customHeight="1"/>
    <row r="400" ht="14.25" hidden="1" customHeight="1"/>
    <row r="401" ht="14.25" hidden="1" customHeight="1"/>
    <row r="402" ht="14.25" hidden="1" customHeight="1"/>
    <row r="403" ht="14.25" hidden="1" customHeight="1"/>
    <row r="404" ht="14.25" hidden="1" customHeight="1"/>
    <row r="405" ht="14.25" hidden="1" customHeight="1"/>
    <row r="406" ht="14.25" hidden="1" customHeight="1"/>
    <row r="407" ht="14.25" hidden="1" customHeight="1"/>
    <row r="408" ht="14.25" hidden="1" customHeight="1"/>
    <row r="409" ht="14.25" hidden="1" customHeight="1"/>
    <row r="410" ht="14.25" hidden="1" customHeight="1"/>
    <row r="411" ht="14.25" hidden="1" customHeight="1"/>
    <row r="412" ht="14.25" hidden="1" customHeight="1"/>
    <row r="413" ht="14.25" hidden="1" customHeight="1"/>
    <row r="414" ht="14.25" hidden="1" customHeight="1"/>
    <row r="415" ht="14.25" hidden="1" customHeight="1"/>
    <row r="416" ht="14.25" hidden="1" customHeight="1"/>
    <row r="417" ht="14.25" hidden="1" customHeight="1"/>
    <row r="418" ht="14.25" hidden="1" customHeight="1"/>
    <row r="419" ht="14.25" hidden="1" customHeight="1"/>
    <row r="420" ht="14.25" hidden="1" customHeight="1"/>
    <row r="421" ht="14.25" hidden="1" customHeight="1"/>
    <row r="422" ht="14.25" hidden="1" customHeight="1"/>
    <row r="423" ht="14.25" hidden="1" customHeight="1"/>
    <row r="424" ht="14.25" hidden="1" customHeight="1"/>
    <row r="425" ht="14.25" hidden="1" customHeight="1"/>
    <row r="426" ht="14.25" hidden="1" customHeight="1"/>
    <row r="427" ht="14.25" hidden="1" customHeight="1"/>
    <row r="428" ht="14.25" hidden="1" customHeight="1"/>
    <row r="429" ht="14.25" hidden="1" customHeight="1"/>
    <row r="430" ht="14.25" hidden="1" customHeight="1"/>
    <row r="431" ht="14.25" hidden="1" customHeight="1"/>
    <row r="432" ht="14.25" hidden="1" customHeight="1"/>
    <row r="433" ht="14.25" hidden="1" customHeight="1"/>
    <row r="434" ht="14.25" hidden="1" customHeight="1"/>
    <row r="435" ht="14.25" hidden="1" customHeight="1"/>
    <row r="436" ht="14.25" hidden="1" customHeight="1"/>
    <row r="437" ht="14.25" hidden="1" customHeight="1"/>
    <row r="438" ht="14.25" hidden="1" customHeight="1"/>
    <row r="439" ht="14.25" hidden="1" customHeight="1"/>
    <row r="440" ht="14.25" hidden="1" customHeight="1"/>
    <row r="441" ht="14.25" hidden="1" customHeight="1"/>
    <row r="442" ht="14.25" hidden="1" customHeight="1"/>
    <row r="443" ht="14.25" hidden="1" customHeight="1"/>
    <row r="444" ht="14.25" hidden="1" customHeight="1"/>
    <row r="445" ht="14.25" hidden="1" customHeight="1"/>
    <row r="446" ht="14.25" hidden="1" customHeight="1"/>
    <row r="447" ht="14.25" hidden="1" customHeight="1"/>
    <row r="448" ht="14.25" hidden="1" customHeight="1"/>
    <row r="449" ht="14.25" hidden="1" customHeight="1"/>
    <row r="450" ht="14.25" hidden="1" customHeight="1"/>
    <row r="451" ht="14.25" hidden="1" customHeight="1"/>
    <row r="452" ht="14.25" hidden="1" customHeight="1"/>
    <row r="453" ht="14.25" hidden="1" customHeight="1"/>
    <row r="454" ht="14.25" hidden="1" customHeight="1"/>
    <row r="455" ht="14.25" hidden="1" customHeight="1"/>
    <row r="456" ht="14.25" hidden="1" customHeight="1"/>
    <row r="457" ht="14.25" hidden="1" customHeight="1"/>
    <row r="458" ht="14.25" hidden="1" customHeight="1"/>
    <row r="459" ht="14.25" hidden="1" customHeight="1"/>
    <row r="460" ht="14.25" hidden="1" customHeight="1"/>
    <row r="461" ht="14.25" hidden="1" customHeight="1"/>
    <row r="462" ht="14.25" hidden="1" customHeight="1"/>
    <row r="463" ht="14.25" hidden="1" customHeight="1"/>
    <row r="464" ht="14.25" hidden="1" customHeight="1"/>
    <row r="465" ht="14.25" hidden="1" customHeight="1"/>
    <row r="466" ht="14.25" hidden="1" customHeight="1"/>
    <row r="467" ht="14.25" hidden="1" customHeight="1"/>
    <row r="468" ht="14.25" hidden="1" customHeight="1"/>
    <row r="469" ht="14.25" hidden="1" customHeight="1"/>
    <row r="470" ht="14.25" hidden="1" customHeight="1"/>
    <row r="471" ht="14.25" hidden="1" customHeight="1"/>
    <row r="472" ht="14.25" hidden="1" customHeight="1"/>
    <row r="473" ht="14.25" hidden="1" customHeight="1"/>
    <row r="474" ht="14.25" hidden="1" customHeight="1"/>
    <row r="475" ht="14.25" hidden="1" customHeight="1"/>
    <row r="476" ht="14.25" hidden="1" customHeight="1"/>
    <row r="477" ht="14.25" hidden="1" customHeight="1"/>
    <row r="478" ht="14.25" hidden="1" customHeight="1"/>
    <row r="479" ht="14.25" hidden="1" customHeight="1"/>
    <row r="480" ht="14.25" hidden="1" customHeight="1"/>
    <row r="481" ht="14.25" hidden="1" customHeight="1"/>
    <row r="482" ht="14.25" hidden="1" customHeight="1"/>
    <row r="483" ht="14.25" hidden="1" customHeight="1"/>
    <row r="484" ht="14.25" hidden="1" customHeight="1"/>
    <row r="485" ht="14.25" hidden="1" customHeight="1"/>
    <row r="486" ht="14.25" hidden="1" customHeight="1"/>
    <row r="487" ht="14.25" hidden="1" customHeight="1"/>
    <row r="488" ht="14.25" hidden="1" customHeight="1"/>
    <row r="489" ht="14.25" hidden="1" customHeight="1"/>
    <row r="490" ht="14.25" hidden="1" customHeight="1"/>
    <row r="491" ht="14.25" hidden="1" customHeight="1"/>
    <row r="492" ht="14.25" hidden="1" customHeight="1"/>
    <row r="493" ht="14.25" hidden="1" customHeight="1"/>
    <row r="494" ht="14.25" hidden="1" customHeight="1"/>
    <row r="495" ht="14.25" hidden="1" customHeight="1"/>
    <row r="496" ht="14.25" hidden="1" customHeight="1"/>
    <row r="497" ht="14.25" hidden="1" customHeight="1"/>
    <row r="498" ht="14.25" hidden="1" customHeight="1"/>
    <row r="499" ht="14.25" hidden="1" customHeight="1"/>
    <row r="500" ht="14.25" hidden="1" customHeight="1"/>
    <row r="501" ht="14.25" hidden="1" customHeight="1"/>
    <row r="502" ht="14.25" hidden="1" customHeight="1"/>
    <row r="503" ht="14.25" hidden="1" customHeight="1"/>
    <row r="504" ht="14.25" hidden="1" customHeight="1"/>
    <row r="505" ht="14.25" hidden="1" customHeight="1"/>
    <row r="506" ht="14.25" hidden="1" customHeight="1"/>
    <row r="507" ht="14.25" hidden="1" customHeight="1"/>
    <row r="508" ht="14.25" hidden="1" customHeight="1"/>
    <row r="509" ht="14.25" hidden="1" customHeight="1"/>
    <row r="510" ht="14.25" hidden="1" customHeight="1"/>
    <row r="511" ht="14.25" hidden="1" customHeight="1"/>
    <row r="512" ht="14.25" hidden="1" customHeight="1"/>
    <row r="513" ht="14.25" hidden="1" customHeight="1"/>
    <row r="514" ht="14.25" hidden="1" customHeight="1"/>
    <row r="515" ht="14.25" hidden="1" customHeight="1"/>
    <row r="516" ht="14.25" hidden="1" customHeight="1"/>
    <row r="517" ht="14.25" hidden="1" customHeight="1"/>
    <row r="518" ht="14.25" hidden="1" customHeight="1"/>
    <row r="519" ht="14.25" hidden="1" customHeight="1"/>
    <row r="520" ht="14.25" hidden="1" customHeight="1"/>
    <row r="521" ht="14.25" hidden="1" customHeight="1"/>
    <row r="522" ht="14.25" hidden="1" customHeight="1"/>
    <row r="523" ht="14.25" hidden="1" customHeight="1"/>
    <row r="524" ht="14.25" hidden="1" customHeight="1"/>
    <row r="525" ht="14.25" hidden="1" customHeight="1"/>
    <row r="526" ht="14.25" hidden="1" customHeight="1"/>
    <row r="527" ht="14.25" hidden="1" customHeight="1"/>
    <row r="528" ht="14.25" hidden="1" customHeight="1"/>
    <row r="529" ht="14.25" hidden="1" customHeight="1"/>
    <row r="530" ht="14.25" hidden="1" customHeight="1"/>
    <row r="531" ht="14.25" hidden="1" customHeight="1"/>
    <row r="532" ht="14.25" hidden="1" customHeight="1"/>
    <row r="533" ht="14.25" hidden="1" customHeight="1"/>
    <row r="534" ht="14.25" hidden="1" customHeight="1"/>
    <row r="535" ht="14.25" hidden="1" customHeight="1"/>
    <row r="536" ht="14.25" hidden="1" customHeight="1"/>
    <row r="537" ht="14.25" hidden="1" customHeight="1"/>
    <row r="538" ht="14.25" hidden="1" customHeight="1"/>
    <row r="539" ht="14.25" hidden="1" customHeight="1"/>
    <row r="540" ht="14.25" hidden="1" customHeight="1"/>
    <row r="541" ht="14.25" hidden="1" customHeight="1"/>
    <row r="542" ht="14.25" hidden="1" customHeight="1"/>
    <row r="543" ht="14.25" hidden="1" customHeight="1"/>
    <row r="544" ht="14.25" hidden="1" customHeight="1"/>
    <row r="545" ht="14.25" hidden="1" customHeight="1"/>
    <row r="546" ht="14.25" hidden="1" customHeight="1"/>
    <row r="547" ht="14.25" hidden="1" customHeight="1"/>
    <row r="548" ht="14.25" hidden="1" customHeight="1"/>
    <row r="549" ht="14.25" hidden="1" customHeight="1"/>
    <row r="550" ht="14.25" hidden="1" customHeight="1"/>
    <row r="551" ht="14.25" hidden="1" customHeight="1"/>
    <row r="552" ht="14.25" hidden="1" customHeight="1"/>
    <row r="553" ht="14.25" hidden="1" customHeight="1"/>
    <row r="554" ht="14.25" hidden="1" customHeight="1"/>
    <row r="555" ht="14.25" hidden="1" customHeight="1"/>
    <row r="556" ht="14.25" hidden="1" customHeight="1"/>
    <row r="557" ht="14.25" hidden="1" customHeight="1"/>
    <row r="558" ht="14.25" hidden="1" customHeight="1"/>
    <row r="559" ht="14.25" hidden="1" customHeight="1"/>
    <row r="560" ht="14.25" hidden="1" customHeight="1"/>
    <row r="561" ht="14.25" hidden="1" customHeight="1"/>
    <row r="562" ht="14.25" hidden="1" customHeight="1"/>
    <row r="563" ht="14.25" hidden="1" customHeight="1"/>
    <row r="564" ht="14.25" hidden="1" customHeight="1"/>
    <row r="565" ht="14.25" hidden="1" customHeight="1"/>
    <row r="566" ht="14.25" hidden="1" customHeight="1"/>
    <row r="567" ht="14.25" hidden="1" customHeight="1"/>
    <row r="568" ht="14.25" hidden="1" customHeight="1"/>
    <row r="569" ht="14.25" hidden="1" customHeight="1"/>
    <row r="570" ht="14.25" hidden="1" customHeight="1"/>
    <row r="571" ht="14.25" hidden="1" customHeight="1"/>
    <row r="572" ht="14.25" hidden="1" customHeight="1"/>
    <row r="573" ht="14.25" hidden="1" customHeight="1"/>
    <row r="574" ht="14.25" hidden="1" customHeight="1"/>
    <row r="575" ht="14.25" hidden="1" customHeight="1"/>
    <row r="576" ht="14.25" hidden="1" customHeight="1"/>
    <row r="577" ht="14.25" hidden="1" customHeight="1"/>
    <row r="578" ht="14.25" hidden="1" customHeight="1"/>
    <row r="579" ht="14.25" hidden="1" customHeight="1"/>
    <row r="580" ht="14.25" hidden="1" customHeight="1"/>
    <row r="581" ht="14.25" hidden="1" customHeight="1"/>
    <row r="582" ht="14.25" hidden="1" customHeight="1"/>
    <row r="583" ht="14.25" hidden="1" customHeight="1"/>
    <row r="584" ht="14.25" hidden="1" customHeight="1"/>
    <row r="585" ht="14.25" hidden="1" customHeight="1"/>
    <row r="586" ht="14.25" hidden="1" customHeight="1"/>
    <row r="587" ht="14.25" hidden="1" customHeight="1"/>
    <row r="588" ht="14.25" hidden="1" customHeight="1"/>
    <row r="589" ht="14.25" hidden="1" customHeight="1"/>
    <row r="590" ht="14.25" hidden="1" customHeight="1"/>
    <row r="591" ht="14.25" hidden="1" customHeight="1"/>
    <row r="592" ht="14.25" hidden="1" customHeight="1"/>
    <row r="593" ht="14.25" hidden="1" customHeight="1"/>
    <row r="594" ht="14.25" hidden="1" customHeight="1"/>
    <row r="595" ht="14.25" hidden="1" customHeight="1"/>
    <row r="596" ht="14.25" hidden="1" customHeight="1"/>
    <row r="597" ht="14.25" hidden="1" customHeight="1"/>
    <row r="598" ht="14.25" hidden="1" customHeight="1"/>
    <row r="599" ht="14.25" hidden="1" customHeight="1"/>
    <row r="600" ht="14.25" hidden="1" customHeight="1"/>
    <row r="601" ht="14.25" hidden="1" customHeight="1"/>
    <row r="602" ht="14.25" hidden="1" customHeight="1"/>
    <row r="603" ht="14.25" hidden="1" customHeight="1"/>
    <row r="604" ht="14.25" hidden="1" customHeight="1"/>
    <row r="605" ht="14.25" hidden="1" customHeight="1"/>
    <row r="606" ht="14.25" hidden="1" customHeight="1"/>
    <row r="607" ht="14.25" hidden="1" customHeight="1"/>
    <row r="608" ht="14.25" hidden="1" customHeight="1"/>
    <row r="609" ht="14.25" hidden="1" customHeight="1"/>
    <row r="610" ht="14.25" hidden="1" customHeight="1"/>
    <row r="611" ht="14.25" hidden="1" customHeight="1"/>
    <row r="612" ht="14.25" hidden="1" customHeight="1"/>
    <row r="613" ht="14.25" hidden="1" customHeight="1"/>
    <row r="614" ht="14.25" hidden="1" customHeight="1"/>
    <row r="615" ht="14.25" hidden="1" customHeight="1"/>
    <row r="616" ht="14.25" hidden="1" customHeight="1"/>
    <row r="617" ht="14.25" hidden="1" customHeight="1"/>
    <row r="618" ht="14.25" hidden="1" customHeight="1"/>
    <row r="619" ht="14.25" hidden="1" customHeight="1"/>
    <row r="620" ht="14.25" hidden="1" customHeight="1"/>
    <row r="621" ht="14.25" hidden="1" customHeight="1"/>
    <row r="622" ht="14.25" hidden="1" customHeight="1"/>
    <row r="623" ht="14.25" hidden="1" customHeight="1"/>
    <row r="624" ht="14.25" hidden="1" customHeight="1"/>
    <row r="625" ht="14.25" hidden="1" customHeight="1"/>
    <row r="626" ht="14.25" hidden="1" customHeight="1"/>
    <row r="627" ht="14.25" hidden="1" customHeight="1"/>
    <row r="628" ht="14.25" hidden="1" customHeight="1"/>
    <row r="629" ht="14.25" hidden="1" customHeight="1"/>
    <row r="630" ht="14.25" hidden="1" customHeight="1"/>
    <row r="631" ht="14.25" hidden="1" customHeight="1"/>
    <row r="632" ht="14.25" hidden="1" customHeight="1"/>
    <row r="633" ht="14.25" hidden="1" customHeight="1"/>
    <row r="634" ht="14.25" hidden="1" customHeight="1"/>
    <row r="635" ht="14.25" hidden="1" customHeight="1"/>
    <row r="636" ht="14.25" hidden="1" customHeight="1"/>
    <row r="637" ht="14.25" hidden="1" customHeight="1"/>
    <row r="638" ht="14.25" hidden="1" customHeight="1"/>
    <row r="639" ht="14.25" hidden="1" customHeight="1"/>
    <row r="640" ht="14.25" hidden="1" customHeight="1"/>
    <row r="641" ht="14.25" hidden="1" customHeight="1"/>
    <row r="642" ht="14.25" hidden="1" customHeight="1"/>
    <row r="643" ht="14.25" hidden="1" customHeight="1"/>
    <row r="644" ht="14.25" hidden="1" customHeight="1"/>
    <row r="645" ht="14.25" hidden="1" customHeight="1"/>
    <row r="646" ht="14.25" hidden="1" customHeight="1"/>
    <row r="647" ht="14.25" hidden="1" customHeight="1"/>
    <row r="648" ht="14.25" hidden="1" customHeight="1"/>
    <row r="649" ht="14.25" hidden="1" customHeight="1"/>
    <row r="650" ht="14.25" hidden="1" customHeight="1"/>
    <row r="651" ht="14.25" hidden="1" customHeight="1"/>
    <row r="652" ht="14.25" hidden="1" customHeight="1"/>
    <row r="653" ht="14.25" hidden="1" customHeight="1"/>
    <row r="654" ht="14.25" hidden="1" customHeight="1"/>
    <row r="655" ht="14.25" hidden="1" customHeight="1"/>
    <row r="656" ht="14.25" hidden="1" customHeight="1"/>
    <row r="657" ht="14.25" hidden="1" customHeight="1"/>
    <row r="658" ht="14.25" hidden="1" customHeight="1"/>
    <row r="659" ht="14.25" hidden="1" customHeight="1"/>
    <row r="660" ht="14.25" hidden="1" customHeight="1"/>
    <row r="661" ht="14.25" hidden="1" customHeight="1"/>
    <row r="662" ht="14.25" hidden="1" customHeight="1"/>
    <row r="663" ht="14.25" hidden="1" customHeight="1"/>
    <row r="664" ht="14.25" hidden="1" customHeight="1"/>
    <row r="665" ht="14.25" hidden="1" customHeight="1"/>
    <row r="666" ht="14.25" hidden="1" customHeight="1"/>
    <row r="667" ht="14.25" hidden="1" customHeight="1"/>
    <row r="668" ht="14.25" hidden="1" customHeight="1"/>
    <row r="669" ht="14.25" hidden="1" customHeight="1"/>
    <row r="670" ht="14.25" hidden="1" customHeight="1"/>
    <row r="671" ht="14.25" hidden="1" customHeight="1"/>
    <row r="672" ht="14.25" hidden="1" customHeight="1"/>
    <row r="673" ht="14.25" hidden="1" customHeight="1"/>
    <row r="674" ht="14.25" hidden="1" customHeight="1"/>
    <row r="675" ht="14.25" hidden="1" customHeight="1"/>
    <row r="676" ht="14.25" hidden="1" customHeight="1"/>
    <row r="677" ht="14.25" hidden="1" customHeight="1"/>
    <row r="678" ht="14.25" hidden="1" customHeight="1"/>
    <row r="679" ht="14.25" hidden="1" customHeight="1"/>
    <row r="680" ht="14.25" hidden="1" customHeight="1"/>
    <row r="681" ht="14.25" hidden="1" customHeight="1"/>
    <row r="682" ht="14.25" hidden="1" customHeight="1"/>
    <row r="683" ht="14.25" hidden="1" customHeight="1"/>
    <row r="684" ht="14.25" hidden="1" customHeight="1"/>
    <row r="685" ht="14.25" hidden="1" customHeight="1"/>
    <row r="686" ht="14.25" hidden="1" customHeight="1"/>
    <row r="687" ht="14.25" hidden="1" customHeight="1"/>
    <row r="688" ht="14.25" hidden="1" customHeight="1"/>
    <row r="689" ht="14.25" hidden="1" customHeight="1"/>
    <row r="690" ht="14.25" hidden="1" customHeight="1"/>
    <row r="691" ht="14.25" hidden="1" customHeight="1"/>
    <row r="692" ht="14.25" hidden="1" customHeight="1"/>
    <row r="693" ht="14.25" hidden="1" customHeight="1"/>
    <row r="694" ht="14.25" hidden="1" customHeight="1"/>
    <row r="695" ht="14.25" hidden="1" customHeight="1"/>
    <row r="696" ht="14.25" hidden="1" customHeight="1"/>
    <row r="697" ht="14.25" hidden="1" customHeight="1"/>
    <row r="698" ht="14.25" hidden="1" customHeight="1"/>
    <row r="699" ht="14.25" hidden="1" customHeight="1"/>
    <row r="700" ht="14.25" hidden="1" customHeight="1"/>
    <row r="701" ht="14.25" hidden="1" customHeight="1"/>
    <row r="702" ht="14.25" hidden="1" customHeight="1"/>
    <row r="703" ht="14.25" hidden="1" customHeight="1"/>
    <row r="704" ht="14.25" hidden="1" customHeight="1"/>
    <row r="705" ht="14.25" hidden="1" customHeight="1"/>
    <row r="706" ht="14.25" hidden="1" customHeight="1"/>
    <row r="707" ht="14.25" hidden="1" customHeight="1"/>
    <row r="708" ht="14.25" hidden="1" customHeight="1"/>
    <row r="709" ht="14.25" hidden="1" customHeight="1"/>
    <row r="710" ht="14.25" hidden="1" customHeight="1"/>
    <row r="711" ht="14.25" hidden="1" customHeight="1"/>
    <row r="712" ht="14.25" hidden="1" customHeight="1"/>
    <row r="713" ht="14.25" hidden="1" customHeight="1"/>
    <row r="714" ht="14.25" hidden="1" customHeight="1"/>
    <row r="715" ht="14.25" hidden="1" customHeight="1"/>
    <row r="716" ht="14.25" hidden="1" customHeight="1"/>
    <row r="717" ht="14.25" hidden="1" customHeight="1"/>
    <row r="718" ht="14.25" hidden="1" customHeight="1"/>
    <row r="719" ht="14.25" hidden="1" customHeight="1"/>
    <row r="720" ht="14.25" hidden="1" customHeight="1"/>
    <row r="721" ht="14.25" hidden="1" customHeight="1"/>
    <row r="722" ht="14.25" hidden="1" customHeight="1"/>
    <row r="723" ht="14.25" hidden="1" customHeight="1"/>
    <row r="724" ht="14.25" hidden="1" customHeight="1"/>
    <row r="725" ht="14.25" hidden="1" customHeight="1"/>
    <row r="726" ht="14.25" hidden="1" customHeight="1"/>
    <row r="727" ht="14.25" hidden="1" customHeight="1"/>
    <row r="728" ht="14.25" hidden="1" customHeight="1"/>
    <row r="729" ht="14.25" hidden="1" customHeight="1"/>
    <row r="730" ht="14.25" hidden="1" customHeight="1"/>
    <row r="731" ht="14.25" hidden="1" customHeight="1"/>
    <row r="732" ht="14.25" hidden="1" customHeight="1"/>
    <row r="733" ht="14.25" hidden="1" customHeight="1"/>
    <row r="734" ht="14.25" hidden="1" customHeight="1"/>
    <row r="735" ht="14.25" hidden="1" customHeight="1"/>
    <row r="736" ht="14.25" hidden="1" customHeight="1"/>
    <row r="737" ht="14.25" hidden="1" customHeight="1"/>
    <row r="738" ht="14.25" hidden="1" customHeight="1"/>
    <row r="739" ht="14.25" hidden="1" customHeight="1"/>
    <row r="740" ht="14.25" hidden="1" customHeight="1"/>
    <row r="741" ht="14.25" hidden="1" customHeight="1"/>
    <row r="742" ht="14.25" hidden="1" customHeight="1"/>
    <row r="743" ht="14.25" hidden="1" customHeight="1"/>
    <row r="744" ht="14.25" hidden="1" customHeight="1"/>
    <row r="745" ht="14.25" hidden="1" customHeight="1"/>
    <row r="746" ht="14.25" hidden="1" customHeight="1"/>
    <row r="747" ht="14.25" hidden="1" customHeight="1"/>
    <row r="748" ht="14.25" hidden="1" customHeight="1"/>
    <row r="749" ht="14.25" hidden="1" customHeight="1"/>
    <row r="750" ht="14.25" hidden="1" customHeight="1"/>
    <row r="751" ht="14.25" hidden="1" customHeight="1"/>
    <row r="752" ht="14.25" hidden="1" customHeight="1"/>
    <row r="753" ht="14.25" hidden="1" customHeight="1"/>
    <row r="754" ht="14.25" hidden="1" customHeight="1"/>
    <row r="755" ht="14.25" hidden="1" customHeight="1"/>
    <row r="756" ht="14.25" hidden="1" customHeight="1"/>
    <row r="757" ht="14.25" hidden="1" customHeight="1"/>
    <row r="758" ht="14.25" hidden="1" customHeight="1"/>
    <row r="759" ht="14.25" hidden="1" customHeight="1"/>
    <row r="760" ht="14.25" hidden="1" customHeight="1"/>
    <row r="761" ht="14.25" hidden="1" customHeight="1"/>
    <row r="762" ht="14.25" hidden="1" customHeight="1"/>
    <row r="763" ht="14.25" hidden="1" customHeight="1"/>
    <row r="764" ht="14.25" hidden="1" customHeight="1"/>
    <row r="765" ht="14.25" hidden="1" customHeight="1"/>
    <row r="766" ht="14.25" hidden="1" customHeight="1"/>
    <row r="767" ht="14.25" hidden="1" customHeight="1"/>
    <row r="768" ht="14.25" hidden="1" customHeight="1"/>
    <row r="769" ht="14.25" hidden="1" customHeight="1"/>
    <row r="770" ht="14.25" hidden="1" customHeight="1"/>
    <row r="771" ht="14.25" hidden="1" customHeight="1"/>
    <row r="772" ht="14.25" hidden="1" customHeight="1"/>
    <row r="773" ht="14.25" hidden="1" customHeight="1"/>
    <row r="774" ht="14.25" hidden="1" customHeight="1"/>
    <row r="775" ht="14.25" hidden="1" customHeight="1"/>
    <row r="776" ht="14.25" hidden="1" customHeight="1"/>
    <row r="777" ht="14.25" hidden="1" customHeight="1"/>
    <row r="778" ht="14.25" hidden="1" customHeight="1"/>
    <row r="779" ht="14.25" hidden="1" customHeight="1"/>
    <row r="780" ht="14.25" hidden="1" customHeight="1"/>
    <row r="781" ht="14.25" hidden="1" customHeight="1"/>
    <row r="782" ht="14.25" hidden="1" customHeight="1"/>
    <row r="783" ht="14.25" hidden="1" customHeight="1"/>
    <row r="784" ht="14.25" hidden="1" customHeight="1"/>
    <row r="785" ht="14.25" hidden="1" customHeight="1"/>
    <row r="786" ht="14.25" hidden="1" customHeight="1"/>
    <row r="787" ht="14.25" hidden="1" customHeight="1"/>
    <row r="788" ht="14.25" hidden="1" customHeight="1"/>
    <row r="789" ht="14.25" hidden="1" customHeight="1"/>
    <row r="790" ht="14.25" hidden="1" customHeight="1"/>
    <row r="791" ht="14.25" hidden="1" customHeight="1"/>
    <row r="792" ht="14.25" hidden="1" customHeight="1"/>
    <row r="793" ht="14.25" hidden="1" customHeight="1"/>
    <row r="794" ht="14.25" hidden="1" customHeight="1"/>
    <row r="795" ht="14.25" hidden="1" customHeight="1"/>
    <row r="796" ht="14.25" hidden="1" customHeight="1"/>
    <row r="797" ht="14.25" hidden="1" customHeight="1"/>
    <row r="798" ht="14.25" hidden="1" customHeight="1"/>
    <row r="799" ht="14.25" hidden="1" customHeight="1"/>
    <row r="800" ht="14.25" hidden="1" customHeight="1"/>
    <row r="801" ht="14.25" hidden="1" customHeight="1"/>
    <row r="802" ht="14.25" hidden="1" customHeight="1"/>
    <row r="803" ht="14.25" hidden="1" customHeight="1"/>
    <row r="804" ht="14.25" hidden="1" customHeight="1"/>
    <row r="805" ht="14.25" hidden="1" customHeight="1"/>
    <row r="806" ht="14.25" hidden="1" customHeight="1"/>
    <row r="807" ht="14.25" hidden="1" customHeight="1"/>
    <row r="808" ht="14.25" hidden="1" customHeight="1"/>
    <row r="809" ht="14.25" hidden="1" customHeight="1"/>
    <row r="810" ht="14.25" hidden="1" customHeight="1"/>
    <row r="811" ht="14.25" hidden="1" customHeight="1"/>
    <row r="812" ht="14.25" hidden="1" customHeight="1"/>
    <row r="813" ht="14.25" hidden="1" customHeight="1"/>
    <row r="814" ht="14.25" hidden="1" customHeight="1"/>
    <row r="815" ht="14.25" hidden="1" customHeight="1"/>
    <row r="816" ht="14.25" hidden="1" customHeight="1"/>
    <row r="817" ht="14.25" hidden="1" customHeight="1"/>
    <row r="818" ht="14.25" hidden="1" customHeight="1"/>
    <row r="819" ht="14.25" hidden="1" customHeight="1"/>
    <row r="820" ht="14.25" hidden="1" customHeight="1"/>
    <row r="821" ht="14.25" hidden="1" customHeight="1"/>
    <row r="822" ht="14.25" hidden="1" customHeight="1"/>
    <row r="823" ht="14.25" hidden="1" customHeight="1"/>
    <row r="824" ht="14.25" hidden="1" customHeight="1"/>
    <row r="825" ht="14.25" hidden="1" customHeight="1"/>
    <row r="826" ht="14.25" hidden="1" customHeight="1"/>
    <row r="827" ht="14.25" hidden="1" customHeight="1"/>
    <row r="828" ht="14.25" hidden="1" customHeight="1"/>
    <row r="829" ht="14.25" hidden="1" customHeight="1"/>
    <row r="830" ht="14.25" hidden="1" customHeight="1"/>
    <row r="831" ht="14.25" hidden="1" customHeight="1"/>
    <row r="832" ht="14.25" hidden="1" customHeight="1"/>
    <row r="833" ht="14.25" hidden="1" customHeight="1"/>
    <row r="834" ht="14.25" hidden="1" customHeight="1"/>
    <row r="835" ht="14.25" hidden="1" customHeight="1"/>
    <row r="836" ht="14.25" hidden="1" customHeight="1"/>
    <row r="837" ht="14.25" hidden="1" customHeight="1"/>
    <row r="838" ht="14.25" hidden="1" customHeight="1"/>
    <row r="839" ht="14.25" hidden="1" customHeight="1"/>
    <row r="840" ht="14.25" hidden="1" customHeight="1"/>
    <row r="841" ht="14.25" hidden="1" customHeight="1"/>
    <row r="842" ht="14.25" hidden="1" customHeight="1"/>
    <row r="843" ht="14.25" hidden="1" customHeight="1"/>
    <row r="844" ht="14.25" hidden="1" customHeight="1"/>
    <row r="845" ht="14.25" hidden="1" customHeight="1"/>
    <row r="846" ht="14.25" hidden="1" customHeight="1"/>
  </sheetData>
  <sheetProtection algorithmName="SHA-512" hashValue="biiamSGFeTsjsHPqzCLyPdT9h4ZdOA3Fzmv4oMfKkfYYmDm4w2qmvOc3i740poKljKtCCqTSGTabdu/d7lKUNA==" saltValue="ctz2YMthHNqaz35Je9I9YA==" spinCount="100000" sheet="1" objects="1" scenarios="1"/>
  <mergeCells count="4">
    <mergeCell ref="E11:H11"/>
    <mergeCell ref="E12:H12"/>
    <mergeCell ref="E13:H13"/>
    <mergeCell ref="E14:H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5">
    <pageSetUpPr fitToPage="1"/>
  </sheetPr>
  <dimension ref="A1:W138"/>
  <sheetViews>
    <sheetView showGridLines="0" showZeros="0" zoomScaleNormal="100" workbookViewId="0">
      <selection activeCell="B15" sqref="B15"/>
    </sheetView>
  </sheetViews>
  <sheetFormatPr defaultColWidth="0" defaultRowHeight="0" customHeight="1" zeroHeight="1"/>
  <cols>
    <col min="1" max="1" width="3.7109375" style="2" customWidth="1"/>
    <col min="2" max="2" width="42.5703125" style="2" customWidth="1"/>
    <col min="3" max="3" width="6.28515625" style="2" bestFit="1" customWidth="1"/>
    <col min="4" max="4" width="18.85546875" style="2" customWidth="1"/>
    <col min="5" max="5" width="13.140625" style="102" customWidth="1"/>
    <col min="6" max="6" width="18.85546875" style="102" customWidth="1"/>
    <col min="7" max="7" width="2.7109375" style="102" customWidth="1"/>
    <col min="8" max="9" width="12.7109375" style="102" customWidth="1"/>
    <col min="10" max="10" width="2.7109375" style="102" customWidth="1"/>
    <col min="11" max="11" width="12.7109375" style="102" customWidth="1"/>
    <col min="12" max="12" width="2.7109375" style="102" customWidth="1"/>
    <col min="13" max="13" width="20.7109375" style="2" customWidth="1"/>
    <col min="14" max="14" width="3.7109375" style="2" customWidth="1"/>
    <col min="15" max="16" width="2.7109375" style="2" hidden="1" customWidth="1"/>
    <col min="17" max="23" width="10.7109375" style="2" hidden="1" customWidth="1"/>
    <col min="24" max="16384" width="0" style="2" hidden="1"/>
  </cols>
  <sheetData>
    <row r="1" spans="1:13" s="111" customFormat="1" ht="15" customHeight="1">
      <c r="A1" s="3"/>
      <c r="B1" s="3"/>
      <c r="C1" s="3"/>
      <c r="D1" s="3"/>
      <c r="E1" s="3"/>
      <c r="F1" s="3"/>
      <c r="G1" s="3"/>
      <c r="H1" s="3"/>
      <c r="I1" s="3"/>
      <c r="J1" s="3"/>
      <c r="K1" s="3"/>
      <c r="L1" s="3"/>
      <c r="M1" s="3"/>
    </row>
    <row r="2" spans="1:13" s="113" customFormat="1" ht="22.5">
      <c r="A2" s="5"/>
      <c r="B2" s="6" t="str">
        <f>+'0. Samenvatting'!B2</f>
        <v>Europese aanbesteding</v>
      </c>
      <c r="C2" s="6"/>
      <c r="D2" s="6"/>
      <c r="E2" s="7"/>
      <c r="F2" s="7"/>
      <c r="G2" s="7"/>
      <c r="H2" s="8"/>
      <c r="I2" s="6"/>
      <c r="J2" s="6"/>
      <c r="K2" s="6"/>
      <c r="L2" s="6"/>
      <c r="M2" s="6"/>
    </row>
    <row r="3" spans="1:13" s="111" customFormat="1" ht="18">
      <c r="A3" s="3"/>
      <c r="B3" s="9" t="str">
        <f>+'0. Samenvatting'!B3</f>
        <v>Process Mining</v>
      </c>
      <c r="C3" s="9"/>
      <c r="D3" s="10"/>
      <c r="E3" s="10"/>
      <c r="F3" s="10"/>
      <c r="G3" s="10"/>
      <c r="H3" s="11"/>
      <c r="I3" s="10"/>
      <c r="J3" s="10"/>
      <c r="K3" s="10"/>
      <c r="L3" s="10"/>
      <c r="M3" s="10"/>
    </row>
    <row r="4" spans="1:13" s="111" customFormat="1" ht="19.5">
      <c r="A4" s="3"/>
      <c r="B4" s="12" t="s">
        <v>100</v>
      </c>
      <c r="C4" s="12"/>
      <c r="D4" s="10"/>
      <c r="E4" s="10"/>
      <c r="F4" s="10"/>
      <c r="G4" s="10"/>
      <c r="H4" s="11"/>
      <c r="I4" s="10"/>
      <c r="J4" s="10"/>
      <c r="K4" s="10"/>
      <c r="L4" s="10"/>
      <c r="M4" s="10"/>
    </row>
    <row r="5" spans="1:13" s="111" customFormat="1" ht="12.75">
      <c r="A5" s="3"/>
      <c r="B5" s="1" t="str">
        <f>+'0. Samenvatting'!B5</f>
        <v>IUC23-033</v>
      </c>
      <c r="C5" s="1"/>
      <c r="D5" s="10"/>
      <c r="E5" s="10"/>
      <c r="F5" s="10"/>
      <c r="G5" s="10"/>
      <c r="H5" s="11"/>
      <c r="I5" s="10"/>
      <c r="J5" s="10"/>
      <c r="K5" s="10"/>
      <c r="L5" s="10"/>
      <c r="M5" s="10"/>
    </row>
    <row r="6" spans="1:13" s="111" customFormat="1" ht="12.75">
      <c r="A6" s="3"/>
      <c r="B6" s="118" t="str">
        <f>+'0. Samenvatting'!B6</f>
        <v>(prijzen exclusief BTW)</v>
      </c>
      <c r="C6" s="112"/>
      <c r="D6" s="10"/>
      <c r="E6" s="10"/>
      <c r="F6" s="10"/>
      <c r="G6" s="10"/>
      <c r="H6" s="11"/>
      <c r="I6" s="10"/>
      <c r="J6" s="10"/>
      <c r="K6" s="10"/>
      <c r="L6" s="10"/>
      <c r="M6" s="10"/>
    </row>
    <row r="7" spans="1:13" s="111" customFormat="1" ht="12.75">
      <c r="A7" s="3"/>
      <c r="B7" s="4"/>
      <c r="C7" s="4"/>
      <c r="D7" s="13"/>
      <c r="E7" s="14"/>
      <c r="F7" s="14"/>
      <c r="G7" s="14"/>
      <c r="H7" s="14"/>
      <c r="I7" s="11"/>
      <c r="J7" s="11"/>
      <c r="K7" s="11"/>
      <c r="L7" s="11"/>
      <c r="M7" s="14"/>
    </row>
    <row r="8" spans="1:13" ht="13.5" thickBot="1">
      <c r="B8" s="15"/>
      <c r="C8" s="15"/>
      <c r="D8" s="15"/>
      <c r="E8" s="16"/>
      <c r="F8" s="16"/>
      <c r="G8" s="16"/>
      <c r="H8" s="16"/>
      <c r="I8" s="17"/>
      <c r="J8" s="17"/>
      <c r="K8" s="17"/>
      <c r="L8" s="105"/>
      <c r="M8" s="18"/>
    </row>
    <row r="9" spans="1:13" ht="12.75">
      <c r="B9" s="19"/>
      <c r="C9" s="19"/>
      <c r="D9" s="20"/>
      <c r="E9" s="20"/>
      <c r="F9" s="20"/>
      <c r="G9" s="20"/>
      <c r="H9" s="20"/>
      <c r="I9" s="20"/>
      <c r="J9" s="20"/>
      <c r="K9" s="20"/>
      <c r="L9" s="20"/>
      <c r="M9" s="21"/>
    </row>
    <row r="10" spans="1:13" ht="18">
      <c r="B10" s="110" t="s">
        <v>47</v>
      </c>
      <c r="C10" s="110"/>
      <c r="D10" s="23"/>
      <c r="E10" s="23"/>
      <c r="F10" s="23"/>
      <c r="G10" s="23"/>
      <c r="H10" s="23" t="s">
        <v>0</v>
      </c>
      <c r="I10" s="23" t="s">
        <v>0</v>
      </c>
      <c r="J10" s="23"/>
      <c r="K10" s="23"/>
      <c r="L10" s="23"/>
      <c r="M10" s="23" t="s">
        <v>0</v>
      </c>
    </row>
    <row r="11" spans="1:13" ht="12.75">
      <c r="B11" s="130" t="s">
        <v>54</v>
      </c>
      <c r="C11" s="23"/>
      <c r="D11" s="23"/>
      <c r="E11" s="23"/>
      <c r="F11" s="23"/>
      <c r="G11" s="23"/>
      <c r="H11" s="23"/>
      <c r="I11" s="23"/>
      <c r="J11" s="23"/>
      <c r="K11" s="23"/>
      <c r="L11" s="23"/>
      <c r="M11" s="23"/>
    </row>
    <row r="12" spans="1:13" ht="12.75">
      <c r="B12" s="23"/>
      <c r="C12" s="23"/>
      <c r="D12" s="23"/>
      <c r="E12" s="23"/>
      <c r="F12" s="23"/>
      <c r="G12" s="23"/>
      <c r="H12" s="23"/>
      <c r="I12" s="23"/>
      <c r="J12" s="23"/>
      <c r="K12" s="23"/>
      <c r="L12" s="23"/>
      <c r="M12" s="23"/>
    </row>
    <row r="13" spans="1:13" ht="12.75">
      <c r="B13" s="23" t="s">
        <v>46</v>
      </c>
      <c r="C13" s="109">
        <v>20</v>
      </c>
      <c r="D13" s="23"/>
      <c r="E13" s="23"/>
      <c r="F13" s="23"/>
      <c r="G13" s="23"/>
      <c r="H13" s="23"/>
      <c r="I13" s="23"/>
      <c r="J13" s="23"/>
      <c r="K13" s="23"/>
      <c r="L13" s="23"/>
      <c r="M13" s="23"/>
    </row>
    <row r="14" spans="1:13" ht="38.25">
      <c r="B14" s="108" t="s">
        <v>45</v>
      </c>
      <c r="C14" s="108"/>
      <c r="D14" s="69" t="s">
        <v>104</v>
      </c>
      <c r="E14" s="24" t="s">
        <v>27</v>
      </c>
      <c r="F14" s="69" t="s">
        <v>44</v>
      </c>
      <c r="G14" s="69"/>
      <c r="H14" s="69" t="s">
        <v>43</v>
      </c>
      <c r="I14" s="69" t="s">
        <v>42</v>
      </c>
      <c r="J14" s="24"/>
      <c r="K14" s="69" t="s">
        <v>41</v>
      </c>
      <c r="L14" s="24"/>
      <c r="M14" s="107">
        <v>2025</v>
      </c>
    </row>
    <row r="15" spans="1:13" ht="24.95" customHeight="1" thickBot="1">
      <c r="B15" s="138"/>
      <c r="C15" s="139"/>
      <c r="D15" s="140"/>
      <c r="E15" s="141"/>
      <c r="F15" s="421">
        <f>+D15*(1-E15)</f>
        <v>0</v>
      </c>
      <c r="G15" s="139"/>
      <c r="H15" s="142"/>
      <c r="I15" s="143"/>
      <c r="J15" s="144"/>
      <c r="K15" s="419" t="str">
        <f>IF(ISERROR($C$13/H15),"",CEILING($C$13/H15,1))</f>
        <v/>
      </c>
      <c r="L15" s="144"/>
      <c r="M15" s="258">
        <f>IF(ISERROR(+F15*K15),0, +F15*K15)</f>
        <v>0</v>
      </c>
    </row>
    <row r="16" spans="1:13" ht="36" customHeight="1" thickTop="1">
      <c r="B16" s="20"/>
      <c r="C16" s="20"/>
      <c r="D16" s="450" t="s">
        <v>105</v>
      </c>
      <c r="E16" s="451"/>
      <c r="F16" s="452"/>
      <c r="G16" s="20"/>
      <c r="H16" s="20"/>
      <c r="I16" s="20"/>
      <c r="J16" s="20"/>
      <c r="K16" s="20"/>
      <c r="L16" s="106"/>
      <c r="M16" s="106"/>
    </row>
    <row r="17" spans="2:15" ht="13.5" thickBot="1">
      <c r="B17" s="15"/>
      <c r="C17" s="15"/>
      <c r="D17" s="15"/>
      <c r="E17" s="16"/>
      <c r="F17" s="16"/>
      <c r="G17" s="16"/>
      <c r="H17" s="16"/>
      <c r="I17" s="17"/>
      <c r="J17" s="17"/>
      <c r="K17" s="17"/>
      <c r="L17" s="105"/>
      <c r="M17" s="18"/>
    </row>
    <row r="18" spans="2:15" ht="12.75">
      <c r="B18" s="19"/>
      <c r="C18" s="19"/>
      <c r="D18" s="20"/>
      <c r="E18" s="20"/>
      <c r="F18" s="20"/>
      <c r="G18" s="20"/>
      <c r="H18" s="20"/>
      <c r="I18" s="20"/>
      <c r="J18" s="20"/>
      <c r="K18" s="20"/>
      <c r="L18" s="20"/>
      <c r="M18" s="21"/>
    </row>
    <row r="19" spans="2:15" ht="24.95" customHeight="1" thickBot="1">
      <c r="B19" s="116" t="s">
        <v>19</v>
      </c>
      <c r="C19" s="284"/>
      <c r="D19" s="284"/>
      <c r="E19" s="284"/>
      <c r="F19" s="284"/>
      <c r="G19" s="284"/>
      <c r="H19" s="284"/>
      <c r="I19" s="284"/>
      <c r="J19" s="284"/>
      <c r="K19" s="284"/>
      <c r="L19" s="117"/>
      <c r="M19" s="115">
        <f>+M15</f>
        <v>0</v>
      </c>
    </row>
    <row r="20" spans="2:15" ht="14.25" thickTop="1" thickBot="1">
      <c r="B20" s="15"/>
      <c r="C20" s="15"/>
      <c r="D20" s="15"/>
      <c r="E20" s="16"/>
      <c r="F20" s="16"/>
      <c r="G20" s="16"/>
      <c r="H20" s="16"/>
      <c r="I20" s="17"/>
      <c r="J20" s="17"/>
      <c r="K20" s="17"/>
      <c r="L20" s="17"/>
      <c r="M20" s="17"/>
    </row>
    <row r="21" spans="2:15" ht="12.75">
      <c r="B21" s="19"/>
      <c r="C21" s="19"/>
      <c r="D21" s="19"/>
      <c r="E21" s="64"/>
      <c r="F21" s="64"/>
      <c r="G21" s="64"/>
      <c r="H21" s="64"/>
      <c r="I21" s="62"/>
      <c r="J21" s="62"/>
      <c r="K21" s="62"/>
      <c r="L21" s="62"/>
      <c r="M21" s="62"/>
    </row>
    <row r="22" spans="2:15" ht="12.75" hidden="1"/>
    <row r="23" spans="2:15" ht="12.75" hidden="1">
      <c r="E23" s="104"/>
      <c r="F23" s="104"/>
      <c r="G23" s="104"/>
    </row>
    <row r="24" spans="2:15" ht="12.75" hidden="1"/>
    <row r="25" spans="2:15" ht="12.75" hidden="1">
      <c r="E25" s="103"/>
      <c r="F25" s="103"/>
      <c r="G25" s="103"/>
      <c r="M25" s="102"/>
      <c r="N25" s="102"/>
      <c r="O25" s="102"/>
    </row>
    <row r="26" spans="2:15" ht="12.75" hidden="1"/>
    <row r="27" spans="2:15" ht="12.75" hidden="1"/>
    <row r="28" spans="2:15" ht="12.75" hidden="1"/>
    <row r="29" spans="2:15" ht="12.75" hidden="1"/>
    <row r="30" spans="2:15" ht="12.75" hidden="1"/>
    <row r="31" spans="2:15" ht="12.75" hidden="1"/>
    <row r="32" spans="2:15"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customHeight="1"/>
    <row r="86" ht="12.75" hidden="1" customHeight="1"/>
    <row r="87" ht="12.75" hidden="1" customHeight="1"/>
    <row r="88" ht="12.75" hidden="1" customHeight="1"/>
    <row r="89" ht="12.75" hidden="1" customHeight="1"/>
    <row r="90" ht="12.75" hidden="1" customHeight="1"/>
    <row r="91" ht="12.75" hidden="1" customHeight="1"/>
    <row r="92" ht="12.75" hidden="1" customHeight="1"/>
    <row r="93" ht="12.75" hidden="1" customHeight="1"/>
    <row r="94" ht="12.75" hidden="1" customHeight="1"/>
    <row r="95" ht="12.75" hidden="1" customHeight="1"/>
    <row r="96" ht="12.75" hidden="1" customHeight="1"/>
    <row r="97" ht="12.75" hidden="1" customHeight="1"/>
    <row r="98" ht="12.75" hidden="1" customHeight="1"/>
    <row r="99" ht="12.75" hidden="1" customHeight="1"/>
    <row r="100" ht="12.75" hidden="1" customHeight="1"/>
    <row r="101" ht="12.75" hidden="1" customHeight="1"/>
    <row r="102" ht="12.75" hidden="1" customHeight="1"/>
    <row r="103" ht="12.75" hidden="1" customHeight="1"/>
    <row r="104" ht="12.75" hidden="1" customHeight="1"/>
    <row r="105" ht="12.75" hidden="1" customHeight="1"/>
    <row r="106" ht="12.75" hidden="1"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sheetData>
  <sheetProtection algorithmName="SHA-512" hashValue="aVKdnxaC+82ZOMi2PjiX3pYkyLL1oavLo1gjnMnjW4VvYtgFkpeUHLhE7zdXHBITjWRr9pjtV/cmHFBVuaKsKw==" saltValue="AJk3fVVRQfmTdkYpLhHypw==" spinCount="100000" sheet="1" objects="1" scenarios="1"/>
  <mergeCells count="1">
    <mergeCell ref="D16:F16"/>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
  <sheetViews>
    <sheetView showGridLines="0" zoomScaleNormal="100" workbookViewId="0">
      <selection activeCell="H12" sqref="H12"/>
    </sheetView>
  </sheetViews>
  <sheetFormatPr defaultColWidth="9.28515625" defaultRowHeight="15" zeroHeight="1"/>
  <cols>
    <col min="1" max="1" width="3.7109375" style="54" customWidth="1"/>
    <col min="2" max="2" width="78.7109375" style="54" bestFit="1" customWidth="1"/>
    <col min="3" max="3" width="15.7109375" style="54" customWidth="1"/>
    <col min="4" max="4" width="2.28515625" style="54" customWidth="1"/>
    <col min="5" max="7" width="15.7109375" style="54" customWidth="1"/>
    <col min="8" max="8" width="18" style="54" customWidth="1"/>
    <col min="9" max="9" width="3.7109375" style="54" customWidth="1"/>
    <col min="10" max="16384" width="9.28515625" style="54"/>
  </cols>
  <sheetData>
    <row r="1" spans="1:8" ht="15" customHeight="1">
      <c r="A1" s="3"/>
      <c r="B1" s="3"/>
      <c r="C1" s="3"/>
      <c r="D1" s="3"/>
      <c r="E1" s="3"/>
      <c r="F1" s="3"/>
      <c r="G1" s="3"/>
      <c r="H1" s="3"/>
    </row>
    <row r="2" spans="1:8" ht="22.5">
      <c r="A2" s="5"/>
      <c r="B2" s="6" t="str">
        <f>+'0. Samenvatting'!B2</f>
        <v>Europese aanbesteding</v>
      </c>
      <c r="C2" s="6"/>
      <c r="D2" s="7"/>
      <c r="E2" s="8"/>
      <c r="F2" s="6"/>
      <c r="G2" s="6"/>
      <c r="H2" s="6"/>
    </row>
    <row r="3" spans="1:8" ht="18">
      <c r="A3" s="3"/>
      <c r="B3" s="9" t="str">
        <f>+'0. Samenvatting'!B3</f>
        <v>Process Mining</v>
      </c>
      <c r="C3" s="10"/>
      <c r="D3" s="10"/>
      <c r="E3" s="11"/>
      <c r="F3" s="10"/>
      <c r="G3" s="10"/>
      <c r="H3" s="10"/>
    </row>
    <row r="4" spans="1:8" ht="19.5">
      <c r="A4" s="3"/>
      <c r="B4" s="12" t="s">
        <v>16</v>
      </c>
      <c r="C4" s="10"/>
      <c r="D4" s="10"/>
      <c r="E4" s="11"/>
      <c r="F4" s="10"/>
      <c r="G4" s="10"/>
      <c r="H4" s="10"/>
    </row>
    <row r="5" spans="1:8">
      <c r="A5" s="3"/>
      <c r="B5" s="1" t="str">
        <f>+'0. Samenvatting'!B5</f>
        <v>IUC23-033</v>
      </c>
      <c r="C5" s="10"/>
      <c r="D5" s="10"/>
      <c r="E5" s="11"/>
      <c r="F5" s="10"/>
      <c r="G5" s="10"/>
      <c r="H5" s="10"/>
    </row>
    <row r="6" spans="1:8">
      <c r="A6" s="3"/>
      <c r="B6" s="118" t="str">
        <f>+'0. Samenvatting'!B6</f>
        <v>(prijzen exclusief BTW)</v>
      </c>
      <c r="C6" s="10"/>
      <c r="D6" s="10"/>
      <c r="E6" s="11"/>
      <c r="F6" s="10"/>
      <c r="G6" s="10"/>
      <c r="H6" s="10"/>
    </row>
    <row r="7" spans="1:8" ht="15" customHeight="1">
      <c r="A7" s="3"/>
      <c r="B7" s="4"/>
      <c r="C7" s="13"/>
      <c r="D7" s="14"/>
      <c r="E7" s="14"/>
      <c r="F7" s="11"/>
      <c r="G7" s="11"/>
      <c r="H7" s="14"/>
    </row>
    <row r="8" spans="1:8" ht="15" customHeight="1" thickBot="1">
      <c r="A8" s="2"/>
      <c r="B8" s="15"/>
      <c r="C8" s="15"/>
      <c r="D8" s="16"/>
      <c r="E8" s="16"/>
      <c r="F8" s="17"/>
      <c r="G8" s="17"/>
      <c r="H8" s="18"/>
    </row>
    <row r="9" spans="1:8" ht="15" customHeight="1">
      <c r="A9" s="2"/>
      <c r="B9" s="19"/>
      <c r="C9" s="20"/>
      <c r="D9" s="20"/>
      <c r="E9" s="20"/>
      <c r="F9" s="20"/>
      <c r="G9" s="20"/>
      <c r="H9" s="21"/>
    </row>
    <row r="10" spans="1:8" ht="24.75">
      <c r="A10" s="22"/>
      <c r="B10" s="68" t="s">
        <v>1</v>
      </c>
      <c r="C10" s="23"/>
      <c r="D10" s="23"/>
      <c r="E10" s="23"/>
      <c r="F10" s="23"/>
      <c r="G10" s="23"/>
      <c r="H10" s="23"/>
    </row>
    <row r="11" spans="1:8" ht="39">
      <c r="A11" s="2"/>
      <c r="B11" s="67" t="s">
        <v>2</v>
      </c>
      <c r="C11" s="69" t="s">
        <v>3</v>
      </c>
      <c r="D11" s="66" t="s">
        <v>0</v>
      </c>
      <c r="E11" s="69" t="s">
        <v>13</v>
      </c>
      <c r="F11" s="107">
        <v>2025</v>
      </c>
      <c r="G11" s="69" t="s">
        <v>103</v>
      </c>
      <c r="H11" s="107" t="s">
        <v>14</v>
      </c>
    </row>
    <row r="12" spans="1:8" ht="24.95" customHeight="1">
      <c r="A12" s="2"/>
      <c r="B12" s="283" t="s">
        <v>65</v>
      </c>
      <c r="C12" s="132"/>
      <c r="D12" s="285" t="s">
        <v>0</v>
      </c>
      <c r="E12" s="133">
        <v>1200</v>
      </c>
      <c r="F12" s="145">
        <f>+E12*C12</f>
        <v>0</v>
      </c>
      <c r="G12" s="133" t="s">
        <v>64</v>
      </c>
      <c r="H12" s="257">
        <f>+F12</f>
        <v>0</v>
      </c>
    </row>
    <row r="13" spans="1:8" ht="24.95" customHeight="1">
      <c r="A13" s="2"/>
      <c r="B13" s="283" t="s">
        <v>60</v>
      </c>
      <c r="C13" s="132"/>
      <c r="D13" s="285" t="s">
        <v>0</v>
      </c>
      <c r="E13" s="133">
        <v>100</v>
      </c>
      <c r="F13" s="145">
        <f>+E13*C13</f>
        <v>0</v>
      </c>
      <c r="G13" s="145">
        <f>+F13*7</f>
        <v>0</v>
      </c>
      <c r="H13" s="257">
        <f>SUM(F13:G13)</f>
        <v>0</v>
      </c>
    </row>
    <row r="14" spans="1:8" ht="15" customHeight="1" thickBot="1">
      <c r="A14" s="2"/>
      <c r="B14" s="15"/>
      <c r="C14" s="15"/>
      <c r="D14" s="15"/>
      <c r="E14" s="16"/>
      <c r="F14" s="16"/>
      <c r="G14" s="16"/>
      <c r="H14" s="16"/>
    </row>
    <row r="15" spans="1:8" ht="15" customHeight="1">
      <c r="A15" s="2"/>
      <c r="B15" s="19"/>
      <c r="C15" s="19"/>
      <c r="D15" s="20"/>
      <c r="E15" s="20"/>
      <c r="F15" s="20"/>
      <c r="G15" s="20"/>
      <c r="H15" s="20"/>
    </row>
    <row r="16" spans="1:8" ht="24.95" customHeight="1" thickBot="1">
      <c r="A16" s="2"/>
      <c r="B16" s="116" t="s">
        <v>19</v>
      </c>
      <c r="C16" s="284"/>
      <c r="D16" s="284"/>
      <c r="E16" s="284"/>
      <c r="F16" s="284"/>
      <c r="G16" s="117"/>
      <c r="H16" s="115">
        <f>SUM(H12:H13)</f>
        <v>0</v>
      </c>
    </row>
    <row r="17" spans="1:13" ht="15" customHeight="1" thickTop="1" thickBot="1">
      <c r="A17" s="2"/>
      <c r="B17" s="15"/>
      <c r="C17" s="15"/>
      <c r="D17" s="15"/>
      <c r="E17" s="16"/>
      <c r="F17" s="16"/>
      <c r="G17" s="16"/>
      <c r="H17" s="16"/>
    </row>
    <row r="18" spans="1:13">
      <c r="B18" s="19"/>
      <c r="C18" s="19"/>
      <c r="D18" s="19"/>
      <c r="E18" s="64"/>
      <c r="F18" s="64"/>
      <c r="G18" s="64"/>
      <c r="H18" s="64"/>
      <c r="I18" s="62"/>
      <c r="J18" s="62"/>
      <c r="K18" s="62"/>
      <c r="L18" s="62"/>
      <c r="M18" s="62"/>
    </row>
    <row r="19" spans="1:13"/>
    <row r="20" spans="1:13"/>
  </sheetData>
  <sheetProtection algorithmName="SHA-512" hashValue="usjIZ38mLh8c6yaEXTldka5Gfz859uAd803GehCqNyTOq3L10b3KRcyE/+MoZcJ8AdSrufQEy2RVJcP0TgXDSg==" saltValue="HjJWfVB8cG04FdgO6H/C6w=="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EE773-3556-4DA7-A377-373704C2F11A}">
  <sheetPr>
    <tabColor theme="0" tint="-0.499984740745262"/>
    <pageSetUpPr fitToPage="1"/>
  </sheetPr>
  <dimension ref="A1:P95"/>
  <sheetViews>
    <sheetView showGridLines="0" zoomScale="90" zoomScaleNormal="90" workbookViewId="0">
      <selection activeCell="F9" sqref="F9"/>
    </sheetView>
  </sheetViews>
  <sheetFormatPr defaultColWidth="0" defaultRowHeight="0" customHeight="1" zeroHeight="1"/>
  <cols>
    <col min="1" max="1" width="3.7109375" style="54" customWidth="1"/>
    <col min="2" max="2" width="95.7109375" style="54" customWidth="1"/>
    <col min="3" max="3" width="1.7109375" style="54" customWidth="1"/>
    <col min="4" max="4" width="4" style="54" customWidth="1"/>
    <col min="5" max="5" width="54.5703125" style="54" customWidth="1"/>
    <col min="6" max="6" width="20.7109375" style="54" customWidth="1"/>
    <col min="7" max="7" width="11.28515625" style="54" customWidth="1"/>
    <col min="8" max="8" width="4.140625" style="54" customWidth="1"/>
    <col min="9" max="9" width="3.7109375" style="54" customWidth="1"/>
    <col min="10" max="16384" width="9.140625" style="54" hidden="1"/>
  </cols>
  <sheetData>
    <row r="1" spans="1:10" s="25" customFormat="1" ht="21" customHeight="1">
      <c r="A1" s="340"/>
      <c r="B1" s="340"/>
      <c r="C1" s="340"/>
      <c r="D1" s="340"/>
      <c r="E1" s="340"/>
      <c r="F1" s="340"/>
      <c r="G1" s="340"/>
      <c r="H1" s="340"/>
    </row>
    <row r="2" spans="1:10" s="25" customFormat="1" ht="21" customHeight="1">
      <c r="A2" s="340"/>
      <c r="B2" s="370" t="s">
        <v>128</v>
      </c>
      <c r="C2" s="365"/>
      <c r="D2" s="365"/>
      <c r="E2" s="365"/>
      <c r="F2" s="365"/>
      <c r="G2" s="364"/>
      <c r="H2" s="364"/>
    </row>
    <row r="3" spans="1:10" s="25" customFormat="1" ht="21" customHeight="1">
      <c r="A3" s="340"/>
      <c r="B3" s="369" t="s">
        <v>127</v>
      </c>
      <c r="C3" s="365"/>
      <c r="D3" s="365"/>
      <c r="E3" s="365"/>
      <c r="F3" s="365"/>
      <c r="G3" s="364"/>
      <c r="H3" s="364"/>
    </row>
    <row r="4" spans="1:10" s="25" customFormat="1" ht="24.75">
      <c r="A4" s="340"/>
      <c r="B4" s="368" t="s">
        <v>126</v>
      </c>
      <c r="C4" s="365"/>
      <c r="D4" s="365"/>
      <c r="E4" s="365"/>
      <c r="F4" s="365"/>
      <c r="G4" s="364"/>
      <c r="H4" s="364"/>
    </row>
    <row r="5" spans="1:10" s="25" customFormat="1" ht="21" customHeight="1">
      <c r="A5" s="340"/>
      <c r="B5" s="367" t="s">
        <v>125</v>
      </c>
      <c r="C5" s="365"/>
      <c r="D5" s="365"/>
      <c r="E5" s="365"/>
      <c r="F5" s="365"/>
      <c r="G5" s="364"/>
      <c r="H5" s="364"/>
    </row>
    <row r="6" spans="1:10" s="25" customFormat="1" ht="21" customHeight="1">
      <c r="A6" s="340"/>
      <c r="B6" s="366" t="s">
        <v>124</v>
      </c>
      <c r="C6" s="365"/>
      <c r="D6" s="365"/>
      <c r="E6" s="365"/>
      <c r="F6" s="365"/>
      <c r="G6" s="364"/>
      <c r="H6" s="364"/>
    </row>
    <row r="7" spans="1:10" s="340" customFormat="1" ht="15" customHeight="1" thickBot="1">
      <c r="B7" s="339"/>
      <c r="C7" s="338"/>
      <c r="D7" s="338"/>
      <c r="E7" s="338"/>
      <c r="F7" s="337"/>
      <c r="G7" s="336"/>
      <c r="H7" s="336"/>
      <c r="J7" s="363"/>
    </row>
    <row r="8" spans="1:10" s="25" customFormat="1" ht="15" customHeight="1">
      <c r="A8" s="340"/>
    </row>
    <row r="9" spans="1:10" s="25" customFormat="1" ht="27.95" customHeight="1">
      <c r="A9" s="335"/>
      <c r="B9" s="335"/>
      <c r="D9" s="461" t="s">
        <v>110</v>
      </c>
      <c r="E9" s="461"/>
      <c r="F9" s="362">
        <f>'0. Samenvatting'!D30</f>
        <v>0</v>
      </c>
    </row>
    <row r="10" spans="1:10" s="25" customFormat="1" ht="12.75" customHeight="1">
      <c r="B10" s="335"/>
      <c r="C10" s="335"/>
    </row>
    <row r="11" spans="1:10" s="25" customFormat="1" ht="27.95" customHeight="1">
      <c r="A11" s="342"/>
      <c r="B11" s="341"/>
      <c r="C11" s="341"/>
      <c r="D11" s="459" t="s">
        <v>123</v>
      </c>
      <c r="E11" s="460"/>
      <c r="F11" s="361" t="s">
        <v>122</v>
      </c>
      <c r="G11" s="453" t="s">
        <v>115</v>
      </c>
      <c r="H11" s="454"/>
    </row>
    <row r="12" spans="1:10" s="25" customFormat="1" ht="27.95" customHeight="1">
      <c r="A12" s="342"/>
      <c r="B12" s="341"/>
      <c r="C12" s="341"/>
      <c r="D12" s="455" t="s">
        <v>121</v>
      </c>
      <c r="E12" s="456"/>
      <c r="F12" s="360">
        <f>+DATA!G41</f>
        <v>450</v>
      </c>
      <c r="G12" s="346">
        <f>+F12/DATA!$G$40*100</f>
        <v>60</v>
      </c>
      <c r="H12" s="330" t="s">
        <v>111</v>
      </c>
    </row>
    <row r="13" spans="1:10" s="25" customFormat="1" ht="27.95" customHeight="1">
      <c r="A13" s="342"/>
      <c r="B13" s="341"/>
      <c r="C13" s="341"/>
      <c r="D13" s="455" t="s">
        <v>120</v>
      </c>
      <c r="E13" s="456"/>
      <c r="F13" s="359"/>
      <c r="G13" s="346">
        <f>+F13/DATA!$G$40*100</f>
        <v>0</v>
      </c>
      <c r="H13" s="330" t="s">
        <v>111</v>
      </c>
    </row>
    <row r="14" spans="1:10" s="25" customFormat="1" ht="27.95" customHeight="1">
      <c r="A14" s="342"/>
      <c r="B14" s="342"/>
      <c r="C14" s="341"/>
      <c r="D14" s="358"/>
      <c r="E14" s="357" t="s">
        <v>112</v>
      </c>
      <c r="F14" s="347">
        <f>SUM(F12:F13)</f>
        <v>450</v>
      </c>
      <c r="G14" s="346">
        <f>SUM(G12:G13)</f>
        <v>60</v>
      </c>
      <c r="H14" s="330" t="s">
        <v>111</v>
      </c>
    </row>
    <row r="15" spans="1:10" s="25" customFormat="1" ht="27.95" customHeight="1">
      <c r="A15" s="342"/>
      <c r="B15" s="342"/>
      <c r="C15" s="341"/>
      <c r="D15" s="457" t="s">
        <v>119</v>
      </c>
      <c r="E15" s="458"/>
      <c r="F15" s="356">
        <f>+DATA!E7</f>
        <v>1.0431160294351176</v>
      </c>
    </row>
    <row r="16" spans="1:10" s="25" customFormat="1" ht="27.95" customHeight="1">
      <c r="A16" s="342"/>
      <c r="B16" s="341"/>
      <c r="C16" s="341"/>
      <c r="D16" s="355" t="s">
        <v>118</v>
      </c>
      <c r="E16" s="354" t="str">
        <f>"Eigen inschatting door Inschrijver. Waarde tussen 0 en "&amp;F20&amp;" punten."</f>
        <v>Eigen inschatting door Inschrijver. Waarde tussen 0 en 300 punten.</v>
      </c>
      <c r="F16" s="353"/>
      <c r="G16" s="352"/>
      <c r="H16" s="350"/>
    </row>
    <row r="17" spans="1:12" s="25" customFormat="1" ht="27.95" customHeight="1">
      <c r="A17" s="342"/>
      <c r="B17" s="342"/>
      <c r="C17" s="341"/>
      <c r="D17" s="351"/>
      <c r="E17" s="350"/>
      <c r="F17" s="350"/>
      <c r="G17" s="350"/>
    </row>
    <row r="18" spans="1:12" s="25" customFormat="1" ht="27.95" customHeight="1">
      <c r="A18" s="342"/>
      <c r="B18" s="342"/>
      <c r="C18" s="341"/>
      <c r="D18" s="459" t="s">
        <v>117</v>
      </c>
      <c r="E18" s="460"/>
      <c r="F18" s="349" t="s">
        <v>116</v>
      </c>
      <c r="G18" s="453" t="s">
        <v>115</v>
      </c>
      <c r="H18" s="454"/>
    </row>
    <row r="19" spans="1:12" s="25" customFormat="1" ht="27.95" customHeight="1">
      <c r="A19" s="342"/>
      <c r="B19" s="342"/>
      <c r="C19" s="341"/>
      <c r="D19" s="461" t="s">
        <v>114</v>
      </c>
      <c r="E19" s="461"/>
      <c r="F19" s="347">
        <f>DATA!G41</f>
        <v>450</v>
      </c>
      <c r="G19" s="346">
        <f>+F19/DATA!$G$40*100</f>
        <v>60</v>
      </c>
      <c r="H19" s="330" t="s">
        <v>111</v>
      </c>
    </row>
    <row r="20" spans="1:12" s="25" customFormat="1" ht="27.95" customHeight="1">
      <c r="A20" s="342"/>
      <c r="B20" s="342"/>
      <c r="C20" s="341"/>
      <c r="D20" s="461" t="s">
        <v>113</v>
      </c>
      <c r="E20" s="461"/>
      <c r="F20" s="347">
        <f>DATA!G42</f>
        <v>300</v>
      </c>
      <c r="G20" s="346">
        <f>+F20/DATA!$G$40*100</f>
        <v>40</v>
      </c>
      <c r="H20" s="330" t="s">
        <v>111</v>
      </c>
      <c r="J20" s="348"/>
      <c r="K20" s="348"/>
      <c r="L20" s="348"/>
    </row>
    <row r="21" spans="1:12" s="25" customFormat="1" ht="27.95" customHeight="1">
      <c r="A21" s="342"/>
      <c r="B21" s="341"/>
      <c r="C21" s="341"/>
      <c r="D21" s="461" t="s">
        <v>4</v>
      </c>
      <c r="E21" s="461"/>
      <c r="F21" s="347">
        <f>SUM(F19:F20)</f>
        <v>750</v>
      </c>
      <c r="G21" s="346">
        <f>+F21/DATA!$G$40*100</f>
        <v>100</v>
      </c>
      <c r="H21" s="330" t="s">
        <v>111</v>
      </c>
    </row>
    <row r="22" spans="1:12" s="25" customFormat="1" ht="27.95" customHeight="1">
      <c r="A22" s="342"/>
      <c r="B22" s="341"/>
      <c r="C22" s="341"/>
      <c r="D22" s="462"/>
      <c r="E22" s="462"/>
      <c r="F22" s="345"/>
      <c r="G22" s="344"/>
      <c r="H22" s="343"/>
    </row>
    <row r="23" spans="1:12" s="25" customFormat="1" ht="27.95" customHeight="1">
      <c r="A23" s="342"/>
      <c r="B23" s="341"/>
      <c r="C23" s="341"/>
      <c r="D23" s="335"/>
      <c r="E23" s="335"/>
      <c r="F23" s="335"/>
      <c r="G23" s="335"/>
      <c r="H23" s="335"/>
    </row>
    <row r="24" spans="1:12" s="25" customFormat="1" ht="27.95" customHeight="1">
      <c r="A24" s="342"/>
      <c r="B24" s="341"/>
      <c r="C24" s="341"/>
      <c r="D24" s="335"/>
      <c r="E24" s="335"/>
      <c r="F24" s="335"/>
      <c r="G24" s="335"/>
      <c r="H24" s="335"/>
    </row>
    <row r="25" spans="1:12" s="25" customFormat="1" ht="27.95" customHeight="1">
      <c r="A25" s="342"/>
      <c r="B25" s="341"/>
      <c r="C25" s="341"/>
      <c r="D25" s="335"/>
      <c r="E25" s="335"/>
      <c r="F25" s="335"/>
      <c r="G25" s="335"/>
      <c r="H25" s="335"/>
    </row>
    <row r="26" spans="1:12" s="25" customFormat="1" ht="27.95" customHeight="1">
      <c r="A26" s="342"/>
      <c r="B26" s="341"/>
      <c r="C26" s="341"/>
      <c r="D26" s="335"/>
      <c r="E26" s="335"/>
      <c r="F26" s="335"/>
      <c r="G26" s="335"/>
      <c r="H26" s="335"/>
    </row>
    <row r="27" spans="1:12" s="25" customFormat="1" ht="27.75" customHeight="1">
      <c r="A27" s="340"/>
      <c r="B27" s="341"/>
      <c r="C27" s="341"/>
      <c r="D27" s="335"/>
      <c r="E27" s="335"/>
      <c r="F27" s="335"/>
      <c r="G27" s="335"/>
      <c r="H27" s="335"/>
    </row>
    <row r="28" spans="1:12" s="25" customFormat="1" ht="15" customHeight="1" thickBot="1">
      <c r="A28" s="340"/>
      <c r="B28" s="339"/>
      <c r="C28" s="338"/>
      <c r="D28" s="338"/>
      <c r="E28" s="338"/>
      <c r="F28" s="337"/>
      <c r="G28" s="336"/>
      <c r="H28" s="336"/>
    </row>
    <row r="29" spans="1:12" s="25" customFormat="1" ht="15" customHeight="1"/>
    <row r="30" spans="1:12" s="25" customFormat="1" ht="27.95" hidden="1" customHeight="1">
      <c r="B30" s="335"/>
    </row>
    <row r="31" spans="1:12" s="25" customFormat="1" ht="27.95" hidden="1" customHeight="1">
      <c r="B31" s="335"/>
    </row>
    <row r="32" spans="1:12" s="25" customFormat="1" ht="27.95" hidden="1" customHeight="1">
      <c r="B32" s="335"/>
    </row>
    <row r="33" spans="2:16" s="25" customFormat="1" ht="27.95" hidden="1" customHeight="1">
      <c r="B33" s="335"/>
    </row>
    <row r="34" spans="2:16" s="25" customFormat="1" ht="27.95" hidden="1" customHeight="1">
      <c r="B34" s="335"/>
    </row>
    <row r="35" spans="2:16" s="25" customFormat="1" ht="27.95" hidden="1" customHeight="1">
      <c r="B35" s="335"/>
      <c r="P35" s="25" t="s">
        <v>0</v>
      </c>
    </row>
    <row r="36" spans="2:16" s="25" customFormat="1" ht="27.95" hidden="1" customHeight="1">
      <c r="B36" s="335"/>
    </row>
    <row r="37" spans="2:16" s="25" customFormat="1" ht="27.95" hidden="1" customHeight="1">
      <c r="B37" s="335"/>
      <c r="G37" s="54"/>
    </row>
    <row r="38" spans="2:16" s="25" customFormat="1" ht="27.95" hidden="1" customHeight="1">
      <c r="B38" s="335"/>
      <c r="G38" s="54"/>
    </row>
    <row r="39" spans="2:16" s="25" customFormat="1" ht="27.95" hidden="1" customHeight="1">
      <c r="D39" s="54"/>
      <c r="E39" s="54"/>
      <c r="F39" s="54"/>
      <c r="G39" s="54"/>
    </row>
    <row r="40" spans="2:16" ht="15" hidden="1" customHeight="1"/>
    <row r="41" spans="2:16" ht="15" hidden="1" customHeight="1"/>
    <row r="42" spans="2:16" ht="15" hidden="1" customHeight="1"/>
    <row r="43" spans="2:16" ht="15" hidden="1" customHeight="1"/>
    <row r="44" spans="2:16" ht="15" hidden="1" customHeight="1"/>
    <row r="45" spans="2:16" ht="15" hidden="1" customHeight="1"/>
    <row r="46" spans="2:16" ht="15" hidden="1" customHeight="1"/>
    <row r="47" spans="2:16" ht="15" hidden="1" customHeight="1"/>
    <row r="48" spans="2:16" ht="15" hidden="1" customHeight="1"/>
    <row r="49" s="54" customFormat="1" ht="15" hidden="1" customHeight="1"/>
    <row r="50" s="54" customFormat="1" ht="15" hidden="1" customHeight="1"/>
    <row r="51" s="54" customFormat="1" ht="15" hidden="1" customHeight="1"/>
    <row r="52" s="54" customFormat="1" ht="15" hidden="1" customHeight="1"/>
    <row r="53" s="54" customFormat="1" ht="15" hidden="1" customHeight="1"/>
    <row r="54" s="54" customFormat="1" ht="15" hidden="1" customHeight="1"/>
    <row r="55" s="54" customFormat="1" ht="15" hidden="1" customHeight="1"/>
    <row r="56" s="54" customFormat="1" ht="15" hidden="1" customHeight="1"/>
    <row r="57" s="54" customFormat="1" ht="15" hidden="1" customHeight="1"/>
    <row r="58" s="54" customFormat="1" ht="15" hidden="1" customHeight="1"/>
    <row r="59" s="54" customFormat="1" ht="15" hidden="1" customHeight="1"/>
    <row r="60" s="54" customFormat="1" ht="15" hidden="1" customHeight="1"/>
    <row r="61" s="54" customFormat="1" ht="15" hidden="1" customHeight="1"/>
    <row r="62" s="54" customFormat="1" ht="15" hidden="1" customHeight="1"/>
    <row r="63" s="54" customFormat="1" ht="15" hidden="1" customHeight="1"/>
    <row r="64" s="54" customFormat="1" ht="15" hidden="1" customHeight="1"/>
    <row r="65" s="54" customFormat="1" ht="15" hidden="1" customHeight="1"/>
    <row r="66" s="54" customFormat="1" ht="15" hidden="1" customHeight="1"/>
    <row r="67" s="54" customFormat="1" ht="15" hidden="1" customHeight="1"/>
    <row r="68" s="54" customFormat="1" ht="15" hidden="1" customHeight="1"/>
    <row r="69" s="54" customFormat="1" ht="15" hidden="1" customHeight="1"/>
    <row r="70" s="54" customFormat="1" ht="15" hidden="1" customHeight="1"/>
    <row r="71" s="54" customFormat="1" ht="15" hidden="1" customHeight="1"/>
    <row r="72" s="54" customFormat="1" ht="15" hidden="1" customHeight="1"/>
    <row r="73" s="54" customFormat="1" ht="15" hidden="1" customHeight="1"/>
    <row r="74" s="54" customFormat="1" ht="15" hidden="1" customHeight="1"/>
    <row r="75" s="54" customFormat="1" ht="15" hidden="1" customHeight="1"/>
    <row r="76" s="54" customFormat="1" ht="15" hidden="1" customHeight="1"/>
    <row r="77" s="54" customFormat="1" ht="15" hidden="1" customHeight="1"/>
    <row r="78" s="54" customFormat="1" ht="15" hidden="1" customHeight="1"/>
    <row r="79" s="54" customFormat="1" ht="15" hidden="1" customHeight="1"/>
    <row r="80" s="54" customFormat="1" ht="15" hidden="1" customHeight="1"/>
    <row r="81" spans="3:7" ht="15" hidden="1" customHeight="1"/>
    <row r="82" spans="3:7" ht="15" hidden="1" customHeight="1"/>
    <row r="83" spans="3:7" ht="15" hidden="1" customHeight="1">
      <c r="C83" s="334" t="s">
        <v>112</v>
      </c>
      <c r="D83" s="333"/>
      <c r="E83" s="332">
        <v>1650</v>
      </c>
      <c r="F83" s="331" t="e">
        <f>+E83/Qmax*100</f>
        <v>#NAME?</v>
      </c>
      <c r="G83" s="330" t="s">
        <v>111</v>
      </c>
    </row>
    <row r="84" spans="3:7" ht="15" hidden="1" customHeight="1"/>
    <row r="85" spans="3:7" ht="15" hidden="1" customHeight="1"/>
    <row r="86" spans="3:7" ht="15" hidden="1" customHeight="1"/>
    <row r="87" spans="3:7" ht="15" hidden="1" customHeight="1"/>
    <row r="88" spans="3:7" ht="15" hidden="1" customHeight="1"/>
    <row r="89" spans="3:7" ht="15" hidden="1" customHeight="1"/>
    <row r="90" spans="3:7" ht="15" hidden="1" customHeight="1"/>
    <row r="91" spans="3:7" ht="15" hidden="1" customHeight="1"/>
    <row r="92" spans="3:7" ht="15" hidden="1" customHeight="1"/>
    <row r="93" spans="3:7" ht="15" hidden="1" customHeight="1"/>
    <row r="94" spans="3:7" ht="15" hidden="1" customHeight="1"/>
    <row r="95" spans="3:7" ht="15" hidden="1" customHeight="1"/>
  </sheetData>
  <sheetProtection algorithmName="SHA-512" hashValue="Y2zAiztgfh5A8WtAbxXo6wf5/VzbuG6pxOPBfvRWW4fRTlXO+XCdzzT7RSyIY9uLKO5RPr+SPa3GWBY4a0nrhg==" saltValue="8GlVdarnHqHN5zR9/oSpsQ==" spinCount="100000" sheet="1" objects="1" scenarios="1"/>
  <mergeCells count="12">
    <mergeCell ref="D20:E20"/>
    <mergeCell ref="D21:E21"/>
    <mergeCell ref="D22:E22"/>
    <mergeCell ref="D9:E9"/>
    <mergeCell ref="D11:E11"/>
    <mergeCell ref="D19:E19"/>
    <mergeCell ref="G11:H11"/>
    <mergeCell ref="D12:E12"/>
    <mergeCell ref="D13:E13"/>
    <mergeCell ref="D15:E15"/>
    <mergeCell ref="D18:E18"/>
    <mergeCell ref="G18:H18"/>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54D74-B850-4F45-B64D-2D554E40BF17}">
  <dimension ref="A1:AE80"/>
  <sheetViews>
    <sheetView showGridLines="0" topLeftCell="A20" zoomScaleNormal="100" workbookViewId="0">
      <selection activeCell="F13" sqref="F13"/>
    </sheetView>
  </sheetViews>
  <sheetFormatPr defaultColWidth="0" defaultRowHeight="15" zeroHeight="1"/>
  <cols>
    <col min="1" max="1" width="3.7109375" style="371" customWidth="1"/>
    <col min="2" max="27" width="21.7109375" style="371" customWidth="1"/>
    <col min="28" max="28" width="3.7109375" style="371" customWidth="1"/>
    <col min="29" max="31" width="21.7109375" style="371" hidden="1" customWidth="1"/>
    <col min="32" max="16384" width="9.140625" style="371" hidden="1"/>
  </cols>
  <sheetData>
    <row r="1" spans="2:28" ht="21" customHeight="1">
      <c r="AB1" s="386"/>
    </row>
    <row r="2" spans="2:28" s="386" customFormat="1" ht="21" customHeight="1">
      <c r="B2" s="463" t="s">
        <v>173</v>
      </c>
      <c r="C2" s="463"/>
      <c r="D2" s="463"/>
      <c r="E2" s="463"/>
    </row>
    <row r="3" spans="2:28" s="386" customFormat="1" ht="21" customHeight="1">
      <c r="B3" s="463"/>
      <c r="C3" s="463"/>
      <c r="D3" s="463"/>
      <c r="E3" s="463"/>
    </row>
    <row r="4" spans="2:28" s="386" customFormat="1" ht="21" customHeight="1">
      <c r="B4" s="463"/>
      <c r="C4" s="463"/>
      <c r="D4" s="463"/>
      <c r="E4" s="463"/>
    </row>
    <row r="5" spans="2:28" s="386" customFormat="1" ht="21" customHeight="1">
      <c r="B5" s="408"/>
    </row>
    <row r="6" spans="2:28" s="386" customFormat="1" ht="27.95" customHeight="1">
      <c r="B6" s="407" t="s">
        <v>61</v>
      </c>
    </row>
    <row r="7" spans="2:28" s="386" customFormat="1" ht="27.95" customHeight="1">
      <c r="B7" s="406" t="s">
        <v>172</v>
      </c>
      <c r="C7" s="405">
        <f>+'BPK-Grafiek'!$F$9</f>
        <v>0</v>
      </c>
      <c r="D7" s="404">
        <f>+'BPK-Grafiek'!$F$14</f>
        <v>450</v>
      </c>
      <c r="E7" s="403">
        <f>IFERROR((0.5*($C$7/$G$38)^$F$38+0.5*(2-$D$7/$H$38)^$F$38)^(1/$F$38),0)</f>
        <v>1.0431160294351176</v>
      </c>
      <c r="F7" s="402">
        <f>+D7/G40*100</f>
        <v>60</v>
      </c>
    </row>
    <row r="8" spans="2:28" s="386" customFormat="1" ht="27.95" customHeight="1"/>
    <row r="9" spans="2:28" s="399" customFormat="1" ht="27.95" customHeight="1">
      <c r="B9" s="401" t="s">
        <v>171</v>
      </c>
      <c r="C9" s="464" t="s">
        <v>170</v>
      </c>
      <c r="D9" s="464"/>
      <c r="E9" s="464"/>
      <c r="F9" s="464"/>
      <c r="G9" s="464"/>
      <c r="H9" s="464"/>
      <c r="I9" s="464"/>
      <c r="J9" s="464"/>
      <c r="K9" s="400"/>
      <c r="L9" s="400"/>
    </row>
    <row r="10" spans="2:28" s="399" customFormat="1" ht="27.95" customHeight="1">
      <c r="C10" s="464"/>
      <c r="D10" s="464"/>
      <c r="E10" s="464"/>
      <c r="F10" s="464"/>
      <c r="G10" s="464"/>
      <c r="H10" s="464"/>
      <c r="I10" s="464"/>
      <c r="J10" s="464"/>
    </row>
    <row r="11" spans="2:28" s="386" customFormat="1" ht="27.95" customHeight="1">
      <c r="B11" s="384" t="s">
        <v>169</v>
      </c>
      <c r="C11" s="393" t="s">
        <v>168</v>
      </c>
      <c r="D11" s="393" t="s">
        <v>167</v>
      </c>
      <c r="E11" s="393" t="s">
        <v>150</v>
      </c>
      <c r="F11" s="385"/>
      <c r="G11" s="385"/>
      <c r="H11" s="385"/>
      <c r="I11" s="385"/>
      <c r="J11" s="385"/>
      <c r="K11" s="385"/>
      <c r="L11" s="385"/>
      <c r="M11" s="385"/>
      <c r="N11" s="385"/>
      <c r="O11" s="385"/>
      <c r="P11" s="385"/>
      <c r="Q11" s="385"/>
      <c r="R11" s="385"/>
      <c r="S11" s="385"/>
      <c r="T11" s="385"/>
      <c r="U11" s="385"/>
      <c r="V11" s="385"/>
      <c r="W11" s="385"/>
      <c r="X11" s="385"/>
      <c r="Y11" s="385"/>
      <c r="Z11" s="385"/>
      <c r="AA11" s="385"/>
    </row>
    <row r="12" spans="2:28" s="386" customFormat="1" ht="27.95" customHeight="1">
      <c r="B12" s="398" t="s">
        <v>166</v>
      </c>
      <c r="C12" s="397">
        <v>3500000</v>
      </c>
      <c r="D12" s="396">
        <v>600</v>
      </c>
      <c r="E12" s="395">
        <v>1</v>
      </c>
      <c r="F12" s="385"/>
      <c r="G12" s="385"/>
      <c r="H12" s="385"/>
      <c r="I12" s="385"/>
      <c r="J12" s="385"/>
      <c r="K12" s="385"/>
      <c r="L12" s="385"/>
      <c r="M12" s="385"/>
      <c r="N12" s="385"/>
      <c r="O12" s="385"/>
      <c r="P12" s="385"/>
      <c r="Q12" s="385"/>
      <c r="R12" s="385"/>
      <c r="S12" s="385"/>
      <c r="T12" s="385"/>
      <c r="U12" s="385"/>
      <c r="V12" s="385"/>
      <c r="W12" s="385"/>
      <c r="X12" s="385"/>
      <c r="Y12" s="385"/>
      <c r="Z12" s="385"/>
      <c r="AA12" s="385"/>
    </row>
    <row r="13" spans="2:28" s="386" customFormat="1" ht="27.95" customHeight="1">
      <c r="B13" s="398" t="s">
        <v>165</v>
      </c>
      <c r="C13" s="397">
        <v>4000000</v>
      </c>
      <c r="D13" s="396">
        <v>750</v>
      </c>
      <c r="E13" s="395">
        <v>1.0000076319545415</v>
      </c>
      <c r="F13" s="385"/>
      <c r="G13" s="385"/>
      <c r="H13" s="385"/>
      <c r="I13" s="385"/>
      <c r="J13" s="385"/>
      <c r="K13" s="385"/>
      <c r="L13" s="385"/>
      <c r="M13" s="385"/>
      <c r="N13" s="385"/>
      <c r="O13" s="385"/>
      <c r="P13" s="385"/>
      <c r="Q13" s="385"/>
      <c r="R13" s="385"/>
      <c r="S13" s="385"/>
      <c r="T13" s="385"/>
      <c r="U13" s="385"/>
      <c r="V13" s="385"/>
      <c r="W13" s="385"/>
      <c r="X13" s="385"/>
      <c r="Y13" s="385"/>
      <c r="Z13" s="385"/>
      <c r="AA13" s="385"/>
    </row>
    <row r="14" spans="2:28" s="386" customFormat="1" ht="27.95" customHeight="1">
      <c r="B14" s="398" t="s">
        <v>164</v>
      </c>
      <c r="C14" s="397">
        <v>0</v>
      </c>
      <c r="D14" s="396">
        <v>481.00040759017941</v>
      </c>
      <c r="E14" s="395">
        <v>0.99999999999999989</v>
      </c>
      <c r="F14" s="385"/>
      <c r="G14" s="385"/>
      <c r="H14" s="385"/>
      <c r="I14" s="385"/>
      <c r="J14" s="385"/>
      <c r="K14" s="385"/>
      <c r="L14" s="385"/>
      <c r="M14" s="385"/>
      <c r="N14" s="385"/>
      <c r="O14" s="385"/>
      <c r="P14" s="385"/>
      <c r="Q14" s="385"/>
      <c r="R14" s="385"/>
      <c r="S14" s="385"/>
      <c r="T14" s="385"/>
      <c r="U14" s="385"/>
      <c r="V14" s="385"/>
      <c r="W14" s="385"/>
      <c r="X14" s="385"/>
      <c r="Y14" s="385"/>
      <c r="Z14" s="385"/>
      <c r="AA14" s="385"/>
    </row>
    <row r="15" spans="2:28" s="386" customFormat="1" ht="27.95" customHeight="1">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row>
    <row r="16" spans="2:28" s="386" customFormat="1" ht="27.95" customHeight="1">
      <c r="B16" s="394" t="s">
        <v>163</v>
      </c>
      <c r="C16" s="385"/>
      <c r="D16" s="385"/>
      <c r="E16" s="385"/>
      <c r="F16" s="385"/>
      <c r="G16" s="385"/>
      <c r="H16" s="385"/>
      <c r="I16" s="385"/>
      <c r="J16" s="385"/>
      <c r="K16" s="385"/>
      <c r="L16" s="385"/>
      <c r="M16" s="385"/>
      <c r="N16" s="385"/>
      <c r="O16" s="385"/>
      <c r="P16" s="385"/>
      <c r="Q16" s="385"/>
      <c r="R16" s="385"/>
      <c r="S16" s="385"/>
      <c r="T16" s="385"/>
      <c r="U16" s="385"/>
      <c r="V16" s="385"/>
      <c r="W16" s="385"/>
      <c r="X16" s="385"/>
      <c r="Y16" s="385"/>
      <c r="Z16" s="385"/>
      <c r="AA16" s="385"/>
    </row>
    <row r="17" spans="2:27" s="386" customFormat="1" ht="27.95" customHeight="1">
      <c r="B17" s="385"/>
      <c r="C17" s="393" t="s">
        <v>162</v>
      </c>
      <c r="D17" s="390">
        <v>0</v>
      </c>
      <c r="E17" s="390">
        <v>1.2500000000000001E-2</v>
      </c>
      <c r="F17" s="390">
        <v>2.5000000000000001E-2</v>
      </c>
      <c r="G17" s="390">
        <v>0.05</v>
      </c>
      <c r="H17" s="390">
        <v>0.1</v>
      </c>
      <c r="I17" s="390">
        <v>0.15</v>
      </c>
      <c r="J17" s="390">
        <v>0.2</v>
      </c>
      <c r="K17" s="390">
        <v>0.25</v>
      </c>
      <c r="L17" s="390">
        <v>0.3</v>
      </c>
      <c r="M17" s="390">
        <v>0.35</v>
      </c>
      <c r="N17" s="390">
        <v>0.4</v>
      </c>
      <c r="O17" s="390">
        <v>0.45</v>
      </c>
      <c r="P17" s="390">
        <v>0.5</v>
      </c>
      <c r="Q17" s="390">
        <v>0.55000000000000004</v>
      </c>
      <c r="R17" s="390">
        <v>0.6</v>
      </c>
      <c r="S17" s="390">
        <v>0.65</v>
      </c>
      <c r="T17" s="390">
        <v>0.7</v>
      </c>
      <c r="U17" s="390">
        <v>0.75</v>
      </c>
      <c r="V17" s="390">
        <v>0.8</v>
      </c>
      <c r="W17" s="390">
        <v>0.85</v>
      </c>
      <c r="X17" s="390">
        <v>0.9</v>
      </c>
      <c r="Y17" s="390">
        <v>0.95</v>
      </c>
      <c r="Z17" s="390">
        <v>1</v>
      </c>
      <c r="AA17" s="392">
        <v>0</v>
      </c>
    </row>
    <row r="18" spans="2:27" s="386" customFormat="1" ht="27.95" customHeight="1">
      <c r="B18" s="391" t="s">
        <v>161</v>
      </c>
      <c r="C18" s="390">
        <v>481.00040759017941</v>
      </c>
      <c r="D18" s="390">
        <v>481.00040759017941</v>
      </c>
      <c r="E18" s="390">
        <v>484.36290249530214</v>
      </c>
      <c r="F18" s="390">
        <v>487.72539740042492</v>
      </c>
      <c r="G18" s="390">
        <v>494.45038721067044</v>
      </c>
      <c r="H18" s="390">
        <v>507.90036683116148</v>
      </c>
      <c r="I18" s="390">
        <v>521.35034645165251</v>
      </c>
      <c r="J18" s="390">
        <v>534.80032607214355</v>
      </c>
      <c r="K18" s="390">
        <v>548.25030569263458</v>
      </c>
      <c r="L18" s="390">
        <v>561.70028531312562</v>
      </c>
      <c r="M18" s="390">
        <v>575.15026493361665</v>
      </c>
      <c r="N18" s="390">
        <v>588.60024455410769</v>
      </c>
      <c r="O18" s="390">
        <v>602.05022417459872</v>
      </c>
      <c r="P18" s="390">
        <v>615.50020379508965</v>
      </c>
      <c r="Q18" s="390">
        <v>628.9501834155808</v>
      </c>
      <c r="R18" s="390">
        <v>642.40016303607172</v>
      </c>
      <c r="S18" s="390">
        <v>655.85014265656287</v>
      </c>
      <c r="T18" s="390">
        <v>669.30012227705379</v>
      </c>
      <c r="U18" s="390">
        <v>682.75010189754482</v>
      </c>
      <c r="V18" s="390">
        <v>696.20008151803586</v>
      </c>
      <c r="W18" s="390">
        <v>709.65006113852689</v>
      </c>
      <c r="X18" s="390">
        <v>723.10004075901793</v>
      </c>
      <c r="Y18" s="390">
        <v>736.55002037950896</v>
      </c>
      <c r="Z18" s="390">
        <v>750</v>
      </c>
      <c r="AA18" s="390" t="s">
        <v>150</v>
      </c>
    </row>
    <row r="19" spans="2:27" s="386" customFormat="1" ht="27.95" customHeight="1">
      <c r="B19" s="391" t="s">
        <v>160</v>
      </c>
      <c r="C19" s="390"/>
      <c r="D19" s="390">
        <v>0</v>
      </c>
      <c r="E19" s="390">
        <v>1465351.9360857469</v>
      </c>
      <c r="F19" s="390">
        <v>1752943.3463533209</v>
      </c>
      <c r="G19" s="390">
        <v>2093342.8318736444</v>
      </c>
      <c r="H19" s="390">
        <v>2491151.3768746308</v>
      </c>
      <c r="I19" s="390">
        <v>2750029.2453408251</v>
      </c>
      <c r="J19" s="390">
        <v>2943830.2345958035</v>
      </c>
      <c r="K19" s="390">
        <v>3098581.9710253999</v>
      </c>
      <c r="L19" s="390">
        <v>3226838.0549481036</v>
      </c>
      <c r="M19" s="390">
        <v>3335723.9520448297</v>
      </c>
      <c r="N19" s="390">
        <v>3429718.9330638344</v>
      </c>
      <c r="O19" s="390">
        <v>3511845.0541723082</v>
      </c>
      <c r="P19" s="390">
        <v>3584250.2823539753</v>
      </c>
      <c r="Q19" s="390">
        <v>3648523.8489532317</v>
      </c>
      <c r="R19" s="390">
        <v>3705879.7912910003</v>
      </c>
      <c r="S19" s="390">
        <v>3757270.0899018138</v>
      </c>
      <c r="T19" s="390">
        <v>3803457.7052331339</v>
      </c>
      <c r="U19" s="390">
        <v>3845065.5544580705</v>
      </c>
      <c r="V19" s="390">
        <v>3882610.4175346121</v>
      </c>
      <c r="W19" s="390">
        <v>3916527.0545133846</v>
      </c>
      <c r="X19" s="390">
        <v>3947185.7646553782</v>
      </c>
      <c r="Y19" s="390">
        <v>3974905.4322459428</v>
      </c>
      <c r="Z19" s="390">
        <v>3999963.3925961163</v>
      </c>
      <c r="AA19" s="390">
        <v>1</v>
      </c>
    </row>
    <row r="20" spans="2:27" s="386" customFormat="1" ht="27.95" customHeight="1">
      <c r="B20" s="377"/>
      <c r="C20" s="390"/>
      <c r="D20" s="390">
        <v>64.133387678690596</v>
      </c>
      <c r="E20" s="390">
        <v>64.581720332706951</v>
      </c>
      <c r="F20" s="390">
        <v>65.030052986723319</v>
      </c>
      <c r="G20" s="390">
        <v>65.926718294756057</v>
      </c>
      <c r="H20" s="390">
        <v>67.720048910821532</v>
      </c>
      <c r="I20" s="390">
        <v>69.513379526886993</v>
      </c>
      <c r="J20" s="390">
        <v>71.306710142952483</v>
      </c>
      <c r="K20" s="390">
        <v>73.100040759017944</v>
      </c>
      <c r="L20" s="390">
        <v>74.893371375083419</v>
      </c>
      <c r="M20" s="390">
        <v>76.68670199114888</v>
      </c>
      <c r="N20" s="390">
        <v>78.480032607214355</v>
      </c>
      <c r="O20" s="390">
        <v>80.27336322327983</v>
      </c>
      <c r="P20" s="390">
        <v>82.066693839345277</v>
      </c>
      <c r="Q20" s="390">
        <v>83.86002445541078</v>
      </c>
      <c r="R20" s="390">
        <v>85.653355071476227</v>
      </c>
      <c r="S20" s="390">
        <v>87.446685687541716</v>
      </c>
      <c r="T20" s="390">
        <v>89.240016303607177</v>
      </c>
      <c r="U20" s="390">
        <v>91.033346919672638</v>
      </c>
      <c r="V20" s="390">
        <v>92.826677535738114</v>
      </c>
      <c r="W20" s="390">
        <v>94.620008151803574</v>
      </c>
      <c r="X20" s="390">
        <v>96.413338767869064</v>
      </c>
      <c r="Y20" s="390">
        <v>98.206669383934525</v>
      </c>
      <c r="Z20" s="390">
        <v>100</v>
      </c>
      <c r="AA20" s="390">
        <v>0</v>
      </c>
    </row>
    <row r="21" spans="2:27" s="386" customFormat="1" ht="27.95" customHeight="1">
      <c r="B21" s="391" t="s">
        <v>159</v>
      </c>
      <c r="C21" s="390">
        <v>552.90036683116159</v>
      </c>
      <c r="D21" s="390">
        <v>552.90036683116159</v>
      </c>
      <c r="E21" s="390">
        <v>555.36411224577205</v>
      </c>
      <c r="F21" s="390">
        <v>557.82785766038251</v>
      </c>
      <c r="G21" s="390">
        <v>562.75534848960353</v>
      </c>
      <c r="H21" s="390">
        <v>572.61033014804548</v>
      </c>
      <c r="I21" s="390">
        <v>582.46531180648731</v>
      </c>
      <c r="J21" s="390">
        <v>592.32029346492925</v>
      </c>
      <c r="K21" s="390">
        <v>602.17527512337119</v>
      </c>
      <c r="L21" s="390">
        <v>612.03025678181314</v>
      </c>
      <c r="M21" s="390">
        <v>621.88523844025508</v>
      </c>
      <c r="N21" s="390">
        <v>631.74022009869691</v>
      </c>
      <c r="O21" s="390">
        <v>641.59520175713885</v>
      </c>
      <c r="P21" s="390">
        <v>651.4501834155808</v>
      </c>
      <c r="Q21" s="390">
        <v>661.30516507402274</v>
      </c>
      <c r="R21" s="390">
        <v>671.16014673246468</v>
      </c>
      <c r="S21" s="390">
        <v>681.01512839090651</v>
      </c>
      <c r="T21" s="390">
        <v>690.87011004934845</v>
      </c>
      <c r="U21" s="390">
        <v>700.7250917077904</v>
      </c>
      <c r="V21" s="390">
        <v>710.58007336623234</v>
      </c>
      <c r="W21" s="390">
        <v>720.43505502467428</v>
      </c>
      <c r="X21" s="390">
        <v>730.29003668311611</v>
      </c>
      <c r="Y21" s="390">
        <v>740.14501834155806</v>
      </c>
      <c r="Z21" s="390">
        <v>750</v>
      </c>
      <c r="AA21" s="390" t="s">
        <v>150</v>
      </c>
    </row>
    <row r="22" spans="2:27" s="386" customFormat="1" ht="27.95" customHeight="1">
      <c r="B22" s="391" t="s">
        <v>158</v>
      </c>
      <c r="C22" s="390"/>
      <c r="D22" s="390">
        <v>0</v>
      </c>
      <c r="E22" s="390">
        <v>1250293.6982055297</v>
      </c>
      <c r="F22" s="390">
        <v>1496159.2057108853</v>
      </c>
      <c r="G22" s="390">
        <v>1787848.093149391</v>
      </c>
      <c r="H22" s="390">
        <v>2130362.9973234367</v>
      </c>
      <c r="I22" s="390">
        <v>2354817.685144336</v>
      </c>
      <c r="J22" s="390">
        <v>2524074.8196134898</v>
      </c>
      <c r="K22" s="390">
        <v>2660263.6041018004</v>
      </c>
      <c r="L22" s="390">
        <v>2774045.1056191325</v>
      </c>
      <c r="M22" s="390">
        <v>2871463.174798687</v>
      </c>
      <c r="N22" s="390">
        <v>2956312.0833318685</v>
      </c>
      <c r="O22" s="390">
        <v>3031147.9684429192</v>
      </c>
      <c r="P22" s="390">
        <v>3097784.6632408551</v>
      </c>
      <c r="Q22" s="390">
        <v>3157561.7217750899</v>
      </c>
      <c r="R22" s="390">
        <v>3211500.3460674924</v>
      </c>
      <c r="S22" s="390">
        <v>3260399.4599348982</v>
      </c>
      <c r="T22" s="390">
        <v>3304897.7042580065</v>
      </c>
      <c r="U22" s="390">
        <v>3345514.9930258882</v>
      </c>
      <c r="V22" s="390">
        <v>3382681.271451789</v>
      </c>
      <c r="W22" s="390">
        <v>3416756.9649466062</v>
      </c>
      <c r="X22" s="390">
        <v>3448047.8636420579</v>
      </c>
      <c r="Y22" s="390">
        <v>3476816.1793665579</v>
      </c>
      <c r="Z22" s="390">
        <v>3503288.9074605913</v>
      </c>
      <c r="AA22" s="390">
        <v>0.9</v>
      </c>
    </row>
    <row r="23" spans="2:27" s="386" customFormat="1" ht="27.95" customHeight="1">
      <c r="B23" s="377"/>
      <c r="C23" s="390"/>
      <c r="D23" s="390">
        <v>73.720048910821546</v>
      </c>
      <c r="E23" s="390">
        <v>74.048548299436263</v>
      </c>
      <c r="F23" s="390">
        <v>74.377047688051007</v>
      </c>
      <c r="G23" s="390">
        <v>75.034046465280468</v>
      </c>
      <c r="H23" s="390">
        <v>76.34804401973939</v>
      </c>
      <c r="I23" s="390">
        <v>77.662041574198298</v>
      </c>
      <c r="J23" s="390">
        <v>78.976039128657234</v>
      </c>
      <c r="K23" s="390">
        <v>80.290036683116156</v>
      </c>
      <c r="L23" s="390">
        <v>81.604034237575078</v>
      </c>
      <c r="M23" s="390">
        <v>82.918031792034014</v>
      </c>
      <c r="N23" s="390">
        <v>84.232029346492922</v>
      </c>
      <c r="O23" s="390">
        <v>85.546026900951844</v>
      </c>
      <c r="P23" s="390">
        <v>86.86002445541078</v>
      </c>
      <c r="Q23" s="390">
        <v>88.174022009869702</v>
      </c>
      <c r="R23" s="390">
        <v>89.488019564328624</v>
      </c>
      <c r="S23" s="390">
        <v>90.802017118787532</v>
      </c>
      <c r="T23" s="390">
        <v>92.116014673246454</v>
      </c>
      <c r="U23" s="390">
        <v>93.43001222770539</v>
      </c>
      <c r="V23" s="390">
        <v>94.744009782164312</v>
      </c>
      <c r="W23" s="390">
        <v>96.058007336623234</v>
      </c>
      <c r="X23" s="390">
        <v>97.372004891082156</v>
      </c>
      <c r="Y23" s="390">
        <v>98.686002445541078</v>
      </c>
      <c r="Z23" s="390">
        <v>100</v>
      </c>
      <c r="AA23" s="390">
        <v>0</v>
      </c>
    </row>
    <row r="24" spans="2:27" s="386" customFormat="1" ht="27.95" customHeight="1">
      <c r="B24" s="391" t="s">
        <v>157</v>
      </c>
      <c r="C24" s="390">
        <v>624.80032607214366</v>
      </c>
      <c r="D24" s="390">
        <v>624.80032607214366</v>
      </c>
      <c r="E24" s="390">
        <v>626.36532199624185</v>
      </c>
      <c r="F24" s="390">
        <v>627.93031792034003</v>
      </c>
      <c r="G24" s="390">
        <v>631.06030976853651</v>
      </c>
      <c r="H24" s="390">
        <v>637.32029346492925</v>
      </c>
      <c r="I24" s="390">
        <v>643.5802771613221</v>
      </c>
      <c r="J24" s="390">
        <v>649.84026085771495</v>
      </c>
      <c r="K24" s="390">
        <v>656.1002445541078</v>
      </c>
      <c r="L24" s="390">
        <v>662.36022825050054</v>
      </c>
      <c r="M24" s="390">
        <v>668.62021194689339</v>
      </c>
      <c r="N24" s="390">
        <v>674.88019564328624</v>
      </c>
      <c r="O24" s="390">
        <v>681.14017933967898</v>
      </c>
      <c r="P24" s="390">
        <v>687.40016303607183</v>
      </c>
      <c r="Q24" s="390">
        <v>693.66014673246468</v>
      </c>
      <c r="R24" s="390">
        <v>699.92013042885742</v>
      </c>
      <c r="S24" s="390">
        <v>706.18011412525027</v>
      </c>
      <c r="T24" s="390">
        <v>712.44009782164312</v>
      </c>
      <c r="U24" s="390">
        <v>718.70008151803586</v>
      </c>
      <c r="V24" s="390">
        <v>724.96006521442871</v>
      </c>
      <c r="W24" s="390">
        <v>731.22004891082156</v>
      </c>
      <c r="X24" s="390">
        <v>737.48003260721441</v>
      </c>
      <c r="Y24" s="390">
        <v>743.74001630360715</v>
      </c>
      <c r="Z24" s="390">
        <v>750</v>
      </c>
      <c r="AA24" s="390" t="s">
        <v>150</v>
      </c>
    </row>
    <row r="25" spans="2:27" s="386" customFormat="1" ht="27.95" customHeight="1">
      <c r="B25" s="391" t="s">
        <v>156</v>
      </c>
      <c r="C25" s="390"/>
      <c r="D25" s="390">
        <v>0</v>
      </c>
      <c r="E25" s="390">
        <v>1018455.5563469367</v>
      </c>
      <c r="F25" s="390">
        <v>1219221.2887816213</v>
      </c>
      <c r="G25" s="390">
        <v>1458093.4848646165</v>
      </c>
      <c r="H25" s="390">
        <v>1740247.1848333646</v>
      </c>
      <c r="I25" s="390">
        <v>1926728.0578378043</v>
      </c>
      <c r="J25" s="390">
        <v>2068589.0035688176</v>
      </c>
      <c r="K25" s="390">
        <v>2183777.4545526188</v>
      </c>
      <c r="L25" s="390">
        <v>2280928.1522580674</v>
      </c>
      <c r="M25" s="390">
        <v>2364929.3581459806</v>
      </c>
      <c r="N25" s="390">
        <v>2438845.355662527</v>
      </c>
      <c r="O25" s="390">
        <v>2504737.2615398858</v>
      </c>
      <c r="P25" s="390">
        <v>2564065.1764237732</v>
      </c>
      <c r="Q25" s="390">
        <v>2617905.4491284527</v>
      </c>
      <c r="R25" s="390">
        <v>2667077.0028810748</v>
      </c>
      <c r="S25" s="390">
        <v>2712219.1279185913</v>
      </c>
      <c r="T25" s="390">
        <v>2753841.6527034831</v>
      </c>
      <c r="U25" s="390">
        <v>2792358.55601484</v>
      </c>
      <c r="V25" s="390">
        <v>2828111.2152047637</v>
      </c>
      <c r="W25" s="390">
        <v>2861384.928672289</v>
      </c>
      <c r="X25" s="390">
        <v>2892420.9362770314</v>
      </c>
      <c r="Y25" s="390">
        <v>2921425.3444244177</v>
      </c>
      <c r="Z25" s="390">
        <v>2948575.872637603</v>
      </c>
      <c r="AA25" s="390">
        <v>0.8</v>
      </c>
    </row>
    <row r="26" spans="2:27" s="386" customFormat="1" ht="27.95" customHeight="1">
      <c r="B26" s="377"/>
      <c r="C26" s="390"/>
      <c r="D26" s="390">
        <v>83.306710142952483</v>
      </c>
      <c r="E26" s="390">
        <v>83.515376266165575</v>
      </c>
      <c r="F26" s="390">
        <v>83.724042389378667</v>
      </c>
      <c r="G26" s="390">
        <v>84.141374635804866</v>
      </c>
      <c r="H26" s="390">
        <v>84.976039128657234</v>
      </c>
      <c r="I26" s="390">
        <v>85.810703621509603</v>
      </c>
      <c r="J26" s="390">
        <v>86.645368114362</v>
      </c>
      <c r="K26" s="390">
        <v>87.480032607214369</v>
      </c>
      <c r="L26" s="390">
        <v>88.314697100066738</v>
      </c>
      <c r="M26" s="390">
        <v>89.149361592919121</v>
      </c>
      <c r="N26" s="390">
        <v>89.98402608577149</v>
      </c>
      <c r="O26" s="390">
        <v>90.818690578623858</v>
      </c>
      <c r="P26" s="390">
        <v>91.653355071476241</v>
      </c>
      <c r="Q26" s="390">
        <v>92.488019564328624</v>
      </c>
      <c r="R26" s="390">
        <v>93.322684057180993</v>
      </c>
      <c r="S26" s="390">
        <v>94.157348550033376</v>
      </c>
      <c r="T26" s="390">
        <v>94.992013042885745</v>
      </c>
      <c r="U26" s="390">
        <v>95.826677535738114</v>
      </c>
      <c r="V26" s="390">
        <v>96.661342028590497</v>
      </c>
      <c r="W26" s="390">
        <v>97.496006521442879</v>
      </c>
      <c r="X26" s="390">
        <v>98.330671014295262</v>
      </c>
      <c r="Y26" s="390">
        <v>99.165335507147617</v>
      </c>
      <c r="Z26" s="390">
        <v>100</v>
      </c>
      <c r="AA26" s="390" t="s">
        <v>0</v>
      </c>
    </row>
    <row r="27" spans="2:27" s="386" customFormat="1" ht="27.95" customHeight="1">
      <c r="B27" s="391" t="s">
        <v>155</v>
      </c>
      <c r="C27" s="390">
        <v>696.70028531312562</v>
      </c>
      <c r="D27" s="390">
        <v>696.70028531312562</v>
      </c>
      <c r="E27" s="390">
        <v>697.36653174671153</v>
      </c>
      <c r="F27" s="390">
        <v>698.03277818029744</v>
      </c>
      <c r="G27" s="390">
        <v>699.36527104746938</v>
      </c>
      <c r="H27" s="390">
        <v>702.03025678181302</v>
      </c>
      <c r="I27" s="390">
        <v>704.69524251615678</v>
      </c>
      <c r="J27" s="390">
        <v>707.36022825050054</v>
      </c>
      <c r="K27" s="390">
        <v>710.02521398484419</v>
      </c>
      <c r="L27" s="390">
        <v>712.69019971918794</v>
      </c>
      <c r="M27" s="390">
        <v>715.3551854535317</v>
      </c>
      <c r="N27" s="390">
        <v>718.02017118787535</v>
      </c>
      <c r="O27" s="390">
        <v>720.68515692221911</v>
      </c>
      <c r="P27" s="390">
        <v>723.35014265656287</v>
      </c>
      <c r="Q27" s="390">
        <v>726.01512839090651</v>
      </c>
      <c r="R27" s="390">
        <v>728.68011412525027</v>
      </c>
      <c r="S27" s="390">
        <v>731.34509985959392</v>
      </c>
      <c r="T27" s="390">
        <v>734.01008559393767</v>
      </c>
      <c r="U27" s="390">
        <v>736.67507132828143</v>
      </c>
      <c r="V27" s="390">
        <v>739.34005706262508</v>
      </c>
      <c r="W27" s="390">
        <v>742.00504279696884</v>
      </c>
      <c r="X27" s="390">
        <v>744.6700285313126</v>
      </c>
      <c r="Y27" s="390">
        <v>747.33501426565624</v>
      </c>
      <c r="Z27" s="390">
        <v>750</v>
      </c>
      <c r="AA27" s="390" t="s">
        <v>150</v>
      </c>
    </row>
    <row r="28" spans="2:27" s="386" customFormat="1" ht="27.95" customHeight="1">
      <c r="B28" s="391" t="s">
        <v>154</v>
      </c>
      <c r="C28" s="390"/>
      <c r="D28" s="390">
        <v>0</v>
      </c>
      <c r="E28" s="390">
        <v>738757.92782526324</v>
      </c>
      <c r="F28" s="390">
        <v>884844.68954458192</v>
      </c>
      <c r="G28" s="390">
        <v>1059300.7514804895</v>
      </c>
      <c r="H28" s="390">
        <v>1266909.8161216639</v>
      </c>
      <c r="I28" s="390">
        <v>1405590.1350927325</v>
      </c>
      <c r="J28" s="390">
        <v>1512232.5791304631</v>
      </c>
      <c r="K28" s="390">
        <v>1599784.0045479895</v>
      </c>
      <c r="L28" s="390">
        <v>1674463.0678088579</v>
      </c>
      <c r="M28" s="390">
        <v>1739784.4361863236</v>
      </c>
      <c r="N28" s="390">
        <v>1797947.6348660276</v>
      </c>
      <c r="O28" s="390">
        <v>1850429.574974102</v>
      </c>
      <c r="P28" s="390">
        <v>1898274.6472274135</v>
      </c>
      <c r="Q28" s="390">
        <v>1942251.3340122742</v>
      </c>
      <c r="R28" s="390">
        <v>1982943.2049919195</v>
      </c>
      <c r="S28" s="390">
        <v>2020804.9130603794</v>
      </c>
      <c r="T28" s="390">
        <v>2056198.2825884887</v>
      </c>
      <c r="U28" s="390">
        <v>2089416.4696190432</v>
      </c>
      <c r="V28" s="390">
        <v>2120700.6608452862</v>
      </c>
      <c r="W28" s="390">
        <v>2150251.9332105992</v>
      </c>
      <c r="X28" s="390">
        <v>2178239.8759617293</v>
      </c>
      <c r="Y28" s="390">
        <v>2204808.9880127348</v>
      </c>
      <c r="Z28" s="390">
        <v>2230083.5104309171</v>
      </c>
      <c r="AA28" s="390">
        <v>0.7</v>
      </c>
    </row>
    <row r="29" spans="2:27" s="386" customFormat="1" ht="27.95" customHeight="1">
      <c r="B29" s="389"/>
      <c r="C29" s="385"/>
      <c r="D29" s="390">
        <v>92.893371375083404</v>
      </c>
      <c r="E29" s="390">
        <v>92.982204232894873</v>
      </c>
      <c r="F29" s="390">
        <v>93.071037090706326</v>
      </c>
      <c r="G29" s="390">
        <v>93.248702806329248</v>
      </c>
      <c r="H29" s="390">
        <v>93.604034237575078</v>
      </c>
      <c r="I29" s="390">
        <v>93.959365668820908</v>
      </c>
      <c r="J29" s="390">
        <v>94.314697100066738</v>
      </c>
      <c r="K29" s="390">
        <v>94.670028531312553</v>
      </c>
      <c r="L29" s="390">
        <v>95.025359962558397</v>
      </c>
      <c r="M29" s="390">
        <v>95.380691393804227</v>
      </c>
      <c r="N29" s="390">
        <v>95.736022825050043</v>
      </c>
      <c r="O29" s="390">
        <v>96.091354256295887</v>
      </c>
      <c r="P29" s="390">
        <v>96.446685687541716</v>
      </c>
      <c r="Q29" s="390">
        <v>96.802017118787532</v>
      </c>
      <c r="R29" s="390">
        <v>97.157348550033376</v>
      </c>
      <c r="S29" s="390">
        <v>97.512679981279192</v>
      </c>
      <c r="T29" s="390">
        <v>97.868011412525021</v>
      </c>
      <c r="U29" s="390">
        <v>98.223342843770851</v>
      </c>
      <c r="V29" s="390">
        <v>98.578674275016681</v>
      </c>
      <c r="W29" s="390">
        <v>98.934005706262511</v>
      </c>
      <c r="X29" s="390">
        <v>99.289337137508355</v>
      </c>
      <c r="Y29" s="390">
        <v>99.64466856875417</v>
      </c>
      <c r="Z29" s="390">
        <v>100</v>
      </c>
      <c r="AA29" s="390">
        <v>0</v>
      </c>
    </row>
    <row r="30" spans="2:27" s="386" customFormat="1" ht="27.95" customHeight="1">
      <c r="B30" s="391" t="s">
        <v>153</v>
      </c>
      <c r="C30" s="390">
        <v>768.60024455410769</v>
      </c>
      <c r="D30" s="390">
        <v>768.60024455410769</v>
      </c>
      <c r="E30" s="390">
        <v>768.36774149718133</v>
      </c>
      <c r="F30" s="390">
        <v>768.13523844025497</v>
      </c>
      <c r="G30" s="390">
        <v>767.67023232640236</v>
      </c>
      <c r="H30" s="390">
        <v>766.74022009869691</v>
      </c>
      <c r="I30" s="390">
        <v>765.81020787099158</v>
      </c>
      <c r="J30" s="390">
        <v>764.88019564328613</v>
      </c>
      <c r="K30" s="390">
        <v>763.9501834155808</v>
      </c>
      <c r="L30" s="390">
        <v>763.02017118787535</v>
      </c>
      <c r="M30" s="390">
        <v>762.09015896017002</v>
      </c>
      <c r="N30" s="390">
        <v>761.16014673246457</v>
      </c>
      <c r="O30" s="390">
        <v>760.23013450475923</v>
      </c>
      <c r="P30" s="390">
        <v>759.30012227705379</v>
      </c>
      <c r="Q30" s="390">
        <v>758.37011004934845</v>
      </c>
      <c r="R30" s="390">
        <v>757.44009782164312</v>
      </c>
      <c r="S30" s="390">
        <v>756.51008559393767</v>
      </c>
      <c r="T30" s="390">
        <v>755.58007336623234</v>
      </c>
      <c r="U30" s="390">
        <v>754.65006113852689</v>
      </c>
      <c r="V30" s="390">
        <v>753.72004891082156</v>
      </c>
      <c r="W30" s="390">
        <v>752.79003668311611</v>
      </c>
      <c r="X30" s="390">
        <v>751.86002445541078</v>
      </c>
      <c r="Y30" s="390">
        <v>750.93001222770533</v>
      </c>
      <c r="Z30" s="390">
        <v>750</v>
      </c>
      <c r="AA30" s="390" t="s">
        <v>150</v>
      </c>
    </row>
    <row r="31" spans="2:27" s="386" customFormat="1" ht="27.75" customHeight="1">
      <c r="B31" s="391" t="s">
        <v>152</v>
      </c>
      <c r="C31" s="390"/>
      <c r="D31" s="390">
        <v>0</v>
      </c>
      <c r="E31" s="390">
        <v>0</v>
      </c>
      <c r="F31" s="390">
        <v>0</v>
      </c>
      <c r="G31" s="390">
        <v>0</v>
      </c>
      <c r="H31" s="390">
        <v>0</v>
      </c>
      <c r="I31" s="390">
        <v>0</v>
      </c>
      <c r="J31" s="390">
        <v>0</v>
      </c>
      <c r="K31" s="390">
        <v>0</v>
      </c>
      <c r="L31" s="390">
        <v>0</v>
      </c>
      <c r="M31" s="390">
        <v>0</v>
      </c>
      <c r="N31" s="390">
        <v>0</v>
      </c>
      <c r="O31" s="390">
        <v>0</v>
      </c>
      <c r="P31" s="390">
        <v>0</v>
      </c>
      <c r="Q31" s="390">
        <v>0</v>
      </c>
      <c r="R31" s="390">
        <v>0</v>
      </c>
      <c r="S31" s="390">
        <v>0</v>
      </c>
      <c r="T31" s="390">
        <v>0</v>
      </c>
      <c r="U31" s="390">
        <v>0</v>
      </c>
      <c r="V31" s="390">
        <v>0</v>
      </c>
      <c r="W31" s="390">
        <v>0</v>
      </c>
      <c r="X31" s="390">
        <v>0</v>
      </c>
      <c r="Y31" s="390">
        <v>0</v>
      </c>
      <c r="Z31" s="390">
        <v>0</v>
      </c>
      <c r="AA31" s="390">
        <v>0.6</v>
      </c>
    </row>
    <row r="32" spans="2:27" s="386" customFormat="1" ht="27.95" customHeight="1">
      <c r="B32" s="377"/>
      <c r="C32" s="390"/>
      <c r="D32" s="390">
        <v>102.48003260721437</v>
      </c>
      <c r="E32" s="390">
        <v>102.44903219962418</v>
      </c>
      <c r="F32" s="390">
        <v>102.41803179203399</v>
      </c>
      <c r="G32" s="390">
        <v>102.35603097685365</v>
      </c>
      <c r="H32" s="390">
        <v>102.23202934649291</v>
      </c>
      <c r="I32" s="390">
        <v>102.10802771613221</v>
      </c>
      <c r="J32" s="390">
        <v>101.98402608577149</v>
      </c>
      <c r="K32" s="390">
        <v>101.86002445541078</v>
      </c>
      <c r="L32" s="390">
        <v>101.73602282505006</v>
      </c>
      <c r="M32" s="390">
        <v>101.61202119468933</v>
      </c>
      <c r="N32" s="390">
        <v>101.4880195643286</v>
      </c>
      <c r="O32" s="390">
        <v>101.3640179339679</v>
      </c>
      <c r="P32" s="390">
        <v>101.24001630360718</v>
      </c>
      <c r="Q32" s="390">
        <v>101.11601467324647</v>
      </c>
      <c r="R32" s="390">
        <v>100.99201304288574</v>
      </c>
      <c r="S32" s="390">
        <v>100.86801141252502</v>
      </c>
      <c r="T32" s="390">
        <v>100.74400978216431</v>
      </c>
      <c r="U32" s="390">
        <v>100.62000815180359</v>
      </c>
      <c r="V32" s="390">
        <v>100.49600652144288</v>
      </c>
      <c r="W32" s="390">
        <v>100.37200489108216</v>
      </c>
      <c r="X32" s="390">
        <v>100.24800326072143</v>
      </c>
      <c r="Y32" s="390">
        <v>100.12400163036071</v>
      </c>
      <c r="Z32" s="390">
        <v>100</v>
      </c>
      <c r="AA32" s="390" t="s">
        <v>0</v>
      </c>
    </row>
    <row r="33" spans="2:27" s="386" customFormat="1" ht="27.95" customHeight="1">
      <c r="B33" s="391" t="s">
        <v>151</v>
      </c>
      <c r="C33" s="390">
        <v>409.10044834919722</v>
      </c>
      <c r="D33" s="390">
        <v>409.10044834919722</v>
      </c>
      <c r="E33" s="390">
        <v>413.36169274483228</v>
      </c>
      <c r="F33" s="390">
        <v>417.62293714046729</v>
      </c>
      <c r="G33" s="390">
        <v>426.14542593173735</v>
      </c>
      <c r="H33" s="390">
        <v>443.19040351427748</v>
      </c>
      <c r="I33" s="390">
        <v>460.23538109681766</v>
      </c>
      <c r="J33" s="390">
        <v>477.28035867935779</v>
      </c>
      <c r="K33" s="390">
        <v>494.32533626189792</v>
      </c>
      <c r="L33" s="390">
        <v>511.37031384443804</v>
      </c>
      <c r="M33" s="390">
        <v>528.41529142697823</v>
      </c>
      <c r="N33" s="390">
        <v>545.46026900951836</v>
      </c>
      <c r="O33" s="390">
        <v>562.50524659205848</v>
      </c>
      <c r="P33" s="390">
        <v>579.55022417459861</v>
      </c>
      <c r="Q33" s="390">
        <v>596.59520175713874</v>
      </c>
      <c r="R33" s="390">
        <v>613.64017933967887</v>
      </c>
      <c r="S33" s="390">
        <v>630.68515692221899</v>
      </c>
      <c r="T33" s="390">
        <v>647.73013450475912</v>
      </c>
      <c r="U33" s="390">
        <v>664.77511208729925</v>
      </c>
      <c r="V33" s="390">
        <v>681.82008966983949</v>
      </c>
      <c r="W33" s="390">
        <v>698.8650672523795</v>
      </c>
      <c r="X33" s="390">
        <v>715.91004483491974</v>
      </c>
      <c r="Y33" s="390">
        <v>732.95502241745987</v>
      </c>
      <c r="Z33" s="390">
        <v>750</v>
      </c>
      <c r="AA33" s="390" t="s">
        <v>150</v>
      </c>
    </row>
    <row r="34" spans="2:27" s="386" customFormat="1" ht="27.95" customHeight="1">
      <c r="B34" s="391" t="s">
        <v>149</v>
      </c>
      <c r="C34" s="390"/>
      <c r="D34" s="390">
        <v>0</v>
      </c>
      <c r="E34" s="390">
        <v>1672125.900947683</v>
      </c>
      <c r="F34" s="390">
        <v>1999771.8691048143</v>
      </c>
      <c r="G34" s="390">
        <v>2386840.3704946069</v>
      </c>
      <c r="H34" s="390">
        <v>2837406.4065047419</v>
      </c>
      <c r="I34" s="390">
        <v>3128917.2893971652</v>
      </c>
      <c r="J34" s="390">
        <v>3345816.3918500436</v>
      </c>
      <c r="K34" s="390">
        <v>3517891.628593917</v>
      </c>
      <c r="L34" s="390">
        <v>3659524.5473643146</v>
      </c>
      <c r="M34" s="390">
        <v>3778887.0652901032</v>
      </c>
      <c r="N34" s="390">
        <v>3881122.5648153359</v>
      </c>
      <c r="O34" s="390">
        <v>3969705.9824642013</v>
      </c>
      <c r="P34" s="390">
        <v>4047111.0985718761</v>
      </c>
      <c r="Q34" s="390">
        <v>4115171.5369363627</v>
      </c>
      <c r="R34" s="390">
        <v>4175290.9469045578</v>
      </c>
      <c r="S34" s="390">
        <v>4228572.6053047488</v>
      </c>
      <c r="T34" s="390">
        <v>4275903.1075927531</v>
      </c>
      <c r="U34" s="390">
        <v>4318008.5038149003</v>
      </c>
      <c r="V34" s="390">
        <v>4355493.16804602</v>
      </c>
      <c r="W34" s="390">
        <v>4388867.4481336577</v>
      </c>
      <c r="X34" s="390">
        <v>4418567.7947742362</v>
      </c>
      <c r="Y34" s="390">
        <v>4444971.711707321</v>
      </c>
      <c r="Z34" s="390">
        <v>4468409.0543197971</v>
      </c>
      <c r="AA34" s="390">
        <v>1.1000000000000001</v>
      </c>
    </row>
    <row r="35" spans="2:27" s="386" customFormat="1" ht="27.95" customHeight="1">
      <c r="B35" s="389"/>
      <c r="C35" s="385"/>
      <c r="D35" s="390">
        <v>54.546726446559632</v>
      </c>
      <c r="E35" s="390">
        <v>55.114892365977639</v>
      </c>
      <c r="F35" s="390">
        <v>55.683058285395639</v>
      </c>
      <c r="G35" s="390">
        <v>56.819390124231653</v>
      </c>
      <c r="H35" s="390">
        <v>59.092053801903667</v>
      </c>
      <c r="I35" s="390">
        <v>61.364717479575695</v>
      </c>
      <c r="J35" s="390">
        <v>63.637381157247709</v>
      </c>
      <c r="K35" s="390">
        <v>65.910044834919717</v>
      </c>
      <c r="L35" s="390">
        <v>68.182708512591745</v>
      </c>
      <c r="M35" s="390">
        <v>70.455372190263759</v>
      </c>
      <c r="N35" s="390">
        <v>72.728035867935787</v>
      </c>
      <c r="O35" s="390">
        <v>75.000699545607802</v>
      </c>
      <c r="P35" s="390">
        <v>77.273363223279816</v>
      </c>
      <c r="Q35" s="390">
        <v>79.54602690095183</v>
      </c>
      <c r="R35" s="390">
        <v>81.818690578623858</v>
      </c>
      <c r="S35" s="390">
        <v>84.091354256295872</v>
      </c>
      <c r="T35" s="390">
        <v>86.364017933967887</v>
      </c>
      <c r="U35" s="390">
        <v>88.636681611639901</v>
      </c>
      <c r="V35" s="390">
        <v>90.909345289311929</v>
      </c>
      <c r="W35" s="390">
        <v>93.182008966983929</v>
      </c>
      <c r="X35" s="390">
        <v>95.454672644655972</v>
      </c>
      <c r="Y35" s="390">
        <v>97.727336322327986</v>
      </c>
      <c r="Z35" s="390">
        <v>100</v>
      </c>
      <c r="AA35" s="390">
        <v>0</v>
      </c>
    </row>
    <row r="36" spans="2:27" s="386" customFormat="1" ht="27.95" customHeight="1">
      <c r="B36" s="389"/>
      <c r="C36" s="385"/>
      <c r="D36" s="389"/>
      <c r="E36" s="388"/>
      <c r="F36" s="385"/>
      <c r="G36" s="387"/>
      <c r="H36" s="385"/>
      <c r="I36" s="385"/>
      <c r="J36" s="385"/>
      <c r="K36" s="385"/>
      <c r="L36" s="385"/>
      <c r="M36" s="385"/>
      <c r="N36" s="385"/>
      <c r="O36" s="385"/>
      <c r="P36" s="385"/>
      <c r="Q36" s="385"/>
      <c r="R36" s="385"/>
      <c r="S36" s="385"/>
      <c r="T36" s="385"/>
      <c r="U36" s="385"/>
      <c r="V36" s="385"/>
      <c r="W36" s="385"/>
      <c r="X36" s="385"/>
      <c r="Y36" s="385"/>
      <c r="Z36" s="385"/>
      <c r="AA36" s="385"/>
    </row>
    <row r="37" spans="2:27" ht="27.95" customHeight="1">
      <c r="B37" s="384" t="s">
        <v>148</v>
      </c>
      <c r="C37" s="385"/>
      <c r="D37" s="385"/>
      <c r="E37" s="372"/>
      <c r="F37" s="384" t="s">
        <v>147</v>
      </c>
      <c r="G37" s="384" t="s">
        <v>146</v>
      </c>
      <c r="H37" s="384" t="s">
        <v>141</v>
      </c>
      <c r="I37" s="372"/>
      <c r="J37" s="372"/>
      <c r="K37" s="372"/>
      <c r="L37" s="372"/>
      <c r="M37" s="372"/>
      <c r="N37" s="372"/>
      <c r="O37" s="372"/>
      <c r="P37" s="372"/>
      <c r="Q37" s="372"/>
      <c r="R37" s="372"/>
      <c r="S37" s="372"/>
      <c r="T37" s="372"/>
      <c r="U37" s="372"/>
      <c r="V37" s="372"/>
      <c r="W37" s="372"/>
      <c r="X37" s="372"/>
      <c r="Y37" s="372"/>
      <c r="Z37" s="372"/>
      <c r="AA37" s="372"/>
    </row>
    <row r="38" spans="2:27" ht="27.95" customHeight="1">
      <c r="B38" s="374" t="s">
        <v>145</v>
      </c>
      <c r="C38" s="382">
        <v>3500000</v>
      </c>
      <c r="D38" s="380">
        <v>80</v>
      </c>
      <c r="E38" s="372"/>
      <c r="F38" s="374">
        <v>3.831</v>
      </c>
      <c r="G38" s="378">
        <v>3500000</v>
      </c>
      <c r="H38" s="374">
        <v>600</v>
      </c>
      <c r="I38" s="372"/>
      <c r="J38" s="372"/>
      <c r="K38" s="372"/>
      <c r="L38" s="372"/>
      <c r="M38" s="372"/>
      <c r="N38" s="372"/>
      <c r="O38" s="372"/>
      <c r="P38" s="372"/>
      <c r="Q38" s="372"/>
      <c r="R38" s="372"/>
      <c r="S38" s="372"/>
      <c r="T38" s="372"/>
      <c r="U38" s="372"/>
      <c r="V38" s="372"/>
      <c r="W38" s="372"/>
      <c r="X38" s="372"/>
      <c r="Y38" s="372"/>
      <c r="Z38" s="372"/>
      <c r="AA38" s="372"/>
    </row>
    <row r="39" spans="2:27" ht="27.95" customHeight="1">
      <c r="B39" s="374" t="s">
        <v>144</v>
      </c>
      <c r="C39" s="382">
        <v>4000000</v>
      </c>
      <c r="D39" s="380">
        <v>100</v>
      </c>
      <c r="E39" s="372"/>
      <c r="F39" s="384"/>
      <c r="G39" s="372"/>
      <c r="H39" s="372"/>
      <c r="I39" s="372"/>
      <c r="J39" s="372"/>
      <c r="K39" s="372"/>
      <c r="L39" s="372"/>
      <c r="M39" s="372"/>
      <c r="N39" s="372"/>
      <c r="O39" s="372"/>
      <c r="P39" s="372"/>
      <c r="Q39" s="372"/>
      <c r="R39" s="372"/>
      <c r="S39" s="372"/>
      <c r="T39" s="372"/>
      <c r="U39" s="372"/>
      <c r="V39" s="372"/>
      <c r="W39" s="372"/>
      <c r="X39" s="372"/>
      <c r="Y39" s="372"/>
      <c r="Z39" s="372"/>
      <c r="AA39" s="372"/>
    </row>
    <row r="40" spans="2:27" ht="27.95" customHeight="1">
      <c r="B40" s="374" t="s">
        <v>143</v>
      </c>
      <c r="C40" s="376">
        <v>100</v>
      </c>
      <c r="D40" s="376">
        <v>100</v>
      </c>
      <c r="E40" s="372"/>
      <c r="F40" s="374" t="s">
        <v>143</v>
      </c>
      <c r="G40" s="383">
        <v>750</v>
      </c>
      <c r="H40" s="372"/>
      <c r="I40" s="372"/>
      <c r="J40" s="372"/>
      <c r="K40" s="372"/>
      <c r="L40" s="372"/>
      <c r="M40" s="372"/>
      <c r="N40" s="372"/>
      <c r="O40" s="372"/>
      <c r="P40" s="372"/>
      <c r="Q40" s="372"/>
      <c r="R40" s="372"/>
      <c r="S40" s="372"/>
      <c r="T40" s="372"/>
      <c r="U40" s="372"/>
      <c r="V40" s="372"/>
      <c r="W40" s="372"/>
      <c r="X40" s="372"/>
      <c r="Y40" s="372"/>
      <c r="Z40" s="372"/>
      <c r="AA40" s="372"/>
    </row>
    <row r="41" spans="2:27" ht="27.95" customHeight="1">
      <c r="B41" s="374" t="s">
        <v>142</v>
      </c>
      <c r="C41" s="376">
        <v>60</v>
      </c>
      <c r="D41" s="376">
        <v>60</v>
      </c>
      <c r="E41" s="372"/>
      <c r="F41" s="374" t="s">
        <v>142</v>
      </c>
      <c r="G41" s="374">
        <v>450</v>
      </c>
      <c r="H41" s="372"/>
      <c r="I41" s="372"/>
      <c r="J41" s="372"/>
      <c r="K41" s="372"/>
      <c r="L41" s="372"/>
      <c r="M41" s="372"/>
      <c r="N41" s="372"/>
      <c r="O41" s="372"/>
      <c r="P41" s="372"/>
      <c r="Q41" s="372"/>
      <c r="R41" s="372"/>
      <c r="S41" s="372"/>
      <c r="T41" s="372"/>
      <c r="U41" s="372"/>
      <c r="V41" s="372"/>
      <c r="W41" s="372"/>
      <c r="X41" s="372"/>
      <c r="Y41" s="372"/>
      <c r="Z41" s="372"/>
      <c r="AA41" s="372"/>
    </row>
    <row r="42" spans="2:27" ht="27.95" customHeight="1">
      <c r="B42" s="374" t="s">
        <v>141</v>
      </c>
      <c r="C42" s="376">
        <v>80</v>
      </c>
      <c r="D42" s="376">
        <v>80</v>
      </c>
      <c r="E42" s="372"/>
      <c r="F42" s="374" t="s">
        <v>133</v>
      </c>
      <c r="G42" s="379">
        <v>300</v>
      </c>
      <c r="H42" s="372"/>
      <c r="I42" s="372"/>
      <c r="J42" s="372"/>
      <c r="K42" s="372"/>
      <c r="L42" s="372"/>
      <c r="M42" s="372"/>
      <c r="N42" s="372"/>
      <c r="O42" s="372"/>
      <c r="P42" s="372"/>
      <c r="Q42" s="372"/>
      <c r="R42" s="372"/>
      <c r="S42" s="372"/>
      <c r="T42" s="372"/>
      <c r="U42" s="372"/>
      <c r="V42" s="372"/>
      <c r="W42" s="372"/>
      <c r="X42" s="372"/>
      <c r="Y42" s="372"/>
      <c r="Z42" s="372"/>
      <c r="AA42" s="372"/>
    </row>
    <row r="43" spans="2:27" ht="27.95" customHeight="1">
      <c r="B43" s="374" t="s">
        <v>140</v>
      </c>
      <c r="C43" s="375">
        <v>0</v>
      </c>
      <c r="D43" s="382">
        <v>7000000.0000000019</v>
      </c>
      <c r="E43" s="372"/>
      <c r="F43" s="374" t="s">
        <v>139</v>
      </c>
      <c r="G43" s="379">
        <v>-10</v>
      </c>
      <c r="H43" s="379">
        <v>-10</v>
      </c>
      <c r="I43" s="381" t="s">
        <v>138</v>
      </c>
      <c r="J43" s="372"/>
      <c r="K43" s="372"/>
      <c r="L43" s="372"/>
      <c r="M43" s="372"/>
      <c r="N43" s="372"/>
      <c r="O43" s="372"/>
      <c r="P43" s="372"/>
      <c r="Q43" s="372"/>
      <c r="R43" s="372"/>
      <c r="S43" s="372"/>
      <c r="T43" s="372"/>
      <c r="U43" s="372"/>
      <c r="V43" s="372"/>
      <c r="W43" s="372"/>
      <c r="X43" s="372"/>
      <c r="Y43" s="372"/>
      <c r="Z43" s="372"/>
      <c r="AA43" s="372"/>
    </row>
    <row r="44" spans="2:27" ht="27.95" customHeight="1">
      <c r="B44" s="374" t="s">
        <v>137</v>
      </c>
      <c r="C44" s="376">
        <v>120</v>
      </c>
      <c r="D44" s="380">
        <v>120</v>
      </c>
      <c r="E44" s="372"/>
      <c r="F44" s="374" t="s">
        <v>136</v>
      </c>
      <c r="G44" s="379">
        <v>-1.3333333333333335</v>
      </c>
      <c r="H44" s="379">
        <v>-1.3333333333333335</v>
      </c>
      <c r="I44" s="372"/>
      <c r="J44" s="372"/>
      <c r="K44" s="372"/>
      <c r="L44" s="372"/>
      <c r="M44" s="372"/>
      <c r="N44" s="372"/>
      <c r="O44" s="372"/>
      <c r="P44" s="372"/>
      <c r="Q44" s="372"/>
      <c r="R44" s="372"/>
      <c r="S44" s="372"/>
      <c r="T44" s="372"/>
      <c r="U44" s="372"/>
      <c r="V44" s="372"/>
      <c r="W44" s="372"/>
      <c r="X44" s="372"/>
      <c r="Y44" s="372"/>
      <c r="Z44" s="372"/>
      <c r="AA44" s="372"/>
    </row>
    <row r="45" spans="2:27" ht="27.95" customHeight="1">
      <c r="B45" s="374" t="s">
        <v>135</v>
      </c>
      <c r="C45" s="376">
        <v>30</v>
      </c>
      <c r="D45" s="375">
        <v>350000</v>
      </c>
      <c r="E45" s="372"/>
      <c r="F45" s="374" t="s">
        <v>134</v>
      </c>
      <c r="G45" s="379">
        <v>60</v>
      </c>
      <c r="H45" s="378">
        <v>0</v>
      </c>
      <c r="I45" s="372"/>
      <c r="J45" s="372"/>
      <c r="K45" s="372"/>
      <c r="L45" s="372"/>
      <c r="M45" s="372"/>
      <c r="N45" s="372"/>
      <c r="O45" s="372"/>
      <c r="P45" s="372"/>
      <c r="Q45" s="372"/>
      <c r="R45" s="372"/>
      <c r="S45" s="372"/>
      <c r="T45" s="372"/>
      <c r="U45" s="372"/>
      <c r="V45" s="372"/>
      <c r="W45" s="372"/>
      <c r="X45" s="372"/>
      <c r="Y45" s="372"/>
      <c r="Z45" s="372"/>
      <c r="AA45" s="372"/>
    </row>
    <row r="46" spans="2:27" ht="27.95" customHeight="1">
      <c r="B46" s="374" t="s">
        <v>133</v>
      </c>
      <c r="C46" s="376">
        <v>80</v>
      </c>
      <c r="D46" s="375">
        <v>350000</v>
      </c>
      <c r="E46" s="372"/>
      <c r="F46" s="374" t="s">
        <v>132</v>
      </c>
      <c r="G46" s="377" t="s">
        <v>131</v>
      </c>
      <c r="H46" s="377"/>
      <c r="I46" s="372"/>
      <c r="J46" s="372"/>
      <c r="K46" s="372"/>
      <c r="L46" s="372"/>
      <c r="M46" s="372"/>
      <c r="N46" s="372"/>
      <c r="O46" s="372"/>
      <c r="P46" s="372"/>
      <c r="Q46" s="372"/>
      <c r="R46" s="372"/>
      <c r="S46" s="372"/>
      <c r="T46" s="372"/>
      <c r="U46" s="372"/>
      <c r="V46" s="372"/>
      <c r="W46" s="372"/>
      <c r="X46" s="372"/>
      <c r="Y46" s="372"/>
      <c r="Z46" s="372"/>
      <c r="AA46" s="372"/>
    </row>
    <row r="47" spans="2:27" ht="27.95" customHeight="1">
      <c r="B47" s="374" t="s">
        <v>130</v>
      </c>
      <c r="C47" s="376">
        <v>110</v>
      </c>
      <c r="D47" s="375">
        <v>350000</v>
      </c>
      <c r="E47" s="372"/>
      <c r="F47" s="374" t="s">
        <v>129</v>
      </c>
      <c r="G47" s="373" t="s">
        <v>127</v>
      </c>
      <c r="H47" s="372"/>
      <c r="I47" s="372"/>
      <c r="J47" s="372"/>
      <c r="K47" s="372"/>
      <c r="L47" s="372"/>
      <c r="M47" s="372"/>
      <c r="N47" s="372"/>
      <c r="O47" s="372"/>
      <c r="P47" s="372"/>
      <c r="Q47" s="372"/>
      <c r="R47" s="372"/>
      <c r="S47" s="372"/>
      <c r="T47" s="372"/>
      <c r="U47" s="372"/>
      <c r="V47" s="372"/>
      <c r="W47" s="372"/>
      <c r="X47" s="372"/>
      <c r="Y47" s="372"/>
      <c r="Z47" s="372"/>
      <c r="AA47" s="372"/>
    </row>
    <row r="48" spans="2:27" ht="27.95" customHeight="1"/>
    <row r="49" s="371" customFormat="1" ht="15" hidden="1" customHeight="1"/>
    <row r="50" s="371" customFormat="1" ht="15" hidden="1" customHeight="1"/>
    <row r="51" s="371" customFormat="1" ht="15" hidden="1" customHeight="1"/>
    <row r="52" s="371" customFormat="1" ht="15" hidden="1" customHeight="1"/>
    <row r="53" s="371" customFormat="1" ht="15" hidden="1" customHeight="1"/>
    <row r="54" s="371" customFormat="1" ht="15" hidden="1" customHeight="1"/>
    <row r="55" s="371" customFormat="1" ht="15" hidden="1" customHeight="1"/>
    <row r="56" s="371" customFormat="1" ht="15" hidden="1" customHeight="1"/>
    <row r="57" s="371" customFormat="1" ht="15" hidden="1" customHeight="1"/>
    <row r="58" s="371" customFormat="1" ht="15" hidden="1" customHeight="1"/>
    <row r="59" s="371" customFormat="1" ht="15" hidden="1" customHeight="1"/>
    <row r="60" s="371" customFormat="1" ht="15" hidden="1" customHeight="1"/>
    <row r="61" s="371" customFormat="1" ht="15" hidden="1" customHeight="1"/>
    <row r="62" s="371" customFormat="1" ht="15" hidden="1" customHeight="1"/>
    <row r="63" s="371" customFormat="1" ht="15" hidden="1" customHeight="1"/>
    <row r="64" s="371" customFormat="1" ht="15" hidden="1" customHeight="1"/>
    <row r="65" s="371" customFormat="1" ht="15" hidden="1" customHeight="1"/>
    <row r="66" s="371" customFormat="1" ht="15" hidden="1" customHeight="1"/>
    <row r="67" s="371" customFormat="1" ht="15" hidden="1" customHeight="1"/>
    <row r="68" s="371" customFormat="1" ht="15" hidden="1" customHeight="1"/>
    <row r="69" s="371" customFormat="1" ht="15" hidden="1" customHeight="1"/>
    <row r="70" s="371" customFormat="1" ht="15" hidden="1" customHeight="1"/>
    <row r="71" s="371" customFormat="1" ht="15" hidden="1" customHeight="1"/>
    <row r="72" s="371" customFormat="1" ht="15" hidden="1" customHeight="1"/>
    <row r="73" s="371" customFormat="1" ht="15" hidden="1" customHeight="1"/>
    <row r="74" s="371" customFormat="1" ht="15" hidden="1" customHeight="1"/>
    <row r="75" s="371" customFormat="1" ht="15" hidden="1" customHeight="1"/>
    <row r="76" s="371" customFormat="1" ht="15" hidden="1" customHeight="1"/>
    <row r="77" s="371" customFormat="1" ht="15" hidden="1" customHeight="1"/>
    <row r="78" s="371" customFormat="1" ht="15" hidden="1" customHeight="1"/>
    <row r="79" s="371" customFormat="1" ht="15" hidden="1" customHeight="1"/>
    <row r="80" s="371" customFormat="1" ht="15" hidden="1" customHeight="1"/>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0. Samenvatting</vt:lpstr>
      <vt:lpstr>1a. Gebruiksrecht Aanschaf</vt:lpstr>
      <vt:lpstr>1b. Licenties - Subscription</vt:lpstr>
      <vt:lpstr>1c. Gebruiksrecht Enterprise</vt:lpstr>
      <vt:lpstr>2. Opleiding</vt:lpstr>
      <vt:lpstr>3. Additionele diensten</vt:lpstr>
      <vt:lpstr>BPK-Grafiek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Anne Matthijs A.M. van Marle</cp:lastModifiedBy>
  <dcterms:created xsi:type="dcterms:W3CDTF">2019-03-04T14:58:42Z</dcterms:created>
  <dcterms:modified xsi:type="dcterms:W3CDTF">2024-05-31T09:09:38Z</dcterms:modified>
</cp:coreProperties>
</file>