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lusv.sharepoint.com/sites/organization-295a31dd614d31d35364a764ef2cfac5/23324/Werkmap/8. NvI 1/"/>
    </mc:Choice>
  </mc:AlternateContent>
  <xr:revisionPtr revIDLastSave="151" documentId="8_{C430F0A7-8345-4046-8A0D-8B48618DE5B4}" xr6:coauthVersionLast="47" xr6:coauthVersionMax="47" xr10:uidLastSave="{C9AAF334-CB02-4581-95A9-AD70477BE936}"/>
  <workbookProtection workbookAlgorithmName="SHA-512" workbookHashValue="n6fWFWF9SrvsQmhAqt6EvOy9Xzrby2LrJzIKVwSxU6Cq2p05goILUtsP4bn08qXBdrdXJHRfMn8LdGACT2VgRQ==" workbookSaltValue="wTuRBIUpZLX39JGQX/X+6g==" workbookSpinCount="100000" lockStructure="1"/>
  <bookViews>
    <workbookView xWindow="-120" yWindow="-120" windowWidth="29040" windowHeight="15720" xr2:uid="{540D9F80-83B1-4532-BB7E-D9C2A5F9AADA}"/>
  </bookViews>
  <sheets>
    <sheet name="1. fijn huishoudelijk  (Arnhem)" sheetId="4" r:id="rId1"/>
    <sheet name="2. fijn huishoudelijk restafval" sheetId="1" r:id="rId2"/>
    <sheet name="3. grof huishoudelijk restafval" sheetId="3" r:id="rId3"/>
    <sheet name="Blad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H51" i="1"/>
  <c r="H50" i="1"/>
  <c r="H49" i="1"/>
  <c r="H48" i="1"/>
  <c r="H47" i="1"/>
  <c r="H46" i="1"/>
  <c r="H45" i="1"/>
  <c r="I50" i="4"/>
  <c r="I49" i="4"/>
  <c r="I48" i="4"/>
  <c r="I47" i="4"/>
  <c r="I46" i="4"/>
  <c r="I45" i="4"/>
  <c r="D75" i="4"/>
  <c r="I67" i="1"/>
  <c r="I66" i="1"/>
  <c r="J66" i="1" s="1"/>
  <c r="I65" i="1"/>
  <c r="J65" i="1" s="1"/>
  <c r="I64" i="1"/>
  <c r="J64" i="1" s="1"/>
  <c r="I61" i="1"/>
  <c r="J61" i="1" s="1"/>
  <c r="I60" i="1"/>
  <c r="J60" i="1" s="1"/>
  <c r="I59" i="1"/>
  <c r="J59" i="1" s="1"/>
  <c r="E45" i="1"/>
  <c r="E50" i="1"/>
  <c r="E49" i="1"/>
  <c r="E48" i="1"/>
  <c r="E47" i="1"/>
  <c r="E46" i="1"/>
  <c r="D23" i="1"/>
  <c r="E44" i="1" s="1"/>
  <c r="J50" i="1"/>
  <c r="J49" i="1"/>
  <c r="J48" i="1"/>
  <c r="J47" i="1"/>
  <c r="J46" i="1"/>
  <c r="H44" i="1"/>
  <c r="J37" i="1"/>
  <c r="I37" i="1"/>
  <c r="H34" i="1"/>
  <c r="I67" i="4"/>
  <c r="I66" i="4"/>
  <c r="I65" i="4"/>
  <c r="I64" i="4"/>
  <c r="I61" i="4"/>
  <c r="I60" i="4"/>
  <c r="I59" i="4"/>
  <c r="J59" i="4" s="1"/>
  <c r="I44" i="4"/>
  <c r="I51" i="4" s="1"/>
  <c r="D23" i="4"/>
  <c r="E59" i="4" s="1"/>
  <c r="E45" i="4"/>
  <c r="J50" i="4"/>
  <c r="H50" i="4"/>
  <c r="J49" i="4"/>
  <c r="H49" i="4"/>
  <c r="J48" i="4"/>
  <c r="H48" i="4"/>
  <c r="J47" i="4"/>
  <c r="H47" i="4"/>
  <c r="J46" i="4"/>
  <c r="H46" i="4"/>
  <c r="H45" i="4"/>
  <c r="H44" i="4"/>
  <c r="J37" i="4"/>
  <c r="I37" i="4"/>
  <c r="H34" i="4"/>
  <c r="H37" i="4" s="1"/>
  <c r="H51" i="4" s="1"/>
  <c r="J44" i="1" l="1"/>
  <c r="J67" i="1"/>
  <c r="E60" i="1"/>
  <c r="E51" i="1"/>
  <c r="E59" i="1"/>
  <c r="E61" i="1"/>
  <c r="E67" i="1"/>
  <c r="E66" i="1"/>
  <c r="E64" i="1"/>
  <c r="E44" i="4"/>
  <c r="J67" i="4" s="1"/>
  <c r="J44" i="4"/>
  <c r="J62" i="1"/>
  <c r="H37" i="1"/>
  <c r="J51" i="1" s="1"/>
  <c r="J45" i="1"/>
  <c r="J68" i="1"/>
  <c r="J51" i="4"/>
  <c r="J60" i="4"/>
  <c r="J61" i="4"/>
  <c r="J64" i="4"/>
  <c r="J68" i="4" s="1"/>
  <c r="J65" i="4"/>
  <c r="J66" i="4"/>
  <c r="J45" i="4"/>
  <c r="J52" i="1" l="1"/>
  <c r="H55" i="1" s="1"/>
  <c r="H70" i="1"/>
  <c r="J62" i="4"/>
  <c r="J52" i="4"/>
  <c r="H55" i="4" s="1"/>
  <c r="D74" i="4" s="1"/>
  <c r="H70" i="4"/>
  <c r="E33" i="3" l="1"/>
  <c r="F37" i="1"/>
  <c r="F37" i="4"/>
  <c r="D50" i="1" l="1"/>
  <c r="F50" i="1" s="1"/>
  <c r="D49" i="1"/>
  <c r="D48" i="1"/>
  <c r="D47" i="1"/>
  <c r="F47" i="1" s="1"/>
  <c r="D50" i="4"/>
  <c r="D49" i="4"/>
  <c r="D48" i="4"/>
  <c r="D47" i="4"/>
  <c r="D46" i="1"/>
  <c r="D33" i="3"/>
  <c r="E37" i="1"/>
  <c r="E37" i="4"/>
  <c r="E50" i="4"/>
  <c r="E49" i="4"/>
  <c r="E48" i="4"/>
  <c r="E47" i="4"/>
  <c r="E46" i="4"/>
  <c r="D46" i="4"/>
  <c r="F46" i="1" l="1"/>
  <c r="F48" i="1"/>
  <c r="F49" i="1"/>
  <c r="F50" i="4"/>
  <c r="F48" i="4"/>
  <c r="F49" i="4"/>
  <c r="F47" i="4"/>
  <c r="F46" i="4"/>
  <c r="D39" i="3"/>
  <c r="C39" i="3"/>
  <c r="D45" i="4"/>
  <c r="C40" i="3"/>
  <c r="E39" i="3" l="1"/>
  <c r="F45" i="4"/>
  <c r="D44" i="4"/>
  <c r="C38" i="3" l="1"/>
  <c r="E38" i="3" s="1"/>
  <c r="E40" i="3"/>
  <c r="D56" i="3"/>
  <c r="D57" i="3"/>
  <c r="D58" i="3"/>
  <c r="D55" i="3"/>
  <c r="D50" i="3"/>
  <c r="D51" i="3"/>
  <c r="D49" i="3"/>
  <c r="D41" i="3"/>
  <c r="E65" i="1"/>
  <c r="E67" i="4"/>
  <c r="E66" i="4"/>
  <c r="E65" i="4"/>
  <c r="E64" i="4"/>
  <c r="E61" i="4"/>
  <c r="E60" i="4"/>
  <c r="E51" i="4"/>
  <c r="F59" i="4"/>
  <c r="D40" i="3"/>
  <c r="F59" i="1" l="1"/>
  <c r="E49" i="3"/>
  <c r="F67" i="4"/>
  <c r="F66" i="4"/>
  <c r="F65" i="4"/>
  <c r="F64" i="4"/>
  <c r="F61" i="4"/>
  <c r="F60" i="4"/>
  <c r="F44" i="4"/>
  <c r="D34" i="4"/>
  <c r="D37" i="4" s="1"/>
  <c r="F62" i="4" l="1"/>
  <c r="D51" i="4"/>
  <c r="F51" i="4" s="1"/>
  <c r="F52" i="4" s="1"/>
  <c r="F68" i="4"/>
  <c r="E52" i="3"/>
  <c r="E58" i="3"/>
  <c r="E57" i="3"/>
  <c r="E56" i="3"/>
  <c r="E55" i="3"/>
  <c r="E51" i="3"/>
  <c r="C30" i="3"/>
  <c r="C33" i="3" s="1"/>
  <c r="D34" i="1"/>
  <c r="D37" i="1" s="1"/>
  <c r="D45" i="1"/>
  <c r="F45" i="1" s="1"/>
  <c r="D44" i="1"/>
  <c r="F44" i="1" s="1"/>
  <c r="F65" i="1"/>
  <c r="F66" i="1"/>
  <c r="F67" i="1"/>
  <c r="F64" i="1"/>
  <c r="F61" i="1"/>
  <c r="D70" i="4" l="1"/>
  <c r="D55" i="4"/>
  <c r="C41" i="3"/>
  <c r="F60" i="1"/>
  <c r="F62" i="1" s="1"/>
  <c r="E50" i="3"/>
  <c r="E53" i="3" s="1"/>
  <c r="E59" i="3"/>
  <c r="D51" i="1"/>
  <c r="F68" i="1"/>
  <c r="D70" i="1" l="1"/>
  <c r="D75" i="1" s="1"/>
  <c r="C61" i="3"/>
  <c r="C66" i="3" s="1"/>
  <c r="D76" i="4"/>
  <c r="F51" i="1"/>
  <c r="F52" i="1" s="1"/>
  <c r="E41" i="3"/>
  <c r="E42" i="3" s="1"/>
  <c r="D55" i="1" l="1"/>
  <c r="D74" i="1" s="1"/>
  <c r="D76" i="1" s="1"/>
  <c r="C45" i="3"/>
  <c r="C65" i="3" s="1"/>
  <c r="C67" i="3" s="1"/>
</calcChain>
</file>

<file path=xl/sharedStrings.xml><?xml version="1.0" encoding="utf-8"?>
<sst xmlns="http://schemas.openxmlformats.org/spreadsheetml/2006/main" count="380" uniqueCount="103">
  <si>
    <t>0. INSCHRIJVER</t>
  </si>
  <si>
    <t>Naam</t>
  </si>
  <si>
    <t>KvK-nummer</t>
  </si>
  <si>
    <t>Hoofdaannemer</t>
  </si>
  <si>
    <t>&lt;naam&gt;</t>
  </si>
  <si>
    <t>&lt;KvK-nummer&gt;</t>
  </si>
  <si>
    <t>Onderaannemer verwerking</t>
  </si>
  <si>
    <t>Indien van toepassing</t>
  </si>
  <si>
    <t>Onderaannemer transport</t>
  </si>
  <si>
    <t>1. BEROEP OP DERDEN</t>
  </si>
  <si>
    <t>Derde op wie Inschrijver beroep doet voor de gevraagde technische bekwaamheid</t>
  </si>
  <si>
    <t>Kerncompetentie 1: verwerking</t>
  </si>
  <si>
    <t>2. EIGENSCHAPPEN LOCATIE(S)</t>
  </si>
  <si>
    <t>Afvalverwerkingsinstallatie</t>
  </si>
  <si>
    <t>Adres</t>
  </si>
  <si>
    <t>&lt;adres&gt;</t>
  </si>
  <si>
    <t>R1-waarde AEC</t>
  </si>
  <si>
    <t>Hoeveelheid (ton)</t>
  </si>
  <si>
    <t>Kosten per jaar</t>
  </si>
  <si>
    <t>Verwerkingstarief per ton, exclusief BTW, afvalstoffenbelasting en CO2-kosten, inclusief overige kosten</t>
  </si>
  <si>
    <t>Fictief R-status bedrag</t>
  </si>
  <si>
    <t>CO2-kosten 2026</t>
  </si>
  <si>
    <t>CO2-kosten 2027</t>
  </si>
  <si>
    <t>Totale beoordelingsbedrag (totaal berekende kosten over 4 jaar)</t>
  </si>
  <si>
    <t>: ________________</t>
  </si>
  <si>
    <t>Firma naam</t>
  </si>
  <si>
    <t>Functie</t>
  </si>
  <si>
    <t>Datum</t>
  </si>
  <si>
    <t>Handtekening</t>
  </si>
  <si>
    <t>Transporttarief per ton, exclusief BTW, inclusief overige kosten</t>
  </si>
  <si>
    <t>CO2-kosten 2025 (CO2-heffing, ETS,…; zie definitie)</t>
  </si>
  <si>
    <t>CO2-kosten 2028</t>
  </si>
  <si>
    <t>Transportmiddel</t>
  </si>
  <si>
    <t>Vrachtwagen &gt;20 ton met aanhanger</t>
  </si>
  <si>
    <t>Trekker met oplegger zwaar</t>
  </si>
  <si>
    <t>Langere Zwaardere Vrachtwagen-combinatie (LZV)</t>
  </si>
  <si>
    <t xml:space="preserve">Diesel </t>
  </si>
  <si>
    <t>GTL</t>
  </si>
  <si>
    <t>LNG</t>
  </si>
  <si>
    <t>CNG</t>
  </si>
  <si>
    <t>Elektrisch (groen-grijs mix)</t>
  </si>
  <si>
    <t>Biodiesel (B30)</t>
  </si>
  <si>
    <t xml:space="preserve">Waterstof (aardgas SMR) </t>
  </si>
  <si>
    <t xml:space="preserve">Bio-LNG </t>
  </si>
  <si>
    <t>Bio-CNG</t>
  </si>
  <si>
    <t>Waterstof (aardgas SMR + CCS)</t>
  </si>
  <si>
    <t>Waterstof (groengas [covergisting] SMR +CCS)</t>
  </si>
  <si>
    <t>Biodiesel (B100)</t>
  </si>
  <si>
    <t>Waterstof (groengas [stortgas] SMR + CCS)</t>
  </si>
  <si>
    <t xml:space="preserve">Waterstof (groene stroom) </t>
  </si>
  <si>
    <t>Elektrisch (groen)</t>
  </si>
  <si>
    <t>Trein (diesel)</t>
  </si>
  <si>
    <t>Trein (elektrisch)</t>
  </si>
  <si>
    <t>Binnenvaart</t>
  </si>
  <si>
    <t>Onderaannemer overslag</t>
  </si>
  <si>
    <t>CO2 afvang</t>
  </si>
  <si>
    <t>5. BEOORDELINGTARIEF</t>
  </si>
  <si>
    <t>Metaal afscheiding (bodemas)</t>
  </si>
  <si>
    <t>3. DUURZAAMHEID</t>
  </si>
  <si>
    <t>4. KOSTEN</t>
  </si>
  <si>
    <t>CO2 afvang operationeel per</t>
  </si>
  <si>
    <t>N.v.t.</t>
  </si>
  <si>
    <t>Percentage van rookgassen die gewassen worden om CO2 af te vangen</t>
  </si>
  <si>
    <t>Metaal afscheiding uit bodemassen?</t>
  </si>
  <si>
    <t>Ja</t>
  </si>
  <si>
    <t>Nee</t>
  </si>
  <si>
    <t>Fictieve korting per jaar</t>
  </si>
  <si>
    <t>Transportmiddel 1</t>
  </si>
  <si>
    <t>Transportmiddel 2</t>
  </si>
  <si>
    <t>Verhouding tonnages per transportmiddel</t>
  </si>
  <si>
    <t>Brandstof</t>
  </si>
  <si>
    <t>Duurzaamheidswinst per jaar</t>
  </si>
  <si>
    <t>Transportafstand (vanaf zwaartepunt naar verwerker)</t>
  </si>
  <si>
    <t>Transportafstand (let op, volgens de methode zoals beschreven in de leidraad)</t>
  </si>
  <si>
    <t>Kg CO2 uitstoot per ton</t>
  </si>
  <si>
    <t>Inschrijfformulier Verwerking fijn huishoudelijk restafval</t>
  </si>
  <si>
    <r>
      <t>Transportafstand (</t>
    </r>
    <r>
      <rPr>
        <b/>
        <sz val="9"/>
        <color rgb="FFFF0000"/>
        <rFont val="Arial"/>
        <family val="2"/>
      </rPr>
      <t>let op, volgens de methode zoals beschreven in de leidraad</t>
    </r>
    <r>
      <rPr>
        <sz val="9"/>
        <color rgb="FF000000"/>
        <rFont val="Arial"/>
        <family val="2"/>
      </rPr>
      <t>)</t>
    </r>
  </si>
  <si>
    <t>Fictief bedrag CO2-uitstoot</t>
  </si>
  <si>
    <t>indien cel C33=#NB, vul transportmiddel en brandstof in bij Cel C31 en C32</t>
  </si>
  <si>
    <t>Totaal beoordelingsbedrag duurzaamheid (per ton per jaar)</t>
  </si>
  <si>
    <t>Totaal beoordelingsbedrag kosten (per ton per jaar)</t>
  </si>
  <si>
    <t>Integraal beoordelingstarief (per ton per jaar)</t>
  </si>
  <si>
    <t>Inschrijfformulier Verwerking grof huishoudelijk restafval</t>
  </si>
  <si>
    <t>Emissie (per ton restafval)</t>
  </si>
  <si>
    <t>Overslag kosten, exclusief BTW, inclusief overige kosten</t>
  </si>
  <si>
    <t>Opslag sortering GHA per ton, exclusief BTW, inclusief overige kosten</t>
  </si>
  <si>
    <t>CO2-kosten over 4 jaar</t>
  </si>
  <si>
    <t>Overslag, transport en verwerkingskosten over 4 jaar</t>
  </si>
  <si>
    <t>ONF vergisting</t>
  </si>
  <si>
    <t>Nascheiding kunststof</t>
  </si>
  <si>
    <t>Nascheiding metaal</t>
  </si>
  <si>
    <t>Nascheiding glas</t>
  </si>
  <si>
    <t>Vergisting van organisch natte fractie (ONF) als gevolge van nascheiding?</t>
  </si>
  <si>
    <t>Nascheiding metaal +metaal afscheiding uit bodemas</t>
  </si>
  <si>
    <t>nee</t>
  </si>
  <si>
    <t>ja</t>
  </si>
  <si>
    <t>Perceel 3</t>
  </si>
  <si>
    <t>Transportmiddel 3 (niet-as)</t>
  </si>
  <si>
    <t>Verdeling tonnages over AEC's</t>
  </si>
  <si>
    <t>Perceel 1 - installatie 1</t>
  </si>
  <si>
    <t>Perceel 1 - installatie 2</t>
  </si>
  <si>
    <t>Perceel 2 - installatie 1</t>
  </si>
  <si>
    <t>Perceel 2 - installatie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</si>
</sst>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&quot; jaar&quot;"/>
    <numFmt numFmtId="165" formatCode="#,##0\ &quot;kg CO2 per ton restafval&quot;"/>
    <numFmt numFmtId="166" formatCode="_ &quot;€&quot;\ * #,##0_ ;_ &quot;€&quot;\ * \-#,##0_ ;_ &quot;€&quot;\ * &quot;-&quot;??_ ;_ @_ "/>
    <numFmt numFmtId="167" formatCode="#,##0.00\ &quot;kg CO2 per ton restafval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000000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theme="1" tint="0.499984740745262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0" xfId="0" applyNumberFormat="1" applyFont="1" applyFill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vertical="center" wrapText="1"/>
      <protection locked="0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>
      <alignment vertical="center" wrapText="1"/>
    </xf>
    <xf numFmtId="164" fontId="6" fillId="2" borderId="0" xfId="0" applyNumberFormat="1" applyFont="1" applyFill="1" applyAlignment="1" applyProtection="1">
      <alignment horizontal="center" vertical="center" wrapText="1"/>
      <protection hidden="1"/>
    </xf>
    <xf numFmtId="164" fontId="5" fillId="2" borderId="0" xfId="0" applyNumberFormat="1" applyFont="1" applyFill="1" applyAlignment="1" applyProtection="1">
      <alignment horizontal="left" vertical="center" wrapText="1"/>
      <protection hidden="1"/>
    </xf>
    <xf numFmtId="2" fontId="4" fillId="4" borderId="2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/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7" fillId="0" borderId="0" xfId="0" applyFont="1"/>
    <xf numFmtId="164" fontId="6" fillId="2" borderId="2" xfId="0" applyNumberFormat="1" applyFont="1" applyFill="1" applyBorder="1" applyAlignment="1" applyProtection="1">
      <alignment horizontal="right" vertical="center" wrapText="1"/>
      <protection hidden="1"/>
    </xf>
    <xf numFmtId="44" fontId="4" fillId="4" borderId="2" xfId="1" applyFont="1" applyFill="1" applyBorder="1" applyAlignment="1" applyProtection="1">
      <alignment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hidden="1"/>
    </xf>
    <xf numFmtId="44" fontId="6" fillId="2" borderId="0" xfId="1" applyFont="1" applyFill="1" applyAlignment="1" applyProtection="1">
      <alignment horizontal="right" vertical="center" wrapText="1"/>
      <protection hidden="1"/>
    </xf>
    <xf numFmtId="0" fontId="5" fillId="2" borderId="0" xfId="0" applyFont="1" applyFill="1" applyAlignment="1">
      <alignment vertical="center" wrapText="1"/>
    </xf>
    <xf numFmtId="44" fontId="6" fillId="2" borderId="0" xfId="1" applyFont="1" applyFill="1" applyAlignment="1" applyProtection="1">
      <alignment horizontal="center" vertical="center" wrapText="1"/>
      <protection hidden="1"/>
    </xf>
    <xf numFmtId="3" fontId="6" fillId="2" borderId="0" xfId="1" applyNumberFormat="1" applyFont="1" applyFill="1" applyAlignment="1" applyProtection="1">
      <alignment horizontal="right" vertical="center" wrapText="1"/>
      <protection hidden="1"/>
    </xf>
    <xf numFmtId="44" fontId="10" fillId="2" borderId="0" xfId="1" applyFont="1" applyFill="1" applyAlignment="1" applyProtection="1">
      <alignment horizontal="right" vertical="center" wrapText="1"/>
      <protection hidden="1"/>
    </xf>
    <xf numFmtId="44" fontId="6" fillId="2" borderId="0" xfId="1" applyFont="1" applyFill="1" applyBorder="1" applyAlignment="1" applyProtection="1">
      <alignment horizontal="right" vertical="center" wrapText="1"/>
      <protection hidden="1"/>
    </xf>
    <xf numFmtId="1" fontId="4" fillId="2" borderId="0" xfId="0" applyNumberFormat="1" applyFont="1" applyFill="1" applyAlignment="1" applyProtection="1">
      <alignment horizontal="center" vertical="center" wrapText="1"/>
      <protection hidden="1"/>
    </xf>
    <xf numFmtId="164" fontId="8" fillId="3" borderId="0" xfId="0" applyNumberFormat="1" applyFont="1" applyFill="1" applyAlignment="1" applyProtection="1">
      <alignment horizontal="left" vertical="center" wrapText="1"/>
      <protection hidden="1"/>
    </xf>
    <xf numFmtId="44" fontId="9" fillId="2" borderId="0" xfId="1" applyFont="1" applyFill="1" applyAlignment="1" applyProtection="1">
      <alignment horizontal="center" vertical="center" wrapText="1"/>
      <protection hidden="1"/>
    </xf>
    <xf numFmtId="0" fontId="2" fillId="4" borderId="0" xfId="0" applyFont="1" applyFill="1" applyProtection="1">
      <protection locked="0"/>
    </xf>
    <xf numFmtId="3" fontId="2" fillId="0" borderId="0" xfId="0" applyNumberFormat="1" applyFont="1"/>
    <xf numFmtId="0" fontId="11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0" xfId="0" applyFont="1"/>
    <xf numFmtId="0" fontId="13" fillId="2" borderId="0" xfId="0" applyFont="1" applyFill="1"/>
    <xf numFmtId="0" fontId="14" fillId="2" borderId="2" xfId="0" applyFont="1" applyFill="1" applyBorder="1" applyAlignment="1">
      <alignment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9" fontId="4" fillId="4" borderId="0" xfId="2" applyFont="1" applyFill="1" applyBorder="1" applyAlignment="1" applyProtection="1">
      <alignment vertical="center" wrapText="1"/>
      <protection locked="0"/>
    </xf>
    <xf numFmtId="9" fontId="4" fillId="4" borderId="2" xfId="2" applyFont="1" applyFill="1" applyBorder="1" applyAlignment="1" applyProtection="1">
      <alignment vertical="center" wrapText="1"/>
      <protection locked="0"/>
    </xf>
    <xf numFmtId="3" fontId="14" fillId="2" borderId="0" xfId="0" applyNumberFormat="1" applyFont="1" applyFill="1" applyAlignment="1" applyProtection="1">
      <alignment horizontal="right" vertical="center" wrapText="1"/>
      <protection hidden="1"/>
    </xf>
    <xf numFmtId="1" fontId="4" fillId="4" borderId="2" xfId="0" applyNumberFormat="1" applyFont="1" applyFill="1" applyBorder="1" applyAlignment="1" applyProtection="1">
      <alignment vertical="center" wrapText="1"/>
      <protection locked="0"/>
    </xf>
    <xf numFmtId="166" fontId="10" fillId="2" borderId="0" xfId="1" applyNumberFormat="1" applyFont="1" applyFill="1" applyAlignment="1" applyProtection="1">
      <alignment horizontal="right" vertical="center" wrapText="1"/>
      <protection hidden="1"/>
    </xf>
    <xf numFmtId="166" fontId="6" fillId="2" borderId="0" xfId="1" applyNumberFormat="1" applyFont="1" applyFill="1" applyAlignment="1" applyProtection="1">
      <alignment horizontal="right" vertical="center" wrapText="1"/>
      <protection hidden="1"/>
    </xf>
    <xf numFmtId="9" fontId="2" fillId="0" borderId="0" xfId="0" applyNumberFormat="1" applyFont="1"/>
    <xf numFmtId="2" fontId="4" fillId="4" borderId="0" xfId="0" applyNumberFormat="1" applyFont="1" applyFill="1" applyAlignment="1" applyProtection="1">
      <alignment vertical="center"/>
      <protection locked="0"/>
    </xf>
    <xf numFmtId="167" fontId="13" fillId="0" borderId="2" xfId="0" applyNumberFormat="1" applyFont="1" applyBorder="1" applyAlignment="1">
      <alignment horizontal="right" vertical="center" wrapText="1"/>
    </xf>
    <xf numFmtId="166" fontId="8" fillId="3" borderId="0" xfId="1" applyNumberFormat="1" applyFont="1" applyFill="1" applyAlignment="1" applyProtection="1">
      <alignment horizontal="center" vertical="center" wrapText="1"/>
      <protection hidden="1"/>
    </xf>
    <xf numFmtId="9" fontId="5" fillId="2" borderId="0" xfId="2" applyFont="1" applyFill="1" applyBorder="1" applyAlignment="1" applyProtection="1">
      <alignment vertical="center" wrapText="1"/>
      <protection locked="0"/>
    </xf>
    <xf numFmtId="9" fontId="3" fillId="2" borderId="0" xfId="0" applyNumberFormat="1" applyFont="1" applyFill="1"/>
    <xf numFmtId="44" fontId="15" fillId="2" borderId="0" xfId="1" applyFont="1" applyFill="1" applyAlignment="1" applyProtection="1">
      <alignment horizontal="center" vertical="center" wrapText="1"/>
      <protection hidden="1"/>
    </xf>
    <xf numFmtId="9" fontId="4" fillId="2" borderId="0" xfId="2" applyFont="1" applyFill="1" applyBorder="1" applyAlignment="1" applyProtection="1">
      <alignment vertical="center" wrapText="1"/>
    </xf>
    <xf numFmtId="44" fontId="8" fillId="2" borderId="0" xfId="1" applyFont="1" applyFill="1" applyAlignment="1" applyProtection="1">
      <alignment horizontal="center" vertical="center" wrapText="1"/>
      <protection hidden="1"/>
    </xf>
    <xf numFmtId="44" fontId="16" fillId="2" borderId="0" xfId="1" applyFont="1" applyFill="1" applyAlignment="1" applyProtection="1">
      <alignment horizontal="center" vertical="center" wrapText="1"/>
      <protection hidden="1"/>
    </xf>
    <xf numFmtId="44" fontId="17" fillId="2" borderId="0" xfId="1" applyFont="1" applyFill="1" applyAlignment="1" applyProtection="1">
      <alignment horizontal="center" vertical="center" wrapText="1"/>
      <protection hidden="1"/>
    </xf>
    <xf numFmtId="9" fontId="5" fillId="2" borderId="0" xfId="2" applyFont="1" applyFill="1" applyBorder="1" applyAlignment="1" applyProtection="1">
      <alignment vertical="center" wrapText="1"/>
    </xf>
    <xf numFmtId="44" fontId="17" fillId="2" borderId="0" xfId="1" applyFont="1" applyFill="1" applyAlignment="1" applyProtection="1">
      <alignment horizontal="center" vertical="center" wrapText="1"/>
    </xf>
    <xf numFmtId="44" fontId="9" fillId="2" borderId="0" xfId="1" applyFont="1" applyFill="1" applyAlignment="1" applyProtection="1">
      <alignment horizontal="center" vertical="center" wrapText="1"/>
    </xf>
    <xf numFmtId="44" fontId="15" fillId="2" borderId="0" xfId="1" applyFont="1" applyFill="1" applyAlignment="1" applyProtection="1">
      <alignment horizontal="left" vertical="center" wrapText="1"/>
    </xf>
    <xf numFmtId="44" fontId="15" fillId="2" borderId="0" xfId="1" applyFont="1" applyFill="1" applyAlignment="1" applyProtection="1">
      <alignment horizontal="center" vertical="center" wrapText="1"/>
    </xf>
    <xf numFmtId="166" fontId="6" fillId="2" borderId="0" xfId="1" applyNumberFormat="1" applyFont="1" applyFill="1" applyAlignment="1" applyProtection="1">
      <alignment horizontal="right" vertical="center" wrapText="1"/>
    </xf>
    <xf numFmtId="44" fontId="6" fillId="2" borderId="0" xfId="1" applyFont="1" applyFill="1" applyAlignment="1" applyProtection="1">
      <alignment horizontal="center" vertical="center" wrapText="1"/>
    </xf>
    <xf numFmtId="3" fontId="6" fillId="2" borderId="0" xfId="1" applyNumberFormat="1" applyFont="1" applyFill="1" applyAlignment="1" applyProtection="1">
      <alignment horizontal="right" vertical="center" wrapText="1"/>
    </xf>
    <xf numFmtId="166" fontId="10" fillId="2" borderId="0" xfId="1" applyNumberFormat="1" applyFont="1" applyFill="1" applyAlignment="1" applyProtection="1">
      <alignment horizontal="right" vertical="center" wrapText="1"/>
    </xf>
    <xf numFmtId="44" fontId="9" fillId="0" borderId="0" xfId="1" applyFont="1" applyFill="1" applyAlignment="1" applyProtection="1">
      <alignment horizontal="center" vertical="center" wrapText="1"/>
    </xf>
    <xf numFmtId="166" fontId="8" fillId="3" borderId="0" xfId="1" applyNumberFormat="1" applyFont="1" applyFill="1" applyAlignment="1" applyProtection="1">
      <alignment horizontal="center" vertical="center" wrapText="1"/>
    </xf>
    <xf numFmtId="44" fontId="6" fillId="2" borderId="0" xfId="1" applyFont="1" applyFill="1" applyAlignment="1" applyProtection="1">
      <alignment horizontal="right" vertical="center" wrapText="1"/>
    </xf>
    <xf numFmtId="44" fontId="10" fillId="2" borderId="0" xfId="1" applyFont="1" applyFill="1" applyAlignment="1" applyProtection="1">
      <alignment horizontal="right" vertical="center" wrapText="1"/>
    </xf>
    <xf numFmtId="44" fontId="6" fillId="2" borderId="0" xfId="1" applyFont="1" applyFill="1" applyBorder="1" applyAlignment="1" applyProtection="1">
      <alignment horizontal="right" vertical="center" wrapText="1"/>
    </xf>
    <xf numFmtId="44" fontId="8" fillId="2" borderId="0" xfId="1" applyFont="1" applyFill="1" applyAlignment="1" applyProtection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164" fontId="8" fillId="3" borderId="0" xfId="0" applyNumberFormat="1" applyFont="1" applyFill="1" applyAlignment="1">
      <alignment horizontal="left" vertical="center" wrapText="1"/>
    </xf>
    <xf numFmtId="1" fontId="4" fillId="2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44" fontId="4" fillId="5" borderId="2" xfId="1" applyFont="1" applyFill="1" applyBorder="1" applyAlignment="1" applyProtection="1">
      <alignment vertical="center" wrapText="1"/>
      <protection locked="0"/>
    </xf>
    <xf numFmtId="44" fontId="4" fillId="5" borderId="1" xfId="1" applyFont="1" applyFill="1" applyBorder="1" applyAlignment="1" applyProtection="1">
      <alignment vertical="center" wrapText="1"/>
      <protection locked="0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164" fontId="4" fillId="3" borderId="0" xfId="0" applyNumberFormat="1" applyFont="1" applyFill="1" applyAlignment="1" applyProtection="1">
      <alignment horizontal="center" vertical="center" wrapText="1"/>
      <protection hidden="1"/>
    </xf>
    <xf numFmtId="164" fontId="6" fillId="3" borderId="0" xfId="0" applyNumberFormat="1" applyFont="1" applyFill="1" applyAlignment="1" applyProtection="1">
      <alignment horizontal="center" vertical="center"/>
      <protection hidden="1"/>
    </xf>
    <xf numFmtId="164" fontId="6" fillId="3" borderId="0" xfId="0" applyNumberFormat="1" applyFont="1" applyFill="1" applyAlignment="1" applyProtection="1">
      <alignment horizontal="center" vertical="center" wrapText="1"/>
      <protection hidden="1"/>
    </xf>
    <xf numFmtId="9" fontId="3" fillId="3" borderId="0" xfId="0" applyNumberFormat="1" applyFont="1" applyFill="1"/>
    <xf numFmtId="9" fontId="4" fillId="3" borderId="0" xfId="2" applyFont="1" applyFill="1" applyBorder="1" applyAlignment="1" applyProtection="1">
      <alignment vertical="center" wrapText="1"/>
      <protection locked="0"/>
    </xf>
    <xf numFmtId="2" fontId="4" fillId="3" borderId="0" xfId="0" applyNumberFormat="1" applyFont="1" applyFill="1" applyAlignment="1" applyProtection="1">
      <alignment vertical="center"/>
      <protection locked="0"/>
    </xf>
    <xf numFmtId="44" fontId="9" fillId="3" borderId="0" xfId="1" applyFont="1" applyFill="1" applyAlignment="1" applyProtection="1">
      <alignment horizontal="center" vertical="center" wrapText="1"/>
      <protection hidden="1"/>
    </xf>
    <xf numFmtId="167" fontId="13" fillId="3" borderId="2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 applyProtection="1">
      <alignment horizontal="right" vertical="center" wrapText="1"/>
      <protection hidden="1"/>
    </xf>
    <xf numFmtId="166" fontId="6" fillId="3" borderId="0" xfId="1" applyNumberFormat="1" applyFont="1" applyFill="1" applyAlignment="1" applyProtection="1">
      <alignment horizontal="right" vertical="center" wrapText="1"/>
      <protection hidden="1"/>
    </xf>
    <xf numFmtId="166" fontId="10" fillId="3" borderId="0" xfId="1" applyNumberFormat="1" applyFont="1" applyFill="1" applyAlignment="1" applyProtection="1">
      <alignment horizontal="right" vertical="center" wrapText="1"/>
      <protection hidden="1"/>
    </xf>
    <xf numFmtId="44" fontId="6" fillId="3" borderId="0" xfId="1" applyFont="1" applyFill="1" applyAlignment="1" applyProtection="1">
      <alignment horizontal="right" vertical="center" wrapText="1"/>
      <protection hidden="1"/>
    </xf>
    <xf numFmtId="44" fontId="10" fillId="3" borderId="0" xfId="1" applyFont="1" applyFill="1" applyAlignment="1" applyProtection="1">
      <alignment horizontal="right" vertical="center" wrapText="1"/>
      <protection hidden="1"/>
    </xf>
    <xf numFmtId="164" fontId="5" fillId="3" borderId="0" xfId="0" applyNumberFormat="1" applyFont="1" applyFill="1" applyAlignment="1" applyProtection="1">
      <alignment horizontal="left" vertical="center" wrapText="1"/>
      <protection hidden="1"/>
    </xf>
    <xf numFmtId="0" fontId="3" fillId="3" borderId="0" xfId="0" applyFont="1" applyFill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44" fontId="17" fillId="3" borderId="0" xfId="1" applyFont="1" applyFill="1" applyAlignment="1" applyProtection="1">
      <alignment horizontal="center" vertical="center" wrapText="1"/>
      <protection hidden="1"/>
    </xf>
    <xf numFmtId="44" fontId="16" fillId="3" borderId="0" xfId="1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>
      <alignment vertical="center" wrapText="1"/>
    </xf>
    <xf numFmtId="9" fontId="2" fillId="3" borderId="0" xfId="0" applyNumberFormat="1" applyFont="1" applyFill="1"/>
    <xf numFmtId="0" fontId="7" fillId="3" borderId="0" xfId="0" applyFont="1" applyFill="1"/>
    <xf numFmtId="0" fontId="13" fillId="3" borderId="0" xfId="0" applyFont="1" applyFill="1"/>
    <xf numFmtId="1" fontId="4" fillId="4" borderId="2" xfId="2" applyNumberFormat="1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>
      <alignment horizontal="left"/>
    </xf>
    <xf numFmtId="0" fontId="2" fillId="4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" fillId="4" borderId="1" xfId="0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30">
    <dxf>
      <fill>
        <patternFill>
          <bgColor theme="1"/>
        </patternFill>
      </fill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11</xdr:col>
      <xdr:colOff>195943</xdr:colOff>
      <xdr:row>3</xdr:row>
      <xdr:rowOff>106046</xdr:rowOff>
    </xdr:to>
    <xdr:sp macro="" textlink="">
      <xdr:nvSpPr>
        <xdr:cNvPr id="2" name="AutoShape 3" descr="Afbeeldingsresultaat voor den haag logo">
          <a:extLst>
            <a:ext uri="{FF2B5EF4-FFF2-40B4-BE49-F238E27FC236}">
              <a16:creationId xmlns:a16="http://schemas.microsoft.com/office/drawing/2014/main" id="{1BAC480D-017F-48EE-9281-DF6F8E204F80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292100"/>
          <a:ext cx="304800" cy="25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6070"/>
    <xdr:sp macro="" textlink="">
      <xdr:nvSpPr>
        <xdr:cNvPr id="3" name="AutoShape 3" descr="Afbeeldingsresultaat voor den haag logo">
          <a:extLst>
            <a:ext uri="{FF2B5EF4-FFF2-40B4-BE49-F238E27FC236}">
              <a16:creationId xmlns:a16="http://schemas.microsoft.com/office/drawing/2014/main" id="{09ED3F9C-139C-43AD-9628-6647C83B4471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16256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304800" cy="306070"/>
    <xdr:sp macro="" textlink="">
      <xdr:nvSpPr>
        <xdr:cNvPr id="4" name="AutoShape 3" descr="Afbeeldingsresultaat voor den haag logo">
          <a:extLst>
            <a:ext uri="{FF2B5EF4-FFF2-40B4-BE49-F238E27FC236}">
              <a16:creationId xmlns:a16="http://schemas.microsoft.com/office/drawing/2014/main" id="{87224E9F-E89C-4C58-BF83-CBD612864D29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252095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13</xdr:col>
      <xdr:colOff>0</xdr:colOff>
      <xdr:row>5</xdr:row>
      <xdr:rowOff>0</xdr:rowOff>
    </xdr:from>
    <xdr:to>
      <xdr:col>17</xdr:col>
      <xdr:colOff>304800</xdr:colOff>
      <xdr:row>6</xdr:row>
      <xdr:rowOff>125095</xdr:rowOff>
    </xdr:to>
    <xdr:sp macro="" textlink="">
      <xdr:nvSpPr>
        <xdr:cNvPr id="6" name="AutoShape 3" descr="Afbeeldingsresultaat voor den haag logo">
          <a:extLst>
            <a:ext uri="{FF2B5EF4-FFF2-40B4-BE49-F238E27FC236}">
              <a16:creationId xmlns:a16="http://schemas.microsoft.com/office/drawing/2014/main" id="{B0917671-A6ED-48FF-80DC-752DEAE8E561}"/>
            </a:ext>
          </a:extLst>
        </xdr:cNvPr>
        <xdr:cNvSpPr>
          <a:spLocks noChangeAspect="1" noChangeArrowheads="1"/>
        </xdr:cNvSpPr>
      </xdr:nvSpPr>
      <xdr:spPr bwMode="auto">
        <a:xfrm>
          <a:off x="14204950" y="730250"/>
          <a:ext cx="304800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9</xdr:row>
      <xdr:rowOff>0</xdr:rowOff>
    </xdr:from>
    <xdr:ext cx="304800" cy="306070"/>
    <xdr:sp macro="" textlink="">
      <xdr:nvSpPr>
        <xdr:cNvPr id="7" name="AutoShape 3" descr="Afbeeldingsresultaat voor den haag logo">
          <a:extLst>
            <a:ext uri="{FF2B5EF4-FFF2-40B4-BE49-F238E27FC236}">
              <a16:creationId xmlns:a16="http://schemas.microsoft.com/office/drawing/2014/main" id="{1A8ABBD4-1EA5-4B5C-8AD5-0434F167E2B5}"/>
            </a:ext>
          </a:extLst>
        </xdr:cNvPr>
        <xdr:cNvSpPr>
          <a:spLocks noChangeAspect="1" noChangeArrowheads="1"/>
        </xdr:cNvSpPr>
      </xdr:nvSpPr>
      <xdr:spPr bwMode="auto">
        <a:xfrm>
          <a:off x="14204950" y="13208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195943</xdr:colOff>
      <xdr:row>3</xdr:row>
      <xdr:rowOff>102871</xdr:rowOff>
    </xdr:to>
    <xdr:sp macro="" textlink="">
      <xdr:nvSpPr>
        <xdr:cNvPr id="2" name="AutoShape 3" descr="Afbeeldingsresultaat voor den haag logo">
          <a:extLst>
            <a:ext uri="{FF2B5EF4-FFF2-40B4-BE49-F238E27FC236}">
              <a16:creationId xmlns:a16="http://schemas.microsoft.com/office/drawing/2014/main" id="{A8D322A5-A567-4D79-A96C-3BFE9704C24F}"/>
            </a:ext>
          </a:extLst>
        </xdr:cNvPr>
        <xdr:cNvSpPr>
          <a:spLocks noChangeAspect="1" noChangeArrowheads="1"/>
        </xdr:cNvSpPr>
      </xdr:nvSpPr>
      <xdr:spPr bwMode="auto">
        <a:xfrm>
          <a:off x="9829800" y="285750"/>
          <a:ext cx="304800" cy="28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11</xdr:row>
      <xdr:rowOff>0</xdr:rowOff>
    </xdr:from>
    <xdr:ext cx="304800" cy="306070"/>
    <xdr:sp macro="" textlink="">
      <xdr:nvSpPr>
        <xdr:cNvPr id="3" name="AutoShape 3" descr="Afbeeldingsresultaat voor den haag logo">
          <a:extLst>
            <a:ext uri="{FF2B5EF4-FFF2-40B4-BE49-F238E27FC236}">
              <a16:creationId xmlns:a16="http://schemas.microsoft.com/office/drawing/2014/main" id="{340E2EFA-65F9-499D-A091-9AE65BB92F44}"/>
            </a:ext>
          </a:extLst>
        </xdr:cNvPr>
        <xdr:cNvSpPr>
          <a:spLocks noChangeAspect="1" noChangeArrowheads="1"/>
        </xdr:cNvSpPr>
      </xdr:nvSpPr>
      <xdr:spPr bwMode="auto">
        <a:xfrm>
          <a:off x="9829800" y="14478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6070"/>
    <xdr:sp macro="" textlink="">
      <xdr:nvSpPr>
        <xdr:cNvPr id="4" name="AutoShape 3" descr="Afbeeldingsresultaat voor den haag logo">
          <a:extLst>
            <a:ext uri="{FF2B5EF4-FFF2-40B4-BE49-F238E27FC236}">
              <a16:creationId xmlns:a16="http://schemas.microsoft.com/office/drawing/2014/main" id="{E6F9FB7C-B434-4D06-B9A4-A96F05B4E957}"/>
            </a:ext>
          </a:extLst>
        </xdr:cNvPr>
        <xdr:cNvSpPr>
          <a:spLocks noChangeAspect="1" noChangeArrowheads="1"/>
        </xdr:cNvSpPr>
      </xdr:nvSpPr>
      <xdr:spPr bwMode="auto">
        <a:xfrm>
          <a:off x="9829800" y="2333625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6070"/>
    <xdr:sp macro="" textlink="">
      <xdr:nvSpPr>
        <xdr:cNvPr id="5" name="AutoShape 3" descr="Afbeeldingsresultaat voor den haag logo">
          <a:extLst>
            <a:ext uri="{FF2B5EF4-FFF2-40B4-BE49-F238E27FC236}">
              <a16:creationId xmlns:a16="http://schemas.microsoft.com/office/drawing/2014/main" id="{1511C78A-DD29-4957-B251-5C530232E7C4}"/>
            </a:ext>
          </a:extLst>
        </xdr:cNvPr>
        <xdr:cNvSpPr>
          <a:spLocks noChangeAspect="1" noChangeArrowheads="1"/>
        </xdr:cNvSpPr>
      </xdr:nvSpPr>
      <xdr:spPr bwMode="auto">
        <a:xfrm>
          <a:off x="9829800" y="2333625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16</xdr:col>
      <xdr:colOff>304800</xdr:colOff>
      <xdr:row>6</xdr:row>
      <xdr:rowOff>121920</xdr:rowOff>
    </xdr:to>
    <xdr:sp macro="" textlink="">
      <xdr:nvSpPr>
        <xdr:cNvPr id="6" name="AutoShape 3" descr="Afbeeldingsresultaat voor den haag logo">
          <a:extLst>
            <a:ext uri="{FF2B5EF4-FFF2-40B4-BE49-F238E27FC236}">
              <a16:creationId xmlns:a16="http://schemas.microsoft.com/office/drawing/2014/main" id="{1FBA3E59-B464-41CA-B663-7F0641F224BD}"/>
            </a:ext>
          </a:extLst>
        </xdr:cNvPr>
        <xdr:cNvSpPr>
          <a:spLocks noChangeAspect="1" noChangeArrowheads="1"/>
        </xdr:cNvSpPr>
      </xdr:nvSpPr>
      <xdr:spPr bwMode="auto">
        <a:xfrm>
          <a:off x="17059275" y="714375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9</xdr:row>
      <xdr:rowOff>0</xdr:rowOff>
    </xdr:from>
    <xdr:ext cx="304800" cy="306070"/>
    <xdr:sp macro="" textlink="">
      <xdr:nvSpPr>
        <xdr:cNvPr id="7" name="AutoShape 3" descr="Afbeeldingsresultaat voor den haag logo">
          <a:extLst>
            <a:ext uri="{FF2B5EF4-FFF2-40B4-BE49-F238E27FC236}">
              <a16:creationId xmlns:a16="http://schemas.microsoft.com/office/drawing/2014/main" id="{A296CBF3-09A6-469A-B0E8-559E37712F37}"/>
            </a:ext>
          </a:extLst>
        </xdr:cNvPr>
        <xdr:cNvSpPr>
          <a:spLocks noChangeAspect="1" noChangeArrowheads="1"/>
        </xdr:cNvSpPr>
      </xdr:nvSpPr>
      <xdr:spPr bwMode="auto">
        <a:xfrm>
          <a:off x="17059275" y="12954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64771</xdr:rowOff>
    </xdr:to>
    <xdr:sp macro="" textlink="">
      <xdr:nvSpPr>
        <xdr:cNvPr id="2" name="AutoShape 3" descr="Afbeeldingsresultaat voor den haag logo">
          <a:extLst>
            <a:ext uri="{FF2B5EF4-FFF2-40B4-BE49-F238E27FC236}">
              <a16:creationId xmlns:a16="http://schemas.microsoft.com/office/drawing/2014/main" id="{7D224DB7-6166-485A-A891-69B9E4ED7C75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285750"/>
          <a:ext cx="304800" cy="245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11</xdr:row>
      <xdr:rowOff>0</xdr:rowOff>
    </xdr:from>
    <xdr:ext cx="304800" cy="306070"/>
    <xdr:sp macro="" textlink="">
      <xdr:nvSpPr>
        <xdr:cNvPr id="3" name="AutoShape 3" descr="Afbeeldingsresultaat voor den haag logo">
          <a:extLst>
            <a:ext uri="{FF2B5EF4-FFF2-40B4-BE49-F238E27FC236}">
              <a16:creationId xmlns:a16="http://schemas.microsoft.com/office/drawing/2014/main" id="{444F5FE6-0E96-41BD-8F1A-22F7CFDF4729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16002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6070"/>
    <xdr:sp macro="" textlink="">
      <xdr:nvSpPr>
        <xdr:cNvPr id="4" name="AutoShape 3" descr="Afbeeldingsresultaat voor den haag logo">
          <a:extLst>
            <a:ext uri="{FF2B5EF4-FFF2-40B4-BE49-F238E27FC236}">
              <a16:creationId xmlns:a16="http://schemas.microsoft.com/office/drawing/2014/main" id="{EEE1C096-5E7A-477C-8510-171EBB0A86A5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2486025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6070"/>
    <xdr:sp macro="" textlink="">
      <xdr:nvSpPr>
        <xdr:cNvPr id="5" name="AutoShape 3" descr="Afbeeldingsresultaat voor den haag logo">
          <a:extLst>
            <a:ext uri="{FF2B5EF4-FFF2-40B4-BE49-F238E27FC236}">
              <a16:creationId xmlns:a16="http://schemas.microsoft.com/office/drawing/2014/main" id="{2480EA05-F35F-4C83-9DB7-12F3F2C463CF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2486025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5</xdr:row>
      <xdr:rowOff>0</xdr:rowOff>
    </xdr:from>
    <xdr:to>
      <xdr:col>13</xdr:col>
      <xdr:colOff>304800</xdr:colOff>
      <xdr:row>6</xdr:row>
      <xdr:rowOff>83820</xdr:rowOff>
    </xdr:to>
    <xdr:sp macro="" textlink="">
      <xdr:nvSpPr>
        <xdr:cNvPr id="6" name="AutoShape 3" descr="Afbeeldingsresultaat voor den haag logo">
          <a:extLst>
            <a:ext uri="{FF2B5EF4-FFF2-40B4-BE49-F238E27FC236}">
              <a16:creationId xmlns:a16="http://schemas.microsoft.com/office/drawing/2014/main" id="{ADE11B1F-0AC6-4941-8225-5659811D277A}"/>
            </a:ext>
          </a:extLst>
        </xdr:cNvPr>
        <xdr:cNvSpPr>
          <a:spLocks noChangeAspect="1" noChangeArrowheads="1"/>
        </xdr:cNvSpPr>
      </xdr:nvSpPr>
      <xdr:spPr bwMode="auto">
        <a:xfrm>
          <a:off x="18011775" y="714375"/>
          <a:ext cx="30480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9</xdr:row>
      <xdr:rowOff>0</xdr:rowOff>
    </xdr:from>
    <xdr:ext cx="304800" cy="306070"/>
    <xdr:sp macro="" textlink="">
      <xdr:nvSpPr>
        <xdr:cNvPr id="7" name="AutoShape 3" descr="Afbeeldingsresultaat voor den haag logo">
          <a:extLst>
            <a:ext uri="{FF2B5EF4-FFF2-40B4-BE49-F238E27FC236}">
              <a16:creationId xmlns:a16="http://schemas.microsoft.com/office/drawing/2014/main" id="{6B8250CA-BF72-4B15-A307-5B78E3D36C4D}"/>
            </a:ext>
          </a:extLst>
        </xdr:cNvPr>
        <xdr:cNvSpPr>
          <a:spLocks noChangeAspect="1" noChangeArrowheads="1"/>
        </xdr:cNvSpPr>
      </xdr:nvSpPr>
      <xdr:spPr bwMode="auto">
        <a:xfrm>
          <a:off x="18011775" y="129540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8D28-D8D6-43BA-B061-8CE71A002E1D}">
  <dimension ref="A1:Q103"/>
  <sheetViews>
    <sheetView tabSelected="1" topLeftCell="A4" zoomScale="85" zoomScaleNormal="85" workbookViewId="0">
      <selection activeCell="J52" sqref="J52"/>
    </sheetView>
  </sheetViews>
  <sheetFormatPr defaultColWidth="8.85546875" defaultRowHeight="12" x14ac:dyDescent="0.2"/>
  <cols>
    <col min="1" max="1" width="2.140625" style="1" customWidth="1"/>
    <col min="2" max="2" width="67.140625" style="2" customWidth="1"/>
    <col min="3" max="3" width="1.42578125" style="89" customWidth="1"/>
    <col min="4" max="6" width="26.7109375" style="2" customWidth="1"/>
    <col min="7" max="7" width="1" style="89" customWidth="1"/>
    <col min="8" max="10" width="26.7109375" style="2" customWidth="1"/>
    <col min="11" max="11" width="1.7109375" style="89" customWidth="1"/>
    <col min="12" max="12" width="23.140625" style="2" bestFit="1" customWidth="1"/>
    <col min="13" max="13" width="13.42578125" style="2" hidden="1" customWidth="1"/>
    <col min="14" max="17" width="8.85546875" style="2" hidden="1" customWidth="1"/>
    <col min="18" max="18" width="8.85546875" style="2" customWidth="1"/>
    <col min="19" max="16384" width="8.85546875" style="2"/>
  </cols>
  <sheetData>
    <row r="1" spans="2:13" x14ac:dyDescent="0.2">
      <c r="B1" s="1"/>
      <c r="D1" s="1"/>
      <c r="E1" s="1"/>
      <c r="F1" s="1"/>
      <c r="H1" s="1"/>
      <c r="I1" s="1"/>
      <c r="J1" s="1"/>
    </row>
    <row r="2" spans="2:13" x14ac:dyDescent="0.2">
      <c r="B2" s="3" t="s">
        <v>75</v>
      </c>
      <c r="C2" s="105"/>
      <c r="D2" s="3" t="s">
        <v>99</v>
      </c>
      <c r="E2" s="3"/>
      <c r="F2" s="1"/>
      <c r="H2" s="3" t="s">
        <v>100</v>
      </c>
      <c r="I2" s="3"/>
      <c r="J2" s="1"/>
    </row>
    <row r="3" spans="2:13" x14ac:dyDescent="0.2">
      <c r="B3" s="3"/>
      <c r="C3" s="105"/>
      <c r="D3" s="3"/>
      <c r="E3" s="3"/>
      <c r="F3" s="1"/>
      <c r="H3" s="3"/>
      <c r="I3" s="3"/>
      <c r="J3" s="1"/>
    </row>
    <row r="4" spans="2:13" x14ac:dyDescent="0.2">
      <c r="B4" s="4" t="s">
        <v>0</v>
      </c>
      <c r="C4" s="4"/>
      <c r="D4" s="4"/>
      <c r="E4" s="4"/>
      <c r="F4" s="4"/>
      <c r="G4" s="4"/>
      <c r="H4" s="4"/>
      <c r="I4" s="4"/>
      <c r="J4" s="4"/>
      <c r="K4" s="90"/>
      <c r="L4" s="5"/>
      <c r="M4" s="5"/>
    </row>
    <row r="5" spans="2:13" x14ac:dyDescent="0.2">
      <c r="B5" s="6"/>
      <c r="C5" s="90"/>
      <c r="D5" s="6"/>
      <c r="E5" s="6"/>
      <c r="F5" s="6"/>
      <c r="G5" s="90"/>
      <c r="H5" s="6"/>
      <c r="I5" s="6"/>
      <c r="J5" s="6"/>
      <c r="K5" s="90"/>
      <c r="L5" s="5"/>
      <c r="M5" s="5"/>
    </row>
    <row r="6" spans="2:13" x14ac:dyDescent="0.2">
      <c r="B6" s="7"/>
      <c r="C6" s="106"/>
      <c r="D6" s="8" t="s">
        <v>1</v>
      </c>
      <c r="E6" s="8" t="s">
        <v>2</v>
      </c>
      <c r="F6" s="9"/>
      <c r="G6" s="91"/>
      <c r="H6" s="8" t="s">
        <v>1</v>
      </c>
      <c r="I6" s="8" t="s">
        <v>2</v>
      </c>
      <c r="J6" s="9"/>
    </row>
    <row r="7" spans="2:13" x14ac:dyDescent="0.2">
      <c r="B7" s="10" t="s">
        <v>3</v>
      </c>
      <c r="C7" s="107"/>
      <c r="D7" s="11" t="s">
        <v>4</v>
      </c>
      <c r="E7" s="11" t="s">
        <v>5</v>
      </c>
      <c r="F7" s="9"/>
      <c r="G7" s="91"/>
      <c r="H7" s="11" t="s">
        <v>4</v>
      </c>
      <c r="I7" s="11" t="s">
        <v>5</v>
      </c>
      <c r="J7" s="9"/>
    </row>
    <row r="8" spans="2:13" x14ac:dyDescent="0.2">
      <c r="B8" s="1"/>
      <c r="D8" s="1"/>
      <c r="E8" s="1"/>
      <c r="F8" s="9"/>
      <c r="G8" s="91"/>
      <c r="H8" s="1"/>
      <c r="I8" s="1"/>
      <c r="J8" s="9"/>
    </row>
    <row r="9" spans="2:13" x14ac:dyDescent="0.2">
      <c r="B9" s="10" t="s">
        <v>6</v>
      </c>
      <c r="C9" s="107"/>
      <c r="D9" s="11" t="s">
        <v>4</v>
      </c>
      <c r="E9" s="11" t="s">
        <v>5</v>
      </c>
      <c r="F9" s="12" t="s">
        <v>7</v>
      </c>
      <c r="G9" s="92"/>
      <c r="H9" s="11" t="s">
        <v>4</v>
      </c>
      <c r="I9" s="11" t="s">
        <v>5</v>
      </c>
      <c r="J9" s="12" t="s">
        <v>7</v>
      </c>
    </row>
    <row r="10" spans="2:13" x14ac:dyDescent="0.2">
      <c r="B10" s="10" t="s">
        <v>8</v>
      </c>
      <c r="C10" s="107"/>
      <c r="D10" s="11" t="s">
        <v>4</v>
      </c>
      <c r="E10" s="11" t="s">
        <v>5</v>
      </c>
      <c r="F10" s="12" t="s">
        <v>7</v>
      </c>
      <c r="G10" s="92"/>
      <c r="H10" s="11" t="s">
        <v>4</v>
      </c>
      <c r="I10" s="11" t="s">
        <v>5</v>
      </c>
      <c r="J10" s="12" t="s">
        <v>7</v>
      </c>
    </row>
    <row r="11" spans="2:13" x14ac:dyDescent="0.2">
      <c r="B11" s="10" t="s">
        <v>54</v>
      </c>
      <c r="C11" s="107"/>
      <c r="D11" s="11" t="s">
        <v>4</v>
      </c>
      <c r="E11" s="11" t="s">
        <v>5</v>
      </c>
      <c r="F11" s="12" t="s">
        <v>7</v>
      </c>
      <c r="G11" s="92"/>
      <c r="H11" s="11" t="s">
        <v>4</v>
      </c>
      <c r="I11" s="11" t="s">
        <v>5</v>
      </c>
      <c r="J11" s="12" t="s">
        <v>7</v>
      </c>
    </row>
    <row r="12" spans="2:13" x14ac:dyDescent="0.2">
      <c r="B12" s="9"/>
      <c r="C12" s="91"/>
      <c r="D12" s="9"/>
      <c r="E12" s="13"/>
      <c r="F12" s="9"/>
      <c r="G12" s="91"/>
      <c r="H12" s="9"/>
      <c r="I12" s="13"/>
      <c r="J12" s="9"/>
    </row>
    <row r="13" spans="2:13" x14ac:dyDescent="0.2">
      <c r="B13" s="4" t="s">
        <v>9</v>
      </c>
      <c r="C13" s="4"/>
      <c r="D13" s="4"/>
      <c r="E13" s="4"/>
      <c r="F13" s="4"/>
      <c r="G13" s="4"/>
      <c r="H13" s="4"/>
      <c r="I13" s="4"/>
      <c r="J13" s="4"/>
      <c r="K13" s="90"/>
      <c r="L13" s="5"/>
      <c r="M13" s="5"/>
    </row>
    <row r="14" spans="2:13" x14ac:dyDescent="0.2">
      <c r="B14" s="9"/>
      <c r="C14" s="91"/>
      <c r="D14" s="9"/>
      <c r="E14" s="13"/>
      <c r="F14" s="9"/>
      <c r="G14" s="91"/>
      <c r="H14" s="9"/>
      <c r="I14" s="13"/>
      <c r="J14" s="9"/>
    </row>
    <row r="15" spans="2:13" x14ac:dyDescent="0.2">
      <c r="B15" s="121" t="s">
        <v>10</v>
      </c>
      <c r="C15" s="122"/>
      <c r="D15" s="122"/>
      <c r="E15" s="13"/>
      <c r="F15" s="14"/>
      <c r="G15" s="93"/>
      <c r="H15" s="14"/>
      <c r="I15" s="13"/>
      <c r="J15" s="14"/>
    </row>
    <row r="16" spans="2:13" x14ac:dyDescent="0.2">
      <c r="B16" s="10" t="s">
        <v>11</v>
      </c>
      <c r="C16" s="107"/>
      <c r="D16" s="117" t="s">
        <v>4</v>
      </c>
      <c r="E16" s="117"/>
      <c r="F16" s="12" t="s">
        <v>7</v>
      </c>
      <c r="G16" s="92"/>
      <c r="H16" s="117" t="s">
        <v>4</v>
      </c>
      <c r="I16" s="117"/>
      <c r="J16" s="12" t="s">
        <v>7</v>
      </c>
    </row>
    <row r="17" spans="2:17" x14ac:dyDescent="0.2">
      <c r="B17" s="9"/>
      <c r="C17" s="91"/>
      <c r="D17" s="9"/>
      <c r="E17" s="9"/>
      <c r="F17" s="14"/>
      <c r="G17" s="93"/>
      <c r="H17" s="9"/>
      <c r="I17" s="9"/>
      <c r="J17" s="14"/>
    </row>
    <row r="18" spans="2:17" x14ac:dyDescent="0.2">
      <c r="B18" s="4" t="s">
        <v>12</v>
      </c>
      <c r="C18" s="4"/>
      <c r="D18" s="4"/>
      <c r="E18" s="4"/>
      <c r="F18" s="4"/>
      <c r="G18" s="4"/>
      <c r="H18" s="4"/>
      <c r="I18" s="4"/>
      <c r="J18" s="4"/>
      <c r="K18" s="90"/>
      <c r="L18" s="5"/>
      <c r="M18" s="5"/>
    </row>
    <row r="19" spans="2:17" x14ac:dyDescent="0.2">
      <c r="B19" s="1"/>
      <c r="D19" s="1"/>
      <c r="E19" s="1"/>
      <c r="F19" s="1"/>
      <c r="H19" s="1"/>
      <c r="I19" s="1"/>
      <c r="J19" s="1"/>
    </row>
    <row r="20" spans="2:17" x14ac:dyDescent="0.2">
      <c r="B20" s="1"/>
      <c r="D20" s="118" t="s">
        <v>13</v>
      </c>
      <c r="E20" s="118"/>
      <c r="F20" s="14"/>
      <c r="G20" s="93"/>
      <c r="H20" s="118" t="s">
        <v>13</v>
      </c>
      <c r="I20" s="118"/>
      <c r="J20" s="14"/>
    </row>
    <row r="21" spans="2:17" x14ac:dyDescent="0.2">
      <c r="B21" s="10" t="s">
        <v>1</v>
      </c>
      <c r="C21" s="107"/>
      <c r="D21" s="11" t="s">
        <v>4</v>
      </c>
      <c r="E21" s="1"/>
      <c r="F21" s="1"/>
      <c r="H21" s="11" t="s">
        <v>4</v>
      </c>
      <c r="I21" s="1"/>
      <c r="J21" s="1"/>
    </row>
    <row r="22" spans="2:17" x14ac:dyDescent="0.2">
      <c r="B22" s="10" t="s">
        <v>14</v>
      </c>
      <c r="C22" s="107"/>
      <c r="D22" s="11" t="s">
        <v>15</v>
      </c>
      <c r="E22" s="1"/>
      <c r="F22" s="1"/>
      <c r="H22" s="11" t="s">
        <v>15</v>
      </c>
      <c r="I22" s="1"/>
      <c r="J22" s="1"/>
    </row>
    <row r="23" spans="2:17" x14ac:dyDescent="0.2">
      <c r="B23" s="10" t="s">
        <v>98</v>
      </c>
      <c r="C23" s="107"/>
      <c r="D23" s="47">
        <f>35205-H23</f>
        <v>35205</v>
      </c>
      <c r="E23" s="1"/>
      <c r="F23" s="1"/>
      <c r="H23" s="116">
        <v>0</v>
      </c>
      <c r="I23" s="1"/>
      <c r="J23" s="1"/>
    </row>
    <row r="24" spans="2:17" x14ac:dyDescent="0.2">
      <c r="B24" s="10" t="s">
        <v>16</v>
      </c>
      <c r="C24" s="107"/>
      <c r="D24" s="16"/>
      <c r="E24" s="1"/>
      <c r="F24" s="1"/>
      <c r="H24" s="16"/>
      <c r="I24" s="1"/>
      <c r="J24" s="1"/>
    </row>
    <row r="25" spans="2:17" x14ac:dyDescent="0.2">
      <c r="B25" s="10" t="s">
        <v>60</v>
      </c>
      <c r="C25" s="107"/>
      <c r="D25" s="47" t="s">
        <v>61</v>
      </c>
      <c r="E25" s="1"/>
      <c r="F25" s="1"/>
      <c r="H25" s="47" t="s">
        <v>61</v>
      </c>
      <c r="I25" s="1"/>
      <c r="J25" s="1"/>
      <c r="M25" s="2" t="s">
        <v>61</v>
      </c>
      <c r="N25" s="2">
        <v>2025</v>
      </c>
      <c r="O25" s="2">
        <v>2026</v>
      </c>
      <c r="P25" s="2">
        <v>2027</v>
      </c>
      <c r="Q25" s="2">
        <v>2028</v>
      </c>
    </row>
    <row r="26" spans="2:17" x14ac:dyDescent="0.2">
      <c r="B26" s="10" t="s">
        <v>62</v>
      </c>
      <c r="C26" s="107"/>
      <c r="D26" s="45"/>
      <c r="E26" s="1"/>
      <c r="F26" s="1"/>
      <c r="H26" s="45"/>
      <c r="I26" s="1"/>
      <c r="J26" s="1"/>
      <c r="M26" s="2" t="s">
        <v>95</v>
      </c>
      <c r="N26" s="2" t="s">
        <v>94</v>
      </c>
    </row>
    <row r="27" spans="2:17" x14ac:dyDescent="0.2">
      <c r="B27" s="85" t="s">
        <v>89</v>
      </c>
      <c r="C27" s="108"/>
      <c r="D27" s="16" t="s">
        <v>94</v>
      </c>
      <c r="E27" s="45">
        <v>0</v>
      </c>
      <c r="F27" s="1"/>
      <c r="H27" s="16" t="s">
        <v>94</v>
      </c>
      <c r="I27" s="45">
        <v>0</v>
      </c>
      <c r="J27" s="1"/>
    </row>
    <row r="28" spans="2:17" x14ac:dyDescent="0.2">
      <c r="B28" s="10" t="s">
        <v>90</v>
      </c>
      <c r="C28" s="107"/>
      <c r="D28" s="16" t="s">
        <v>94</v>
      </c>
      <c r="E28" s="45">
        <v>0</v>
      </c>
      <c r="F28" s="1"/>
      <c r="H28" s="16" t="s">
        <v>94</v>
      </c>
      <c r="I28" s="45">
        <v>0</v>
      </c>
      <c r="J28" s="1"/>
    </row>
    <row r="29" spans="2:17" x14ac:dyDescent="0.2">
      <c r="B29" s="10" t="s">
        <v>91</v>
      </c>
      <c r="C29" s="107"/>
      <c r="D29" s="16" t="s">
        <v>94</v>
      </c>
      <c r="E29" s="45">
        <v>0</v>
      </c>
      <c r="F29" s="1"/>
      <c r="H29" s="16" t="s">
        <v>94</v>
      </c>
      <c r="I29" s="45">
        <v>0</v>
      </c>
      <c r="J29" s="1"/>
    </row>
    <row r="30" spans="2:17" x14ac:dyDescent="0.2">
      <c r="B30" s="10" t="s">
        <v>93</v>
      </c>
      <c r="C30" s="107"/>
      <c r="D30" s="16" t="s">
        <v>94</v>
      </c>
      <c r="E30" s="45">
        <v>0</v>
      </c>
      <c r="F30" s="1"/>
      <c r="H30" s="16" t="s">
        <v>94</v>
      </c>
      <c r="I30" s="45">
        <v>0</v>
      </c>
      <c r="J30" s="1"/>
    </row>
    <row r="31" spans="2:17" x14ac:dyDescent="0.2">
      <c r="B31" s="10" t="s">
        <v>92</v>
      </c>
      <c r="C31" s="107"/>
      <c r="D31" s="16" t="s">
        <v>94</v>
      </c>
      <c r="E31" s="45">
        <v>0</v>
      </c>
      <c r="F31" s="1"/>
      <c r="H31" s="16" t="s">
        <v>94</v>
      </c>
      <c r="I31" s="45">
        <v>0</v>
      </c>
      <c r="J31" s="1"/>
    </row>
    <row r="32" spans="2:17" x14ac:dyDescent="0.2">
      <c r="B32" s="10" t="s">
        <v>76</v>
      </c>
      <c r="C32" s="107"/>
      <c r="D32" s="47">
        <v>100</v>
      </c>
      <c r="E32" s="1"/>
      <c r="F32" s="1"/>
      <c r="H32" s="47">
        <v>100</v>
      </c>
      <c r="I32" s="1"/>
      <c r="J32" s="1"/>
    </row>
    <row r="33" spans="1:11" x14ac:dyDescent="0.2">
      <c r="B33" s="13"/>
      <c r="C33" s="109"/>
      <c r="D33" s="54" t="s">
        <v>67</v>
      </c>
      <c r="E33" s="55" t="s">
        <v>68</v>
      </c>
      <c r="F33" s="55" t="s">
        <v>97</v>
      </c>
      <c r="G33" s="94"/>
      <c r="H33" s="54" t="s">
        <v>67</v>
      </c>
      <c r="I33" s="55" t="s">
        <v>68</v>
      </c>
      <c r="J33" s="55" t="s">
        <v>97</v>
      </c>
    </row>
    <row r="34" spans="1:11" x14ac:dyDescent="0.2">
      <c r="B34" s="13" t="s">
        <v>69</v>
      </c>
      <c r="C34" s="109"/>
      <c r="D34" s="57">
        <f>1-E34-F34</f>
        <v>1</v>
      </c>
      <c r="E34" s="44">
        <v>0</v>
      </c>
      <c r="F34" s="44">
        <v>0</v>
      </c>
      <c r="G34" s="95"/>
      <c r="H34" s="57">
        <f>1-I34-J34</f>
        <v>1</v>
      </c>
      <c r="I34" s="44">
        <v>0</v>
      </c>
      <c r="J34" s="44">
        <v>0</v>
      </c>
      <c r="K34" s="113"/>
    </row>
    <row r="35" spans="1:11" x14ac:dyDescent="0.2">
      <c r="B35" s="13" t="s">
        <v>32</v>
      </c>
      <c r="C35" s="109"/>
      <c r="D35" s="51" t="s">
        <v>33</v>
      </c>
      <c r="E35" s="51"/>
      <c r="F35" s="51"/>
      <c r="G35" s="96"/>
      <c r="H35" s="51" t="s">
        <v>33</v>
      </c>
      <c r="I35" s="51"/>
      <c r="J35" s="51"/>
    </row>
    <row r="36" spans="1:11" x14ac:dyDescent="0.2">
      <c r="B36" s="13" t="s">
        <v>70</v>
      </c>
      <c r="C36" s="109"/>
      <c r="D36" s="51" t="s">
        <v>36</v>
      </c>
      <c r="E36" s="51"/>
      <c r="F36" s="32"/>
      <c r="G36" s="97"/>
      <c r="H36" s="51" t="s">
        <v>36</v>
      </c>
      <c r="I36" s="51"/>
      <c r="J36" s="32"/>
    </row>
    <row r="37" spans="1:11" x14ac:dyDescent="0.2">
      <c r="B37" s="13" t="s">
        <v>74</v>
      </c>
      <c r="C37" s="109"/>
      <c r="D37" s="52">
        <f>IF(D34=0,0,
VLOOKUP(D$36,Blad2!$A$2:$D$16,
(IF(D35=Blad2!$B$1,2,
IF(D35=Blad2!$C$1,3,
IF(D35=Blad2!$D$1,4,0)))),FALSE))
*$D$32*D$34</f>
        <v>11.700000000000001</v>
      </c>
      <c r="E37" s="52">
        <f>IF(E34=0,0,
VLOOKUP(E$36,Blad2!$A$2:$D$16,
(IF(E35=Blad2!$B$1,2,
IF(E35=Blad2!$C$1,3,
IF(E35=Blad2!$D$1,4,0)))),FALSE))
*$D$32*E$34</f>
        <v>0</v>
      </c>
      <c r="F37" s="86">
        <f>IF(F34=0,0,
VLOOKUP(F35,Blad2!$A$18:$B$20,2,FALSE))*F34*D32</f>
        <v>0</v>
      </c>
      <c r="G37" s="98"/>
      <c r="H37" s="52">
        <f>IF(H34=0,0,
VLOOKUP(H$36,Blad2!$A$2:$D$16,
(IF(H35=Blad2!$B$1,2,
IF(H35=Blad2!$C$1,3,
IF(H35=Blad2!$D$1,4,0)))),FALSE))
*$D$32*H$34</f>
        <v>11.700000000000001</v>
      </c>
      <c r="I37" s="52">
        <f>IF(I34=0,0,
VLOOKUP(I$36,Blad2!$A$2:$D$16,
(IF(I35=Blad2!$B$1,2,
IF(I35=Blad2!$C$1,3,
IF(I35=Blad2!$D$1,4,0)))),FALSE))
*$D$32*I$34</f>
        <v>0</v>
      </c>
      <c r="J37" s="86">
        <f>IF(J34=0,0,
VLOOKUP(J35,Blad2!$A$18:$B$20,2,FALSE))*J34*H32</f>
        <v>0</v>
      </c>
    </row>
    <row r="38" spans="1:11" s="20" customFormat="1" x14ac:dyDescent="0.2">
      <c r="A38" s="17"/>
      <c r="B38" s="60" t="s">
        <v>78</v>
      </c>
      <c r="C38" s="110"/>
      <c r="E38" s="32"/>
      <c r="F38" s="32"/>
      <c r="G38" s="97"/>
      <c r="I38" s="32"/>
      <c r="J38" s="32"/>
      <c r="K38" s="114"/>
    </row>
    <row r="39" spans="1:11" s="20" customFormat="1" x14ac:dyDescent="0.2">
      <c r="A39" s="17"/>
      <c r="B39" s="18" t="s">
        <v>58</v>
      </c>
      <c r="C39" s="18"/>
      <c r="D39" s="19"/>
      <c r="E39" s="19"/>
      <c r="F39" s="19"/>
      <c r="G39" s="19"/>
      <c r="H39" s="19"/>
      <c r="I39" s="19"/>
      <c r="J39" s="19"/>
      <c r="K39" s="114"/>
    </row>
    <row r="40" spans="1:11" s="20" customFormat="1" x14ac:dyDescent="0.2">
      <c r="A40" s="17"/>
      <c r="B40" s="59" t="s">
        <v>77</v>
      </c>
      <c r="C40" s="111"/>
      <c r="D40" s="56">
        <v>300</v>
      </c>
      <c r="E40" s="32"/>
      <c r="F40" s="32"/>
      <c r="G40" s="97"/>
      <c r="H40" s="56">
        <v>300</v>
      </c>
      <c r="I40" s="32"/>
      <c r="J40" s="32"/>
      <c r="K40" s="114"/>
    </row>
    <row r="41" spans="1:11" s="20" customFormat="1" x14ac:dyDescent="0.2">
      <c r="A41" s="17"/>
      <c r="B41" s="32"/>
      <c r="C41" s="97"/>
      <c r="D41" s="32"/>
      <c r="E41" s="32"/>
      <c r="F41" s="32"/>
      <c r="G41" s="97"/>
      <c r="H41" s="32"/>
      <c r="I41" s="32"/>
      <c r="J41" s="32"/>
      <c r="K41" s="114"/>
    </row>
    <row r="42" spans="1:11" s="20" customFormat="1" x14ac:dyDescent="0.2">
      <c r="A42" s="17"/>
      <c r="B42" s="32"/>
      <c r="C42" s="97"/>
      <c r="D42" s="32"/>
      <c r="E42" s="32"/>
      <c r="F42" s="32"/>
      <c r="G42" s="97"/>
      <c r="H42" s="32"/>
      <c r="I42" s="32"/>
      <c r="J42" s="32"/>
      <c r="K42" s="114"/>
    </row>
    <row r="43" spans="1:11" s="20" customFormat="1" x14ac:dyDescent="0.2">
      <c r="A43" s="17"/>
      <c r="B43" s="32"/>
      <c r="C43" s="97"/>
      <c r="D43" s="32"/>
      <c r="E43" s="21" t="s">
        <v>17</v>
      </c>
      <c r="F43" s="21" t="s">
        <v>66</v>
      </c>
      <c r="G43" s="99"/>
      <c r="H43" s="32"/>
      <c r="I43" s="21" t="s">
        <v>17</v>
      </c>
      <c r="J43" s="21" t="s">
        <v>66</v>
      </c>
      <c r="K43" s="114"/>
    </row>
    <row r="44" spans="1:11" x14ac:dyDescent="0.2">
      <c r="B44" s="7" t="s">
        <v>20</v>
      </c>
      <c r="C44" s="106"/>
      <c r="D44" s="43">
        <f>-(D24*450-340)</f>
        <v>340</v>
      </c>
      <c r="E44" s="23">
        <f>D23</f>
        <v>35205</v>
      </c>
      <c r="F44" s="49">
        <f>(D44/1000)*E44*$D$40</f>
        <v>3590910</v>
      </c>
      <c r="G44" s="100"/>
      <c r="H44" s="43">
        <f>-(H24*450-340)</f>
        <v>340</v>
      </c>
      <c r="I44" s="23">
        <f>H23</f>
        <v>0</v>
      </c>
      <c r="J44" s="49">
        <f>(H44/1000)*I44*$D$40</f>
        <v>0</v>
      </c>
    </row>
    <row r="45" spans="1:11" s="20" customFormat="1" x14ac:dyDescent="0.2">
      <c r="A45" s="17"/>
      <c r="B45" s="7" t="s">
        <v>55</v>
      </c>
      <c r="C45" s="106"/>
      <c r="D45" s="43">
        <f>-(340-136)</f>
        <v>-204</v>
      </c>
      <c r="E45" s="23">
        <f>IF($D$25=$M$25,0,$E$44*$D$26*(2029-$D$25)/4)</f>
        <v>0</v>
      </c>
      <c r="F45" s="49">
        <f>(D45/1000)*E45*$D$40</f>
        <v>0</v>
      </c>
      <c r="G45" s="100"/>
      <c r="H45" s="43">
        <f>-(340-136)</f>
        <v>-204</v>
      </c>
      <c r="I45" s="23">
        <f>IF($D$25=$M$25,0,$I$44*$D$26*(2029-$D$25)/4)</f>
        <v>0</v>
      </c>
      <c r="J45" s="49">
        <f>(H45/1000)*I45*$D$40</f>
        <v>0</v>
      </c>
      <c r="K45" s="114"/>
    </row>
    <row r="46" spans="1:11" s="40" customFormat="1" x14ac:dyDescent="0.2">
      <c r="A46" s="41"/>
      <c r="B46" s="85" t="s">
        <v>89</v>
      </c>
      <c r="C46" s="108"/>
      <c r="D46" s="43">
        <f>IF(D27="ja",-70,0)</f>
        <v>0</v>
      </c>
      <c r="E46" s="46">
        <f>IF(D27="Nee",0,$E$44*E27)</f>
        <v>0</v>
      </c>
      <c r="F46" s="49">
        <f>IF(D27="nee",0,((D46/1000)*E46*$D$40))</f>
        <v>0</v>
      </c>
      <c r="G46" s="100"/>
      <c r="H46" s="43">
        <f>IF(H27="ja",-70,0)</f>
        <v>0</v>
      </c>
      <c r="I46" s="46">
        <f>IF(H27="Nee",0,$I$44*I27)</f>
        <v>0</v>
      </c>
      <c r="J46" s="49">
        <f>IF(H27="nee",0,((H46/1000)*I46*$D$40))</f>
        <v>0</v>
      </c>
      <c r="K46" s="115"/>
    </row>
    <row r="47" spans="1:11" s="40" customFormat="1" x14ac:dyDescent="0.2">
      <c r="A47" s="41"/>
      <c r="B47" s="10" t="s">
        <v>90</v>
      </c>
      <c r="C47" s="107"/>
      <c r="D47" s="43">
        <f>IF(D30="Ja",0,
IF(D28="ja",-95,0))</f>
        <v>0</v>
      </c>
      <c r="E47" s="46">
        <f>IF(D28="Nee",0,$E$44*E28)</f>
        <v>0</v>
      </c>
      <c r="F47" s="49">
        <f>IF(D28="nee",0,((D47/1000)*E47*$D$40))</f>
        <v>0</v>
      </c>
      <c r="G47" s="100"/>
      <c r="H47" s="43">
        <f>IF(H30="Ja",0,
IF(H28="ja",-95,0))</f>
        <v>0</v>
      </c>
      <c r="I47" s="46">
        <f>IF(H28="Nee",0,$I$44*I28)</f>
        <v>0</v>
      </c>
      <c r="J47" s="49">
        <f>IF(H28="nee",0,((H47/1000)*I47*$D$40))</f>
        <v>0</v>
      </c>
      <c r="K47" s="115"/>
    </row>
    <row r="48" spans="1:11" s="40" customFormat="1" x14ac:dyDescent="0.2">
      <c r="A48" s="41"/>
      <c r="B48" s="10" t="s">
        <v>91</v>
      </c>
      <c r="C48" s="107"/>
      <c r="D48" s="43">
        <f>IF(D29="ja",-25,0)</f>
        <v>0</v>
      </c>
      <c r="E48" s="46">
        <f>IF(D29="Nee",0,$E$44*E29)</f>
        <v>0</v>
      </c>
      <c r="F48" s="49">
        <f>IF(D29="nee",0,((D48/1000)*E48*$D$40))</f>
        <v>0</v>
      </c>
      <c r="G48" s="100"/>
      <c r="H48" s="43">
        <f>IF(H29="ja",-25,0)</f>
        <v>0</v>
      </c>
      <c r="I48" s="46">
        <f>IF(H29="Nee",0,$I$44*I29)</f>
        <v>0</v>
      </c>
      <c r="J48" s="49">
        <f>IF(H29="nee",0,((H48/1000)*I48*$D$40))</f>
        <v>0</v>
      </c>
      <c r="K48" s="115"/>
    </row>
    <row r="49" spans="1:11" s="40" customFormat="1" x14ac:dyDescent="0.2">
      <c r="A49" s="41"/>
      <c r="B49" s="10" t="s">
        <v>93</v>
      </c>
      <c r="C49" s="107"/>
      <c r="D49" s="43">
        <f>IF(D30="ja",-100,0)</f>
        <v>0</v>
      </c>
      <c r="E49" s="46">
        <f>IF(D30="Nee",0,$E$44*E30)</f>
        <v>0</v>
      </c>
      <c r="F49" s="49">
        <f>IF(D30="nee",0,((D49/1000)*E49*$D$40))</f>
        <v>0</v>
      </c>
      <c r="G49" s="100"/>
      <c r="H49" s="43">
        <f>IF(H30="ja",-100,0)</f>
        <v>0</v>
      </c>
      <c r="I49" s="46">
        <f>IF(H30="Nee",0,$I$44*I30)</f>
        <v>0</v>
      </c>
      <c r="J49" s="49">
        <f>IF(H30="nee",0,((H49/1000)*I49*$D$40))</f>
        <v>0</v>
      </c>
      <c r="K49" s="115"/>
    </row>
    <row r="50" spans="1:11" s="40" customFormat="1" x14ac:dyDescent="0.2">
      <c r="A50" s="41"/>
      <c r="B50" s="7" t="s">
        <v>88</v>
      </c>
      <c r="C50" s="106"/>
      <c r="D50" s="43">
        <f>IF(D31="ja",-100,0)</f>
        <v>0</v>
      </c>
      <c r="E50" s="46">
        <f>IF(D31="Nee",0,$E$44*E31)</f>
        <v>0</v>
      </c>
      <c r="F50" s="49">
        <f>IF(D31="nee",0,((D50/1000)*E50*$D$40))</f>
        <v>0</v>
      </c>
      <c r="G50" s="100"/>
      <c r="H50" s="43">
        <f>IF(H31="ja",-100,0)</f>
        <v>0</v>
      </c>
      <c r="I50" s="46">
        <f>IF(H31="Nee",0,$I$44*I31)</f>
        <v>0</v>
      </c>
      <c r="J50" s="49">
        <f>IF(H31="nee",0,((H50/1000)*I50*$D$40))</f>
        <v>0</v>
      </c>
      <c r="K50" s="115"/>
    </row>
    <row r="51" spans="1:11" s="20" customFormat="1" x14ac:dyDescent="0.2">
      <c r="A51" s="17"/>
      <c r="B51" s="7" t="s">
        <v>72</v>
      </c>
      <c r="C51" s="106"/>
      <c r="D51" s="43">
        <f>(D34*D37+E34*E37+F34*F37)</f>
        <v>11.700000000000001</v>
      </c>
      <c r="E51" s="46">
        <f>E44</f>
        <v>35205</v>
      </c>
      <c r="F51" s="49">
        <f>(D51/1000)*E51*$D$40</f>
        <v>123569.55</v>
      </c>
      <c r="G51" s="100"/>
      <c r="H51" s="43">
        <f>(H34*H37+I34*I37+J34*J37)</f>
        <v>11.700000000000001</v>
      </c>
      <c r="I51" s="46">
        <f>I44</f>
        <v>0</v>
      </c>
      <c r="J51" s="49">
        <f>(H51/1000)*I51*$D$40</f>
        <v>0</v>
      </c>
      <c r="K51" s="114"/>
    </row>
    <row r="52" spans="1:11" s="20" customFormat="1" x14ac:dyDescent="0.2">
      <c r="A52" s="17"/>
      <c r="B52" s="25" t="s">
        <v>71</v>
      </c>
      <c r="C52" s="112"/>
      <c r="D52" s="26"/>
      <c r="E52" s="27"/>
      <c r="F52" s="48">
        <f>SUM(F44:F51)</f>
        <v>3714479.55</v>
      </c>
      <c r="G52" s="101"/>
      <c r="H52" s="26"/>
      <c r="I52" s="27"/>
      <c r="J52" s="48">
        <f>SUM(J44:J51)</f>
        <v>0</v>
      </c>
      <c r="K52" s="97"/>
    </row>
    <row r="53" spans="1:11" s="20" customFormat="1" x14ac:dyDescent="0.2">
      <c r="A53" s="17"/>
      <c r="B53" s="7"/>
      <c r="C53" s="109"/>
      <c r="D53" s="32"/>
      <c r="E53" s="32"/>
      <c r="F53" s="32"/>
      <c r="G53" s="97"/>
      <c r="H53" s="32"/>
      <c r="I53" s="32"/>
      <c r="J53" s="32"/>
      <c r="K53" s="114"/>
    </row>
    <row r="54" spans="1:11" s="20" customFormat="1" x14ac:dyDescent="0.2">
      <c r="A54" s="17"/>
      <c r="B54" s="7"/>
      <c r="C54" s="109"/>
      <c r="D54" s="32"/>
      <c r="E54" s="32"/>
      <c r="F54" s="32"/>
      <c r="G54" s="97"/>
      <c r="H54" s="32"/>
      <c r="I54" s="32"/>
      <c r="J54" s="32"/>
      <c r="K54" s="114"/>
    </row>
    <row r="55" spans="1:11" s="20" customFormat="1" x14ac:dyDescent="0.2">
      <c r="A55" s="17"/>
      <c r="B55" s="31" t="s">
        <v>23</v>
      </c>
      <c r="C55" s="31"/>
      <c r="D55" s="53">
        <f>F52*4</f>
        <v>14857918.199999999</v>
      </c>
      <c r="E55" s="32"/>
      <c r="F55" s="32"/>
      <c r="G55" s="97"/>
      <c r="H55" s="53">
        <f>J52*4</f>
        <v>0</v>
      </c>
      <c r="I55" s="32"/>
      <c r="J55" s="32"/>
      <c r="K55" s="114"/>
    </row>
    <row r="56" spans="1:11" x14ac:dyDescent="0.2">
      <c r="B56" s="9"/>
      <c r="C56" s="91"/>
      <c r="D56" s="9"/>
      <c r="E56" s="9"/>
      <c r="F56" s="14"/>
      <c r="G56" s="93"/>
      <c r="H56" s="9"/>
      <c r="I56" s="9"/>
      <c r="J56" s="14"/>
    </row>
    <row r="57" spans="1:11" s="20" customFormat="1" x14ac:dyDescent="0.2">
      <c r="A57" s="17"/>
      <c r="B57" s="18" t="s">
        <v>59</v>
      </c>
      <c r="C57" s="18"/>
      <c r="D57" s="19"/>
      <c r="E57" s="19"/>
      <c r="F57" s="19"/>
      <c r="G57" s="19"/>
      <c r="H57" s="19"/>
      <c r="I57" s="19"/>
      <c r="J57" s="19"/>
      <c r="K57" s="114"/>
    </row>
    <row r="58" spans="1:11" x14ac:dyDescent="0.2">
      <c r="B58" s="9"/>
      <c r="C58" s="91"/>
      <c r="D58" s="9"/>
      <c r="E58" s="21" t="s">
        <v>17</v>
      </c>
      <c r="F58" s="21" t="s">
        <v>18</v>
      </c>
      <c r="G58" s="99"/>
      <c r="H58" s="9"/>
      <c r="I58" s="21" t="s">
        <v>17</v>
      </c>
      <c r="J58" s="21" t="s">
        <v>18</v>
      </c>
    </row>
    <row r="59" spans="1:11" x14ac:dyDescent="0.2">
      <c r="B59" s="10" t="s">
        <v>84</v>
      </c>
      <c r="C59" s="107"/>
      <c r="D59" s="22"/>
      <c r="E59" s="23">
        <f>D23</f>
        <v>35205</v>
      </c>
      <c r="F59" s="24">
        <f>D59*E59</f>
        <v>0</v>
      </c>
      <c r="G59" s="102"/>
      <c r="H59" s="22"/>
      <c r="I59" s="23">
        <f>H23</f>
        <v>0</v>
      </c>
      <c r="J59" s="24">
        <f>H59*I59</f>
        <v>0</v>
      </c>
    </row>
    <row r="60" spans="1:11" x14ac:dyDescent="0.2">
      <c r="B60" s="10" t="s">
        <v>29</v>
      </c>
      <c r="C60" s="107"/>
      <c r="D60" s="22"/>
      <c r="E60" s="23">
        <f>$E$44</f>
        <v>35205</v>
      </c>
      <c r="F60" s="24">
        <f>D60*E60</f>
        <v>0</v>
      </c>
      <c r="G60" s="102"/>
      <c r="H60" s="22"/>
      <c r="I60" s="23">
        <f>H23</f>
        <v>0</v>
      </c>
      <c r="J60" s="24">
        <f>H60*I60</f>
        <v>0</v>
      </c>
    </row>
    <row r="61" spans="1:11" ht="24" x14ac:dyDescent="0.2">
      <c r="B61" s="10" t="s">
        <v>19</v>
      </c>
      <c r="C61" s="107"/>
      <c r="D61" s="22"/>
      <c r="E61" s="23">
        <f t="shared" ref="E61" si="0">$E$44</f>
        <v>35205</v>
      </c>
      <c r="F61" s="24">
        <f>D61*E61</f>
        <v>0</v>
      </c>
      <c r="G61" s="102"/>
      <c r="H61" s="22"/>
      <c r="I61" s="23">
        <f>H23</f>
        <v>0</v>
      </c>
      <c r="J61" s="24">
        <f>H61*I61</f>
        <v>0</v>
      </c>
    </row>
    <row r="62" spans="1:11" x14ac:dyDescent="0.2">
      <c r="B62" s="25" t="s">
        <v>87</v>
      </c>
      <c r="C62" s="112"/>
      <c r="D62" s="26"/>
      <c r="E62" s="27"/>
      <c r="F62" s="28">
        <f>SUM(F59:F61)*4</f>
        <v>0</v>
      </c>
      <c r="G62" s="103"/>
      <c r="H62" s="26"/>
      <c r="I62" s="27"/>
      <c r="J62" s="28">
        <f>SUM(J59:J61)*4</f>
        <v>0</v>
      </c>
    </row>
    <row r="63" spans="1:11" x14ac:dyDescent="0.2">
      <c r="B63" s="14"/>
      <c r="C63" s="93"/>
      <c r="D63" s="29"/>
      <c r="E63" s="23"/>
      <c r="F63" s="24"/>
      <c r="G63" s="102"/>
      <c r="H63" s="29"/>
      <c r="I63" s="23"/>
      <c r="J63" s="24"/>
    </row>
    <row r="64" spans="1:11" x14ac:dyDescent="0.2">
      <c r="B64" s="10" t="s">
        <v>30</v>
      </c>
      <c r="C64" s="107"/>
      <c r="D64" s="87">
        <v>0</v>
      </c>
      <c r="E64" s="23">
        <f>$E$44</f>
        <v>35205</v>
      </c>
      <c r="F64" s="24">
        <f>D64*E64</f>
        <v>0</v>
      </c>
      <c r="G64" s="102"/>
      <c r="H64" s="87">
        <v>0</v>
      </c>
      <c r="I64" s="23">
        <f>H23</f>
        <v>0</v>
      </c>
      <c r="J64" s="24">
        <f>H64*I64</f>
        <v>0</v>
      </c>
    </row>
    <row r="65" spans="1:11" x14ac:dyDescent="0.2">
      <c r="B65" s="7" t="s">
        <v>21</v>
      </c>
      <c r="C65" s="106"/>
      <c r="D65" s="88">
        <v>1.37</v>
      </c>
      <c r="E65" s="23">
        <f>$E$44</f>
        <v>35205</v>
      </c>
      <c r="F65" s="24">
        <f>D65*E65</f>
        <v>48230.850000000006</v>
      </c>
      <c r="G65" s="102"/>
      <c r="H65" s="88">
        <v>1.37</v>
      </c>
      <c r="I65" s="23">
        <f>H23</f>
        <v>0</v>
      </c>
      <c r="J65" s="24">
        <f>H65*I65</f>
        <v>0</v>
      </c>
    </row>
    <row r="66" spans="1:11" x14ac:dyDescent="0.2">
      <c r="B66" s="7" t="s">
        <v>22</v>
      </c>
      <c r="C66" s="106"/>
      <c r="D66" s="88">
        <v>3.94</v>
      </c>
      <c r="E66" s="23">
        <f>$E$44</f>
        <v>35205</v>
      </c>
      <c r="F66" s="24">
        <f>D66*E66</f>
        <v>138707.70000000001</v>
      </c>
      <c r="G66" s="102"/>
      <c r="H66" s="88">
        <v>3.94</v>
      </c>
      <c r="I66" s="23">
        <f>H23</f>
        <v>0</v>
      </c>
      <c r="J66" s="24">
        <f>H66*I66</f>
        <v>0</v>
      </c>
    </row>
    <row r="67" spans="1:11" x14ac:dyDescent="0.2">
      <c r="B67" s="7" t="s">
        <v>31</v>
      </c>
      <c r="C67" s="106"/>
      <c r="D67" s="88">
        <v>7.07</v>
      </c>
      <c r="E67" s="23">
        <f>$E$44</f>
        <v>35205</v>
      </c>
      <c r="F67" s="24">
        <f>D67*E67</f>
        <v>248899.35</v>
      </c>
      <c r="G67" s="102"/>
      <c r="H67" s="88">
        <v>7.07</v>
      </c>
      <c r="I67" s="23">
        <f>H23</f>
        <v>0</v>
      </c>
      <c r="J67" s="24">
        <f>H67*I67</f>
        <v>0</v>
      </c>
    </row>
    <row r="68" spans="1:11" x14ac:dyDescent="0.2">
      <c r="B68" s="25" t="s">
        <v>86</v>
      </c>
      <c r="C68" s="112"/>
      <c r="D68" s="23"/>
      <c r="E68" s="30"/>
      <c r="F68" s="28">
        <f>SUM(F64:F67)</f>
        <v>435837.9</v>
      </c>
      <c r="G68" s="103"/>
      <c r="H68" s="23"/>
      <c r="I68" s="30"/>
      <c r="J68" s="28">
        <f>SUM(J64:J67)</f>
        <v>0</v>
      </c>
    </row>
    <row r="69" spans="1:11" s="20" customFormat="1" x14ac:dyDescent="0.2">
      <c r="A69" s="17"/>
      <c r="B69" s="1"/>
      <c r="C69" s="89"/>
      <c r="D69" s="1"/>
      <c r="E69" s="14"/>
      <c r="F69" s="1"/>
      <c r="G69" s="89"/>
      <c r="H69" s="1"/>
      <c r="I69" s="14"/>
      <c r="J69" s="1"/>
      <c r="K69" s="114"/>
    </row>
    <row r="70" spans="1:11" s="20" customFormat="1" x14ac:dyDescent="0.2">
      <c r="A70" s="17"/>
      <c r="B70" s="31" t="s">
        <v>23</v>
      </c>
      <c r="C70" s="31"/>
      <c r="D70" s="53">
        <f>F62+F68</f>
        <v>435837.9</v>
      </c>
      <c r="E70" s="32"/>
      <c r="F70" s="32"/>
      <c r="G70" s="97"/>
      <c r="H70" s="53">
        <f>J62+J68</f>
        <v>0</v>
      </c>
      <c r="I70" s="32"/>
      <c r="J70" s="32"/>
      <c r="K70" s="114"/>
    </row>
    <row r="71" spans="1:11" s="20" customFormat="1" x14ac:dyDescent="0.2">
      <c r="A71" s="17"/>
      <c r="B71" s="32"/>
      <c r="C71" s="97"/>
      <c r="D71" s="32"/>
      <c r="E71" s="32"/>
      <c r="F71" s="32"/>
      <c r="G71" s="97"/>
      <c r="H71" s="32"/>
      <c r="I71" s="32"/>
      <c r="J71" s="32"/>
      <c r="K71" s="114"/>
    </row>
    <row r="72" spans="1:11" s="20" customFormat="1" x14ac:dyDescent="0.2">
      <c r="A72" s="17"/>
      <c r="B72" s="18" t="s">
        <v>56</v>
      </c>
      <c r="C72" s="18"/>
      <c r="D72" s="19"/>
      <c r="E72" s="19"/>
      <c r="F72" s="19"/>
      <c r="G72" s="19"/>
      <c r="H72" s="19"/>
      <c r="I72" s="19"/>
      <c r="J72" s="19"/>
      <c r="K72" s="114"/>
    </row>
    <row r="73" spans="1:11" s="20" customFormat="1" x14ac:dyDescent="0.2">
      <c r="A73" s="17"/>
      <c r="B73" s="32"/>
      <c r="C73" s="97"/>
      <c r="D73" s="32"/>
      <c r="E73" s="32"/>
      <c r="F73" s="32"/>
      <c r="G73" s="97"/>
      <c r="H73" s="32"/>
      <c r="I73" s="32"/>
      <c r="J73" s="32"/>
      <c r="K73" s="114"/>
    </row>
    <row r="74" spans="1:11" s="20" customFormat="1" x14ac:dyDescent="0.2">
      <c r="A74" s="17"/>
      <c r="B74" s="7" t="s">
        <v>79</v>
      </c>
      <c r="C74" s="109"/>
      <c r="D74" s="58">
        <f>(D55+H55)/(D23+H23)/4</f>
        <v>105.50999999999999</v>
      </c>
      <c r="E74" s="32"/>
      <c r="F74" s="32"/>
      <c r="G74" s="97"/>
      <c r="H74" s="58"/>
      <c r="I74" s="32"/>
      <c r="J74" s="32"/>
      <c r="K74" s="114"/>
    </row>
    <row r="75" spans="1:11" s="20" customFormat="1" x14ac:dyDescent="0.2">
      <c r="A75" s="17"/>
      <c r="B75" s="7" t="s">
        <v>80</v>
      </c>
      <c r="C75" s="109"/>
      <c r="D75" s="58">
        <f>(D70+H70)/(D23+H23)/4</f>
        <v>3.0950000000000002</v>
      </c>
      <c r="E75" s="32"/>
      <c r="F75" s="32"/>
      <c r="G75" s="97"/>
      <c r="H75" s="58"/>
      <c r="I75" s="32"/>
      <c r="J75" s="32"/>
      <c r="K75" s="114"/>
    </row>
    <row r="76" spans="1:11" s="20" customFormat="1" x14ac:dyDescent="0.2">
      <c r="A76" s="17"/>
      <c r="B76" s="7" t="s">
        <v>81</v>
      </c>
      <c r="C76" s="109"/>
      <c r="D76" s="58">
        <f>D74+D75</f>
        <v>108.60499999999999</v>
      </c>
      <c r="E76" s="32"/>
      <c r="F76" s="32"/>
      <c r="G76" s="97"/>
      <c r="H76" s="58"/>
      <c r="I76" s="32"/>
      <c r="J76" s="32"/>
      <c r="K76" s="114"/>
    </row>
    <row r="77" spans="1:11" s="20" customFormat="1" x14ac:dyDescent="0.2">
      <c r="A77" s="17"/>
      <c r="B77" s="32"/>
      <c r="C77" s="97"/>
      <c r="D77" s="32"/>
      <c r="E77" s="32"/>
      <c r="F77" s="32"/>
      <c r="G77" s="97"/>
      <c r="H77" s="32"/>
      <c r="I77" s="32"/>
      <c r="J77" s="32"/>
      <c r="K77" s="114"/>
    </row>
    <row r="78" spans="1:11" x14ac:dyDescent="0.2">
      <c r="B78" s="15"/>
      <c r="C78" s="104"/>
      <c r="D78" s="9"/>
      <c r="E78" s="9"/>
      <c r="F78" s="14"/>
      <c r="G78" s="93"/>
      <c r="H78" s="9"/>
      <c r="I78" s="9"/>
      <c r="J78" s="14"/>
    </row>
    <row r="79" spans="1:11" x14ac:dyDescent="0.2">
      <c r="B79" s="15"/>
      <c r="C79" s="104"/>
      <c r="D79" s="9"/>
      <c r="E79" s="9"/>
      <c r="F79" s="14"/>
      <c r="G79" s="93"/>
      <c r="H79" s="9"/>
      <c r="I79" s="9"/>
      <c r="J79" s="14"/>
    </row>
    <row r="80" spans="1:11" x14ac:dyDescent="0.2">
      <c r="B80" s="15"/>
      <c r="C80" s="104"/>
      <c r="D80" s="9"/>
      <c r="E80" s="9"/>
      <c r="F80" s="14"/>
      <c r="G80" s="93"/>
      <c r="H80" s="9"/>
      <c r="I80" s="9"/>
      <c r="J80" s="14"/>
    </row>
    <row r="81" spans="2:10" x14ac:dyDescent="0.2">
      <c r="B81" s="15"/>
      <c r="C81" s="104"/>
      <c r="D81" s="9"/>
      <c r="E81" s="9"/>
      <c r="F81" s="14"/>
      <c r="G81" s="93"/>
      <c r="H81" s="9"/>
      <c r="I81" s="9"/>
      <c r="J81" s="14"/>
    </row>
    <row r="82" spans="2:10" x14ac:dyDescent="0.2">
      <c r="B82" s="15"/>
      <c r="C82" s="104"/>
      <c r="D82" s="9"/>
      <c r="E82" s="9"/>
      <c r="F82" s="14"/>
      <c r="G82" s="93"/>
      <c r="H82" s="9"/>
      <c r="I82" s="9"/>
      <c r="J82" s="14"/>
    </row>
    <row r="83" spans="2:10" x14ac:dyDescent="0.2">
      <c r="B83" s="15"/>
      <c r="C83" s="104"/>
      <c r="D83" s="9"/>
      <c r="E83" s="9"/>
      <c r="F83" s="14"/>
      <c r="G83" s="93"/>
      <c r="H83" s="9"/>
      <c r="I83" s="9"/>
      <c r="J83" s="14"/>
    </row>
    <row r="84" spans="2:10" x14ac:dyDescent="0.2">
      <c r="B84" s="15"/>
      <c r="C84" s="104"/>
      <c r="D84" s="9"/>
      <c r="E84" s="9"/>
      <c r="F84" s="14"/>
      <c r="G84" s="93"/>
      <c r="H84" s="9"/>
      <c r="I84" s="9"/>
      <c r="J84" s="14"/>
    </row>
    <row r="85" spans="2:10" x14ac:dyDescent="0.2">
      <c r="B85" s="15"/>
      <c r="C85" s="104"/>
      <c r="D85" s="1" t="s">
        <v>1</v>
      </c>
      <c r="E85" s="33" t="s">
        <v>24</v>
      </c>
      <c r="F85" s="1"/>
      <c r="H85" s="9"/>
      <c r="I85" s="9"/>
      <c r="J85" s="14"/>
    </row>
    <row r="86" spans="2:10" x14ac:dyDescent="0.2">
      <c r="B86" s="15"/>
      <c r="C86" s="104"/>
      <c r="D86" s="1" t="s">
        <v>25</v>
      </c>
      <c r="E86" s="33" t="s">
        <v>24</v>
      </c>
      <c r="F86" s="1"/>
      <c r="H86" s="9"/>
      <c r="I86" s="9"/>
      <c r="J86" s="14"/>
    </row>
    <row r="87" spans="2:10" x14ac:dyDescent="0.2">
      <c r="B87" s="15"/>
      <c r="C87" s="104"/>
      <c r="D87" s="1" t="s">
        <v>26</v>
      </c>
      <c r="E87" s="33" t="s">
        <v>24</v>
      </c>
      <c r="F87" s="1"/>
      <c r="H87" s="9"/>
      <c r="I87" s="9"/>
      <c r="J87" s="14"/>
    </row>
    <row r="88" spans="2:10" ht="14.45" customHeight="1" x14ac:dyDescent="0.2">
      <c r="B88" s="15"/>
      <c r="C88" s="104"/>
      <c r="D88" s="1" t="s">
        <v>27</v>
      </c>
      <c r="E88" s="33" t="s">
        <v>24</v>
      </c>
      <c r="F88" s="1"/>
      <c r="H88" s="9"/>
      <c r="I88" s="9"/>
      <c r="J88" s="14"/>
    </row>
    <row r="89" spans="2:10" x14ac:dyDescent="0.2">
      <c r="B89" s="15"/>
      <c r="C89" s="104"/>
      <c r="D89" s="119" t="s">
        <v>28</v>
      </c>
      <c r="E89" s="120" t="s">
        <v>24</v>
      </c>
      <c r="F89" s="1"/>
      <c r="H89" s="9"/>
      <c r="I89" s="9"/>
      <c r="J89" s="14"/>
    </row>
    <row r="90" spans="2:10" x14ac:dyDescent="0.2">
      <c r="B90" s="15"/>
      <c r="C90" s="104"/>
      <c r="D90" s="119"/>
      <c r="E90" s="120"/>
      <c r="F90" s="1"/>
      <c r="H90" s="9"/>
      <c r="I90" s="9"/>
      <c r="J90" s="14"/>
    </row>
    <row r="91" spans="2:10" x14ac:dyDescent="0.2">
      <c r="B91" s="15"/>
      <c r="C91" s="104"/>
      <c r="D91" s="15"/>
      <c r="E91" s="15"/>
      <c r="F91" s="15"/>
      <c r="G91" s="104"/>
      <c r="H91" s="9"/>
      <c r="I91" s="9"/>
      <c r="J91" s="14"/>
    </row>
    <row r="97" spans="4:8" x14ac:dyDescent="0.2">
      <c r="D97" s="34"/>
      <c r="H97" s="34"/>
    </row>
    <row r="98" spans="4:8" x14ac:dyDescent="0.2">
      <c r="D98" s="34"/>
      <c r="H98" s="34"/>
    </row>
    <row r="99" spans="4:8" x14ac:dyDescent="0.2">
      <c r="D99" s="34"/>
      <c r="H99" s="34"/>
    </row>
    <row r="100" spans="4:8" x14ac:dyDescent="0.2">
      <c r="D100" s="34"/>
      <c r="H100" s="34"/>
    </row>
    <row r="101" spans="4:8" x14ac:dyDescent="0.2">
      <c r="D101" s="34"/>
      <c r="H101" s="34"/>
    </row>
    <row r="102" spans="4:8" x14ac:dyDescent="0.2">
      <c r="D102" s="34"/>
      <c r="H102" s="34"/>
    </row>
    <row r="103" spans="4:8" x14ac:dyDescent="0.2">
      <c r="D103" s="34"/>
      <c r="H103" s="34"/>
    </row>
  </sheetData>
  <sheetProtection algorithmName="SHA-512" hashValue="yTyFgnhfrKp8hWNM5X59G54RLnxVjt29CZ/yA4lIRHQfUftEMOGvpI6faQNrc7eQ52KuBBsNdo3zdRrmU8PUJA==" saltValue="xqXhr4ESKnAx9P49XX4NGQ==" spinCount="100000" sheet="1" objects="1" scenarios="1"/>
  <protectedRanges>
    <protectedRange sqref="M19 K13:M13 K4:M5 K18:M18" name="inschrijver naam"/>
  </protectedRanges>
  <mergeCells count="7">
    <mergeCell ref="H16:I16"/>
    <mergeCell ref="H20:I20"/>
    <mergeCell ref="D89:D90"/>
    <mergeCell ref="E89:E90"/>
    <mergeCell ref="B15:D15"/>
    <mergeCell ref="D16:E16"/>
    <mergeCell ref="D20:E20"/>
  </mergeCells>
  <phoneticPr fontId="18" type="noConversion"/>
  <conditionalFormatting sqref="B27:C27">
    <cfRule type="expression" dxfId="29" priority="16">
      <formula>#REF!="Nee"</formula>
    </cfRule>
  </conditionalFormatting>
  <conditionalFormatting sqref="B46:C46">
    <cfRule type="expression" dxfId="28" priority="17">
      <formula>#REF!="Nee"</formula>
    </cfRule>
  </conditionalFormatting>
  <conditionalFormatting sqref="B22:D23">
    <cfRule type="expression" dxfId="27" priority="20">
      <formula>$D$16="Nee"</formula>
    </cfRule>
  </conditionalFormatting>
  <conditionalFormatting sqref="D26">
    <cfRule type="expression" dxfId="26" priority="19">
      <formula>$D$25="N.v.t."</formula>
    </cfRule>
  </conditionalFormatting>
  <conditionalFormatting sqref="E27">
    <cfRule type="expression" dxfId="25" priority="8">
      <formula>$D$27="Nee"</formula>
    </cfRule>
  </conditionalFormatting>
  <conditionalFormatting sqref="E28">
    <cfRule type="expression" dxfId="24" priority="9">
      <formula>$D$28="Nee"</formula>
    </cfRule>
  </conditionalFormatting>
  <conditionalFormatting sqref="E29">
    <cfRule type="expression" dxfId="23" priority="10">
      <formula>$D$29="Nee"</formula>
    </cfRule>
  </conditionalFormatting>
  <conditionalFormatting sqref="E30">
    <cfRule type="expression" dxfId="22" priority="11">
      <formula>$D$30="Nee"</formula>
    </cfRule>
  </conditionalFormatting>
  <conditionalFormatting sqref="E31">
    <cfRule type="expression" dxfId="21" priority="12">
      <formula>$D$31="Nee"</formula>
    </cfRule>
  </conditionalFormatting>
  <conditionalFormatting sqref="H22:H23">
    <cfRule type="expression" dxfId="20" priority="7">
      <formula>$D$16="Nee"</formula>
    </cfRule>
  </conditionalFormatting>
  <conditionalFormatting sqref="H26">
    <cfRule type="expression" dxfId="19" priority="6">
      <formula>$D$25="N.v.t."</formula>
    </cfRule>
  </conditionalFormatting>
  <conditionalFormatting sqref="I27">
    <cfRule type="expression" dxfId="18" priority="1">
      <formula>$D$27="Nee"</formula>
    </cfRule>
  </conditionalFormatting>
  <conditionalFormatting sqref="I28">
    <cfRule type="expression" dxfId="17" priority="2">
      <formula>$D$28="Nee"</formula>
    </cfRule>
  </conditionalFormatting>
  <conditionalFormatting sqref="I29">
    <cfRule type="expression" dxfId="16" priority="3">
      <formula>$D$29="Nee"</formula>
    </cfRule>
  </conditionalFormatting>
  <conditionalFormatting sqref="I30">
    <cfRule type="expression" dxfId="15" priority="4">
      <formula>$D$30="Nee"</formula>
    </cfRule>
  </conditionalFormatting>
  <conditionalFormatting sqref="I31">
    <cfRule type="expression" dxfId="14" priority="5">
      <formula>$D$31="Nee"</formula>
    </cfRule>
  </conditionalFormatting>
  <dataValidations count="2">
    <dataValidation type="list" allowBlank="1" showInputMessage="1" showErrorMessage="1" sqref="D25 H25" xr:uid="{149B4190-6D7E-4A1D-B4F9-519E320A4851}">
      <formula1>$M$25:$Q$25</formula1>
    </dataValidation>
    <dataValidation type="list" allowBlank="1" showInputMessage="1" showErrorMessage="1" sqref="D27:D31 H27:H31" xr:uid="{B84E9F8A-8F04-4C75-9007-6FF6F196726C}">
      <formula1>$M$26:$N$26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54841D-AA09-42D3-A85D-A174B50DF5AE}">
          <x14:formula1>
            <xm:f>Blad2!$A$2:$A$16</xm:f>
          </x14:formula1>
          <xm:sqref>D36:E36 H36:I36</xm:sqref>
        </x14:dataValidation>
        <x14:dataValidation type="list" allowBlank="1" showInputMessage="1" showErrorMessage="1" xr:uid="{39CB0AB3-275D-47E0-93A8-7E539EFC05A5}">
          <x14:formula1>
            <xm:f>Blad2!$B$1:$D$1</xm:f>
          </x14:formula1>
          <xm:sqref>D35:E35 H35:I35</xm:sqref>
        </x14:dataValidation>
        <x14:dataValidation type="list" allowBlank="1" showInputMessage="1" showErrorMessage="1" xr:uid="{7B521664-0A0E-43C7-BB71-CE60EC3C8E2F}">
          <x14:formula1>
            <xm:f>Blad2!$A$18:$A$20</xm:f>
          </x14:formula1>
          <xm:sqref>F35:G35 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DF48-1DA7-4F28-8FC2-67C7E498B8ED}">
  <dimension ref="A1:P103"/>
  <sheetViews>
    <sheetView topLeftCell="B20" zoomScale="115" zoomScaleNormal="115" workbookViewId="0">
      <selection activeCell="I52" sqref="I52"/>
    </sheetView>
  </sheetViews>
  <sheetFormatPr defaultColWidth="8.85546875" defaultRowHeight="12" x14ac:dyDescent="0.2"/>
  <cols>
    <col min="1" max="1" width="2.140625" style="1" customWidth="1"/>
    <col min="2" max="2" width="79.140625" style="2" customWidth="1"/>
    <col min="3" max="3" width="2.140625" style="89" customWidth="1"/>
    <col min="4" max="4" width="25" style="2" bestFit="1" customWidth="1"/>
    <col min="5" max="5" width="24" style="2" bestFit="1" customWidth="1"/>
    <col min="6" max="6" width="24" style="2" customWidth="1"/>
    <col min="7" max="7" width="1.7109375" style="89" customWidth="1"/>
    <col min="8" max="8" width="25" style="2" bestFit="1" customWidth="1"/>
    <col min="9" max="10" width="24" style="2" bestFit="1" customWidth="1"/>
    <col min="11" max="11" width="1.28515625" style="89" customWidth="1"/>
    <col min="12" max="12" width="13.42578125" style="2" hidden="1" customWidth="1"/>
    <col min="13" max="16" width="8.85546875" style="2" hidden="1" customWidth="1"/>
    <col min="17" max="17" width="8.85546875" style="2" customWidth="1"/>
    <col min="18" max="16384" width="8.85546875" style="2"/>
  </cols>
  <sheetData>
    <row r="1" spans="2:12" x14ac:dyDescent="0.2">
      <c r="B1" s="1"/>
      <c r="D1" s="1"/>
      <c r="E1" s="1"/>
      <c r="F1" s="1"/>
      <c r="H1" s="1"/>
      <c r="I1" s="1"/>
      <c r="J1" s="1"/>
    </row>
    <row r="2" spans="2:12" x14ac:dyDescent="0.2">
      <c r="B2" s="3" t="s">
        <v>75</v>
      </c>
      <c r="C2" s="105"/>
      <c r="D2" s="3" t="s">
        <v>101</v>
      </c>
      <c r="E2" s="3"/>
      <c r="F2" s="1"/>
      <c r="H2" s="3" t="s">
        <v>102</v>
      </c>
      <c r="I2" s="3"/>
      <c r="J2" s="1"/>
    </row>
    <row r="3" spans="2:12" x14ac:dyDescent="0.2">
      <c r="B3" s="3"/>
      <c r="C3" s="105"/>
      <c r="D3" s="3"/>
      <c r="E3" s="3"/>
      <c r="F3" s="1"/>
      <c r="H3" s="3"/>
      <c r="I3" s="3"/>
      <c r="J3" s="1"/>
    </row>
    <row r="4" spans="2:12" x14ac:dyDescent="0.2">
      <c r="B4" s="4" t="s">
        <v>0</v>
      </c>
      <c r="C4" s="4"/>
      <c r="D4" s="4"/>
      <c r="E4" s="4"/>
      <c r="F4" s="4"/>
      <c r="G4" s="90"/>
      <c r="H4" s="4"/>
      <c r="I4" s="4"/>
      <c r="J4" s="4"/>
      <c r="K4" s="90"/>
      <c r="L4" s="5"/>
    </row>
    <row r="5" spans="2:12" x14ac:dyDescent="0.2">
      <c r="B5" s="6"/>
      <c r="C5" s="90"/>
      <c r="D5" s="6"/>
      <c r="E5" s="6"/>
      <c r="F5" s="6"/>
      <c r="G5" s="90"/>
      <c r="H5" s="6"/>
      <c r="I5" s="6"/>
      <c r="J5" s="6"/>
      <c r="K5" s="90"/>
      <c r="L5" s="5"/>
    </row>
    <row r="6" spans="2:12" x14ac:dyDescent="0.2">
      <c r="B6" s="7"/>
      <c r="C6" s="106"/>
      <c r="D6" s="8" t="s">
        <v>1</v>
      </c>
      <c r="E6" s="8" t="s">
        <v>2</v>
      </c>
      <c r="F6" s="9"/>
      <c r="H6" s="8" t="s">
        <v>1</v>
      </c>
      <c r="I6" s="8" t="s">
        <v>2</v>
      </c>
      <c r="J6" s="9"/>
    </row>
    <row r="7" spans="2:12" x14ac:dyDescent="0.2">
      <c r="B7" s="10" t="s">
        <v>3</v>
      </c>
      <c r="C7" s="107"/>
      <c r="D7" s="11" t="s">
        <v>4</v>
      </c>
      <c r="E7" s="11" t="s">
        <v>5</v>
      </c>
      <c r="F7" s="9"/>
      <c r="H7" s="11" t="s">
        <v>4</v>
      </c>
      <c r="I7" s="11" t="s">
        <v>5</v>
      </c>
      <c r="J7" s="9"/>
    </row>
    <row r="8" spans="2:12" x14ac:dyDescent="0.2">
      <c r="B8" s="1"/>
      <c r="D8" s="1"/>
      <c r="E8" s="1"/>
      <c r="F8" s="9"/>
      <c r="H8" s="1"/>
      <c r="I8" s="1"/>
      <c r="J8" s="9"/>
    </row>
    <row r="9" spans="2:12" x14ac:dyDescent="0.2">
      <c r="B9" s="10" t="s">
        <v>6</v>
      </c>
      <c r="C9" s="107"/>
      <c r="D9" s="11" t="s">
        <v>4</v>
      </c>
      <c r="E9" s="11" t="s">
        <v>5</v>
      </c>
      <c r="F9" s="12" t="s">
        <v>7</v>
      </c>
      <c r="H9" s="11" t="s">
        <v>4</v>
      </c>
      <c r="I9" s="11" t="s">
        <v>5</v>
      </c>
      <c r="J9" s="12" t="s">
        <v>7</v>
      </c>
    </row>
    <row r="10" spans="2:12" x14ac:dyDescent="0.2">
      <c r="B10" s="10" t="s">
        <v>8</v>
      </c>
      <c r="C10" s="107"/>
      <c r="D10" s="11" t="s">
        <v>4</v>
      </c>
      <c r="E10" s="11" t="s">
        <v>5</v>
      </c>
      <c r="F10" s="12" t="s">
        <v>7</v>
      </c>
      <c r="H10" s="11" t="s">
        <v>4</v>
      </c>
      <c r="I10" s="11" t="s">
        <v>5</v>
      </c>
      <c r="J10" s="12" t="s">
        <v>7</v>
      </c>
    </row>
    <row r="11" spans="2:12" x14ac:dyDescent="0.2">
      <c r="B11" s="10" t="s">
        <v>54</v>
      </c>
      <c r="C11" s="107"/>
      <c r="D11" s="11" t="s">
        <v>4</v>
      </c>
      <c r="E11" s="11" t="s">
        <v>5</v>
      </c>
      <c r="F11" s="12" t="s">
        <v>7</v>
      </c>
      <c r="H11" s="11" t="s">
        <v>4</v>
      </c>
      <c r="I11" s="11" t="s">
        <v>5</v>
      </c>
      <c r="J11" s="12" t="s">
        <v>7</v>
      </c>
    </row>
    <row r="12" spans="2:12" x14ac:dyDescent="0.2">
      <c r="B12" s="9"/>
      <c r="C12" s="91"/>
      <c r="D12" s="9"/>
      <c r="E12" s="13"/>
      <c r="F12" s="9"/>
      <c r="H12" s="9"/>
      <c r="I12" s="13"/>
      <c r="J12" s="9"/>
    </row>
    <row r="13" spans="2:12" x14ac:dyDescent="0.2">
      <c r="B13" s="4" t="s">
        <v>9</v>
      </c>
      <c r="C13" s="4"/>
      <c r="D13" s="4"/>
      <c r="E13" s="4"/>
      <c r="F13" s="4"/>
      <c r="G13" s="90"/>
      <c r="H13" s="4"/>
      <c r="I13" s="4"/>
      <c r="J13" s="4"/>
      <c r="K13" s="90"/>
      <c r="L13" s="5"/>
    </row>
    <row r="14" spans="2:12" x14ac:dyDescent="0.2">
      <c r="B14" s="9"/>
      <c r="C14" s="91"/>
      <c r="D14" s="9"/>
      <c r="E14" s="13"/>
      <c r="F14" s="9"/>
      <c r="H14" s="9"/>
      <c r="I14" s="13"/>
      <c r="J14" s="9"/>
    </row>
    <row r="15" spans="2:12" x14ac:dyDescent="0.2">
      <c r="B15" s="121" t="s">
        <v>10</v>
      </c>
      <c r="C15" s="122"/>
      <c r="D15" s="122"/>
      <c r="E15" s="13"/>
      <c r="F15" s="14"/>
      <c r="I15" s="13"/>
      <c r="J15" s="14"/>
    </row>
    <row r="16" spans="2:12" x14ac:dyDescent="0.2">
      <c r="B16" s="10" t="s">
        <v>11</v>
      </c>
      <c r="C16" s="107"/>
      <c r="D16" s="117" t="s">
        <v>4</v>
      </c>
      <c r="E16" s="117"/>
      <c r="F16" s="12" t="s">
        <v>7</v>
      </c>
      <c r="H16" s="117" t="s">
        <v>4</v>
      </c>
      <c r="I16" s="117"/>
      <c r="J16" s="12" t="s">
        <v>7</v>
      </c>
    </row>
    <row r="17" spans="2:16" x14ac:dyDescent="0.2">
      <c r="B17" s="9"/>
      <c r="C17" s="91"/>
      <c r="D17" s="9"/>
      <c r="E17" s="9"/>
      <c r="F17" s="14"/>
      <c r="H17" s="9"/>
      <c r="I17" s="9"/>
      <c r="J17" s="14"/>
    </row>
    <row r="18" spans="2:16" x14ac:dyDescent="0.2">
      <c r="B18" s="4" t="s">
        <v>12</v>
      </c>
      <c r="C18" s="4"/>
      <c r="D18" s="4"/>
      <c r="E18" s="4"/>
      <c r="F18" s="4"/>
      <c r="G18" s="90"/>
      <c r="H18" s="4"/>
      <c r="I18" s="4"/>
      <c r="J18" s="4"/>
      <c r="K18" s="90"/>
      <c r="L18" s="5"/>
    </row>
    <row r="19" spans="2:16" x14ac:dyDescent="0.2">
      <c r="B19" s="1"/>
      <c r="D19" s="1"/>
      <c r="E19" s="1"/>
      <c r="F19" s="1"/>
      <c r="H19" s="1"/>
      <c r="I19" s="1"/>
      <c r="J19" s="1"/>
    </row>
    <row r="20" spans="2:16" x14ac:dyDescent="0.2">
      <c r="B20" s="1"/>
      <c r="D20" s="118" t="s">
        <v>13</v>
      </c>
      <c r="E20" s="118"/>
      <c r="F20" s="14"/>
      <c r="H20" s="118" t="s">
        <v>13</v>
      </c>
      <c r="I20" s="118"/>
      <c r="J20" s="14"/>
    </row>
    <row r="21" spans="2:16" x14ac:dyDescent="0.2">
      <c r="B21" s="10" t="s">
        <v>1</v>
      </c>
      <c r="C21" s="107"/>
      <c r="D21" s="11" t="s">
        <v>4</v>
      </c>
      <c r="E21" s="1"/>
      <c r="F21" s="1"/>
      <c r="H21" s="11" t="s">
        <v>4</v>
      </c>
      <c r="I21" s="1"/>
      <c r="J21" s="1"/>
    </row>
    <row r="22" spans="2:16" x14ac:dyDescent="0.2">
      <c r="B22" s="10" t="s">
        <v>14</v>
      </c>
      <c r="C22" s="107"/>
      <c r="D22" s="11" t="s">
        <v>15</v>
      </c>
      <c r="E22" s="1"/>
      <c r="F22" s="1"/>
      <c r="H22" s="11" t="s">
        <v>15</v>
      </c>
      <c r="I22" s="1"/>
      <c r="J22" s="1"/>
    </row>
    <row r="23" spans="2:16" x14ac:dyDescent="0.2">
      <c r="B23" s="10" t="s">
        <v>98</v>
      </c>
      <c r="C23" s="107"/>
      <c r="D23" s="11">
        <f>23404-H23</f>
        <v>23404</v>
      </c>
      <c r="E23" s="1"/>
      <c r="F23" s="1"/>
      <c r="H23" s="11">
        <v>0</v>
      </c>
      <c r="I23" s="1"/>
      <c r="J23" s="1"/>
    </row>
    <row r="24" spans="2:16" x14ac:dyDescent="0.2">
      <c r="B24" s="10" t="s">
        <v>16</v>
      </c>
      <c r="C24" s="107"/>
      <c r="D24" s="16"/>
      <c r="E24" s="1"/>
      <c r="F24" s="1"/>
      <c r="H24" s="16"/>
      <c r="I24" s="1"/>
      <c r="J24" s="1"/>
    </row>
    <row r="25" spans="2:16" x14ac:dyDescent="0.2">
      <c r="B25" s="10" t="s">
        <v>60</v>
      </c>
      <c r="C25" s="107"/>
      <c r="D25" s="47" t="s">
        <v>61</v>
      </c>
      <c r="E25" s="1"/>
      <c r="F25" s="1"/>
      <c r="H25" s="47" t="s">
        <v>61</v>
      </c>
      <c r="I25" s="1"/>
      <c r="J25" s="1"/>
      <c r="L25" s="2" t="s">
        <v>61</v>
      </c>
      <c r="M25" s="2">
        <v>2025</v>
      </c>
      <c r="N25" s="2">
        <v>2026</v>
      </c>
      <c r="O25" s="2">
        <v>2027</v>
      </c>
      <c r="P25" s="2">
        <v>2028</v>
      </c>
    </row>
    <row r="26" spans="2:16" x14ac:dyDescent="0.2">
      <c r="B26" s="10" t="s">
        <v>62</v>
      </c>
      <c r="C26" s="107"/>
      <c r="D26" s="45"/>
      <c r="E26" s="1"/>
      <c r="F26" s="1"/>
      <c r="H26" s="45"/>
      <c r="I26" s="1"/>
      <c r="J26" s="1"/>
      <c r="L26" s="2" t="s">
        <v>64</v>
      </c>
      <c r="M26" s="2" t="s">
        <v>65</v>
      </c>
    </row>
    <row r="27" spans="2:16" x14ac:dyDescent="0.2">
      <c r="B27" s="85" t="s">
        <v>89</v>
      </c>
      <c r="C27" s="108"/>
      <c r="D27" s="16" t="s">
        <v>65</v>
      </c>
      <c r="E27" s="45">
        <v>0</v>
      </c>
      <c r="F27" s="1"/>
      <c r="H27" s="16" t="s">
        <v>65</v>
      </c>
      <c r="I27" s="45">
        <v>0</v>
      </c>
      <c r="J27" s="1"/>
    </row>
    <row r="28" spans="2:16" x14ac:dyDescent="0.2">
      <c r="B28" s="10" t="s">
        <v>90</v>
      </c>
      <c r="C28" s="107"/>
      <c r="D28" s="16" t="s">
        <v>65</v>
      </c>
      <c r="E28" s="45">
        <v>0</v>
      </c>
      <c r="F28" s="1"/>
      <c r="H28" s="16" t="s">
        <v>65</v>
      </c>
      <c r="I28" s="45">
        <v>0</v>
      </c>
      <c r="J28" s="1"/>
    </row>
    <row r="29" spans="2:16" x14ac:dyDescent="0.2">
      <c r="B29" s="10" t="s">
        <v>91</v>
      </c>
      <c r="C29" s="107"/>
      <c r="D29" s="16" t="s">
        <v>65</v>
      </c>
      <c r="E29" s="45">
        <v>0</v>
      </c>
      <c r="F29" s="1"/>
      <c r="H29" s="16" t="s">
        <v>65</v>
      </c>
      <c r="I29" s="45">
        <v>0</v>
      </c>
      <c r="J29" s="1"/>
    </row>
    <row r="30" spans="2:16" x14ac:dyDescent="0.2">
      <c r="B30" s="10" t="s">
        <v>93</v>
      </c>
      <c r="C30" s="107"/>
      <c r="D30" s="16" t="s">
        <v>65</v>
      </c>
      <c r="E30" s="45">
        <v>0</v>
      </c>
      <c r="F30" s="1"/>
      <c r="H30" s="16" t="s">
        <v>65</v>
      </c>
      <c r="I30" s="45">
        <v>0</v>
      </c>
      <c r="J30" s="1"/>
    </row>
    <row r="31" spans="2:16" x14ac:dyDescent="0.2">
      <c r="B31" s="10" t="s">
        <v>92</v>
      </c>
      <c r="C31" s="107"/>
      <c r="D31" s="16" t="s">
        <v>65</v>
      </c>
      <c r="E31" s="45">
        <v>0</v>
      </c>
      <c r="F31" s="1"/>
      <c r="H31" s="16" t="s">
        <v>65</v>
      </c>
      <c r="I31" s="45">
        <v>0</v>
      </c>
      <c r="J31" s="1"/>
    </row>
    <row r="32" spans="2:16" x14ac:dyDescent="0.2">
      <c r="B32" s="10" t="s">
        <v>76</v>
      </c>
      <c r="C32" s="107"/>
      <c r="D32" s="47">
        <v>100</v>
      </c>
      <c r="E32" s="1"/>
      <c r="F32" s="1"/>
      <c r="H32" s="47">
        <v>100</v>
      </c>
      <c r="I32" s="1"/>
      <c r="J32" s="1"/>
    </row>
    <row r="33" spans="1:11" x14ac:dyDescent="0.2">
      <c r="B33" s="13"/>
      <c r="C33" s="109"/>
      <c r="D33" s="54" t="s">
        <v>67</v>
      </c>
      <c r="E33" s="55" t="s">
        <v>68</v>
      </c>
      <c r="F33" s="55" t="s">
        <v>97</v>
      </c>
      <c r="H33" s="54" t="s">
        <v>67</v>
      </c>
      <c r="I33" s="55" t="s">
        <v>68</v>
      </c>
      <c r="J33" s="55" t="s">
        <v>97</v>
      </c>
    </row>
    <row r="34" spans="1:11" x14ac:dyDescent="0.2">
      <c r="B34" s="13" t="s">
        <v>69</v>
      </c>
      <c r="C34" s="109"/>
      <c r="D34" s="57">
        <f>1-E34-F34</f>
        <v>1</v>
      </c>
      <c r="E34" s="44">
        <v>0</v>
      </c>
      <c r="F34" s="44">
        <v>0</v>
      </c>
      <c r="G34" s="113"/>
      <c r="H34" s="57">
        <f>1-I34-J34</f>
        <v>1</v>
      </c>
      <c r="I34" s="44">
        <v>0</v>
      </c>
      <c r="J34" s="44">
        <v>0</v>
      </c>
    </row>
    <row r="35" spans="1:11" x14ac:dyDescent="0.2">
      <c r="B35" s="13" t="s">
        <v>32</v>
      </c>
      <c r="C35" s="109"/>
      <c r="D35" s="51" t="s">
        <v>35</v>
      </c>
      <c r="E35" s="51"/>
      <c r="F35" s="51"/>
      <c r="H35" s="51" t="s">
        <v>35</v>
      </c>
      <c r="I35" s="51"/>
      <c r="J35" s="51"/>
    </row>
    <row r="36" spans="1:11" x14ac:dyDescent="0.2">
      <c r="B36" s="13" t="s">
        <v>70</v>
      </c>
      <c r="C36" s="109"/>
      <c r="D36" s="51" t="s">
        <v>36</v>
      </c>
      <c r="E36" s="51"/>
      <c r="F36" s="32"/>
      <c r="H36" s="51" t="s">
        <v>36</v>
      </c>
      <c r="I36" s="51"/>
      <c r="J36" s="32"/>
    </row>
    <row r="37" spans="1:11" x14ac:dyDescent="0.2">
      <c r="B37" s="13" t="s">
        <v>74</v>
      </c>
      <c r="C37" s="109"/>
      <c r="D37" s="52">
        <f>IF(D34=0,0,
VLOOKUP(D36,Blad2!$A$2:$D$16,
(IF(D35=Blad2!$B$1,2,
IF(D35=Blad2!$C$1,3,
IF(D35=Blad2!$D$1,4,0)))),FALSE)
*$D$32*D34)</f>
        <v>9.3000000000000007</v>
      </c>
      <c r="E37" s="52">
        <f>IF(E34=0,0,
VLOOKUP(E36,Blad2!$A$2:$D$16,
(IF(E35=Blad2!$B$1,2,
IF(E35=Blad2!$C$1,3,
IF(E35=Blad2!$D$1,4,0)))),FALSE)
*$D$32*E34)</f>
        <v>0</v>
      </c>
      <c r="F37" s="86">
        <f>IF(F34=0,0,
VLOOKUP(F35,Blad2!$A$18:$B$20,2,FALSE))*F34*D32</f>
        <v>0</v>
      </c>
      <c r="H37" s="52">
        <f>IF(H34=0,0,
VLOOKUP(H36,Blad2!$A$2:$D$16,
(IF(H35=Blad2!$B$1,2,
IF(H35=Blad2!$C$1,3,
IF(H35=Blad2!$D$1,4,0)))),FALSE)
*$D$32*H34)</f>
        <v>9.3000000000000007</v>
      </c>
      <c r="I37" s="52">
        <f>IF(I34=0,0,
VLOOKUP(I36,Blad2!$A$2:$D$16,
(IF(I35=Blad2!$B$1,2,
IF(I35=Blad2!$C$1,3,
IF(I35=Blad2!$D$1,4,0)))),FALSE)
*$D$32*I34)</f>
        <v>0</v>
      </c>
      <c r="J37" s="86">
        <f>IF(J34=0,0,
VLOOKUP(J35,Blad2!$A$18:$B$20,2,FALSE))*J34*H32</f>
        <v>0</v>
      </c>
    </row>
    <row r="38" spans="1:11" s="20" customFormat="1" x14ac:dyDescent="0.2">
      <c r="A38" s="17"/>
      <c r="B38" s="60" t="s">
        <v>78</v>
      </c>
      <c r="C38" s="110"/>
      <c r="E38" s="32"/>
      <c r="F38" s="32"/>
      <c r="G38" s="114"/>
      <c r="I38" s="32"/>
      <c r="J38" s="32"/>
      <c r="K38" s="114"/>
    </row>
    <row r="39" spans="1:11" s="20" customFormat="1" x14ac:dyDescent="0.2">
      <c r="A39" s="17"/>
      <c r="B39" s="18" t="s">
        <v>58</v>
      </c>
      <c r="C39" s="18"/>
      <c r="D39" s="19"/>
      <c r="E39" s="19"/>
      <c r="F39" s="19"/>
      <c r="G39" s="114"/>
      <c r="H39" s="19"/>
      <c r="I39" s="19"/>
      <c r="J39" s="19"/>
      <c r="K39" s="114"/>
    </row>
    <row r="40" spans="1:11" s="20" customFormat="1" x14ac:dyDescent="0.2">
      <c r="A40" s="17"/>
      <c r="B40" s="59" t="s">
        <v>77</v>
      </c>
      <c r="C40" s="111"/>
      <c r="D40" s="56">
        <v>300</v>
      </c>
      <c r="E40" s="32"/>
      <c r="F40" s="32"/>
      <c r="G40" s="114"/>
      <c r="H40" s="56">
        <v>300</v>
      </c>
      <c r="I40" s="32"/>
      <c r="J40" s="32"/>
      <c r="K40" s="114"/>
    </row>
    <row r="41" spans="1:11" s="20" customFormat="1" x14ac:dyDescent="0.2">
      <c r="A41" s="17"/>
      <c r="B41" s="32"/>
      <c r="C41" s="97"/>
      <c r="D41" s="32"/>
      <c r="E41" s="32"/>
      <c r="F41" s="32"/>
      <c r="G41" s="114"/>
      <c r="H41" s="32"/>
      <c r="I41" s="32"/>
      <c r="J41" s="32"/>
      <c r="K41" s="114"/>
    </row>
    <row r="42" spans="1:11" s="20" customFormat="1" x14ac:dyDescent="0.2">
      <c r="A42" s="17"/>
      <c r="B42" s="32"/>
      <c r="C42" s="97"/>
      <c r="D42" s="32"/>
      <c r="E42" s="32"/>
      <c r="F42" s="32"/>
      <c r="G42" s="114"/>
      <c r="H42" s="32"/>
      <c r="I42" s="32"/>
      <c r="J42" s="32"/>
      <c r="K42" s="114"/>
    </row>
    <row r="43" spans="1:11" s="20" customFormat="1" x14ac:dyDescent="0.2">
      <c r="A43" s="17"/>
      <c r="B43" s="32"/>
      <c r="C43" s="97"/>
      <c r="D43" s="32"/>
      <c r="E43" s="21" t="s">
        <v>17</v>
      </c>
      <c r="F43" s="21" t="s">
        <v>66</v>
      </c>
      <c r="G43" s="114"/>
      <c r="H43" s="32"/>
      <c r="I43" s="21" t="s">
        <v>17</v>
      </c>
      <c r="J43" s="21" t="s">
        <v>66</v>
      </c>
      <c r="K43" s="114"/>
    </row>
    <row r="44" spans="1:11" x14ac:dyDescent="0.2">
      <c r="B44" s="7" t="s">
        <v>20</v>
      </c>
      <c r="C44" s="106"/>
      <c r="D44" s="43">
        <f>-(D24*450-340)</f>
        <v>340</v>
      </c>
      <c r="E44" s="23">
        <f>D23</f>
        <v>23404</v>
      </c>
      <c r="F44" s="49">
        <f>(D44/1000)*E44*$D$40</f>
        <v>2387208</v>
      </c>
      <c r="H44" s="43">
        <f>-(H24*450-340)</f>
        <v>340</v>
      </c>
      <c r="I44" s="23">
        <f>H23</f>
        <v>0</v>
      </c>
      <c r="J44" s="49">
        <f>(H44/1000)*I44*$D$40</f>
        <v>0</v>
      </c>
    </row>
    <row r="45" spans="1:11" s="20" customFormat="1" x14ac:dyDescent="0.2">
      <c r="A45" s="17"/>
      <c r="B45" s="7" t="s">
        <v>55</v>
      </c>
      <c r="C45" s="106"/>
      <c r="D45" s="43">
        <f>-(340-136)</f>
        <v>-204</v>
      </c>
      <c r="E45" s="23">
        <f>IF(D25=$L$25,0,D23*D26*(2029-D25)/4)</f>
        <v>0</v>
      </c>
      <c r="F45" s="49">
        <f>(D45/1000)*E45*$D$40</f>
        <v>0</v>
      </c>
      <c r="G45" s="114"/>
      <c r="H45" s="43">
        <f>-(340-136)</f>
        <v>-204</v>
      </c>
      <c r="I45" s="23">
        <f>IF(H25=$L$25,0,H23*H26*(2029-H25)/4)</f>
        <v>0</v>
      </c>
      <c r="J45" s="49">
        <f>(H45/1000)*I45*$D$40</f>
        <v>0</v>
      </c>
      <c r="K45" s="114"/>
    </row>
    <row r="46" spans="1:11" s="40" customFormat="1" x14ac:dyDescent="0.2">
      <c r="A46" s="41"/>
      <c r="B46" s="85" t="s">
        <v>89</v>
      </c>
      <c r="C46" s="108"/>
      <c r="D46" s="43">
        <f>IF(D28="ja",-70,0)</f>
        <v>0</v>
      </c>
      <c r="E46" s="46">
        <f>IF(D27="Nee",0,$E$44*E27)</f>
        <v>0</v>
      </c>
      <c r="F46" s="49">
        <f>IF(D28="nee",0,((D46/1000)*E46*$D$40))</f>
        <v>0</v>
      </c>
      <c r="G46" s="115"/>
      <c r="H46" s="43">
        <f>IF(H28="ja",-70,0)</f>
        <v>0</v>
      </c>
      <c r="I46" s="46">
        <f>IF(H27="Nee",0,$H$23*I27)</f>
        <v>0</v>
      </c>
      <c r="J46" s="49">
        <f>IF(H28="nee",0,((H46/1000)*I46*$D$40))</f>
        <v>0</v>
      </c>
      <c r="K46" s="115"/>
    </row>
    <row r="47" spans="1:11" s="40" customFormat="1" x14ac:dyDescent="0.2">
      <c r="A47" s="41"/>
      <c r="B47" s="10" t="s">
        <v>90</v>
      </c>
      <c r="C47" s="107"/>
      <c r="D47" s="43">
        <f>IF(D30="Ja",0,
IF(D28="ja",-95,0))</f>
        <v>0</v>
      </c>
      <c r="E47" s="46">
        <f>IF(D28="Nee",0,$E$44*E28)</f>
        <v>0</v>
      </c>
      <c r="F47" s="49">
        <f>IF(D29="nee",0,((D47/1000)*E47*$D$40))</f>
        <v>0</v>
      </c>
      <c r="G47" s="115"/>
      <c r="H47" s="43">
        <f>IF(H30="Ja",0,
IF(H28="ja",-95,0))</f>
        <v>0</v>
      </c>
      <c r="I47" s="46">
        <f>IF(H28="Nee",0,$H$23*I28)</f>
        <v>0</v>
      </c>
      <c r="J47" s="49">
        <f>IF(H29="nee",0,((H47/1000)*I47*$D$40))</f>
        <v>0</v>
      </c>
      <c r="K47" s="115"/>
    </row>
    <row r="48" spans="1:11" s="40" customFormat="1" x14ac:dyDescent="0.2">
      <c r="A48" s="41"/>
      <c r="B48" s="10" t="s">
        <v>91</v>
      </c>
      <c r="C48" s="107"/>
      <c r="D48" s="43">
        <f>IF(D29="ja",-25,0)</f>
        <v>0</v>
      </c>
      <c r="E48" s="46">
        <f>IF(D29="Nee",0,$E$44*E29)</f>
        <v>0</v>
      </c>
      <c r="F48" s="49">
        <f>IF(D30="nee",0,((D48/1000)*E48*$D$40))</f>
        <v>0</v>
      </c>
      <c r="G48" s="115"/>
      <c r="H48" s="43">
        <f>IF(H29="ja",-25,0)</f>
        <v>0</v>
      </c>
      <c r="I48" s="46">
        <f>IF(H29="Nee",0,$H$23*I29)</f>
        <v>0</v>
      </c>
      <c r="J48" s="49">
        <f>IF(H30="nee",0,((H48/1000)*I48*$D$40))</f>
        <v>0</v>
      </c>
      <c r="K48" s="115"/>
    </row>
    <row r="49" spans="1:11" s="40" customFormat="1" x14ac:dyDescent="0.2">
      <c r="A49" s="41"/>
      <c r="B49" s="10" t="s">
        <v>93</v>
      </c>
      <c r="C49" s="107"/>
      <c r="D49" s="43">
        <f>IF(D30="ja",-100,0)</f>
        <v>0</v>
      </c>
      <c r="E49" s="46">
        <f>IF(D30="Nee",0,$E$44*E30)</f>
        <v>0</v>
      </c>
      <c r="F49" s="49">
        <f>IF(D31="nee",0,((D49/1000)*E49*$D$40))</f>
        <v>0</v>
      </c>
      <c r="G49" s="115"/>
      <c r="H49" s="43">
        <f>IF(H30="ja",-100,0)</f>
        <v>0</v>
      </c>
      <c r="I49" s="46">
        <f>IF(H30="Nee",0,$H$23*I30)</f>
        <v>0</v>
      </c>
      <c r="J49" s="49">
        <f>IF(H31="nee",0,((H49/1000)*I49*$D$40))</f>
        <v>0</v>
      </c>
      <c r="K49" s="115"/>
    </row>
    <row r="50" spans="1:11" s="40" customFormat="1" x14ac:dyDescent="0.2">
      <c r="A50" s="41"/>
      <c r="B50" s="7" t="s">
        <v>88</v>
      </c>
      <c r="C50" s="106"/>
      <c r="D50" s="43">
        <f>IF(D31="ja",-100,0)</f>
        <v>0</v>
      </c>
      <c r="E50" s="46">
        <f>IF(D31="Nee",0,$E$44*E31)</f>
        <v>0</v>
      </c>
      <c r="F50" s="49">
        <f>IF(D31="nee",0,((D50/1000)*E50*$D$40))</f>
        <v>0</v>
      </c>
      <c r="G50" s="115"/>
      <c r="H50" s="43">
        <f>IF(H31="ja",-100,0)</f>
        <v>0</v>
      </c>
      <c r="I50" s="46">
        <f>IF(H31="Nee",0,$H$23*I31)</f>
        <v>0</v>
      </c>
      <c r="J50" s="49">
        <f>IF(H31="nee",0,((H50/1000)*I50*$D$40))</f>
        <v>0</v>
      </c>
      <c r="K50" s="115"/>
    </row>
    <row r="51" spans="1:11" s="20" customFormat="1" x14ac:dyDescent="0.2">
      <c r="A51" s="17"/>
      <c r="B51" s="7" t="s">
        <v>72</v>
      </c>
      <c r="C51" s="106"/>
      <c r="D51" s="43">
        <f>(D34*D37+E34*E37+F34*F37)</f>
        <v>9.3000000000000007</v>
      </c>
      <c r="E51" s="46">
        <f>E44</f>
        <v>23404</v>
      </c>
      <c r="F51" s="49">
        <f>(D51/1000)*E51*$D$40</f>
        <v>65297.16</v>
      </c>
      <c r="G51" s="114"/>
      <c r="H51" s="43">
        <f>(H34*H37+I34*I37+J34*J37)</f>
        <v>9.3000000000000007</v>
      </c>
      <c r="I51" s="46">
        <f>I44</f>
        <v>0</v>
      </c>
      <c r="J51" s="49">
        <f>(H51/1000)*I51*$D$40</f>
        <v>0</v>
      </c>
      <c r="K51" s="114"/>
    </row>
    <row r="52" spans="1:11" s="20" customFormat="1" x14ac:dyDescent="0.2">
      <c r="A52" s="17"/>
      <c r="B52" s="25" t="s">
        <v>71</v>
      </c>
      <c r="C52" s="112"/>
      <c r="D52" s="26"/>
      <c r="E52" s="27"/>
      <c r="F52" s="48">
        <f>SUM(F44:F51)</f>
        <v>2452505.16</v>
      </c>
      <c r="G52" s="97"/>
      <c r="H52" s="26"/>
      <c r="I52" s="27"/>
      <c r="J52" s="48">
        <f>SUM(J44:J51)</f>
        <v>0</v>
      </c>
      <c r="K52" s="114"/>
    </row>
    <row r="53" spans="1:11" s="20" customFormat="1" x14ac:dyDescent="0.2">
      <c r="A53" s="17"/>
      <c r="B53" s="7"/>
      <c r="C53" s="109"/>
      <c r="D53" s="32"/>
      <c r="E53" s="32"/>
      <c r="F53" s="32"/>
      <c r="G53" s="114"/>
      <c r="H53" s="32"/>
      <c r="I53" s="32"/>
      <c r="J53" s="32"/>
      <c r="K53" s="114"/>
    </row>
    <row r="54" spans="1:11" s="20" customFormat="1" x14ac:dyDescent="0.2">
      <c r="A54" s="17"/>
      <c r="B54" s="7"/>
      <c r="C54" s="109"/>
      <c r="D54" s="32"/>
      <c r="E54" s="32"/>
      <c r="F54" s="32"/>
      <c r="G54" s="114"/>
      <c r="H54" s="32"/>
      <c r="I54" s="32"/>
      <c r="J54" s="32"/>
      <c r="K54" s="114"/>
    </row>
    <row r="55" spans="1:11" s="20" customFormat="1" x14ac:dyDescent="0.2">
      <c r="A55" s="17"/>
      <c r="B55" s="31" t="s">
        <v>23</v>
      </c>
      <c r="C55" s="31"/>
      <c r="D55" s="53">
        <f>F52*4</f>
        <v>9810020.6400000006</v>
      </c>
      <c r="E55" s="32"/>
      <c r="F55" s="32"/>
      <c r="G55" s="114"/>
      <c r="H55" s="53">
        <f>J52*4</f>
        <v>0</v>
      </c>
      <c r="I55" s="32"/>
      <c r="J55" s="32"/>
      <c r="K55" s="114"/>
    </row>
    <row r="56" spans="1:11" x14ac:dyDescent="0.2">
      <c r="B56" s="9"/>
      <c r="C56" s="91"/>
      <c r="D56" s="9"/>
      <c r="E56" s="9"/>
      <c r="F56" s="14"/>
      <c r="H56" s="9"/>
      <c r="I56" s="9"/>
      <c r="J56" s="14"/>
    </row>
    <row r="57" spans="1:11" s="20" customFormat="1" x14ac:dyDescent="0.2">
      <c r="A57" s="17"/>
      <c r="B57" s="18" t="s">
        <v>59</v>
      </c>
      <c r="C57" s="18"/>
      <c r="D57" s="19"/>
      <c r="E57" s="19"/>
      <c r="F57" s="19"/>
      <c r="G57" s="114"/>
      <c r="H57" s="19"/>
      <c r="I57" s="19"/>
      <c r="J57" s="19"/>
      <c r="K57" s="114"/>
    </row>
    <row r="58" spans="1:11" x14ac:dyDescent="0.2">
      <c r="B58" s="9"/>
      <c r="C58" s="91"/>
      <c r="D58" s="9"/>
      <c r="E58" s="21" t="s">
        <v>17</v>
      </c>
      <c r="F58" s="21" t="s">
        <v>18</v>
      </c>
      <c r="H58" s="9"/>
      <c r="I58" s="21" t="s">
        <v>17</v>
      </c>
      <c r="J58" s="21" t="s">
        <v>18</v>
      </c>
    </row>
    <row r="59" spans="1:11" x14ac:dyDescent="0.2">
      <c r="B59" s="10" t="s">
        <v>84</v>
      </c>
      <c r="C59" s="107"/>
      <c r="D59" s="22"/>
      <c r="E59" s="23">
        <f>$E$44</f>
        <v>23404</v>
      </c>
      <c r="F59" s="24">
        <f>D59*E59</f>
        <v>0</v>
      </c>
      <c r="H59" s="22"/>
      <c r="I59" s="23">
        <f>$H$23</f>
        <v>0</v>
      </c>
      <c r="J59" s="24">
        <f>H59*I59</f>
        <v>0</v>
      </c>
    </row>
    <row r="60" spans="1:11" x14ac:dyDescent="0.2">
      <c r="B60" s="10" t="s">
        <v>29</v>
      </c>
      <c r="C60" s="107"/>
      <c r="D60" s="22"/>
      <c r="E60" s="23">
        <f>$E$44</f>
        <v>23404</v>
      </c>
      <c r="F60" s="24">
        <f>D60*E60</f>
        <v>0</v>
      </c>
      <c r="H60" s="22"/>
      <c r="I60" s="23">
        <f>$H$23</f>
        <v>0</v>
      </c>
      <c r="J60" s="24">
        <f>H60*I60</f>
        <v>0</v>
      </c>
    </row>
    <row r="61" spans="1:11" ht="24" x14ac:dyDescent="0.2">
      <c r="B61" s="10" t="s">
        <v>19</v>
      </c>
      <c r="C61" s="107"/>
      <c r="D61" s="22"/>
      <c r="E61" s="23">
        <f>$E$44</f>
        <v>23404</v>
      </c>
      <c r="F61" s="24">
        <f>D61*E61</f>
        <v>0</v>
      </c>
      <c r="H61" s="22"/>
      <c r="I61" s="23">
        <f>$H$23</f>
        <v>0</v>
      </c>
      <c r="J61" s="24">
        <f>H61*I61</f>
        <v>0</v>
      </c>
    </row>
    <row r="62" spans="1:11" x14ac:dyDescent="0.2">
      <c r="B62" s="25" t="s">
        <v>87</v>
      </c>
      <c r="C62" s="112"/>
      <c r="D62" s="26"/>
      <c r="E62" s="27"/>
      <c r="F62" s="28">
        <f>SUM(F59:F61)*4</f>
        <v>0</v>
      </c>
      <c r="H62" s="26"/>
      <c r="I62" s="27"/>
      <c r="J62" s="28">
        <f>SUM(J59:J61)*4</f>
        <v>0</v>
      </c>
    </row>
    <row r="63" spans="1:11" x14ac:dyDescent="0.2">
      <c r="B63" s="14"/>
      <c r="C63" s="93"/>
      <c r="D63" s="29"/>
      <c r="E63" s="23"/>
      <c r="F63" s="24"/>
      <c r="H63" s="29"/>
      <c r="I63" s="23"/>
      <c r="J63" s="24"/>
    </row>
    <row r="64" spans="1:11" x14ac:dyDescent="0.2">
      <c r="B64" s="10" t="s">
        <v>30</v>
      </c>
      <c r="C64" s="107"/>
      <c r="D64" s="87">
        <v>0</v>
      </c>
      <c r="E64" s="23">
        <f>$E$44</f>
        <v>23404</v>
      </c>
      <c r="F64" s="24">
        <f>D64*E64</f>
        <v>0</v>
      </c>
      <c r="H64" s="87">
        <v>0</v>
      </c>
      <c r="I64" s="23">
        <f>$H$23</f>
        <v>0</v>
      </c>
      <c r="J64" s="24">
        <f>H64*I64</f>
        <v>0</v>
      </c>
    </row>
    <row r="65" spans="1:11" x14ac:dyDescent="0.2">
      <c r="B65" s="7" t="s">
        <v>21</v>
      </c>
      <c r="C65" s="106"/>
      <c r="D65" s="88">
        <v>1.37</v>
      </c>
      <c r="E65" s="23">
        <f t="shared" ref="E65" si="0">$E$44</f>
        <v>23404</v>
      </c>
      <c r="F65" s="24">
        <f>D65*E65</f>
        <v>32063.480000000003</v>
      </c>
      <c r="H65" s="88">
        <v>1.37</v>
      </c>
      <c r="I65" s="23">
        <f>$H$23</f>
        <v>0</v>
      </c>
      <c r="J65" s="24">
        <f>H65*I65</f>
        <v>0</v>
      </c>
    </row>
    <row r="66" spans="1:11" x14ac:dyDescent="0.2">
      <c r="B66" s="7" t="s">
        <v>22</v>
      </c>
      <c r="C66" s="106"/>
      <c r="D66" s="88">
        <v>3.94</v>
      </c>
      <c r="E66" s="23">
        <f>$E$44</f>
        <v>23404</v>
      </c>
      <c r="F66" s="24">
        <f>D66*E66</f>
        <v>92211.76</v>
      </c>
      <c r="H66" s="88">
        <v>3.94</v>
      </c>
      <c r="I66" s="23">
        <f>$H$23</f>
        <v>0</v>
      </c>
      <c r="J66" s="24">
        <f>H66*I66</f>
        <v>0</v>
      </c>
    </row>
    <row r="67" spans="1:11" x14ac:dyDescent="0.2">
      <c r="B67" s="7" t="s">
        <v>31</v>
      </c>
      <c r="C67" s="106"/>
      <c r="D67" s="88">
        <v>7.07</v>
      </c>
      <c r="E67" s="23">
        <f>$E$44</f>
        <v>23404</v>
      </c>
      <c r="F67" s="24">
        <f>D67*E67</f>
        <v>165466.28</v>
      </c>
      <c r="H67" s="88">
        <v>7.07</v>
      </c>
      <c r="I67" s="23">
        <f>$H$23</f>
        <v>0</v>
      </c>
      <c r="J67" s="24">
        <f>H67*I67</f>
        <v>0</v>
      </c>
    </row>
    <row r="68" spans="1:11" x14ac:dyDescent="0.2">
      <c r="B68" s="25" t="s">
        <v>86</v>
      </c>
      <c r="C68" s="112"/>
      <c r="D68" s="23"/>
      <c r="E68" s="30"/>
      <c r="F68" s="28">
        <f>SUM(F64:F67)</f>
        <v>289741.52</v>
      </c>
      <c r="H68" s="23"/>
      <c r="I68" s="30"/>
      <c r="J68" s="28">
        <f>SUM(J64:J67)</f>
        <v>0</v>
      </c>
    </row>
    <row r="69" spans="1:11" x14ac:dyDescent="0.2">
      <c r="B69" s="1"/>
      <c r="D69" s="1"/>
      <c r="E69" s="14"/>
      <c r="F69" s="1"/>
      <c r="H69" s="1"/>
      <c r="I69" s="14"/>
      <c r="J69" s="1"/>
    </row>
    <row r="70" spans="1:11" s="20" customFormat="1" x14ac:dyDescent="0.2">
      <c r="A70" s="17"/>
      <c r="B70" s="31" t="s">
        <v>23</v>
      </c>
      <c r="C70" s="31"/>
      <c r="D70" s="53">
        <f>F62+F68</f>
        <v>289741.52</v>
      </c>
      <c r="E70" s="32"/>
      <c r="F70" s="32"/>
      <c r="G70" s="114"/>
      <c r="H70" s="53">
        <f>J62+J68</f>
        <v>0</v>
      </c>
      <c r="I70" s="32"/>
      <c r="J70" s="32"/>
      <c r="K70" s="114"/>
    </row>
    <row r="71" spans="1:11" s="20" customFormat="1" x14ac:dyDescent="0.2">
      <c r="A71" s="17"/>
      <c r="B71" s="32"/>
      <c r="C71" s="97"/>
      <c r="D71" s="32"/>
      <c r="E71" s="32"/>
      <c r="F71" s="32"/>
      <c r="G71" s="114"/>
      <c r="H71" s="32"/>
      <c r="I71" s="32"/>
      <c r="J71" s="32"/>
      <c r="K71" s="114"/>
    </row>
    <row r="72" spans="1:11" s="20" customFormat="1" x14ac:dyDescent="0.2">
      <c r="A72" s="17"/>
      <c r="B72" s="18" t="s">
        <v>56</v>
      </c>
      <c r="C72" s="18"/>
      <c r="D72" s="19"/>
      <c r="E72" s="19"/>
      <c r="F72" s="19"/>
      <c r="G72" s="114"/>
      <c r="H72" s="19"/>
      <c r="I72" s="19"/>
      <c r="J72" s="19"/>
      <c r="K72" s="114"/>
    </row>
    <row r="73" spans="1:11" s="20" customFormat="1" x14ac:dyDescent="0.2">
      <c r="A73" s="17"/>
      <c r="B73" s="32"/>
      <c r="C73" s="97"/>
      <c r="D73" s="32"/>
      <c r="E73" s="32"/>
      <c r="F73" s="32"/>
      <c r="G73" s="114"/>
      <c r="H73" s="32"/>
      <c r="I73" s="32"/>
      <c r="J73" s="32"/>
      <c r="K73" s="114"/>
    </row>
    <row r="74" spans="1:11" s="20" customFormat="1" x14ac:dyDescent="0.2">
      <c r="A74" s="17"/>
      <c r="B74" s="7" t="s">
        <v>79</v>
      </c>
      <c r="C74" s="109"/>
      <c r="D74" s="58">
        <f>(D55+H55)/(D23+H23)/4</f>
        <v>104.79</v>
      </c>
      <c r="E74" s="32"/>
      <c r="F74" s="32"/>
      <c r="G74" s="114"/>
      <c r="H74" s="58"/>
      <c r="I74" s="32"/>
      <c r="J74" s="32"/>
      <c r="K74" s="114"/>
    </row>
    <row r="75" spans="1:11" s="20" customFormat="1" x14ac:dyDescent="0.2">
      <c r="A75" s="17"/>
      <c r="B75" s="7" t="s">
        <v>80</v>
      </c>
      <c r="C75" s="109"/>
      <c r="D75" s="58">
        <f>(D70+H70)/(D23+H23)/4</f>
        <v>3.0950000000000002</v>
      </c>
      <c r="E75" s="32"/>
      <c r="F75" s="32"/>
      <c r="G75" s="114"/>
      <c r="H75" s="58"/>
      <c r="I75" s="32"/>
      <c r="J75" s="32"/>
      <c r="K75" s="114"/>
    </row>
    <row r="76" spans="1:11" s="20" customFormat="1" x14ac:dyDescent="0.2">
      <c r="A76" s="17"/>
      <c r="B76" s="7" t="s">
        <v>81</v>
      </c>
      <c r="C76" s="109"/>
      <c r="D76" s="58">
        <f>D74+D75</f>
        <v>107.88500000000001</v>
      </c>
      <c r="E76" s="32"/>
      <c r="F76" s="32"/>
      <c r="G76" s="114"/>
      <c r="H76" s="58"/>
      <c r="I76" s="32"/>
      <c r="J76" s="32"/>
      <c r="K76" s="114"/>
    </row>
    <row r="77" spans="1:11" s="20" customFormat="1" x14ac:dyDescent="0.2">
      <c r="A77" s="17"/>
      <c r="B77" s="32"/>
      <c r="C77" s="97"/>
      <c r="D77" s="32"/>
      <c r="E77" s="32"/>
      <c r="F77" s="32"/>
      <c r="G77" s="114"/>
      <c r="H77" s="32"/>
      <c r="I77" s="32"/>
      <c r="J77" s="32"/>
      <c r="K77" s="114"/>
    </row>
    <row r="78" spans="1:11" x14ac:dyDescent="0.2">
      <c r="B78" s="15"/>
      <c r="C78" s="104"/>
      <c r="D78" s="9"/>
      <c r="E78" s="9"/>
      <c r="F78" s="14"/>
      <c r="H78" s="9"/>
      <c r="I78" s="9"/>
      <c r="J78" s="14"/>
    </row>
    <row r="79" spans="1:11" x14ac:dyDescent="0.2">
      <c r="B79" s="15"/>
      <c r="C79" s="104"/>
      <c r="D79" s="9"/>
      <c r="E79" s="9"/>
      <c r="F79" s="14"/>
      <c r="H79" s="9"/>
      <c r="I79" s="9"/>
      <c r="J79" s="14"/>
    </row>
    <row r="80" spans="1:11" x14ac:dyDescent="0.2">
      <c r="B80" s="15"/>
      <c r="C80" s="104"/>
      <c r="D80" s="9"/>
      <c r="E80" s="9"/>
      <c r="F80" s="14"/>
      <c r="H80" s="9"/>
      <c r="I80" s="9"/>
      <c r="J80" s="14"/>
    </row>
    <row r="81" spans="2:10" x14ac:dyDescent="0.2">
      <c r="B81" s="15"/>
      <c r="C81" s="104"/>
      <c r="D81" s="9"/>
      <c r="E81" s="9"/>
      <c r="F81" s="14"/>
      <c r="H81" s="9"/>
      <c r="I81" s="9"/>
      <c r="J81" s="14"/>
    </row>
    <row r="82" spans="2:10" x14ac:dyDescent="0.2">
      <c r="B82" s="15"/>
      <c r="C82" s="104"/>
      <c r="D82" s="9"/>
      <c r="E82" s="9"/>
      <c r="F82" s="14"/>
      <c r="H82" s="9"/>
      <c r="I82" s="9"/>
      <c r="J82" s="14"/>
    </row>
    <row r="83" spans="2:10" x14ac:dyDescent="0.2">
      <c r="B83" s="15"/>
      <c r="C83" s="104"/>
      <c r="D83" s="9"/>
      <c r="E83" s="9"/>
      <c r="F83" s="14"/>
      <c r="H83" s="9"/>
      <c r="I83" s="9"/>
      <c r="J83" s="14"/>
    </row>
    <row r="84" spans="2:10" x14ac:dyDescent="0.2">
      <c r="B84" s="15"/>
      <c r="C84" s="104"/>
      <c r="D84" s="9"/>
      <c r="E84" s="9"/>
      <c r="F84" s="14"/>
      <c r="H84" s="9"/>
      <c r="I84" s="9"/>
      <c r="J84" s="14"/>
    </row>
    <row r="85" spans="2:10" x14ac:dyDescent="0.2">
      <c r="B85" s="15"/>
      <c r="C85" s="104"/>
      <c r="D85" s="1" t="s">
        <v>1</v>
      </c>
      <c r="E85" s="33" t="s">
        <v>24</v>
      </c>
      <c r="F85" s="1"/>
      <c r="H85" s="9"/>
      <c r="I85" s="9"/>
      <c r="J85" s="14"/>
    </row>
    <row r="86" spans="2:10" x14ac:dyDescent="0.2">
      <c r="B86" s="15"/>
      <c r="C86" s="104"/>
      <c r="D86" s="1" t="s">
        <v>25</v>
      </c>
      <c r="E86" s="33" t="s">
        <v>24</v>
      </c>
      <c r="F86" s="1"/>
      <c r="H86" s="9"/>
      <c r="I86" s="9"/>
      <c r="J86" s="14"/>
    </row>
    <row r="87" spans="2:10" x14ac:dyDescent="0.2">
      <c r="B87" s="15"/>
      <c r="C87" s="104"/>
      <c r="D87" s="1" t="s">
        <v>26</v>
      </c>
      <c r="E87" s="33" t="s">
        <v>24</v>
      </c>
      <c r="F87" s="1"/>
      <c r="H87" s="9"/>
      <c r="I87" s="9"/>
      <c r="J87" s="14"/>
    </row>
    <row r="88" spans="2:10" x14ac:dyDescent="0.2">
      <c r="B88" s="15"/>
      <c r="C88" s="104"/>
      <c r="D88" s="1" t="s">
        <v>27</v>
      </c>
      <c r="E88" s="33" t="s">
        <v>24</v>
      </c>
      <c r="F88" s="1"/>
      <c r="H88" s="9"/>
      <c r="I88" s="9"/>
      <c r="J88" s="14"/>
    </row>
    <row r="89" spans="2:10" ht="14.45" customHeight="1" x14ac:dyDescent="0.2">
      <c r="B89" s="15"/>
      <c r="C89" s="104"/>
      <c r="D89" s="119" t="s">
        <v>28</v>
      </c>
      <c r="E89" s="120" t="s">
        <v>24</v>
      </c>
      <c r="F89" s="1"/>
      <c r="H89" s="9"/>
      <c r="I89" s="9"/>
      <c r="J89" s="14"/>
    </row>
    <row r="90" spans="2:10" x14ac:dyDescent="0.2">
      <c r="B90" s="15"/>
      <c r="C90" s="104"/>
      <c r="D90" s="119"/>
      <c r="E90" s="120"/>
      <c r="F90" s="1"/>
      <c r="H90" s="9"/>
      <c r="I90" s="9"/>
      <c r="J90" s="14"/>
    </row>
    <row r="91" spans="2:10" x14ac:dyDescent="0.2">
      <c r="B91" s="15"/>
      <c r="C91" s="104"/>
      <c r="D91" s="15"/>
      <c r="E91" s="15"/>
      <c r="F91" s="15"/>
      <c r="H91" s="9"/>
      <c r="I91" s="9"/>
      <c r="J91" s="14"/>
    </row>
    <row r="97" spans="4:8" x14ac:dyDescent="0.2">
      <c r="D97" s="34"/>
      <c r="H97" s="34"/>
    </row>
    <row r="98" spans="4:8" x14ac:dyDescent="0.2">
      <c r="D98" s="34"/>
      <c r="H98" s="34"/>
    </row>
    <row r="99" spans="4:8" x14ac:dyDescent="0.2">
      <c r="D99" s="34"/>
      <c r="H99" s="34"/>
    </row>
    <row r="100" spans="4:8" x14ac:dyDescent="0.2">
      <c r="D100" s="34"/>
      <c r="H100" s="34"/>
    </row>
    <row r="101" spans="4:8" x14ac:dyDescent="0.2">
      <c r="D101" s="34"/>
      <c r="H101" s="34"/>
    </row>
    <row r="102" spans="4:8" x14ac:dyDescent="0.2">
      <c r="D102" s="34"/>
      <c r="H102" s="34"/>
    </row>
    <row r="103" spans="4:8" x14ac:dyDescent="0.2">
      <c r="D103" s="34"/>
      <c r="H103" s="34"/>
    </row>
  </sheetData>
  <sheetProtection algorithmName="SHA-512" hashValue="RCiQ+TyOYd2dLbQZlCqECdwayEPFJG2Udr9AGruHCvHuZJ6RSkb/sDrVtwPsc9NquT7Rq6fb79VNQhI3fvxgGw==" saltValue="irsZJ6wJrMqujCAaMBP2Sw==" spinCount="100000" sheet="1" objects="1" scenarios="1"/>
  <protectedRanges>
    <protectedRange sqref="L19 G13 G4:G5 G18 K13:L13 K4:L5 K18:L18" name="inschrijver naam"/>
  </protectedRanges>
  <mergeCells count="7">
    <mergeCell ref="H16:I16"/>
    <mergeCell ref="H20:I20"/>
    <mergeCell ref="E89:E90"/>
    <mergeCell ref="D89:D90"/>
    <mergeCell ref="B15:D15"/>
    <mergeCell ref="D16:E16"/>
    <mergeCell ref="D20:E20"/>
  </mergeCells>
  <conditionalFormatting sqref="B27:C27">
    <cfRule type="expression" dxfId="13" priority="12">
      <formula>#REF!="Nee"</formula>
    </cfRule>
  </conditionalFormatting>
  <conditionalFormatting sqref="B46:C46">
    <cfRule type="expression" dxfId="12" priority="6">
      <formula>#REF!="Nee"</formula>
    </cfRule>
  </conditionalFormatting>
  <conditionalFormatting sqref="B22:D23">
    <cfRule type="expression" dxfId="11" priority="17">
      <formula>$D$16="Nee"</formula>
    </cfRule>
  </conditionalFormatting>
  <conditionalFormatting sqref="D26">
    <cfRule type="expression" dxfId="10" priority="15">
      <formula>$D$25="N.v.t."</formula>
    </cfRule>
  </conditionalFormatting>
  <conditionalFormatting sqref="E27:E29">
    <cfRule type="expression" dxfId="9" priority="9">
      <formula>$D$29="Nee"</formula>
    </cfRule>
  </conditionalFormatting>
  <conditionalFormatting sqref="E30">
    <cfRule type="expression" dxfId="8" priority="10">
      <formula>$D$30="Nee"</formula>
    </cfRule>
  </conditionalFormatting>
  <conditionalFormatting sqref="E31">
    <cfRule type="expression" dxfId="7" priority="11">
      <formula>$D$31="Nee"</formula>
    </cfRule>
  </conditionalFormatting>
  <conditionalFormatting sqref="H22:H23">
    <cfRule type="expression" dxfId="6" priority="5">
      <formula>$D$16="Nee"</formula>
    </cfRule>
  </conditionalFormatting>
  <conditionalFormatting sqref="H26">
    <cfRule type="expression" dxfId="5" priority="4">
      <formula>$D$25="N.v.t."</formula>
    </cfRule>
  </conditionalFormatting>
  <conditionalFormatting sqref="I27:I29">
    <cfRule type="expression" dxfId="4" priority="1">
      <formula>$D$29="Nee"</formula>
    </cfRule>
  </conditionalFormatting>
  <conditionalFormatting sqref="I30">
    <cfRule type="expression" dxfId="3" priority="2">
      <formula>$D$30="Nee"</formula>
    </cfRule>
  </conditionalFormatting>
  <conditionalFormatting sqref="I31">
    <cfRule type="expression" dxfId="2" priority="3">
      <formula>$D$31="Nee"</formula>
    </cfRule>
  </conditionalFormatting>
  <dataValidations count="2">
    <dataValidation type="list" allowBlank="1" showInputMessage="1" showErrorMessage="1" sqref="D25 H25" xr:uid="{6BCA1EC9-5184-4A95-B630-5BFC374BBCFE}">
      <formula1>$L$25:$P$25</formula1>
    </dataValidation>
    <dataValidation type="list" allowBlank="1" showInputMessage="1" showErrorMessage="1" sqref="D27:D31 H27:H31" xr:uid="{AC4103D8-6C27-4812-8042-5B4721A71F58}">
      <formula1>$L$26:$M$26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424E26-3BF4-4036-AAB3-80C99368EA65}">
          <x14:formula1>
            <xm:f>Blad2!$B$1:$D$1</xm:f>
          </x14:formula1>
          <xm:sqref>D35:E35 H35:I35</xm:sqref>
        </x14:dataValidation>
        <x14:dataValidation type="list" allowBlank="1" showInputMessage="1" showErrorMessage="1" xr:uid="{2E6981E9-36C5-458F-AFCC-695755878BA4}">
          <x14:formula1>
            <xm:f>Blad2!$A$2:$A$16</xm:f>
          </x14:formula1>
          <xm:sqref>D36:E36 H36:I36</xm:sqref>
        </x14:dataValidation>
        <x14:dataValidation type="list" allowBlank="1" showInputMessage="1" showErrorMessage="1" xr:uid="{514F5CED-6A0D-4BA9-9761-C542E7490043}">
          <x14:formula1>
            <xm:f>Blad2!$A$18:$A$20</xm:f>
          </x14:formula1>
          <xm:sqref>F35 J35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834A-D3F8-4656-AFDA-DB9540E61694}">
  <dimension ref="A1:M94"/>
  <sheetViews>
    <sheetView zoomScaleNormal="100" workbookViewId="0">
      <selection activeCell="B42" sqref="B42"/>
    </sheetView>
  </sheetViews>
  <sheetFormatPr defaultColWidth="8.85546875" defaultRowHeight="12" x14ac:dyDescent="0.2"/>
  <cols>
    <col min="1" max="1" width="2.140625" style="1" customWidth="1"/>
    <col min="2" max="2" width="79.140625" style="2" customWidth="1"/>
    <col min="3" max="3" width="25" style="2" bestFit="1" customWidth="1"/>
    <col min="4" max="5" width="24" style="2" bestFit="1" customWidth="1"/>
    <col min="6" max="6" width="25.85546875" style="2" customWidth="1"/>
    <col min="7" max="7" width="23.140625" style="2" bestFit="1" customWidth="1"/>
    <col min="8" max="8" width="21.42578125" style="2" customWidth="1"/>
    <col min="9" max="9" width="13.42578125" style="2" hidden="1" customWidth="1"/>
    <col min="10" max="13" width="8.85546875" style="2" hidden="1" customWidth="1"/>
    <col min="14" max="16384" width="8.85546875" style="2"/>
  </cols>
  <sheetData>
    <row r="1" spans="2:9" x14ac:dyDescent="0.2">
      <c r="B1" s="1"/>
      <c r="C1" s="1"/>
      <c r="D1" s="1"/>
      <c r="E1" s="1"/>
    </row>
    <row r="2" spans="2:9" x14ac:dyDescent="0.2">
      <c r="B2" s="3" t="s">
        <v>82</v>
      </c>
      <c r="C2" s="3" t="s">
        <v>96</v>
      </c>
      <c r="D2" s="3"/>
      <c r="E2" s="1"/>
    </row>
    <row r="3" spans="2:9" x14ac:dyDescent="0.2">
      <c r="B3" s="3"/>
      <c r="C3" s="3"/>
      <c r="D3" s="3"/>
      <c r="E3" s="1"/>
    </row>
    <row r="4" spans="2:9" x14ac:dyDescent="0.2">
      <c r="B4" s="4" t="s">
        <v>0</v>
      </c>
      <c r="C4" s="4"/>
      <c r="D4" s="4"/>
      <c r="E4" s="4"/>
      <c r="F4" s="5"/>
      <c r="G4" s="5"/>
      <c r="H4" s="5"/>
      <c r="I4" s="5"/>
    </row>
    <row r="5" spans="2:9" x14ac:dyDescent="0.2">
      <c r="B5" s="6"/>
      <c r="C5" s="6"/>
      <c r="D5" s="6"/>
      <c r="E5" s="6"/>
      <c r="F5" s="5"/>
      <c r="G5" s="5"/>
      <c r="H5" s="5"/>
      <c r="I5" s="5"/>
    </row>
    <row r="6" spans="2:9" x14ac:dyDescent="0.2">
      <c r="B6" s="7"/>
      <c r="C6" s="8" t="s">
        <v>1</v>
      </c>
      <c r="D6" s="8" t="s">
        <v>2</v>
      </c>
      <c r="E6" s="76"/>
    </row>
    <row r="7" spans="2:9" x14ac:dyDescent="0.2">
      <c r="B7" s="10" t="s">
        <v>3</v>
      </c>
      <c r="C7" s="11" t="s">
        <v>4</v>
      </c>
      <c r="D7" s="11" t="s">
        <v>5</v>
      </c>
      <c r="E7" s="76"/>
    </row>
    <row r="8" spans="2:9" x14ac:dyDescent="0.2">
      <c r="B8" s="1"/>
      <c r="C8" s="1"/>
      <c r="D8" s="1"/>
      <c r="E8" s="76"/>
    </row>
    <row r="9" spans="2:9" x14ac:dyDescent="0.2">
      <c r="B9" s="10" t="s">
        <v>6</v>
      </c>
      <c r="C9" s="11" t="s">
        <v>4</v>
      </c>
      <c r="D9" s="11" t="s">
        <v>5</v>
      </c>
      <c r="E9" s="77" t="s">
        <v>7</v>
      </c>
    </row>
    <row r="10" spans="2:9" x14ac:dyDescent="0.2">
      <c r="B10" s="10" t="s">
        <v>8</v>
      </c>
      <c r="C10" s="11" t="s">
        <v>4</v>
      </c>
      <c r="D10" s="11" t="s">
        <v>5</v>
      </c>
      <c r="E10" s="77" t="s">
        <v>7</v>
      </c>
    </row>
    <row r="11" spans="2:9" x14ac:dyDescent="0.2">
      <c r="B11" s="10" t="s">
        <v>54</v>
      </c>
      <c r="C11" s="11" t="s">
        <v>4</v>
      </c>
      <c r="D11" s="11" t="s">
        <v>5</v>
      </c>
      <c r="E11" s="77" t="s">
        <v>7</v>
      </c>
    </row>
    <row r="12" spans="2:9" x14ac:dyDescent="0.2">
      <c r="B12" s="76"/>
      <c r="C12" s="76"/>
      <c r="D12" s="13"/>
      <c r="E12" s="76"/>
    </row>
    <row r="13" spans="2:9" x14ac:dyDescent="0.2">
      <c r="B13" s="4" t="s">
        <v>9</v>
      </c>
      <c r="C13" s="4"/>
      <c r="D13" s="4"/>
      <c r="E13" s="4"/>
      <c r="F13" s="5"/>
      <c r="G13" s="5"/>
      <c r="H13" s="5"/>
      <c r="I13" s="5"/>
    </row>
    <row r="14" spans="2:9" x14ac:dyDescent="0.2">
      <c r="B14" s="76"/>
      <c r="C14" s="76"/>
      <c r="D14" s="13"/>
      <c r="E14" s="76"/>
    </row>
    <row r="15" spans="2:9" x14ac:dyDescent="0.2">
      <c r="B15" s="121" t="s">
        <v>10</v>
      </c>
      <c r="C15" s="122"/>
      <c r="D15" s="13"/>
      <c r="E15" s="78"/>
    </row>
    <row r="16" spans="2:9" x14ac:dyDescent="0.2">
      <c r="B16" s="10" t="s">
        <v>11</v>
      </c>
      <c r="C16" s="117" t="s">
        <v>4</v>
      </c>
      <c r="D16" s="117"/>
      <c r="E16" s="77" t="s">
        <v>7</v>
      </c>
    </row>
    <row r="17" spans="2:13" x14ac:dyDescent="0.2">
      <c r="B17" s="76"/>
      <c r="C17" s="76"/>
      <c r="D17" s="76"/>
      <c r="E17" s="78"/>
    </row>
    <row r="18" spans="2:13" x14ac:dyDescent="0.2">
      <c r="B18" s="4" t="s">
        <v>12</v>
      </c>
      <c r="C18" s="4"/>
      <c r="D18" s="4"/>
      <c r="E18" s="4"/>
      <c r="F18" s="5"/>
      <c r="G18" s="5"/>
      <c r="H18" s="5"/>
      <c r="I18" s="5"/>
    </row>
    <row r="19" spans="2:13" x14ac:dyDescent="0.2">
      <c r="B19" s="1"/>
      <c r="C19" s="1"/>
      <c r="D19" s="1"/>
      <c r="E19" s="1"/>
    </row>
    <row r="20" spans="2:13" x14ac:dyDescent="0.2">
      <c r="B20" s="1"/>
      <c r="C20" s="124" t="s">
        <v>13</v>
      </c>
      <c r="D20" s="124"/>
      <c r="E20" s="78"/>
    </row>
    <row r="21" spans="2:13" x14ac:dyDescent="0.2">
      <c r="B21" s="10" t="s">
        <v>1</v>
      </c>
      <c r="C21" s="11" t="s">
        <v>4</v>
      </c>
      <c r="D21" s="1"/>
      <c r="E21" s="1"/>
    </row>
    <row r="22" spans="2:13" x14ac:dyDescent="0.2">
      <c r="B22" s="10" t="s">
        <v>14</v>
      </c>
      <c r="C22" s="11" t="s">
        <v>15</v>
      </c>
      <c r="D22" s="1"/>
      <c r="E22" s="1"/>
    </row>
    <row r="23" spans="2:13" x14ac:dyDescent="0.2">
      <c r="B23" s="10" t="s">
        <v>16</v>
      </c>
      <c r="C23" s="16"/>
      <c r="D23" s="1"/>
      <c r="E23" s="1"/>
    </row>
    <row r="24" spans="2:13" x14ac:dyDescent="0.2">
      <c r="B24" s="10" t="s">
        <v>60</v>
      </c>
      <c r="C24" s="47"/>
      <c r="D24" s="1"/>
      <c r="E24" s="1"/>
      <c r="I24" s="2" t="s">
        <v>61</v>
      </c>
      <c r="J24" s="2">
        <v>2025</v>
      </c>
      <c r="K24" s="2">
        <v>2026</v>
      </c>
      <c r="L24" s="2">
        <v>2027</v>
      </c>
      <c r="M24" s="2">
        <v>2028</v>
      </c>
    </row>
    <row r="25" spans="2:13" x14ac:dyDescent="0.2">
      <c r="B25" s="10" t="s">
        <v>62</v>
      </c>
      <c r="C25" s="45"/>
      <c r="D25" s="1"/>
      <c r="E25" s="1"/>
    </row>
    <row r="26" spans="2:13" x14ac:dyDescent="0.2">
      <c r="B26" s="10" t="s">
        <v>63</v>
      </c>
      <c r="C26" s="16"/>
      <c r="D26" s="1"/>
      <c r="E26" s="1"/>
      <c r="I26" s="2" t="s">
        <v>64</v>
      </c>
      <c r="J26" s="2" t="s">
        <v>65</v>
      </c>
    </row>
    <row r="27" spans="2:13" x14ac:dyDescent="0.2">
      <c r="B27" s="10" t="s">
        <v>73</v>
      </c>
      <c r="C27" s="47">
        <v>100</v>
      </c>
      <c r="D27" s="1"/>
      <c r="E27" s="1"/>
    </row>
    <row r="28" spans="2:13" x14ac:dyDescent="0.2">
      <c r="B28" s="13"/>
      <c r="C28" s="57"/>
      <c r="D28" s="1"/>
      <c r="E28" s="1"/>
    </row>
    <row r="29" spans="2:13" x14ac:dyDescent="0.2">
      <c r="B29" s="13"/>
      <c r="C29" s="61" t="s">
        <v>67</v>
      </c>
      <c r="D29" s="55" t="s">
        <v>68</v>
      </c>
      <c r="E29" s="55" t="s">
        <v>97</v>
      </c>
    </row>
    <row r="30" spans="2:13" x14ac:dyDescent="0.2">
      <c r="B30" s="13" t="s">
        <v>69</v>
      </c>
      <c r="C30" s="57">
        <f>1-D30-E30</f>
        <v>1</v>
      </c>
      <c r="D30" s="44">
        <v>0</v>
      </c>
      <c r="E30" s="44">
        <v>0</v>
      </c>
      <c r="F30" s="50"/>
    </row>
    <row r="31" spans="2:13" x14ac:dyDescent="0.2">
      <c r="B31" s="13" t="s">
        <v>32</v>
      </c>
      <c r="C31" s="51" t="s">
        <v>33</v>
      </c>
      <c r="D31" s="51"/>
      <c r="E31" s="51"/>
    </row>
    <row r="32" spans="2:13" x14ac:dyDescent="0.2">
      <c r="B32" s="13" t="s">
        <v>70</v>
      </c>
      <c r="C32" s="51" t="s">
        <v>36</v>
      </c>
      <c r="D32" s="51"/>
      <c r="E32" s="32"/>
    </row>
    <row r="33" spans="1:6" x14ac:dyDescent="0.2">
      <c r="B33" s="13" t="s">
        <v>74</v>
      </c>
      <c r="C33" s="52">
        <f>IF(C30=0,0,
VLOOKUP(C32,Blad2!$A$2:$D$16,
(IF(C31=Blad2!$B$1,2,
IF(C31=Blad2!$C$1,3,
IF(C31=Blad2!$D$1,4,0)))),FALSE))
*$C$27*C30</f>
        <v>11.700000000000001</v>
      </c>
      <c r="D33" s="52">
        <f>IF(D30=0,0,
VLOOKUP(D32,Blad2!$A$2:$D$16,
(IF(D31=Blad2!$B$1,2,
IF(D31=Blad2!$C$1,3,
IF(D31=Blad2!$D$1,4,0)))),FALSE))
*$C$27*D30</f>
        <v>0</v>
      </c>
      <c r="E33" s="86">
        <f>IF(E30=0,0,
VLOOKUP(E31,Blad2!$A$18:$B$20,2,FALSE))*E30*C27</f>
        <v>0</v>
      </c>
    </row>
    <row r="34" spans="1:6" s="20" customFormat="1" x14ac:dyDescent="0.2">
      <c r="A34" s="17"/>
      <c r="B34" s="62" t="s">
        <v>78</v>
      </c>
      <c r="C34" s="63"/>
      <c r="D34" s="63"/>
      <c r="E34" s="63"/>
    </row>
    <row r="35" spans="1:6" s="20" customFormat="1" x14ac:dyDescent="0.2">
      <c r="A35" s="17"/>
      <c r="B35" s="18" t="s">
        <v>58</v>
      </c>
      <c r="C35" s="19"/>
      <c r="D35" s="19"/>
      <c r="E35" s="19"/>
    </row>
    <row r="36" spans="1:6" s="20" customFormat="1" x14ac:dyDescent="0.2">
      <c r="A36" s="17"/>
      <c r="B36" s="64" t="s">
        <v>77</v>
      </c>
      <c r="C36" s="65">
        <v>300</v>
      </c>
      <c r="D36" s="63"/>
      <c r="E36" s="63"/>
    </row>
    <row r="37" spans="1:6" s="20" customFormat="1" x14ac:dyDescent="0.2">
      <c r="A37" s="17"/>
      <c r="B37" s="80"/>
      <c r="C37" s="80" t="s">
        <v>83</v>
      </c>
      <c r="D37" s="80" t="s">
        <v>17</v>
      </c>
      <c r="E37" s="80" t="s">
        <v>66</v>
      </c>
    </row>
    <row r="38" spans="1:6" x14ac:dyDescent="0.2">
      <c r="B38" s="7" t="s">
        <v>20</v>
      </c>
      <c r="C38" s="43">
        <f>-(C23*450-340)</f>
        <v>340</v>
      </c>
      <c r="D38" s="81">
        <v>9429</v>
      </c>
      <c r="E38" s="66">
        <f>(C38/1000)*D38*$C$36</f>
        <v>961758</v>
      </c>
    </row>
    <row r="39" spans="1:6" s="20" customFormat="1" x14ac:dyDescent="0.2">
      <c r="A39" s="17"/>
      <c r="B39" s="7" t="s">
        <v>55</v>
      </c>
      <c r="C39" s="43">
        <f>-(340-136)</f>
        <v>-204</v>
      </c>
      <c r="D39" s="23">
        <f>IF(C24=I24,0,D38*C25*(2029-C24)/4)</f>
        <v>0</v>
      </c>
      <c r="E39" s="49">
        <f>(C39/1000)*D39*$C$36</f>
        <v>0</v>
      </c>
    </row>
    <row r="40" spans="1:6" s="40" customFormat="1" x14ac:dyDescent="0.2">
      <c r="A40" s="41"/>
      <c r="B40" s="42" t="s">
        <v>57</v>
      </c>
      <c r="C40" s="43">
        <f>IF(C26=I26,-70,0)</f>
        <v>0</v>
      </c>
      <c r="D40" s="82">
        <f>D38</f>
        <v>9429</v>
      </c>
      <c r="E40" s="66">
        <f>(C40/1000)*D40*$C$36</f>
        <v>0</v>
      </c>
    </row>
    <row r="41" spans="1:6" s="20" customFormat="1" x14ac:dyDescent="0.2">
      <c r="A41" s="17"/>
      <c r="B41" s="7" t="s">
        <v>72</v>
      </c>
      <c r="C41" s="43">
        <f>(C30*C33+D30*D33+E30*E33)</f>
        <v>11.700000000000001</v>
      </c>
      <c r="D41" s="82">
        <f>D38</f>
        <v>9429</v>
      </c>
      <c r="E41" s="66">
        <f>(C41/1000)*D41*$C$36</f>
        <v>33095.79</v>
      </c>
    </row>
    <row r="42" spans="1:6" s="20" customFormat="1" x14ac:dyDescent="0.2">
      <c r="A42" s="17"/>
      <c r="B42" s="25" t="s">
        <v>71</v>
      </c>
      <c r="C42" s="67"/>
      <c r="D42" s="68"/>
      <c r="E42" s="69">
        <f>SUM(E38:E41)</f>
        <v>994853.79</v>
      </c>
      <c r="F42" s="70"/>
    </row>
    <row r="43" spans="1:6" s="20" customFormat="1" x14ac:dyDescent="0.2">
      <c r="A43" s="17"/>
      <c r="B43" s="7"/>
      <c r="C43" s="63"/>
      <c r="D43" s="63"/>
      <c r="E43" s="63"/>
    </row>
    <row r="44" spans="1:6" s="20" customFormat="1" x14ac:dyDescent="0.2">
      <c r="A44" s="17"/>
      <c r="B44" s="7"/>
      <c r="C44" s="63"/>
      <c r="D44" s="63"/>
      <c r="E44" s="63"/>
    </row>
    <row r="45" spans="1:6" s="20" customFormat="1" x14ac:dyDescent="0.2">
      <c r="A45" s="17"/>
      <c r="B45" s="83" t="s">
        <v>23</v>
      </c>
      <c r="C45" s="71">
        <f>E42*4</f>
        <v>3979415.16</v>
      </c>
      <c r="D45" s="63"/>
      <c r="E45" s="63"/>
    </row>
    <row r="46" spans="1:6" x14ac:dyDescent="0.2">
      <c r="B46" s="76"/>
      <c r="C46" s="76"/>
      <c r="D46" s="76"/>
      <c r="E46" s="78"/>
    </row>
    <row r="47" spans="1:6" s="20" customFormat="1" x14ac:dyDescent="0.2">
      <c r="A47" s="17"/>
      <c r="B47" s="18" t="s">
        <v>59</v>
      </c>
      <c r="C47" s="19"/>
      <c r="D47" s="19"/>
      <c r="E47" s="19"/>
    </row>
    <row r="48" spans="1:6" x14ac:dyDescent="0.2">
      <c r="B48" s="76"/>
      <c r="C48" s="76"/>
      <c r="D48" s="80" t="s">
        <v>17</v>
      </c>
      <c r="E48" s="80" t="s">
        <v>18</v>
      </c>
    </row>
    <row r="49" spans="1:5" x14ac:dyDescent="0.2">
      <c r="B49" s="10" t="s">
        <v>84</v>
      </c>
      <c r="C49" s="22"/>
      <c r="D49" s="81">
        <f>$D$38</f>
        <v>9429</v>
      </c>
      <c r="E49" s="72">
        <f>C49*D49</f>
        <v>0</v>
      </c>
    </row>
    <row r="50" spans="1:5" x14ac:dyDescent="0.2">
      <c r="B50" s="10" t="s">
        <v>29</v>
      </c>
      <c r="C50" s="22"/>
      <c r="D50" s="81">
        <f t="shared" ref="D50:D51" si="0">$D$38</f>
        <v>9429</v>
      </c>
      <c r="E50" s="72">
        <f>C50*D50</f>
        <v>0</v>
      </c>
    </row>
    <row r="51" spans="1:5" ht="24" x14ac:dyDescent="0.2">
      <c r="B51" s="10" t="s">
        <v>19</v>
      </c>
      <c r="C51" s="22"/>
      <c r="D51" s="81">
        <f t="shared" si="0"/>
        <v>9429</v>
      </c>
      <c r="E51" s="72">
        <f>C51*D51</f>
        <v>0</v>
      </c>
    </row>
    <row r="52" spans="1:5" x14ac:dyDescent="0.2">
      <c r="B52" s="10" t="s">
        <v>85</v>
      </c>
      <c r="C52" s="22"/>
      <c r="D52" s="81">
        <v>2311</v>
      </c>
      <c r="E52" s="72">
        <f t="shared" ref="E52" si="1">C52*D52</f>
        <v>0</v>
      </c>
    </row>
    <row r="53" spans="1:5" x14ac:dyDescent="0.2">
      <c r="B53" s="25" t="s">
        <v>87</v>
      </c>
      <c r="C53" s="67"/>
      <c r="D53" s="68"/>
      <c r="E53" s="73">
        <f>SUM(E49:E52)*4</f>
        <v>0</v>
      </c>
    </row>
    <row r="54" spans="1:5" x14ac:dyDescent="0.2">
      <c r="B54" s="78"/>
      <c r="C54" s="74"/>
      <c r="D54" s="81"/>
      <c r="E54" s="72"/>
    </row>
    <row r="55" spans="1:5" x14ac:dyDescent="0.2">
      <c r="B55" s="10" t="s">
        <v>30</v>
      </c>
      <c r="C55" s="87">
        <v>0</v>
      </c>
      <c r="D55" s="81">
        <f t="shared" ref="D55:D58" si="2">$D$38</f>
        <v>9429</v>
      </c>
      <c r="E55" s="72">
        <f>C55*D55</f>
        <v>0</v>
      </c>
    </row>
    <row r="56" spans="1:5" x14ac:dyDescent="0.2">
      <c r="B56" s="7" t="s">
        <v>21</v>
      </c>
      <c r="C56" s="88">
        <v>1.77</v>
      </c>
      <c r="D56" s="81">
        <f t="shared" si="2"/>
        <v>9429</v>
      </c>
      <c r="E56" s="72">
        <f>C56*D56</f>
        <v>16689.330000000002</v>
      </c>
    </row>
    <row r="57" spans="1:5" x14ac:dyDescent="0.2">
      <c r="B57" s="7" t="s">
        <v>22</v>
      </c>
      <c r="C57" s="88">
        <v>5.0999999999999996</v>
      </c>
      <c r="D57" s="81">
        <f t="shared" si="2"/>
        <v>9429</v>
      </c>
      <c r="E57" s="72">
        <f>C57*D57</f>
        <v>48087.899999999994</v>
      </c>
    </row>
    <row r="58" spans="1:5" x14ac:dyDescent="0.2">
      <c r="B58" s="7" t="s">
        <v>31</v>
      </c>
      <c r="C58" s="88">
        <v>9.14</v>
      </c>
      <c r="D58" s="81">
        <f t="shared" si="2"/>
        <v>9429</v>
      </c>
      <c r="E58" s="72">
        <f>C58*D58</f>
        <v>86181.060000000012</v>
      </c>
    </row>
    <row r="59" spans="1:5" x14ac:dyDescent="0.2">
      <c r="B59" s="25" t="s">
        <v>86</v>
      </c>
      <c r="C59" s="81"/>
      <c r="D59" s="84"/>
      <c r="E59" s="73">
        <f>SUM(E55:E58)</f>
        <v>150958.29</v>
      </c>
    </row>
    <row r="60" spans="1:5" x14ac:dyDescent="0.2">
      <c r="B60" s="1"/>
      <c r="C60" s="1"/>
      <c r="D60" s="78"/>
      <c r="E60" s="1"/>
    </row>
    <row r="61" spans="1:5" s="20" customFormat="1" x14ac:dyDescent="0.2">
      <c r="A61" s="17"/>
      <c r="B61" s="83" t="s">
        <v>23</v>
      </c>
      <c r="C61" s="71">
        <f>E53+E59</f>
        <v>150958.29</v>
      </c>
      <c r="D61" s="63"/>
      <c r="E61" s="63"/>
    </row>
    <row r="62" spans="1:5" s="20" customFormat="1" x14ac:dyDescent="0.2">
      <c r="A62" s="17"/>
      <c r="B62" s="63"/>
      <c r="C62" s="63"/>
      <c r="D62" s="63"/>
      <c r="E62" s="63"/>
    </row>
    <row r="63" spans="1:5" s="20" customFormat="1" x14ac:dyDescent="0.2">
      <c r="A63" s="17"/>
      <c r="B63" s="18" t="s">
        <v>56</v>
      </c>
      <c r="C63" s="19"/>
      <c r="D63" s="19"/>
      <c r="E63" s="19"/>
    </row>
    <row r="64" spans="1:5" s="20" customFormat="1" x14ac:dyDescent="0.2">
      <c r="A64" s="17"/>
      <c r="B64" s="63"/>
      <c r="C64" s="63"/>
      <c r="D64" s="63"/>
      <c r="E64" s="63"/>
    </row>
    <row r="65" spans="1:5" s="20" customFormat="1" x14ac:dyDescent="0.2">
      <c r="A65" s="17"/>
      <c r="B65" s="7" t="s">
        <v>79</v>
      </c>
      <c r="C65" s="75">
        <f>C45/D49/4</f>
        <v>105.51</v>
      </c>
      <c r="D65" s="63"/>
      <c r="E65" s="63"/>
    </row>
    <row r="66" spans="1:5" s="20" customFormat="1" x14ac:dyDescent="0.2">
      <c r="A66" s="17"/>
      <c r="B66" s="7" t="s">
        <v>80</v>
      </c>
      <c r="C66" s="75">
        <f>C61/D51/4</f>
        <v>4.0025000000000004</v>
      </c>
      <c r="D66" s="63"/>
      <c r="E66" s="63"/>
    </row>
    <row r="67" spans="1:5" s="20" customFormat="1" x14ac:dyDescent="0.2">
      <c r="A67" s="17"/>
      <c r="B67" s="7" t="s">
        <v>81</v>
      </c>
      <c r="C67" s="75">
        <f>C65+C66</f>
        <v>109.5125</v>
      </c>
      <c r="D67" s="63"/>
      <c r="E67" s="63"/>
    </row>
    <row r="68" spans="1:5" s="20" customFormat="1" x14ac:dyDescent="0.2">
      <c r="A68" s="17"/>
      <c r="B68" s="63"/>
      <c r="C68" s="63"/>
      <c r="D68" s="63"/>
      <c r="E68" s="63"/>
    </row>
    <row r="69" spans="1:5" x14ac:dyDescent="0.2">
      <c r="B69" s="79"/>
      <c r="C69" s="76"/>
      <c r="D69" s="76"/>
      <c r="E69" s="78"/>
    </row>
    <row r="70" spans="1:5" x14ac:dyDescent="0.2">
      <c r="B70" s="79"/>
      <c r="C70" s="76"/>
      <c r="D70" s="76"/>
      <c r="E70" s="78"/>
    </row>
    <row r="71" spans="1:5" x14ac:dyDescent="0.2">
      <c r="B71" s="79"/>
      <c r="C71" s="76"/>
      <c r="D71" s="76"/>
      <c r="E71" s="78"/>
    </row>
    <row r="72" spans="1:5" x14ac:dyDescent="0.2">
      <c r="B72" s="79"/>
      <c r="C72" s="76"/>
      <c r="D72" s="76"/>
      <c r="E72" s="78"/>
    </row>
    <row r="73" spans="1:5" x14ac:dyDescent="0.2">
      <c r="B73" s="79"/>
      <c r="C73" s="76"/>
      <c r="D73" s="76"/>
      <c r="E73" s="78"/>
    </row>
    <row r="74" spans="1:5" x14ac:dyDescent="0.2">
      <c r="B74" s="79"/>
      <c r="C74" s="76"/>
      <c r="D74" s="76"/>
      <c r="E74" s="78"/>
    </row>
    <row r="75" spans="1:5" x14ac:dyDescent="0.2">
      <c r="B75" s="79"/>
      <c r="C75" s="76"/>
      <c r="D75" s="76"/>
      <c r="E75" s="78"/>
    </row>
    <row r="76" spans="1:5" x14ac:dyDescent="0.2">
      <c r="B76" s="79"/>
      <c r="C76" s="1" t="s">
        <v>1</v>
      </c>
      <c r="D76" s="33" t="s">
        <v>24</v>
      </c>
      <c r="E76" s="1"/>
    </row>
    <row r="77" spans="1:5" x14ac:dyDescent="0.2">
      <c r="B77" s="79"/>
      <c r="C77" s="1" t="s">
        <v>25</v>
      </c>
      <c r="D77" s="33" t="s">
        <v>24</v>
      </c>
      <c r="E77" s="1"/>
    </row>
    <row r="78" spans="1:5" x14ac:dyDescent="0.2">
      <c r="B78" s="79"/>
      <c r="C78" s="1" t="s">
        <v>26</v>
      </c>
      <c r="D78" s="33" t="s">
        <v>24</v>
      </c>
      <c r="E78" s="1"/>
    </row>
    <row r="79" spans="1:5" x14ac:dyDescent="0.2">
      <c r="B79" s="79"/>
      <c r="C79" s="1" t="s">
        <v>27</v>
      </c>
      <c r="D79" s="33" t="s">
        <v>24</v>
      </c>
      <c r="E79" s="1"/>
    </row>
    <row r="80" spans="1:5" ht="14.45" customHeight="1" x14ac:dyDescent="0.2">
      <c r="B80" s="79"/>
      <c r="D80" s="120" t="s">
        <v>24</v>
      </c>
      <c r="E80" s="1"/>
    </row>
    <row r="81" spans="2:5" x14ac:dyDescent="0.2">
      <c r="B81" s="79"/>
      <c r="C81" s="1" t="s">
        <v>28</v>
      </c>
      <c r="D81" s="123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8" spans="2:5" x14ac:dyDescent="0.2">
      <c r="C88" s="34"/>
    </row>
    <row r="89" spans="2:5" x14ac:dyDescent="0.2">
      <c r="C89" s="34"/>
    </row>
    <row r="90" spans="2:5" x14ac:dyDescent="0.2">
      <c r="C90" s="34"/>
    </row>
    <row r="91" spans="2:5" x14ac:dyDescent="0.2">
      <c r="C91" s="34"/>
    </row>
    <row r="92" spans="2:5" x14ac:dyDescent="0.2">
      <c r="C92" s="34"/>
    </row>
    <row r="93" spans="2:5" x14ac:dyDescent="0.2">
      <c r="C93" s="34"/>
    </row>
    <row r="94" spans="2:5" x14ac:dyDescent="0.2">
      <c r="C94" s="34"/>
    </row>
  </sheetData>
  <sheetProtection algorithmName="SHA-512" hashValue="gORGsEOaDoTkhwJyXOEoWYKLMLXVpchBFqZDtISu4k2Hhhbki+WmcJoUV/DvBzjOTaddL4NisIYrAqhx/QLgxw==" saltValue="dJBvN48giGZFbQ5O25CQkw==" spinCount="100000" sheet="1" objects="1" scenarios="1"/>
  <protectedRanges>
    <protectedRange sqref="I19 F13:I13 F4:I5 F18:I18" name="inschrijver naam"/>
  </protectedRanges>
  <mergeCells count="4">
    <mergeCell ref="D80:D81"/>
    <mergeCell ref="B15:C15"/>
    <mergeCell ref="C16:D16"/>
    <mergeCell ref="C20:D20"/>
  </mergeCells>
  <conditionalFormatting sqref="B22:C22">
    <cfRule type="expression" dxfId="1" priority="2">
      <formula>$C$16="Nee"</formula>
    </cfRule>
  </conditionalFormatting>
  <conditionalFormatting sqref="C25">
    <cfRule type="expression" dxfId="0" priority="1">
      <formula>$C$24="N.v.t."</formula>
    </cfRule>
  </conditionalFormatting>
  <dataValidations count="2">
    <dataValidation type="list" allowBlank="1" showInputMessage="1" showErrorMessage="1" sqref="C26" xr:uid="{B46CE8E6-E24C-4326-BC90-23CE4EFBC672}">
      <formula1>$I$26:$J$26</formula1>
    </dataValidation>
    <dataValidation type="list" allowBlank="1" showInputMessage="1" showErrorMessage="1" sqref="C24" xr:uid="{1F0170DE-0D28-4C61-86CE-265F680F5278}">
      <formula1>$I$24:$M$24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F8292E-254F-4116-966B-1EB29EC29362}">
          <x14:formula1>
            <xm:f>Blad2!$A$2:$A$16</xm:f>
          </x14:formula1>
          <xm:sqref>C32:D32</xm:sqref>
        </x14:dataValidation>
        <x14:dataValidation type="list" allowBlank="1" showInputMessage="1" showErrorMessage="1" xr:uid="{7835C2CB-46E2-42A8-B5CF-A7CB8BAFCE71}">
          <x14:formula1>
            <xm:f>Blad2!$B$1:$D$1</xm:f>
          </x14:formula1>
          <xm:sqref>C31:D31</xm:sqref>
        </x14:dataValidation>
        <x14:dataValidation type="list" allowBlank="1" showInputMessage="1" showErrorMessage="1" xr:uid="{4BC0B5EE-6705-46CC-9DCB-0E15CB867F2B}">
          <x14:formula1>
            <xm:f>Blad2!$A$18:$A$20</xm:f>
          </x14:formula1>
          <xm:sqref>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6A9A-9C1F-4803-A163-C55AD3120B5D}">
  <dimension ref="A1:D20"/>
  <sheetViews>
    <sheetView workbookViewId="0">
      <selection activeCell="B22" sqref="B22"/>
    </sheetView>
  </sheetViews>
  <sheetFormatPr defaultRowHeight="15" x14ac:dyDescent="0.25"/>
  <cols>
    <col min="1" max="1" width="18.5703125" customWidth="1"/>
    <col min="2" max="4" width="26.140625" customWidth="1"/>
  </cols>
  <sheetData>
    <row r="1" spans="1:4" ht="24" x14ac:dyDescent="0.25">
      <c r="A1" s="35" t="s">
        <v>32</v>
      </c>
      <c r="B1" s="35" t="s">
        <v>33</v>
      </c>
      <c r="C1" s="35" t="s">
        <v>34</v>
      </c>
      <c r="D1" s="35" t="s">
        <v>35</v>
      </c>
    </row>
    <row r="2" spans="1:4" ht="15.75" thickBot="1" x14ac:dyDescent="0.3">
      <c r="A2" s="36" t="s">
        <v>36</v>
      </c>
      <c r="B2" s="36">
        <v>0.11700000000000001</v>
      </c>
      <c r="C2" s="36">
        <v>0.10199999999999999</v>
      </c>
      <c r="D2" s="36">
        <v>9.2999999999999999E-2</v>
      </c>
    </row>
    <row r="3" spans="1:4" ht="15.75" thickBot="1" x14ac:dyDescent="0.3">
      <c r="A3" s="36" t="s">
        <v>37</v>
      </c>
      <c r="B3" s="36">
        <v>0.112</v>
      </c>
      <c r="C3" s="36">
        <v>9.8000000000000004E-2</v>
      </c>
      <c r="D3" s="36">
        <v>8.8999999999999996E-2</v>
      </c>
    </row>
    <row r="4" spans="1:4" ht="15.75" thickBot="1" x14ac:dyDescent="0.3">
      <c r="A4" s="36" t="s">
        <v>38</v>
      </c>
      <c r="B4" s="36">
        <v>0.10199999999999999</v>
      </c>
      <c r="C4" s="36">
        <v>8.8999999999999996E-2</v>
      </c>
      <c r="D4" s="36">
        <v>8.1000000000000003E-2</v>
      </c>
    </row>
    <row r="5" spans="1:4" ht="15.75" thickBot="1" x14ac:dyDescent="0.3">
      <c r="A5" s="36" t="s">
        <v>39</v>
      </c>
      <c r="B5" s="36">
        <v>9.5000000000000001E-2</v>
      </c>
      <c r="C5" s="36">
        <v>8.3000000000000004E-2</v>
      </c>
      <c r="D5" s="36">
        <v>7.4999999999999997E-2</v>
      </c>
    </row>
    <row r="6" spans="1:4" ht="24.75" thickBot="1" x14ac:dyDescent="0.3">
      <c r="A6" s="36" t="s">
        <v>40</v>
      </c>
      <c r="B6" s="36">
        <v>9.1999999999999998E-2</v>
      </c>
      <c r="C6" s="36">
        <v>8.1000000000000003E-2</v>
      </c>
      <c r="D6" s="36">
        <v>7.2999999999999995E-2</v>
      </c>
    </row>
    <row r="7" spans="1:4" ht="15.75" thickBot="1" x14ac:dyDescent="0.3">
      <c r="A7" s="36" t="s">
        <v>41</v>
      </c>
      <c r="B7" s="36">
        <v>0.09</v>
      </c>
      <c r="C7" s="36">
        <v>7.9000000000000001E-2</v>
      </c>
      <c r="D7" s="36">
        <v>7.1999999999999995E-2</v>
      </c>
    </row>
    <row r="8" spans="1:4" ht="15.75" thickBot="1" x14ac:dyDescent="0.3">
      <c r="A8" s="36" t="s">
        <v>42</v>
      </c>
      <c r="B8" s="36">
        <v>7.3999999999999996E-2</v>
      </c>
      <c r="C8" s="36">
        <v>6.5000000000000002E-2</v>
      </c>
      <c r="D8" s="36">
        <v>5.8999999999999997E-2</v>
      </c>
    </row>
    <row r="9" spans="1:4" ht="15.75" thickBot="1" x14ac:dyDescent="0.3">
      <c r="A9" s="36" t="s">
        <v>43</v>
      </c>
      <c r="B9" s="36">
        <v>3.5000000000000003E-2</v>
      </c>
      <c r="C9" s="36">
        <v>3.1E-2</v>
      </c>
      <c r="D9" s="36">
        <v>2.8000000000000001E-2</v>
      </c>
    </row>
    <row r="10" spans="1:4" ht="15.75" thickBot="1" x14ac:dyDescent="0.3">
      <c r="A10" s="36" t="s">
        <v>44</v>
      </c>
      <c r="B10" s="36">
        <v>3.5000000000000003E-2</v>
      </c>
      <c r="C10" s="36">
        <v>3.1E-2</v>
      </c>
      <c r="D10" s="36">
        <v>2.8000000000000001E-2</v>
      </c>
    </row>
    <row r="11" spans="1:4" ht="24.75" thickBot="1" x14ac:dyDescent="0.3">
      <c r="A11" s="36" t="s">
        <v>45</v>
      </c>
      <c r="B11" s="36">
        <v>3.4000000000000002E-2</v>
      </c>
      <c r="C11" s="36">
        <v>0.03</v>
      </c>
      <c r="D11" s="36">
        <v>2.7E-2</v>
      </c>
    </row>
    <row r="12" spans="1:4" ht="36.75" thickBot="1" x14ac:dyDescent="0.3">
      <c r="A12" s="36" t="s">
        <v>46</v>
      </c>
      <c r="B12" s="36">
        <v>3.1E-2</v>
      </c>
      <c r="C12" s="36">
        <v>2.7E-2</v>
      </c>
      <c r="D12" s="36">
        <v>2.4E-2</v>
      </c>
    </row>
    <row r="13" spans="1:4" ht="15.75" thickBot="1" x14ac:dyDescent="0.3">
      <c r="A13" s="36" t="s">
        <v>47</v>
      </c>
      <c r="B13" s="36">
        <v>2.5999999999999999E-2</v>
      </c>
      <c r="C13" s="36">
        <v>2.1999999999999999E-2</v>
      </c>
      <c r="D13" s="36">
        <v>0.02</v>
      </c>
    </row>
    <row r="14" spans="1:4" ht="24.75" thickBot="1" x14ac:dyDescent="0.3">
      <c r="A14" s="36" t="s">
        <v>48</v>
      </c>
      <c r="B14" s="36">
        <v>0.01</v>
      </c>
      <c r="C14" s="36">
        <v>8.0000000000000002E-3</v>
      </c>
      <c r="D14" s="36">
        <v>8.0000000000000002E-3</v>
      </c>
    </row>
    <row r="15" spans="1:4" ht="24.75" thickBot="1" x14ac:dyDescent="0.3">
      <c r="A15" s="36" t="s">
        <v>49</v>
      </c>
      <c r="B15" s="36">
        <v>4.0000000000000001E-3</v>
      </c>
      <c r="C15" s="36">
        <v>4.0000000000000001E-3</v>
      </c>
      <c r="D15" s="36">
        <v>3.0000000000000001E-3</v>
      </c>
    </row>
    <row r="16" spans="1:4" ht="15.75" thickBot="1" x14ac:dyDescent="0.3">
      <c r="A16" s="37" t="s">
        <v>50</v>
      </c>
      <c r="B16" s="37">
        <v>0</v>
      </c>
      <c r="C16" s="37">
        <v>0</v>
      </c>
      <c r="D16" s="37">
        <v>0</v>
      </c>
    </row>
    <row r="17" spans="1:2" ht="16.5" thickTop="1" thickBot="1" x14ac:dyDescent="0.3">
      <c r="A17" s="38"/>
    </row>
    <row r="18" spans="1:2" ht="16.5" thickTop="1" thickBot="1" x14ac:dyDescent="0.3">
      <c r="A18" s="39" t="s">
        <v>51</v>
      </c>
      <c r="B18" s="39">
        <v>0.03</v>
      </c>
    </row>
    <row r="19" spans="1:2" ht="15.75" thickBot="1" x14ac:dyDescent="0.3">
      <c r="A19" s="37" t="s">
        <v>52</v>
      </c>
      <c r="B19" s="37">
        <v>1.6E-2</v>
      </c>
    </row>
    <row r="20" spans="1:2" ht="16.5" thickTop="1" thickBot="1" x14ac:dyDescent="0.3">
      <c r="A20" s="36" t="s">
        <v>53</v>
      </c>
      <c r="B20" s="36">
        <v>3.4000000000000002E-2</v>
      </c>
    </row>
  </sheetData>
  <sheetProtection algorithmName="SHA-512" hashValue="zG0OHQgc86ZJ4R8g3UUoatfVLBtD3RRHPeFaNfCcAyc03cLzyQHoDlSPjTRwq5IcsC8uII0EKug1GZRTJomZpg==" saltValue="aQ6H8wHXN04ZADZ4D5gDg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2" ma:contentTypeDescription="Een nieuw document maken." ma:contentTypeScope="" ma:versionID="4c845bbe8f1cd25154928ff118b5c324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269e5b661768280e2d12197a3edd3efb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fbce7-7457-4077-8822-5fd466340b0b">
      <Terms xmlns="http://schemas.microsoft.com/office/infopath/2007/PartnerControls"/>
    </lcf76f155ced4ddcb4097134ff3c332f>
    <TaxCatchAll xmlns="4f35b267-bd6d-4640-8cf6-c0951f2bf4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8025D4-F2A8-44E6-8582-78C540A73E13}"/>
</file>

<file path=customXml/itemProps2.xml><?xml version="1.0" encoding="utf-8"?>
<ds:datastoreItem xmlns:ds="http://schemas.openxmlformats.org/officeDocument/2006/customXml" ds:itemID="{22307EC3-FDA5-4FE4-B1D7-B954B1D59FA4}">
  <ds:schemaRefs>
    <ds:schemaRef ds:uri="http://schemas.microsoft.com/office/2006/metadata/properties"/>
    <ds:schemaRef ds:uri="http://schemas.microsoft.com/office/infopath/2007/PartnerControls"/>
    <ds:schemaRef ds:uri="cd9feb7e-7f50-4edf-a2fc-fda3a37de6d4"/>
    <ds:schemaRef ds:uri="1a6b20c8-2a7c-4c18-977c-a22f67789b66"/>
  </ds:schemaRefs>
</ds:datastoreItem>
</file>

<file path=customXml/itemProps3.xml><?xml version="1.0" encoding="utf-8"?>
<ds:datastoreItem xmlns:ds="http://schemas.openxmlformats.org/officeDocument/2006/customXml" ds:itemID="{F10BCAFC-A96B-41EC-9CC2-26B34A31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fijn huishoudelijk  (Arnhem)</vt:lpstr>
      <vt:lpstr>2. fijn huishoudelijk restafval</vt:lpstr>
      <vt:lpstr>3. grof huishoudelijk restafval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Kamoen | KplusV</dc:creator>
  <cp:lastModifiedBy>Niels Ahsmann | KplusV</cp:lastModifiedBy>
  <dcterms:created xsi:type="dcterms:W3CDTF">2024-04-15T12:50:29Z</dcterms:created>
  <dcterms:modified xsi:type="dcterms:W3CDTF">2024-09-11T09:02:02Z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0x0101007ECC1BBF11B10B43B55EABE43905C56B</vt:lpwstr>
  </property>
  <property fmtid="{D5CDD505-2E9C-101B-9397-08002B2CF9AE}" pid="3" name="MediaServiceImageTags">
    <vt:lpwstr/>
  </property>
</Properties>
</file>