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OB.25 Bouwkundig onderhoud 2025-2028\02. (Voor)aankondiging\Publicatie\Inschrijvingsleidraad met bijlagen\"/>
    </mc:Choice>
  </mc:AlternateContent>
  <xr:revisionPtr revIDLastSave="0" documentId="8_{5D03E644-6FCC-41A0-9518-63D199E93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eeld EMVI" sheetId="4" r:id="rId1"/>
    <sheet name="Norm omgerekend per percee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4" l="1"/>
  <c r="K32" i="4"/>
  <c r="K31" i="4"/>
  <c r="H31" i="4"/>
  <c r="N12" i="4"/>
  <c r="K12" i="4"/>
  <c r="H12" i="4"/>
  <c r="N11" i="4"/>
  <c r="K11" i="4"/>
  <c r="H11" i="4"/>
  <c r="H25" i="4"/>
  <c r="N9" i="4"/>
  <c r="K9" i="4"/>
  <c r="C11" i="4"/>
  <c r="N10" i="4" l="1"/>
  <c r="K10" i="4"/>
  <c r="H10" i="4"/>
  <c r="I41" i="4"/>
  <c r="L41" i="4"/>
  <c r="L39" i="4"/>
  <c r="I39" i="4"/>
  <c r="F41" i="4"/>
  <c r="F39" i="4"/>
  <c r="C40" i="4"/>
  <c r="C38" i="4"/>
  <c r="H24" i="4"/>
  <c r="N25" i="4" l="1"/>
  <c r="N26" i="4" s="1"/>
  <c r="K25" i="4"/>
  <c r="K26" i="4" s="1"/>
  <c r="H26" i="4"/>
  <c r="M18" i="4"/>
  <c r="M19" i="4"/>
  <c r="M20" i="4"/>
  <c r="M21" i="4"/>
  <c r="M17" i="4"/>
  <c r="J18" i="4"/>
  <c r="J19" i="4"/>
  <c r="J20" i="4"/>
  <c r="J21" i="4"/>
  <c r="J17" i="4"/>
  <c r="G18" i="4"/>
  <c r="G19" i="4"/>
  <c r="G20" i="4"/>
  <c r="G21" i="4"/>
  <c r="G17" i="4"/>
  <c r="D21" i="4" l="1"/>
  <c r="D20" i="4"/>
  <c r="N20" i="4" s="1"/>
  <c r="D19" i="4"/>
  <c r="D18" i="4"/>
  <c r="D17" i="4"/>
  <c r="H8" i="7"/>
  <c r="I8" i="7"/>
  <c r="J8" i="7"/>
  <c r="K8" i="7"/>
  <c r="L8" i="7"/>
  <c r="H9" i="7"/>
  <c r="I9" i="7"/>
  <c r="J9" i="7"/>
  <c r="K9" i="7"/>
  <c r="L9" i="7"/>
  <c r="H10" i="7"/>
  <c r="I10" i="7"/>
  <c r="J10" i="7"/>
  <c r="K10" i="7"/>
  <c r="L10" i="7"/>
  <c r="H11" i="7"/>
  <c r="I11" i="7"/>
  <c r="J11" i="7"/>
  <c r="K11" i="7"/>
  <c r="L11" i="7"/>
  <c r="H12" i="7"/>
  <c r="I12" i="7"/>
  <c r="J12" i="7"/>
  <c r="K12" i="7"/>
  <c r="L12" i="7"/>
  <c r="H13" i="7"/>
  <c r="I13" i="7"/>
  <c r="J13" i="7"/>
  <c r="K13" i="7"/>
  <c r="L13" i="7"/>
  <c r="H14" i="7"/>
  <c r="I14" i="7"/>
  <c r="J14" i="7"/>
  <c r="K14" i="7"/>
  <c r="L14" i="7"/>
  <c r="H15" i="7"/>
  <c r="I15" i="7"/>
  <c r="J15" i="7"/>
  <c r="K15" i="7"/>
  <c r="L15" i="7"/>
  <c r="H16" i="7"/>
  <c r="I16" i="7"/>
  <c r="J16" i="7"/>
  <c r="K16" i="7"/>
  <c r="L16" i="7"/>
  <c r="H17" i="7"/>
  <c r="I17" i="7"/>
  <c r="J17" i="7"/>
  <c r="K17" i="7"/>
  <c r="L17" i="7"/>
  <c r="H18" i="7"/>
  <c r="I18" i="7"/>
  <c r="J18" i="7"/>
  <c r="K18" i="7"/>
  <c r="L18" i="7"/>
  <c r="H19" i="7"/>
  <c r="I19" i="7"/>
  <c r="J19" i="7"/>
  <c r="K19" i="7"/>
  <c r="L19" i="7"/>
  <c r="H20" i="7"/>
  <c r="I20" i="7"/>
  <c r="J20" i="7"/>
  <c r="K20" i="7"/>
  <c r="L20" i="7"/>
  <c r="H21" i="7"/>
  <c r="I21" i="7"/>
  <c r="J21" i="7"/>
  <c r="K21" i="7"/>
  <c r="L21" i="7"/>
  <c r="H22" i="7"/>
  <c r="I22" i="7"/>
  <c r="J22" i="7"/>
  <c r="K22" i="7"/>
  <c r="L22" i="7"/>
  <c r="H23" i="7"/>
  <c r="I23" i="7"/>
  <c r="J23" i="7"/>
  <c r="K23" i="7"/>
  <c r="L23" i="7"/>
  <c r="I7" i="7"/>
  <c r="J7" i="7"/>
  <c r="K7" i="7"/>
  <c r="L7" i="7"/>
  <c r="H7" i="7"/>
  <c r="D3" i="4"/>
  <c r="C4" i="4"/>
  <c r="K21" i="4" l="1"/>
  <c r="N18" i="4"/>
  <c r="K20" i="4"/>
  <c r="K17" i="4"/>
  <c r="N21" i="4"/>
  <c r="K19" i="4"/>
  <c r="H18" i="4"/>
  <c r="N19" i="4"/>
  <c r="K18" i="4"/>
  <c r="H17" i="4"/>
  <c r="H20" i="4"/>
  <c r="N17" i="4"/>
  <c r="H21" i="4"/>
  <c r="H19" i="4"/>
  <c r="H9" i="4"/>
  <c r="N41" i="4"/>
  <c r="N39" i="4"/>
  <c r="K41" i="4"/>
  <c r="K39" i="4"/>
  <c r="H41" i="4"/>
  <c r="H39" i="4"/>
  <c r="H22" i="4" l="1"/>
  <c r="K22" i="4"/>
  <c r="K28" i="4" s="1"/>
  <c r="N22" i="4"/>
  <c r="N28" i="4" s="1"/>
  <c r="H28" i="4"/>
  <c r="H43" i="4" l="1"/>
  <c r="K43" i="4" l="1"/>
  <c r="N43" i="4"/>
  <c r="H29" i="4" l="1"/>
  <c r="N29" i="4" l="1"/>
  <c r="K29" i="4"/>
  <c r="H32" i="4" l="1"/>
  <c r="H45" i="4" s="1"/>
  <c r="N32" i="4"/>
  <c r="N45" i="4" s="1"/>
  <c r="K45" i="4"/>
</calcChain>
</file>

<file path=xl/sharedStrings.xml><?xml version="1.0" encoding="utf-8"?>
<sst xmlns="http://schemas.openxmlformats.org/spreadsheetml/2006/main" count="150" uniqueCount="91">
  <si>
    <t>(eenmalig)</t>
  </si>
  <si>
    <t>Inschrijvingsbiljet B</t>
  </si>
  <si>
    <t>Inschrijver A</t>
  </si>
  <si>
    <t>Inschrijver B</t>
  </si>
  <si>
    <t>Inschrijver C</t>
  </si>
  <si>
    <t>Kwaliteit</t>
  </si>
  <si>
    <t>Eenmalige transitievergoeding</t>
  </si>
  <si>
    <t>maximale EMVI korting per m2</t>
  </si>
  <si>
    <t>cijfer</t>
  </si>
  <si>
    <t>meerwaarde%</t>
  </si>
  <si>
    <t>korting per m2</t>
  </si>
  <si>
    <t>In dit voorbeeld heeft inschrijver B de economisch meest voordelige inschrijving ingediend.</t>
  </si>
  <si>
    <t>factor 1</t>
  </si>
  <si>
    <t>FICTIEVE INSCHRIJVINGSSOM</t>
  </si>
  <si>
    <t>EVALUATIEPRIJS  (P-K)</t>
  </si>
  <si>
    <t>Prijs vaste deel per BVO m2</t>
  </si>
  <si>
    <t>Prijs variabele deel per BVO m2</t>
  </si>
  <si>
    <t xml:space="preserve">totaal verrekenprijzen </t>
  </si>
  <si>
    <t xml:space="preserve">VOORBEELD BEREKENING EMVI - BPKV, perceel fictief                        </t>
  </si>
  <si>
    <t>Aantal m2 BVO</t>
  </si>
  <si>
    <t>factor 0,25</t>
  </si>
  <si>
    <t xml:space="preserve">tarieven </t>
  </si>
  <si>
    <t>tariefgroep 1</t>
  </si>
  <si>
    <t>tariefgroep 2</t>
  </si>
  <si>
    <t>tariefgroep 3</t>
  </si>
  <si>
    <t>tariefgroep 4</t>
  </si>
  <si>
    <t>tariefgroep 5</t>
  </si>
  <si>
    <t>binnen kantoortijden</t>
  </si>
  <si>
    <t>buiten kantoortijden</t>
  </si>
  <si>
    <t>totaal</t>
  </si>
  <si>
    <t>totaal te behalen</t>
  </si>
  <si>
    <t xml:space="preserve">vastgestelde norm  bij 100.000 m2BV           </t>
  </si>
  <si>
    <t>Norm bij 100.000 m2 BVO</t>
  </si>
  <si>
    <t>Norm omgerekend</t>
  </si>
  <si>
    <t xml:space="preserve">Perceelnr. </t>
  </si>
  <si>
    <t>RVB regio</t>
  </si>
  <si>
    <t>Locaties o.a.</t>
  </si>
  <si>
    <t>Tariefgroep 1</t>
  </si>
  <si>
    <t>Tariefgroep 2</t>
  </si>
  <si>
    <t>Tariefgroep 3</t>
  </si>
  <si>
    <t>Tariefgroep 4</t>
  </si>
  <si>
    <t>Tariefgroep 5</t>
  </si>
  <si>
    <t>Norm</t>
  </si>
  <si>
    <t>OB.25.101</t>
  </si>
  <si>
    <t>OB.25.102</t>
  </si>
  <si>
    <t>OB.25.103</t>
  </si>
  <si>
    <t>OB.25.104</t>
  </si>
  <si>
    <t>OB.25.105</t>
  </si>
  <si>
    <t>OB.25.106</t>
  </si>
  <si>
    <t>OB.25.107</t>
  </si>
  <si>
    <t>OB.25.108</t>
  </si>
  <si>
    <t>OB.25.109</t>
  </si>
  <si>
    <t>OB.25.110</t>
  </si>
  <si>
    <t>OB.25.111</t>
  </si>
  <si>
    <t>OB.25.112</t>
  </si>
  <si>
    <t>OB.25.113</t>
  </si>
  <si>
    <t>OB.25.114</t>
  </si>
  <si>
    <t>OB.25.115</t>
  </si>
  <si>
    <t>OB.25.116</t>
  </si>
  <si>
    <t>OB.25.117</t>
  </si>
  <si>
    <t>Friesland</t>
  </si>
  <si>
    <t>Groningen, Drenthe</t>
  </si>
  <si>
    <t>Noord-Holland</t>
  </si>
  <si>
    <t>Utrecht</t>
  </si>
  <si>
    <t>Flevoland, Gelderland, Overijssel</t>
  </si>
  <si>
    <t>Den Haag 1</t>
  </si>
  <si>
    <t>Den Haag 2</t>
  </si>
  <si>
    <t xml:space="preserve">Zuid-Holland </t>
  </si>
  <si>
    <t>Zeeland</t>
  </si>
  <si>
    <t>Noord-Brabant, Limburg</t>
  </si>
  <si>
    <t>Basisnorm alle percelen                                                                             100.000 m2</t>
  </si>
  <si>
    <t xml:space="preserve">Tabel norm omgerekend per perceel </t>
  </si>
  <si>
    <t>BOEI-inspectie</t>
  </si>
  <si>
    <t>admin. Contractvergoeding</t>
  </si>
  <si>
    <t>operationeel overleg</t>
  </si>
  <si>
    <t>prijs voor eenheid</t>
  </si>
  <si>
    <r>
      <t>FICTIEVE INSCHRIJVINGSSOM PER M2 BVO (</t>
    </r>
    <r>
      <rPr>
        <b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)</t>
    </r>
  </si>
  <si>
    <r>
      <t>TOTALE KWALITEITSWAARDE (</t>
    </r>
    <r>
      <rPr>
        <b/>
        <sz val="10"/>
        <color theme="1"/>
        <rFont val="Calibri"/>
        <family val="2"/>
        <scheme val="minor"/>
      </rPr>
      <t>K)</t>
    </r>
  </si>
  <si>
    <t>vaste eenheid</t>
  </si>
  <si>
    <t>Score van 1-4</t>
  </si>
  <si>
    <t>Prijs variabele deel (VERREKENPRIJZEN) per BVO m2</t>
  </si>
  <si>
    <t>Wettelijke verplichtingen CBL</t>
  </si>
  <si>
    <t>Factor 1</t>
  </si>
  <si>
    <t>Vloeistofdichtevloeren</t>
  </si>
  <si>
    <t>Perceel</t>
  </si>
  <si>
    <t>Objecten totaal</t>
  </si>
  <si>
    <t>Niet van toepasing</t>
  </si>
  <si>
    <t>Wel van toepassing</t>
  </si>
  <si>
    <r>
      <t xml:space="preserve">perceel                                                               </t>
    </r>
    <r>
      <rPr>
        <sz val="10"/>
        <rFont val="Calibri"/>
        <family val="2"/>
        <scheme val="minor"/>
      </rPr>
      <t xml:space="preserve"> (keuzemenu)</t>
    </r>
  </si>
  <si>
    <t>factor 0,9/0,1</t>
  </si>
  <si>
    <t>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</si>
</sst>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3" fontId="0" fillId="0" borderId="0" xfId="0" applyNumberFormat="1"/>
    <xf numFmtId="0" fontId="3" fillId="0" borderId="0" xfId="0" applyFont="1"/>
    <xf numFmtId="0" fontId="3" fillId="0" borderId="0" xfId="0" applyFont="1" applyBorder="1"/>
    <xf numFmtId="1" fontId="3" fillId="0" borderId="0" xfId="0" applyNumberFormat="1" applyFont="1"/>
    <xf numFmtId="0" fontId="3" fillId="4" borderId="0" xfId="0" applyFont="1" applyFill="1"/>
    <xf numFmtId="2" fontId="3" fillId="0" borderId="0" xfId="0" applyNumberFormat="1" applyFont="1"/>
    <xf numFmtId="0" fontId="2" fillId="6" borderId="0" xfId="0" applyFont="1" applyFill="1"/>
    <xf numFmtId="0" fontId="0" fillId="3" borderId="0" xfId="0" applyFill="1"/>
    <xf numFmtId="44" fontId="3" fillId="3" borderId="0" xfId="1" applyFont="1" applyFill="1"/>
    <xf numFmtId="0" fontId="2" fillId="3" borderId="0" xfId="0" applyFont="1" applyFill="1"/>
    <xf numFmtId="0" fontId="0" fillId="0" borderId="9" xfId="0" applyBorder="1"/>
    <xf numFmtId="164" fontId="0" fillId="0" borderId="9" xfId="4" applyNumberFormat="1" applyFont="1" applyBorder="1"/>
    <xf numFmtId="164" fontId="0" fillId="0" borderId="9" xfId="0" applyNumberFormat="1" applyBorder="1"/>
    <xf numFmtId="44" fontId="3" fillId="0" borderId="4" xfId="1" applyFont="1" applyFill="1" applyBorder="1"/>
    <xf numFmtId="0" fontId="3" fillId="0" borderId="6" xfId="0" applyFont="1" applyFill="1" applyBorder="1"/>
    <xf numFmtId="0" fontId="3" fillId="0" borderId="1" xfId="0" applyFont="1" applyFill="1" applyBorder="1"/>
    <xf numFmtId="0" fontId="3" fillId="0" borderId="6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44" fontId="3" fillId="0" borderId="4" xfId="1" applyFont="1" applyBorder="1"/>
    <xf numFmtId="44" fontId="3" fillId="0" borderId="0" xfId="1" applyFont="1" applyBorder="1"/>
    <xf numFmtId="44" fontId="3" fillId="0" borderId="5" xfId="1" applyFont="1" applyBorder="1"/>
    <xf numFmtId="44" fontId="5" fillId="0" borderId="5" xfId="0" applyNumberFormat="1" applyFont="1" applyBorder="1"/>
    <xf numFmtId="44" fontId="3" fillId="0" borderId="5" xfId="0" applyNumberFormat="1" applyFont="1" applyBorder="1"/>
    <xf numFmtId="44" fontId="3" fillId="0" borderId="0" xfId="1" applyFont="1" applyFill="1" applyBorder="1"/>
    <xf numFmtId="44" fontId="5" fillId="0" borderId="1" xfId="0" applyNumberFormat="1" applyFont="1" applyBorder="1"/>
    <xf numFmtId="44" fontId="5" fillId="0" borderId="7" xfId="0" applyNumberFormat="1" applyFont="1" applyBorder="1"/>
    <xf numFmtId="0" fontId="3" fillId="0" borderId="4" xfId="0" applyFont="1" applyFill="1" applyBorder="1"/>
    <xf numFmtId="0" fontId="3" fillId="0" borderId="0" xfId="0" applyFont="1" applyFill="1" applyBorder="1"/>
    <xf numFmtId="44" fontId="3" fillId="0" borderId="5" xfId="0" applyNumberFormat="1" applyFont="1" applyFill="1" applyBorder="1"/>
    <xf numFmtId="44" fontId="3" fillId="0" borderId="5" xfId="1" applyFont="1" applyFill="1" applyBorder="1"/>
    <xf numFmtId="0" fontId="3" fillId="4" borderId="4" xfId="0" applyFont="1" applyFill="1" applyBorder="1"/>
    <xf numFmtId="0" fontId="3" fillId="4" borderId="0" xfId="0" applyFont="1" applyFill="1" applyBorder="1"/>
    <xf numFmtId="44" fontId="3" fillId="4" borderId="5" xfId="0" applyNumberFormat="1" applyFont="1" applyFill="1" applyBorder="1"/>
    <xf numFmtId="44" fontId="3" fillId="2" borderId="5" xfId="0" applyNumberFormat="1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6" fillId="0" borderId="0" xfId="0" applyFont="1"/>
    <xf numFmtId="44" fontId="3" fillId="0" borderId="0" xfId="0" applyNumberFormat="1" applyFont="1" applyBorder="1"/>
    <xf numFmtId="44" fontId="3" fillId="4" borderId="0" xfId="0" applyNumberFormat="1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/>
    <xf numFmtId="0" fontId="3" fillId="3" borderId="4" xfId="0" applyFont="1" applyFill="1" applyBorder="1"/>
    <xf numFmtId="2" fontId="3" fillId="3" borderId="0" xfId="0" applyNumberFormat="1" applyFont="1" applyFill="1" applyBorder="1"/>
    <xf numFmtId="2" fontId="3" fillId="3" borderId="5" xfId="0" applyNumberFormat="1" applyFont="1" applyFill="1" applyBorder="1"/>
    <xf numFmtId="0" fontId="3" fillId="0" borderId="0" xfId="0" applyFont="1" applyFill="1"/>
    <xf numFmtId="0" fontId="3" fillId="0" borderId="5" xfId="0" applyFont="1" applyFill="1" applyBorder="1"/>
    <xf numFmtId="0" fontId="7" fillId="0" borderId="0" xfId="0" applyFont="1" applyFill="1"/>
    <xf numFmtId="2" fontId="3" fillId="0" borderId="5" xfId="0" applyNumberFormat="1" applyFont="1" applyFill="1" applyBorder="1"/>
    <xf numFmtId="44" fontId="3" fillId="0" borderId="0" xfId="1" applyFont="1"/>
    <xf numFmtId="0" fontId="3" fillId="0" borderId="0" xfId="0" applyNumberFormat="1" applyFont="1" applyBorder="1"/>
    <xf numFmtId="0" fontId="3" fillId="0" borderId="0" xfId="0" applyNumberFormat="1" applyFont="1" applyFill="1" applyBorder="1"/>
    <xf numFmtId="2" fontId="3" fillId="0" borderId="0" xfId="1" applyNumberFormat="1" applyFont="1"/>
    <xf numFmtId="9" fontId="3" fillId="0" borderId="4" xfId="3" applyFont="1" applyBorder="1"/>
    <xf numFmtId="9" fontId="3" fillId="0" borderId="0" xfId="3" applyFont="1" applyBorder="1"/>
    <xf numFmtId="9" fontId="3" fillId="0" borderId="0" xfId="3" applyFont="1" applyFill="1" applyBorder="1"/>
    <xf numFmtId="44" fontId="3" fillId="3" borderId="5" xfId="1" applyFont="1" applyFill="1" applyBorder="1"/>
    <xf numFmtId="44" fontId="3" fillId="3" borderId="4" xfId="1" applyFont="1" applyFill="1" applyBorder="1"/>
    <xf numFmtId="44" fontId="3" fillId="3" borderId="0" xfId="1" applyFont="1" applyFill="1" applyBorder="1"/>
    <xf numFmtId="0" fontId="3" fillId="0" borderId="7" xfId="0" applyFont="1" applyBorder="1"/>
    <xf numFmtId="2" fontId="3" fillId="0" borderId="7" xfId="0" applyNumberFormat="1" applyFont="1" applyBorder="1"/>
    <xf numFmtId="2" fontId="3" fillId="0" borderId="6" xfId="0" applyNumberFormat="1" applyFont="1" applyBorder="1"/>
    <xf numFmtId="2" fontId="3" fillId="0" borderId="1" xfId="0" applyNumberFormat="1" applyFont="1" applyBorder="1"/>
    <xf numFmtId="2" fontId="5" fillId="6" borderId="7" xfId="0" applyNumberFormat="1" applyFont="1" applyFill="1" applyBorder="1"/>
    <xf numFmtId="0" fontId="3" fillId="6" borderId="0" xfId="0" applyFont="1" applyFill="1"/>
    <xf numFmtId="0" fontId="5" fillId="6" borderId="0" xfId="0" applyFont="1" applyFill="1"/>
    <xf numFmtId="0" fontId="3" fillId="5" borderId="0" xfId="0" applyFont="1" applyFill="1"/>
    <xf numFmtId="43" fontId="8" fillId="0" borderId="0" xfId="2" applyFont="1"/>
    <xf numFmtId="3" fontId="3" fillId="0" borderId="0" xfId="0" applyNumberFormat="1" applyFont="1"/>
    <xf numFmtId="43" fontId="3" fillId="0" borderId="0" xfId="2" applyFont="1"/>
    <xf numFmtId="0" fontId="3" fillId="3" borderId="2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9" fillId="0" borderId="0" xfId="0" applyFont="1" applyFill="1"/>
    <xf numFmtId="9" fontId="3" fillId="0" borderId="0" xfId="3" applyFont="1"/>
    <xf numFmtId="0" fontId="3" fillId="5" borderId="4" xfId="0" applyNumberFormat="1" applyFont="1" applyFill="1" applyBorder="1"/>
    <xf numFmtId="0" fontId="3" fillId="5" borderId="4" xfId="0" applyFont="1" applyFill="1" applyBorder="1"/>
    <xf numFmtId="44" fontId="3" fillId="5" borderId="4" xfId="1" applyFont="1" applyFill="1" applyBorder="1"/>
    <xf numFmtId="44" fontId="3" fillId="5" borderId="0" xfId="1" applyFont="1" applyFill="1" applyBorder="1"/>
    <xf numFmtId="0" fontId="5" fillId="6" borderId="0" xfId="0" applyFont="1" applyFill="1" applyAlignment="1">
      <alignment vertical="top" wrapText="1"/>
    </xf>
    <xf numFmtId="0" fontId="9" fillId="0" borderId="0" xfId="0" applyFont="1"/>
    <xf numFmtId="0" fontId="2" fillId="6" borderId="9" xfId="0" applyFont="1" applyFill="1" applyBorder="1"/>
    <xf numFmtId="0" fontId="0" fillId="0" borderId="9" xfId="0" applyBorder="1" applyAlignment="1">
      <alignment horizontal="left"/>
    </xf>
    <xf numFmtId="44" fontId="3" fillId="0" borderId="0" xfId="1" applyFont="1" applyFill="1"/>
    <xf numFmtId="44" fontId="3" fillId="0" borderId="0" xfId="0" applyNumberFormat="1" applyFont="1" applyFill="1"/>
    <xf numFmtId="0" fontId="0" fillId="3" borderId="0" xfId="0" applyFill="1" applyAlignment="1">
      <alignment horizontal="left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</cellXfs>
  <cellStyles count="5">
    <cellStyle name="Komma" xfId="2" builtinId="3"/>
    <cellStyle name="Komma 2" xfId="4" xr:uid="{36CC789C-7F64-4426-B1EF-EBD9D0444C53}"/>
    <cellStyle name="Procent" xfId="3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zoomScale="114" zoomScaleNormal="120" workbookViewId="0">
      <selection activeCell="C6" sqref="C6"/>
    </sheetView>
  </sheetViews>
  <sheetFormatPr defaultRowHeight="15" x14ac:dyDescent="0.25"/>
  <cols>
    <col min="1" max="1" width="41.42578125" customWidth="1"/>
    <col min="2" max="2" width="8" hidden="1" customWidth="1"/>
    <col min="3" max="3" width="19.85546875" customWidth="1"/>
    <col min="4" max="4" width="15.5703125" customWidth="1"/>
    <col min="5" max="5" width="13.140625" customWidth="1"/>
    <col min="6" max="6" width="17" customWidth="1"/>
    <col min="7" max="7" width="15.85546875" customWidth="1"/>
    <col min="8" max="8" width="19.85546875" customWidth="1"/>
    <col min="9" max="9" width="16.140625" customWidth="1"/>
    <col min="10" max="10" width="15.28515625" customWidth="1"/>
    <col min="11" max="11" width="16.7109375" customWidth="1"/>
    <col min="12" max="12" width="15.5703125" customWidth="1"/>
    <col min="13" max="13" width="16" customWidth="1"/>
    <col min="14" max="14" width="16.28515625" customWidth="1"/>
    <col min="16" max="16" width="12.42578125" bestFit="1" customWidth="1"/>
    <col min="17" max="17" width="11.7109375" customWidth="1"/>
  </cols>
  <sheetData>
    <row r="1" spans="1:15" x14ac:dyDescent="0.25">
      <c r="A1" s="67" t="s">
        <v>90</v>
      </c>
      <c r="B1" s="66"/>
      <c r="C1" s="67" t="s">
        <v>18</v>
      </c>
      <c r="D1" s="66"/>
      <c r="E1" s="66"/>
      <c r="F1" s="66"/>
      <c r="G1" s="66"/>
      <c r="H1" s="66"/>
      <c r="I1" s="66"/>
      <c r="J1" s="66"/>
      <c r="K1" s="66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88</v>
      </c>
      <c r="B3" s="2"/>
      <c r="C3" s="68" t="s">
        <v>43</v>
      </c>
      <c r="D3" s="2" t="str">
        <f>VLOOKUP(C3,'Norm omgerekend per perceel'!D7:E23,2,FALSE)</f>
        <v>Friesland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19</v>
      </c>
      <c r="B4" s="69"/>
      <c r="C4" s="70">
        <f>VLOOKUP(C3,'Norm omgerekend per perceel'!D7:G23,4,FALSE)</f>
        <v>95982.981870673597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7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7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7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67" t="s">
        <v>15</v>
      </c>
      <c r="B8" s="2"/>
      <c r="C8" s="43"/>
      <c r="D8" s="43"/>
      <c r="E8" s="43"/>
      <c r="F8" s="72" t="s">
        <v>2</v>
      </c>
      <c r="G8" s="73"/>
      <c r="H8" s="73"/>
      <c r="I8" s="72" t="s">
        <v>3</v>
      </c>
      <c r="J8" s="73"/>
      <c r="K8" s="73"/>
      <c r="L8" s="72" t="s">
        <v>4</v>
      </c>
      <c r="M8" s="73"/>
      <c r="N8" s="74"/>
      <c r="O8" s="2"/>
    </row>
    <row r="9" spans="1:15" x14ac:dyDescent="0.25">
      <c r="A9" s="2" t="s">
        <v>6</v>
      </c>
      <c r="B9" s="2" t="s">
        <v>1</v>
      </c>
      <c r="C9" s="2" t="s">
        <v>0</v>
      </c>
      <c r="D9" s="2"/>
      <c r="E9" s="2" t="s">
        <v>20</v>
      </c>
      <c r="F9" s="19"/>
      <c r="G9" s="82">
        <v>35000</v>
      </c>
      <c r="H9" s="22">
        <f>G9*0.25</f>
        <v>8750</v>
      </c>
      <c r="I9" s="19"/>
      <c r="J9" s="82">
        <v>30000</v>
      </c>
      <c r="K9" s="22">
        <f>J9*0.25</f>
        <v>7500</v>
      </c>
      <c r="L9" s="19"/>
      <c r="M9" s="82">
        <v>53000</v>
      </c>
      <c r="N9" s="23">
        <f>M9*0.25</f>
        <v>13250</v>
      </c>
      <c r="O9" s="2"/>
    </row>
    <row r="10" spans="1:15" x14ac:dyDescent="0.25">
      <c r="A10" s="77" t="s">
        <v>72</v>
      </c>
      <c r="B10" s="2"/>
      <c r="C10" s="39"/>
      <c r="D10" s="2"/>
      <c r="E10" s="47" t="s">
        <v>12</v>
      </c>
      <c r="F10" s="19"/>
      <c r="G10" s="82">
        <v>90615</v>
      </c>
      <c r="H10" s="40">
        <f>SUM(G10*1)</f>
        <v>90615</v>
      </c>
      <c r="I10" s="19"/>
      <c r="J10" s="82">
        <v>94900</v>
      </c>
      <c r="K10" s="40">
        <f>SUM(J10*1)</f>
        <v>94900</v>
      </c>
      <c r="L10" s="19"/>
      <c r="M10" s="82">
        <v>97815</v>
      </c>
      <c r="N10" s="25">
        <f>SUM(M10*1)</f>
        <v>97815</v>
      </c>
      <c r="O10" s="2"/>
    </row>
    <row r="11" spans="1:15" x14ac:dyDescent="0.25">
      <c r="A11" s="77" t="s">
        <v>81</v>
      </c>
      <c r="B11" s="2"/>
      <c r="C11" s="84" t="str">
        <f>VLOOKUP(C3,'Norm omgerekend per perceel'!D27:E44,2,FALSE)</f>
        <v>Niet van toepasing</v>
      </c>
      <c r="D11" s="2"/>
      <c r="E11" s="47" t="s">
        <v>82</v>
      </c>
      <c r="F11" s="19"/>
      <c r="G11" s="82"/>
      <c r="H11" s="40">
        <f>(G11*1)</f>
        <v>0</v>
      </c>
      <c r="I11" s="19"/>
      <c r="J11" s="82"/>
      <c r="K11" s="40">
        <f>SUM(J11*1)</f>
        <v>0</v>
      </c>
      <c r="L11" s="19"/>
      <c r="M11" s="82"/>
      <c r="N11" s="25">
        <f>SUM(M11*1)</f>
        <v>0</v>
      </c>
      <c r="O11" s="2"/>
    </row>
    <row r="12" spans="1:15" x14ac:dyDescent="0.25">
      <c r="A12" s="5" t="s">
        <v>15</v>
      </c>
      <c r="B12" s="5"/>
      <c r="C12" s="5"/>
      <c r="D12" s="5"/>
      <c r="E12" s="5"/>
      <c r="F12" s="33"/>
      <c r="G12" s="34"/>
      <c r="H12" s="41">
        <f>(H9+H10+H11)/$C$4</f>
        <v>1.0352356018057796</v>
      </c>
      <c r="I12" s="33"/>
      <c r="J12" s="34"/>
      <c r="K12" s="41">
        <f>(K9+K10+K11)/$C$4</f>
        <v>1.0668557905189133</v>
      </c>
      <c r="L12" s="33"/>
      <c r="M12" s="34"/>
      <c r="N12" s="35">
        <f>(N9+N10+N11)/$C$4</f>
        <v>1.1571322106834288</v>
      </c>
      <c r="O12" s="2"/>
    </row>
    <row r="13" spans="1:15" x14ac:dyDescent="0.25">
      <c r="A13" s="2"/>
      <c r="B13" s="2"/>
      <c r="C13" s="2"/>
      <c r="D13" s="2"/>
      <c r="E13" s="2"/>
      <c r="F13" s="19"/>
      <c r="G13" s="40"/>
      <c r="H13" s="40"/>
      <c r="I13" s="19"/>
      <c r="J13" s="40"/>
      <c r="K13" s="40"/>
      <c r="L13" s="19"/>
      <c r="M13" s="40"/>
      <c r="N13" s="25"/>
      <c r="O13" s="2"/>
    </row>
    <row r="14" spans="1:15" ht="25.5" x14ac:dyDescent="0.25">
      <c r="A14" s="83" t="s">
        <v>80</v>
      </c>
      <c r="B14" s="2"/>
      <c r="C14" s="42" t="s">
        <v>31</v>
      </c>
      <c r="D14" s="9"/>
      <c r="E14" s="43"/>
      <c r="F14" s="44"/>
      <c r="G14" s="45"/>
      <c r="H14" s="45"/>
      <c r="I14" s="44"/>
      <c r="J14" s="45"/>
      <c r="K14" s="45"/>
      <c r="L14" s="44"/>
      <c r="M14" s="45"/>
      <c r="N14" s="46"/>
      <c r="O14" s="2"/>
    </row>
    <row r="15" spans="1:15" x14ac:dyDescent="0.25">
      <c r="A15" s="2"/>
      <c r="B15" s="2"/>
      <c r="C15" s="2"/>
      <c r="D15" s="2"/>
      <c r="E15" s="2"/>
      <c r="F15" s="19"/>
      <c r="G15" s="3"/>
      <c r="H15" s="20"/>
      <c r="I15" s="19"/>
      <c r="J15" s="3"/>
      <c r="K15" s="20"/>
      <c r="L15" s="19"/>
      <c r="M15" s="3"/>
      <c r="N15" s="20"/>
      <c r="O15" s="2"/>
    </row>
    <row r="16" spans="1:15" x14ac:dyDescent="0.25">
      <c r="A16" s="75" t="s">
        <v>21</v>
      </c>
      <c r="B16" s="2"/>
      <c r="C16" s="2" t="s">
        <v>32</v>
      </c>
      <c r="D16" s="2" t="s">
        <v>33</v>
      </c>
      <c r="E16" s="2"/>
      <c r="F16" s="19" t="s">
        <v>27</v>
      </c>
      <c r="G16" s="3" t="s">
        <v>28</v>
      </c>
      <c r="H16" s="20"/>
      <c r="I16" s="19" t="s">
        <v>27</v>
      </c>
      <c r="J16" s="3" t="s">
        <v>28</v>
      </c>
      <c r="K16" s="20"/>
      <c r="L16" s="19" t="s">
        <v>27</v>
      </c>
      <c r="M16" s="3" t="s">
        <v>28</v>
      </c>
      <c r="N16" s="20"/>
      <c r="O16" s="2"/>
    </row>
    <row r="17" spans="1:15" x14ac:dyDescent="0.25">
      <c r="A17" s="2" t="s">
        <v>22</v>
      </c>
      <c r="B17" s="2"/>
      <c r="C17" s="2">
        <v>500</v>
      </c>
      <c r="D17" s="4">
        <f>VLOOKUP($C$3,'Norm omgerekend per perceel'!$D$7:$L$23,5,FALSE)</f>
        <v>479.91490935336799</v>
      </c>
      <c r="E17" s="2" t="s">
        <v>89</v>
      </c>
      <c r="F17" s="81">
        <v>50</v>
      </c>
      <c r="G17" s="22">
        <f>SUM(F17*1.25)</f>
        <v>62.5</v>
      </c>
      <c r="H17" s="23">
        <f>+SUM(D17*F17*0.9+D17*G17*0.1)</f>
        <v>24595.639104360111</v>
      </c>
      <c r="I17" s="81">
        <v>58</v>
      </c>
      <c r="J17" s="22">
        <f>SUM(I17*1.25)</f>
        <v>72.5</v>
      </c>
      <c r="K17" s="23">
        <f>SUM(D17*I17*0.9+D17*J17*0.1)</f>
        <v>28530.941361057725</v>
      </c>
      <c r="L17" s="81">
        <v>66</v>
      </c>
      <c r="M17" s="22">
        <f>SUM(L17*1.25)</f>
        <v>82.5</v>
      </c>
      <c r="N17" s="23">
        <f>SUM(D17*L17*0.9+D17*M17*0.1)</f>
        <v>32466.243617755346</v>
      </c>
      <c r="O17" s="2"/>
    </row>
    <row r="18" spans="1:15" x14ac:dyDescent="0.25">
      <c r="A18" s="2" t="s">
        <v>23</v>
      </c>
      <c r="B18" s="2"/>
      <c r="C18" s="2">
        <v>6000</v>
      </c>
      <c r="D18" s="4">
        <f>VLOOKUP($C$3,'Norm omgerekend per perceel'!$D$7:$L$23,6,FALSE)</f>
        <v>5758.9789122404154</v>
      </c>
      <c r="E18" s="2" t="s">
        <v>89</v>
      </c>
      <c r="F18" s="81">
        <v>65</v>
      </c>
      <c r="G18" s="22">
        <f t="shared" ref="G18:G21" si="0">SUM(F18*1.25)</f>
        <v>81.25</v>
      </c>
      <c r="H18" s="23">
        <f t="shared" ref="H18:H21" si="1">+SUM(D18*F18*0.9+D18*G18*0.1)</f>
        <v>383691.97002801771</v>
      </c>
      <c r="I18" s="81">
        <v>68</v>
      </c>
      <c r="J18" s="22">
        <f t="shared" ref="J18:J21" si="2">SUM(I18*1.25)</f>
        <v>85</v>
      </c>
      <c r="K18" s="23">
        <f t="shared" ref="K18:K21" si="3">SUM(D18*I18*0.9+D18*J18*0.1)</f>
        <v>401400.83018315694</v>
      </c>
      <c r="L18" s="81">
        <v>62</v>
      </c>
      <c r="M18" s="22">
        <f t="shared" ref="M18:M21" si="4">SUM(L18*1.25)</f>
        <v>77.5</v>
      </c>
      <c r="N18" s="23">
        <f t="shared" ref="N18:N21" si="5">SUM(D18*L18*0.9+D18*M18*0.1)</f>
        <v>365983.10987287841</v>
      </c>
      <c r="O18" s="2"/>
    </row>
    <row r="19" spans="1:15" x14ac:dyDescent="0.25">
      <c r="A19" s="2" t="s">
        <v>24</v>
      </c>
      <c r="B19" s="2"/>
      <c r="C19" s="2">
        <v>1500</v>
      </c>
      <c r="D19" s="4">
        <f>VLOOKUP($C$3,'Norm omgerekend per perceel'!$D$7:$L$23,7,FALSE)</f>
        <v>1439.7447280601039</v>
      </c>
      <c r="E19" s="2" t="s">
        <v>89</v>
      </c>
      <c r="F19" s="81">
        <v>55</v>
      </c>
      <c r="G19" s="22">
        <f t="shared" si="0"/>
        <v>68.75</v>
      </c>
      <c r="H19" s="23">
        <f t="shared" si="1"/>
        <v>81165.609044388359</v>
      </c>
      <c r="I19" s="81">
        <v>58</v>
      </c>
      <c r="J19" s="22">
        <f t="shared" si="2"/>
        <v>72.5</v>
      </c>
      <c r="K19" s="23">
        <f t="shared" si="3"/>
        <v>85592.824083173167</v>
      </c>
      <c r="L19" s="81">
        <v>60</v>
      </c>
      <c r="M19" s="22">
        <f t="shared" si="4"/>
        <v>75</v>
      </c>
      <c r="N19" s="23">
        <f t="shared" si="5"/>
        <v>88544.300775696378</v>
      </c>
      <c r="O19" s="2"/>
    </row>
    <row r="20" spans="1:15" x14ac:dyDescent="0.25">
      <c r="A20" s="2" t="s">
        <v>25</v>
      </c>
      <c r="B20" s="2"/>
      <c r="C20" s="2">
        <v>1000</v>
      </c>
      <c r="D20" s="4">
        <f>VLOOKUP($C$3,'Norm omgerekend per perceel'!$D$7:$L$23,8,FALSE)</f>
        <v>959.82981870673598</v>
      </c>
      <c r="E20" s="2" t="s">
        <v>89</v>
      </c>
      <c r="F20" s="81">
        <v>100</v>
      </c>
      <c r="G20" s="22">
        <f t="shared" si="0"/>
        <v>125</v>
      </c>
      <c r="H20" s="23">
        <f t="shared" si="1"/>
        <v>98382.556417440443</v>
      </c>
      <c r="I20" s="81">
        <v>105</v>
      </c>
      <c r="J20" s="22">
        <f t="shared" si="2"/>
        <v>131.25</v>
      </c>
      <c r="K20" s="23">
        <f t="shared" si="3"/>
        <v>103301.68423831245</v>
      </c>
      <c r="L20" s="81">
        <v>95</v>
      </c>
      <c r="M20" s="22">
        <f t="shared" si="4"/>
        <v>118.75</v>
      </c>
      <c r="N20" s="23">
        <f t="shared" si="5"/>
        <v>93463.428596568425</v>
      </c>
      <c r="O20" s="2"/>
    </row>
    <row r="21" spans="1:15" x14ac:dyDescent="0.25">
      <c r="A21" s="2" t="s">
        <v>26</v>
      </c>
      <c r="B21" s="2"/>
      <c r="C21" s="2">
        <v>1000</v>
      </c>
      <c r="D21" s="4">
        <f>VLOOKUP($C$3,'Norm omgerekend per perceel'!$D$7:$L$23,9,FALSE)</f>
        <v>959.82981870673598</v>
      </c>
      <c r="E21" s="2" t="s">
        <v>89</v>
      </c>
      <c r="F21" s="81">
        <v>60</v>
      </c>
      <c r="G21" s="22">
        <f t="shared" si="0"/>
        <v>75</v>
      </c>
      <c r="H21" s="23">
        <f t="shared" si="1"/>
        <v>59029.533850464264</v>
      </c>
      <c r="I21" s="82">
        <v>65</v>
      </c>
      <c r="J21" s="22">
        <f t="shared" si="2"/>
        <v>81.25</v>
      </c>
      <c r="K21" s="23">
        <f t="shared" si="3"/>
        <v>63948.661671336289</v>
      </c>
      <c r="L21" s="81">
        <v>67</v>
      </c>
      <c r="M21" s="22">
        <f t="shared" si="4"/>
        <v>83.75</v>
      </c>
      <c r="N21" s="23">
        <f t="shared" si="5"/>
        <v>65916.312799685096</v>
      </c>
      <c r="O21" s="2"/>
    </row>
    <row r="22" spans="1:15" x14ac:dyDescent="0.25">
      <c r="A22" s="2"/>
      <c r="B22" s="2"/>
      <c r="C22" s="2" t="s">
        <v>29</v>
      </c>
      <c r="D22" s="3"/>
      <c r="E22" s="2"/>
      <c r="F22" s="19"/>
      <c r="G22" s="3"/>
      <c r="H22" s="24">
        <f>SUM(H17:H21)</f>
        <v>646865.30844467087</v>
      </c>
      <c r="I22" s="19"/>
      <c r="J22" s="3"/>
      <c r="K22" s="24">
        <f>SUM(K17:K21)</f>
        <v>682774.94153703656</v>
      </c>
      <c r="L22" s="19"/>
      <c r="M22" s="3"/>
      <c r="N22" s="24">
        <f>SUM(N17:N21)</f>
        <v>646373.39566258364</v>
      </c>
      <c r="O22" s="2"/>
    </row>
    <row r="23" spans="1:15" x14ac:dyDescent="0.25">
      <c r="A23" s="67" t="s">
        <v>15</v>
      </c>
      <c r="B23" s="2"/>
      <c r="C23" s="2" t="s">
        <v>78</v>
      </c>
      <c r="D23" s="3" t="s">
        <v>78</v>
      </c>
      <c r="E23" s="2"/>
      <c r="F23" s="19" t="s">
        <v>75</v>
      </c>
      <c r="G23" s="3"/>
      <c r="H23" s="25"/>
      <c r="I23" s="19"/>
      <c r="J23" s="3"/>
      <c r="K23" s="25"/>
      <c r="L23" s="19"/>
      <c r="M23" s="3"/>
      <c r="N23" s="25"/>
      <c r="O23" s="2"/>
    </row>
    <row r="24" spans="1:15" x14ac:dyDescent="0.25">
      <c r="A24" s="2" t="s">
        <v>73</v>
      </c>
      <c r="B24" s="2"/>
      <c r="C24" s="2">
        <v>1</v>
      </c>
      <c r="D24" s="2">
        <v>1</v>
      </c>
      <c r="E24" s="2"/>
      <c r="F24" s="81">
        <v>8000</v>
      </c>
      <c r="G24" s="26"/>
      <c r="H24" s="23">
        <f>F24</f>
        <v>8000</v>
      </c>
      <c r="I24" s="81">
        <v>10500</v>
      </c>
      <c r="J24" s="26"/>
      <c r="K24" s="23">
        <v>10500</v>
      </c>
      <c r="L24" s="81">
        <v>14000</v>
      </c>
      <c r="M24" s="26"/>
      <c r="N24" s="23">
        <v>14000</v>
      </c>
      <c r="O24" s="2"/>
    </row>
    <row r="25" spans="1:15" x14ac:dyDescent="0.25">
      <c r="A25" s="2" t="s">
        <v>74</v>
      </c>
      <c r="B25" s="2"/>
      <c r="C25" s="2">
        <v>100</v>
      </c>
      <c r="D25" s="2">
        <v>100</v>
      </c>
      <c r="E25" s="2"/>
      <c r="F25" s="81">
        <v>100</v>
      </c>
      <c r="G25" s="26"/>
      <c r="H25" s="22">
        <f>F25*C25</f>
        <v>10000</v>
      </c>
      <c r="I25" s="81">
        <v>150</v>
      </c>
      <c r="J25" s="26"/>
      <c r="K25" s="22">
        <f>SUM(C25*I25)</f>
        <v>15000</v>
      </c>
      <c r="L25" s="81">
        <v>130</v>
      </c>
      <c r="M25" s="26"/>
      <c r="N25" s="23">
        <f>SUM(C25*L25)</f>
        <v>13000</v>
      </c>
      <c r="O25" s="2"/>
    </row>
    <row r="26" spans="1:15" x14ac:dyDescent="0.25">
      <c r="A26" s="2"/>
      <c r="B26" s="2"/>
      <c r="C26" s="2" t="s">
        <v>29</v>
      </c>
      <c r="D26" s="2"/>
      <c r="E26" s="2"/>
      <c r="F26" s="15"/>
      <c r="G26" s="16"/>
      <c r="H26" s="27">
        <f>SUM(H24:H25)</f>
        <v>18000</v>
      </c>
      <c r="I26" s="17"/>
      <c r="J26" s="18"/>
      <c r="K26" s="27">
        <f>SUM(K24:K25)</f>
        <v>25500</v>
      </c>
      <c r="L26" s="15"/>
      <c r="M26" s="18"/>
      <c r="N26" s="28">
        <f>SUM(N24:N25)</f>
        <v>27000</v>
      </c>
      <c r="O26" s="2"/>
    </row>
    <row r="27" spans="1:15" x14ac:dyDescent="0.25">
      <c r="A27" s="2"/>
      <c r="B27" s="2"/>
      <c r="C27" s="2"/>
      <c r="D27" s="2"/>
      <c r="E27" s="2"/>
      <c r="F27" s="29"/>
      <c r="G27" s="30"/>
      <c r="H27" s="31"/>
      <c r="I27" s="29"/>
      <c r="J27" s="30"/>
      <c r="K27" s="31"/>
      <c r="L27" s="2"/>
      <c r="M27" s="30"/>
      <c r="N27" s="31"/>
      <c r="O27" s="2"/>
    </row>
    <row r="28" spans="1:15" x14ac:dyDescent="0.25">
      <c r="A28" s="2" t="s">
        <v>17</v>
      </c>
      <c r="B28" s="2"/>
      <c r="C28" s="2"/>
      <c r="D28" s="2"/>
      <c r="E28" s="2"/>
      <c r="F28" s="29"/>
      <c r="G28" s="30"/>
      <c r="H28" s="32">
        <f>H22+H26</f>
        <v>664865.30844467087</v>
      </c>
      <c r="I28" s="14"/>
      <c r="J28" s="26"/>
      <c r="K28" s="32">
        <f>K22+K26</f>
        <v>708274.94153703656</v>
      </c>
      <c r="L28" s="14"/>
      <c r="M28" s="26"/>
      <c r="N28" s="32">
        <f>N22+N26</f>
        <v>673373.39566258364</v>
      </c>
      <c r="O28" s="2"/>
    </row>
    <row r="29" spans="1:15" x14ac:dyDescent="0.25">
      <c r="A29" s="5" t="s">
        <v>16</v>
      </c>
      <c r="B29" s="5"/>
      <c r="C29" s="5"/>
      <c r="D29" s="5"/>
      <c r="E29" s="5"/>
      <c r="F29" s="33"/>
      <c r="G29" s="34"/>
      <c r="H29" s="35">
        <f>H28/$C$4</f>
        <v>6.9269082444271524</v>
      </c>
      <c r="I29" s="33"/>
      <c r="J29" s="34"/>
      <c r="K29" s="35">
        <f>K28/$C$4</f>
        <v>7.379172096271799</v>
      </c>
      <c r="L29" s="33"/>
      <c r="M29" s="34"/>
      <c r="N29" s="35">
        <f>N28/$C$4</f>
        <v>7.015549866640729</v>
      </c>
      <c r="O29" s="2"/>
    </row>
    <row r="30" spans="1:15" x14ac:dyDescent="0.25">
      <c r="A30" s="2"/>
      <c r="B30" s="2"/>
      <c r="C30" s="2"/>
      <c r="D30" s="2"/>
      <c r="E30" s="2"/>
      <c r="F30" s="19"/>
      <c r="G30" s="3"/>
      <c r="H30" s="20"/>
      <c r="I30" s="19"/>
      <c r="J30" s="3"/>
      <c r="K30" s="20"/>
      <c r="L30" s="19"/>
      <c r="M30" s="3"/>
      <c r="N30" s="20"/>
      <c r="O30" s="2"/>
    </row>
    <row r="31" spans="1:15" x14ac:dyDescent="0.25">
      <c r="A31" s="2" t="s">
        <v>13</v>
      </c>
      <c r="B31" s="2"/>
      <c r="C31" s="2"/>
      <c r="D31" s="2"/>
      <c r="E31" s="2"/>
      <c r="F31" s="19"/>
      <c r="G31" s="3"/>
      <c r="H31" s="23">
        <f>H10+H9+H11+H22+H26</f>
        <v>764230.30844467087</v>
      </c>
      <c r="I31" s="21"/>
      <c r="J31" s="22"/>
      <c r="K31" s="23">
        <f>K9+K11+K10+K22+K26</f>
        <v>810674.94153703656</v>
      </c>
      <c r="L31" s="21"/>
      <c r="M31" s="22"/>
      <c r="N31" s="23">
        <f>N9+N10+N11+N22+N26</f>
        <v>784438.39566258364</v>
      </c>
      <c r="O31" s="2"/>
    </row>
    <row r="32" spans="1:15" x14ac:dyDescent="0.25">
      <c r="A32" s="2" t="s">
        <v>76</v>
      </c>
      <c r="B32" s="2"/>
      <c r="C32" s="2"/>
      <c r="D32" s="2"/>
      <c r="E32" s="2"/>
      <c r="F32" s="19"/>
      <c r="G32" s="3"/>
      <c r="H32" s="36">
        <f>H12+H29</f>
        <v>7.9621438462329319</v>
      </c>
      <c r="I32" s="37"/>
      <c r="J32" s="38"/>
      <c r="K32" s="36">
        <f>K12+K29</f>
        <v>8.4460278867907128</v>
      </c>
      <c r="L32" s="37"/>
      <c r="M32" s="38"/>
      <c r="N32" s="36">
        <f>N12+N29</f>
        <v>8.1726820773241577</v>
      </c>
      <c r="O32" s="2"/>
    </row>
    <row r="33" spans="1:16" x14ac:dyDescent="0.25">
      <c r="A33" s="2"/>
      <c r="B33" s="2"/>
      <c r="C33" s="2"/>
      <c r="D33" s="2"/>
      <c r="E33" s="2"/>
      <c r="F33" s="19"/>
      <c r="G33" s="3"/>
      <c r="H33" s="31"/>
      <c r="I33" s="29"/>
      <c r="J33" s="30"/>
      <c r="K33" s="31"/>
      <c r="L33" s="29"/>
      <c r="M33" s="30"/>
      <c r="N33" s="31"/>
      <c r="O33" s="2"/>
    </row>
    <row r="34" spans="1:16" x14ac:dyDescent="0.25">
      <c r="A34" s="2"/>
      <c r="B34" s="2"/>
      <c r="C34" s="47"/>
      <c r="D34" s="47"/>
      <c r="E34" s="47"/>
      <c r="F34" s="19"/>
      <c r="G34" s="3"/>
      <c r="H34" s="32"/>
      <c r="I34" s="29"/>
      <c r="J34" s="30"/>
      <c r="K34" s="48"/>
      <c r="L34" s="29"/>
      <c r="M34" s="30"/>
      <c r="N34" s="32"/>
      <c r="O34" s="2"/>
      <c r="P34" s="2"/>
    </row>
    <row r="35" spans="1:16" x14ac:dyDescent="0.25">
      <c r="A35" s="75" t="s">
        <v>5</v>
      </c>
      <c r="B35" s="2"/>
      <c r="C35" s="47" t="s">
        <v>7</v>
      </c>
      <c r="D35" s="47"/>
      <c r="E35" s="47"/>
      <c r="F35" s="19" t="s">
        <v>79</v>
      </c>
      <c r="G35" s="3"/>
      <c r="H35" s="20"/>
      <c r="I35" s="19"/>
      <c r="J35" s="3"/>
      <c r="K35" s="20"/>
      <c r="L35" s="19"/>
      <c r="M35" s="3"/>
      <c r="N35" s="20"/>
      <c r="O35" s="2"/>
      <c r="P35" s="2"/>
    </row>
    <row r="36" spans="1:16" x14ac:dyDescent="0.25">
      <c r="A36" s="2"/>
      <c r="B36" s="2"/>
      <c r="C36" s="47" t="s">
        <v>10</v>
      </c>
      <c r="D36" s="49"/>
      <c r="E36" s="47"/>
      <c r="F36" s="19"/>
      <c r="G36" s="3"/>
      <c r="H36" s="48"/>
      <c r="I36" s="29"/>
      <c r="J36" s="30"/>
      <c r="K36" s="48"/>
      <c r="L36" s="29"/>
      <c r="M36" s="30"/>
      <c r="N36" s="48"/>
      <c r="O36" s="2"/>
      <c r="P36" s="2"/>
    </row>
    <row r="37" spans="1:16" x14ac:dyDescent="0.25">
      <c r="A37" s="75"/>
      <c r="B37" s="2"/>
      <c r="C37" s="3"/>
      <c r="D37" s="3"/>
      <c r="E37" s="2"/>
      <c r="F37" s="19"/>
      <c r="G37" s="3"/>
      <c r="H37" s="50"/>
      <c r="I37" s="29"/>
      <c r="J37" s="30"/>
      <c r="K37" s="50"/>
      <c r="L37" s="29"/>
      <c r="M37" s="30"/>
      <c r="N37" s="50"/>
      <c r="O37" s="2"/>
      <c r="P37" s="2"/>
    </row>
    <row r="38" spans="1:16" x14ac:dyDescent="0.25">
      <c r="A38" s="76">
        <v>1</v>
      </c>
      <c r="B38" s="2"/>
      <c r="C38" s="87">
        <f>C42*D38</f>
        <v>3.75</v>
      </c>
      <c r="D38" s="78">
        <v>0.75</v>
      </c>
      <c r="E38" s="2" t="s">
        <v>8</v>
      </c>
      <c r="F38" s="79">
        <v>2</v>
      </c>
      <c r="G38" s="52"/>
      <c r="H38" s="48"/>
      <c r="I38" s="79">
        <v>3</v>
      </c>
      <c r="J38" s="53"/>
      <c r="K38" s="48"/>
      <c r="L38" s="80">
        <v>2</v>
      </c>
      <c r="M38" s="30"/>
      <c r="N38" s="48"/>
      <c r="O38" s="2"/>
      <c r="P38" s="2"/>
    </row>
    <row r="39" spans="1:16" x14ac:dyDescent="0.25">
      <c r="A39" s="2"/>
      <c r="B39" s="2"/>
      <c r="C39" s="51"/>
      <c r="D39" s="54"/>
      <c r="E39" s="2" t="s">
        <v>9</v>
      </c>
      <c r="F39" s="55">
        <f>F38*0.25</f>
        <v>0.5</v>
      </c>
      <c r="G39" s="56"/>
      <c r="H39" s="50">
        <f>F39*$C38</f>
        <v>1.875</v>
      </c>
      <c r="I39" s="55">
        <f>I38*0.25</f>
        <v>0.75</v>
      </c>
      <c r="J39" s="57"/>
      <c r="K39" s="50">
        <f>I39*$C38</f>
        <v>2.8125</v>
      </c>
      <c r="L39" s="55">
        <f>L38*0.25</f>
        <v>0.5</v>
      </c>
      <c r="M39" s="57"/>
      <c r="N39" s="50">
        <f>L39*$C38</f>
        <v>1.875</v>
      </c>
      <c r="O39" s="2"/>
      <c r="P39" s="2"/>
    </row>
    <row r="40" spans="1:16" x14ac:dyDescent="0.25">
      <c r="A40" s="76">
        <v>2</v>
      </c>
      <c r="B40" s="2"/>
      <c r="C40" s="87">
        <f>C42*D40</f>
        <v>1.25</v>
      </c>
      <c r="D40" s="78">
        <v>0.25</v>
      </c>
      <c r="E40" s="2" t="s">
        <v>8</v>
      </c>
      <c r="F40" s="79">
        <v>2</v>
      </c>
      <c r="G40" s="52"/>
      <c r="H40" s="48"/>
      <c r="I40" s="79">
        <v>3</v>
      </c>
      <c r="J40" s="53"/>
      <c r="K40" s="48"/>
      <c r="L40" s="80">
        <v>4</v>
      </c>
      <c r="M40" s="30"/>
      <c r="N40" s="48"/>
      <c r="O40" s="2"/>
      <c r="P40" s="2"/>
    </row>
    <row r="41" spans="1:16" x14ac:dyDescent="0.25">
      <c r="A41" s="2"/>
      <c r="B41" s="2"/>
      <c r="C41" s="51"/>
      <c r="D41" s="54"/>
      <c r="E41" s="2" t="s">
        <v>9</v>
      </c>
      <c r="F41" s="55">
        <f>F40*0.25</f>
        <v>0.5</v>
      </c>
      <c r="G41" s="56"/>
      <c r="H41" s="50">
        <f>F41*$C40</f>
        <v>0.625</v>
      </c>
      <c r="I41" s="55">
        <f>I40*0.25</f>
        <v>0.75</v>
      </c>
      <c r="J41" s="57"/>
      <c r="K41" s="50">
        <f>I41*$C40</f>
        <v>0.9375</v>
      </c>
      <c r="L41" s="55">
        <f>L40*0.25</f>
        <v>1</v>
      </c>
      <c r="M41" s="57"/>
      <c r="N41" s="50">
        <f>L41*$C40</f>
        <v>1.25</v>
      </c>
      <c r="O41" s="2"/>
      <c r="P41" s="2"/>
    </row>
    <row r="42" spans="1:16" x14ac:dyDescent="0.25">
      <c r="A42" s="2" t="s">
        <v>30</v>
      </c>
      <c r="B42" s="2"/>
      <c r="C42" s="88">
        <v>5</v>
      </c>
      <c r="D42" s="6"/>
      <c r="E42" s="2"/>
      <c r="F42" s="19"/>
      <c r="G42" s="3"/>
      <c r="H42" s="50"/>
      <c r="I42" s="29"/>
      <c r="J42" s="30"/>
      <c r="K42" s="50"/>
      <c r="L42" s="29"/>
      <c r="M42" s="30"/>
      <c r="N42" s="50"/>
      <c r="O42" s="2"/>
      <c r="P42" s="2"/>
    </row>
    <row r="43" spans="1:16" x14ac:dyDescent="0.25">
      <c r="A43" s="2" t="s">
        <v>77</v>
      </c>
      <c r="B43" s="2"/>
      <c r="C43" s="2"/>
      <c r="D43" s="2"/>
      <c r="E43" s="2"/>
      <c r="F43" s="19"/>
      <c r="G43" s="3"/>
      <c r="H43" s="58">
        <f>SUM(H38:H41)</f>
        <v>2.5</v>
      </c>
      <c r="I43" s="59"/>
      <c r="J43" s="60"/>
      <c r="K43" s="58">
        <f>SUM(K38:K41)</f>
        <v>3.75</v>
      </c>
      <c r="L43" s="59"/>
      <c r="M43" s="60"/>
      <c r="N43" s="58">
        <f>SUM(N38:N41)</f>
        <v>3.125</v>
      </c>
      <c r="O43" s="2"/>
      <c r="P43" s="2"/>
    </row>
    <row r="44" spans="1:16" x14ac:dyDescent="0.25">
      <c r="A44" s="2"/>
      <c r="B44" s="2"/>
      <c r="C44" s="2"/>
      <c r="D44" s="2"/>
      <c r="E44" s="2"/>
      <c r="F44" s="17"/>
      <c r="G44" s="18"/>
      <c r="H44" s="61"/>
      <c r="I44" s="17"/>
      <c r="J44" s="18"/>
      <c r="K44" s="61"/>
      <c r="L44" s="17"/>
      <c r="M44" s="18"/>
      <c r="N44" s="61"/>
      <c r="O44" s="2"/>
      <c r="P44" s="2"/>
    </row>
    <row r="45" spans="1:16" x14ac:dyDescent="0.25">
      <c r="A45" s="2" t="s">
        <v>14</v>
      </c>
      <c r="B45" s="2"/>
      <c r="C45" s="2"/>
      <c r="D45" s="2"/>
      <c r="E45" s="2"/>
      <c r="F45" s="17"/>
      <c r="G45" s="18"/>
      <c r="H45" s="62">
        <f>H32-H43</f>
        <v>5.4621438462329319</v>
      </c>
      <c r="I45" s="63"/>
      <c r="J45" s="64"/>
      <c r="K45" s="65">
        <f>K32-K43</f>
        <v>4.6960278867907128</v>
      </c>
      <c r="L45" s="63"/>
      <c r="M45" s="64"/>
      <c r="N45" s="62">
        <f>N32-N43</f>
        <v>5.0476820773241577</v>
      </c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6"/>
      <c r="H46" s="2"/>
      <c r="I46" s="6"/>
      <c r="J46" s="6"/>
      <c r="K46" s="2"/>
      <c r="L46" s="6"/>
      <c r="M46" s="6"/>
      <c r="N46" s="2"/>
      <c r="O46" s="2"/>
      <c r="P46" s="2"/>
    </row>
    <row r="47" spans="1:16" x14ac:dyDescent="0.25">
      <c r="A47" s="66" t="s">
        <v>11</v>
      </c>
      <c r="B47" s="66"/>
      <c r="C47" s="66"/>
      <c r="D47" s="66"/>
      <c r="E47" s="6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4F3F1B-BF62-42BB-99C6-71842013EC17}">
          <x14:formula1>
            <xm:f>'Norm omgerekend per perceel'!$D$7:$D$23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EDA0-5183-43A4-9F7A-0F699E567E65}">
  <dimension ref="D4:O44"/>
  <sheetViews>
    <sheetView workbookViewId="0">
      <selection activeCell="G27" sqref="G27"/>
    </sheetView>
  </sheetViews>
  <sheetFormatPr defaultRowHeight="15" x14ac:dyDescent="0.25"/>
  <cols>
    <col min="4" max="4" width="10.140625" customWidth="1"/>
    <col min="5" max="5" width="29.85546875" customWidth="1"/>
    <col min="6" max="6" width="13.140625" customWidth="1"/>
    <col min="7" max="7" width="14.140625" customWidth="1"/>
    <col min="8" max="8" width="21" customWidth="1"/>
    <col min="9" max="9" width="20.28515625" customWidth="1"/>
    <col min="10" max="10" width="19.85546875" customWidth="1"/>
    <col min="11" max="11" width="20.5703125" customWidth="1"/>
    <col min="12" max="12" width="23" customWidth="1"/>
    <col min="13" max="17" width="9.140625" customWidth="1"/>
  </cols>
  <sheetData>
    <row r="4" spans="4:15" x14ac:dyDescent="0.25">
      <c r="D4" s="90" t="s">
        <v>71</v>
      </c>
      <c r="E4" s="91"/>
      <c r="F4" s="91"/>
      <c r="G4" s="91"/>
      <c r="H4" s="7" t="s">
        <v>37</v>
      </c>
      <c r="I4" s="7" t="s">
        <v>38</v>
      </c>
      <c r="J4" s="7" t="s">
        <v>39</v>
      </c>
      <c r="K4" s="7" t="s">
        <v>40</v>
      </c>
      <c r="L4" s="7" t="s">
        <v>41</v>
      </c>
    </row>
    <row r="5" spans="4:15" x14ac:dyDescent="0.25">
      <c r="D5" s="7" t="s">
        <v>34</v>
      </c>
      <c r="E5" s="7" t="s">
        <v>35</v>
      </c>
      <c r="F5" s="7" t="s">
        <v>36</v>
      </c>
      <c r="G5" s="7" t="s">
        <v>19</v>
      </c>
      <c r="H5" s="10" t="s">
        <v>42</v>
      </c>
      <c r="I5" s="10" t="s">
        <v>42</v>
      </c>
      <c r="J5" s="10" t="s">
        <v>42</v>
      </c>
      <c r="K5" s="10" t="s">
        <v>42</v>
      </c>
      <c r="L5" s="10" t="s">
        <v>42</v>
      </c>
    </row>
    <row r="6" spans="4:15" x14ac:dyDescent="0.25">
      <c r="D6" s="89" t="s">
        <v>70</v>
      </c>
      <c r="E6" s="89"/>
      <c r="F6" s="89"/>
      <c r="G6" s="89"/>
      <c r="H6" s="8">
        <v>500</v>
      </c>
      <c r="I6" s="8">
        <v>6000</v>
      </c>
      <c r="J6" s="8">
        <v>1500</v>
      </c>
      <c r="K6" s="8">
        <v>1000</v>
      </c>
      <c r="L6" s="8">
        <v>1000</v>
      </c>
      <c r="O6" s="1">
        <v>100000</v>
      </c>
    </row>
    <row r="7" spans="4:15" x14ac:dyDescent="0.25">
      <c r="D7" s="11" t="s">
        <v>43</v>
      </c>
      <c r="E7" s="11" t="s">
        <v>60</v>
      </c>
      <c r="F7" s="11"/>
      <c r="G7" s="12">
        <v>95982.981870673597</v>
      </c>
      <c r="H7" s="13">
        <f>SUM($G7*H$6/$O$6)</f>
        <v>479.91490935336799</v>
      </c>
      <c r="I7" s="13">
        <f t="shared" ref="I7:L22" si="0">SUM($G7*I$6/$O$6)</f>
        <v>5758.9789122404154</v>
      </c>
      <c r="J7" s="13">
        <f t="shared" si="0"/>
        <v>1439.7447280601039</v>
      </c>
      <c r="K7" s="13">
        <f t="shared" si="0"/>
        <v>959.82981870673598</v>
      </c>
      <c r="L7" s="13">
        <f t="shared" si="0"/>
        <v>959.82981870673598</v>
      </c>
    </row>
    <row r="8" spans="4:15" x14ac:dyDescent="0.25">
      <c r="D8" s="11" t="s">
        <v>44</v>
      </c>
      <c r="E8" s="11" t="s">
        <v>61</v>
      </c>
      <c r="F8" s="11"/>
      <c r="G8" s="12">
        <v>151521.76489787808</v>
      </c>
      <c r="H8" s="13">
        <f t="shared" ref="H8:L23" si="1">SUM($G8*H$6/$O$6)</f>
        <v>757.60882448939037</v>
      </c>
      <c r="I8" s="13">
        <f t="shared" si="0"/>
        <v>9091.3058938726845</v>
      </c>
      <c r="J8" s="13">
        <f t="shared" si="0"/>
        <v>2272.8264734681711</v>
      </c>
      <c r="K8" s="13">
        <f t="shared" si="0"/>
        <v>1515.2176489787807</v>
      </c>
      <c r="L8" s="13">
        <f t="shared" si="0"/>
        <v>1515.2176489787807</v>
      </c>
    </row>
    <row r="9" spans="4:15" x14ac:dyDescent="0.25">
      <c r="D9" s="11" t="s">
        <v>45</v>
      </c>
      <c r="E9" s="11" t="s">
        <v>61</v>
      </c>
      <c r="F9" s="11"/>
      <c r="G9" s="12">
        <v>171042.8501223526</v>
      </c>
      <c r="H9" s="13">
        <f t="shared" si="1"/>
        <v>855.21425061176296</v>
      </c>
      <c r="I9" s="13">
        <f t="shared" si="0"/>
        <v>10262.571007341156</v>
      </c>
      <c r="J9" s="13">
        <f t="shared" si="0"/>
        <v>2565.6427518352889</v>
      </c>
      <c r="K9" s="13">
        <f t="shared" si="0"/>
        <v>1710.4285012235259</v>
      </c>
      <c r="L9" s="13">
        <f t="shared" si="0"/>
        <v>1710.4285012235259</v>
      </c>
    </row>
    <row r="10" spans="4:15" x14ac:dyDescent="0.25">
      <c r="D10" s="11" t="s">
        <v>46</v>
      </c>
      <c r="E10" s="11" t="s">
        <v>62</v>
      </c>
      <c r="F10" s="11"/>
      <c r="G10" s="12">
        <v>112411.76707406546</v>
      </c>
      <c r="H10" s="13">
        <f t="shared" si="1"/>
        <v>562.0588353703273</v>
      </c>
      <c r="I10" s="13">
        <f t="shared" si="0"/>
        <v>6744.7060244439281</v>
      </c>
      <c r="J10" s="13">
        <f t="shared" si="0"/>
        <v>1686.176506110982</v>
      </c>
      <c r="K10" s="13">
        <f t="shared" si="0"/>
        <v>1124.1176707406546</v>
      </c>
      <c r="L10" s="13">
        <f t="shared" si="0"/>
        <v>1124.1176707406546</v>
      </c>
    </row>
    <row r="11" spans="4:15" x14ac:dyDescent="0.25">
      <c r="D11" s="11" t="s">
        <v>47</v>
      </c>
      <c r="E11" s="11" t="s">
        <v>62</v>
      </c>
      <c r="F11" s="11"/>
      <c r="G11" s="12">
        <v>170647.02392291752</v>
      </c>
      <c r="H11" s="13">
        <f t="shared" si="1"/>
        <v>853.23511961458757</v>
      </c>
      <c r="I11" s="13">
        <f t="shared" si="0"/>
        <v>10238.821435375052</v>
      </c>
      <c r="J11" s="13">
        <f t="shared" si="0"/>
        <v>2559.705358843763</v>
      </c>
      <c r="K11" s="13">
        <f t="shared" si="0"/>
        <v>1706.4702392291751</v>
      </c>
      <c r="L11" s="13">
        <f t="shared" si="0"/>
        <v>1706.4702392291751</v>
      </c>
    </row>
    <row r="12" spans="4:15" x14ac:dyDescent="0.25">
      <c r="D12" s="11" t="s">
        <v>48</v>
      </c>
      <c r="E12" s="11" t="s">
        <v>63</v>
      </c>
      <c r="F12" s="11"/>
      <c r="G12" s="12">
        <v>111225.37649052319</v>
      </c>
      <c r="H12" s="13">
        <f t="shared" si="1"/>
        <v>556.12688245261597</v>
      </c>
      <c r="I12" s="13">
        <f t="shared" si="0"/>
        <v>6673.5225894313917</v>
      </c>
      <c r="J12" s="13">
        <f t="shared" si="0"/>
        <v>1668.3806473578479</v>
      </c>
      <c r="K12" s="13">
        <f t="shared" si="0"/>
        <v>1112.2537649052319</v>
      </c>
      <c r="L12" s="13">
        <f t="shared" si="0"/>
        <v>1112.2537649052319</v>
      </c>
    </row>
    <row r="13" spans="4:15" x14ac:dyDescent="0.25">
      <c r="D13" s="11" t="s">
        <v>49</v>
      </c>
      <c r="E13" s="11" t="s">
        <v>63</v>
      </c>
      <c r="F13" s="11"/>
      <c r="G13" s="12">
        <v>267451.11000394984</v>
      </c>
      <c r="H13" s="13">
        <f t="shared" si="1"/>
        <v>1337.2555500197493</v>
      </c>
      <c r="I13" s="13">
        <f t="shared" si="0"/>
        <v>16047.066600236991</v>
      </c>
      <c r="J13" s="13">
        <f t="shared" si="0"/>
        <v>4011.7666500592477</v>
      </c>
      <c r="K13" s="13">
        <f t="shared" si="0"/>
        <v>2674.5111000394986</v>
      </c>
      <c r="L13" s="13">
        <f t="shared" si="0"/>
        <v>2674.5111000394986</v>
      </c>
    </row>
    <row r="14" spans="4:15" x14ac:dyDescent="0.25">
      <c r="D14" s="11" t="s">
        <v>50</v>
      </c>
      <c r="E14" s="11" t="s">
        <v>64</v>
      </c>
      <c r="F14" s="11"/>
      <c r="G14" s="12">
        <v>291229.7913297218</v>
      </c>
      <c r="H14" s="13">
        <f t="shared" si="1"/>
        <v>1456.1489566486091</v>
      </c>
      <c r="I14" s="13">
        <f t="shared" si="0"/>
        <v>17473.78747978331</v>
      </c>
      <c r="J14" s="13">
        <f t="shared" si="0"/>
        <v>4368.4468699458275</v>
      </c>
      <c r="K14" s="13">
        <f t="shared" si="0"/>
        <v>2912.2979132972182</v>
      </c>
      <c r="L14" s="13">
        <f t="shared" si="0"/>
        <v>2912.2979132972182</v>
      </c>
    </row>
    <row r="15" spans="4:15" x14ac:dyDescent="0.25">
      <c r="D15" s="11" t="s">
        <v>51</v>
      </c>
      <c r="E15" s="11" t="s">
        <v>64</v>
      </c>
      <c r="F15" s="11"/>
      <c r="G15" s="12">
        <v>218186.113198459</v>
      </c>
      <c r="H15" s="13">
        <f t="shared" si="1"/>
        <v>1090.930565992295</v>
      </c>
      <c r="I15" s="13">
        <f t="shared" si="0"/>
        <v>13091.166791907539</v>
      </c>
      <c r="J15" s="13">
        <f t="shared" si="0"/>
        <v>3272.7916979768847</v>
      </c>
      <c r="K15" s="13">
        <f t="shared" si="0"/>
        <v>2181.86113198459</v>
      </c>
      <c r="L15" s="13">
        <f t="shared" si="0"/>
        <v>2181.86113198459</v>
      </c>
    </row>
    <row r="16" spans="4:15" x14ac:dyDescent="0.25">
      <c r="D16" s="11" t="s">
        <v>52</v>
      </c>
      <c r="E16" s="11" t="s">
        <v>65</v>
      </c>
      <c r="F16" s="11"/>
      <c r="G16" s="12">
        <v>321858.1137663314</v>
      </c>
      <c r="H16" s="13">
        <f t="shared" si="1"/>
        <v>1609.2905688316569</v>
      </c>
      <c r="I16" s="13">
        <f t="shared" si="0"/>
        <v>19311.486825979882</v>
      </c>
      <c r="J16" s="13">
        <f t="shared" si="0"/>
        <v>4827.8717064949706</v>
      </c>
      <c r="K16" s="13">
        <f t="shared" si="0"/>
        <v>3218.5811376633137</v>
      </c>
      <c r="L16" s="13">
        <f t="shared" si="0"/>
        <v>3218.5811376633137</v>
      </c>
    </row>
    <row r="17" spans="4:12" x14ac:dyDescent="0.25">
      <c r="D17" s="11" t="s">
        <v>53</v>
      </c>
      <c r="E17" s="11" t="s">
        <v>66</v>
      </c>
      <c r="F17" s="11"/>
      <c r="G17" s="12">
        <v>313166.80561367475</v>
      </c>
      <c r="H17" s="13">
        <f t="shared" si="1"/>
        <v>1565.8340280683738</v>
      </c>
      <c r="I17" s="13">
        <f t="shared" si="0"/>
        <v>18790.008336820487</v>
      </c>
      <c r="J17" s="13">
        <f t="shared" si="0"/>
        <v>4697.5020842051217</v>
      </c>
      <c r="K17" s="13">
        <f t="shared" si="0"/>
        <v>3131.6680561367475</v>
      </c>
      <c r="L17" s="13">
        <f t="shared" si="0"/>
        <v>3131.6680561367475</v>
      </c>
    </row>
    <row r="18" spans="4:12" x14ac:dyDescent="0.25">
      <c r="D18" s="11" t="s">
        <v>54</v>
      </c>
      <c r="E18" s="11" t="s">
        <v>67</v>
      </c>
      <c r="F18" s="11"/>
      <c r="G18" s="12">
        <v>218032.06519757709</v>
      </c>
      <c r="H18" s="13">
        <f t="shared" si="1"/>
        <v>1090.1603259878855</v>
      </c>
      <c r="I18" s="13">
        <f t="shared" si="0"/>
        <v>13081.923911854625</v>
      </c>
      <c r="J18" s="13">
        <f t="shared" si="0"/>
        <v>3270.4809779636562</v>
      </c>
      <c r="K18" s="13">
        <f t="shared" si="0"/>
        <v>2180.3206519757709</v>
      </c>
      <c r="L18" s="13">
        <f t="shared" si="0"/>
        <v>2180.3206519757709</v>
      </c>
    </row>
    <row r="19" spans="4:12" x14ac:dyDescent="0.25">
      <c r="D19" s="11" t="s">
        <v>55</v>
      </c>
      <c r="E19" s="11" t="s">
        <v>67</v>
      </c>
      <c r="F19" s="11"/>
      <c r="G19" s="12">
        <v>167724.02421010728</v>
      </c>
      <c r="H19" s="13">
        <f t="shared" si="1"/>
        <v>838.62012105053634</v>
      </c>
      <c r="I19" s="13">
        <f t="shared" si="0"/>
        <v>10063.441452606437</v>
      </c>
      <c r="J19" s="13">
        <f t="shared" si="0"/>
        <v>2515.8603631516094</v>
      </c>
      <c r="K19" s="13">
        <f t="shared" si="0"/>
        <v>1677.2402421010727</v>
      </c>
      <c r="L19" s="13">
        <f t="shared" si="0"/>
        <v>1677.2402421010727</v>
      </c>
    </row>
    <row r="20" spans="4:12" x14ac:dyDescent="0.25">
      <c r="D20" s="11" t="s">
        <v>56</v>
      </c>
      <c r="E20" s="11" t="s">
        <v>67</v>
      </c>
      <c r="F20" s="11"/>
      <c r="G20" s="12">
        <v>188161.3500096217</v>
      </c>
      <c r="H20" s="13">
        <f t="shared" si="1"/>
        <v>940.8067500481086</v>
      </c>
      <c r="I20" s="13">
        <f t="shared" si="0"/>
        <v>11289.681000577302</v>
      </c>
      <c r="J20" s="13">
        <f t="shared" si="0"/>
        <v>2822.4202501443256</v>
      </c>
      <c r="K20" s="13">
        <f t="shared" si="0"/>
        <v>1881.6135000962172</v>
      </c>
      <c r="L20" s="13">
        <f t="shared" si="0"/>
        <v>1881.6135000962172</v>
      </c>
    </row>
    <row r="21" spans="4:12" x14ac:dyDescent="0.25">
      <c r="D21" s="11" t="s">
        <v>57</v>
      </c>
      <c r="E21" s="11" t="s">
        <v>68</v>
      </c>
      <c r="F21" s="11"/>
      <c r="G21" s="12">
        <v>45258.011398080736</v>
      </c>
      <c r="H21" s="13">
        <f t="shared" si="1"/>
        <v>226.29005699040368</v>
      </c>
      <c r="I21" s="13">
        <f t="shared" si="0"/>
        <v>2715.480683884844</v>
      </c>
      <c r="J21" s="13">
        <f t="shared" si="0"/>
        <v>678.870170971211</v>
      </c>
      <c r="K21" s="13">
        <f t="shared" si="0"/>
        <v>452.58011398080737</v>
      </c>
      <c r="L21" s="13">
        <f t="shared" si="0"/>
        <v>452.58011398080737</v>
      </c>
    </row>
    <row r="22" spans="4:12" x14ac:dyDescent="0.25">
      <c r="D22" s="11" t="s">
        <v>58</v>
      </c>
      <c r="E22" s="11" t="s">
        <v>69</v>
      </c>
      <c r="F22" s="11"/>
      <c r="G22" s="12">
        <v>214912.79676445323</v>
      </c>
      <c r="H22" s="13">
        <f t="shared" si="1"/>
        <v>1074.5639838222662</v>
      </c>
      <c r="I22" s="13">
        <f t="shared" si="0"/>
        <v>12894.767805867195</v>
      </c>
      <c r="J22" s="13">
        <f t="shared" si="0"/>
        <v>3223.6919514667989</v>
      </c>
      <c r="K22" s="13">
        <f t="shared" si="0"/>
        <v>2149.1279676445324</v>
      </c>
      <c r="L22" s="13">
        <f t="shared" si="0"/>
        <v>2149.1279676445324</v>
      </c>
    </row>
    <row r="23" spans="4:12" x14ac:dyDescent="0.25">
      <c r="D23" s="11" t="s">
        <v>59</v>
      </c>
      <c r="E23" s="11" t="s">
        <v>69</v>
      </c>
      <c r="F23" s="11"/>
      <c r="G23" s="12">
        <v>220592.56949563001</v>
      </c>
      <c r="H23" s="13">
        <f t="shared" si="1"/>
        <v>1102.96284747815</v>
      </c>
      <c r="I23" s="13">
        <f t="shared" si="1"/>
        <v>13235.554169737801</v>
      </c>
      <c r="J23" s="13">
        <f t="shared" si="1"/>
        <v>3308.8885424344503</v>
      </c>
      <c r="K23" s="13">
        <f t="shared" si="1"/>
        <v>2205.9256949563</v>
      </c>
      <c r="L23" s="13">
        <f t="shared" si="1"/>
        <v>2205.9256949563</v>
      </c>
    </row>
    <row r="26" spans="4:12" x14ac:dyDescent="0.25">
      <c r="D26" t="s">
        <v>83</v>
      </c>
    </row>
    <row r="27" spans="4:12" x14ac:dyDescent="0.25">
      <c r="D27" s="85" t="s">
        <v>84</v>
      </c>
      <c r="E27" s="85" t="s">
        <v>85</v>
      </c>
    </row>
    <row r="28" spans="4:12" x14ac:dyDescent="0.25">
      <c r="D28" s="86" t="s">
        <v>43</v>
      </c>
      <c r="E28" s="11" t="s">
        <v>86</v>
      </c>
    </row>
    <row r="29" spans="4:12" x14ac:dyDescent="0.25">
      <c r="D29" s="86" t="s">
        <v>44</v>
      </c>
      <c r="E29" s="11" t="s">
        <v>86</v>
      </c>
    </row>
    <row r="30" spans="4:12" x14ac:dyDescent="0.25">
      <c r="D30" s="86" t="s">
        <v>45</v>
      </c>
      <c r="E30" s="11" t="s">
        <v>86</v>
      </c>
    </row>
    <row r="31" spans="4:12" x14ac:dyDescent="0.25">
      <c r="D31" s="86" t="s">
        <v>46</v>
      </c>
      <c r="E31" s="11" t="s">
        <v>86</v>
      </c>
    </row>
    <row r="32" spans="4:12" x14ac:dyDescent="0.25">
      <c r="D32" s="86" t="s">
        <v>47</v>
      </c>
      <c r="E32" s="11" t="s">
        <v>86</v>
      </c>
    </row>
    <row r="33" spans="4:5" x14ac:dyDescent="0.25">
      <c r="D33" s="86" t="s">
        <v>48</v>
      </c>
      <c r="E33" s="11" t="s">
        <v>86</v>
      </c>
    </row>
    <row r="34" spans="4:5" x14ac:dyDescent="0.25">
      <c r="D34" s="86" t="s">
        <v>49</v>
      </c>
      <c r="E34" s="11" t="s">
        <v>86</v>
      </c>
    </row>
    <row r="35" spans="4:5" x14ac:dyDescent="0.25">
      <c r="D35" s="86" t="s">
        <v>50</v>
      </c>
      <c r="E35" s="11" t="s">
        <v>86</v>
      </c>
    </row>
    <row r="36" spans="4:5" x14ac:dyDescent="0.25">
      <c r="D36" s="86" t="s">
        <v>51</v>
      </c>
      <c r="E36" s="11" t="s">
        <v>86</v>
      </c>
    </row>
    <row r="37" spans="4:5" x14ac:dyDescent="0.25">
      <c r="D37" s="86" t="s">
        <v>52</v>
      </c>
      <c r="E37" s="11" t="s">
        <v>86</v>
      </c>
    </row>
    <row r="38" spans="4:5" x14ac:dyDescent="0.25">
      <c r="D38" s="86" t="s">
        <v>53</v>
      </c>
      <c r="E38" s="11" t="s">
        <v>86</v>
      </c>
    </row>
    <row r="39" spans="4:5" x14ac:dyDescent="0.25">
      <c r="D39" s="86" t="s">
        <v>54</v>
      </c>
      <c r="E39" s="11" t="s">
        <v>86</v>
      </c>
    </row>
    <row r="40" spans="4:5" x14ac:dyDescent="0.25">
      <c r="D40" s="86" t="s">
        <v>55</v>
      </c>
      <c r="E40" s="11" t="s">
        <v>86</v>
      </c>
    </row>
    <row r="41" spans="4:5" x14ac:dyDescent="0.25">
      <c r="D41" s="86" t="s">
        <v>56</v>
      </c>
      <c r="E41" s="11" t="s">
        <v>87</v>
      </c>
    </row>
    <row r="42" spans="4:5" x14ac:dyDescent="0.25">
      <c r="D42" s="86" t="s">
        <v>57</v>
      </c>
      <c r="E42" s="11" t="s">
        <v>86</v>
      </c>
    </row>
    <row r="43" spans="4:5" x14ac:dyDescent="0.25">
      <c r="D43" s="86" t="s">
        <v>58</v>
      </c>
      <c r="E43" s="11" t="s">
        <v>87</v>
      </c>
    </row>
    <row r="44" spans="4:5" x14ac:dyDescent="0.25">
      <c r="D44" s="86" t="s">
        <v>59</v>
      </c>
      <c r="E44" s="11" t="s">
        <v>86</v>
      </c>
    </row>
  </sheetData>
  <sheetProtection algorithmName="SHA-512" hashValue="2RxAEzhXol/05Xpcmb3J7+A7sKpT9sKPMJUFrqpZn2fKE/tXHPGMBB5+BFqc8U6bMbFwHBU6+CmuCUc4xlJr3w==" saltValue="rphRsSTnemwCCOEOQyCXdg==" spinCount="100000" sheet="1" objects="1" scenarios="1"/>
  <mergeCells count="2">
    <mergeCell ref="D6:G6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 EMVI</vt:lpstr>
      <vt:lpstr>Norm omgerekend per perceel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Guntlisbergen</dc:creator>
  <cp:lastModifiedBy>Plugge, Ruben</cp:lastModifiedBy>
  <cp:lastPrinted>2019-04-04T06:44:13Z</cp:lastPrinted>
  <dcterms:created xsi:type="dcterms:W3CDTF">2017-11-22T17:24:47Z</dcterms:created>
  <dcterms:modified xsi:type="dcterms:W3CDTF">2024-03-07T09:20:41Z</dcterms:modified>
</cp:coreProperties>
</file>