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GGD NO\Aanbesteding\Correspondentie\NvI\"/>
    </mc:Choice>
  </mc:AlternateContent>
  <xr:revisionPtr revIDLastSave="0" documentId="13_ncr:1_{211536A1-D7B9-4292-9A6A-67752F213DF7}" xr6:coauthVersionLast="47" xr6:coauthVersionMax="47" xr10:uidLastSave="{00000000-0000-0000-0000-000000000000}"/>
  <bookViews>
    <workbookView xWindow="-120" yWindow="-120" windowWidth="30960" windowHeight="16800" xr2:uid="{5F8AA949-1B17-443D-9109-0A67795370B4}"/>
  </bookViews>
  <sheets>
    <sheet name="Blad1" sheetId="16" r:id="rId1"/>
    <sheet name="Omreken" sheetId="1" r:id="rId2"/>
    <sheet name="Categorienormen" sheetId="2" r:id="rId3"/>
    <sheet name="Regulier werk" sheetId="3" r:id="rId4"/>
    <sheet name="Ruimten werkdag" sheetId="4" r:id="rId5"/>
    <sheet name="Objectinformatie" sheetId="5" r:id="rId6"/>
    <sheet name="Objecten" sheetId="6" r:id="rId7"/>
    <sheet name="Niet-meewerkende objectleiding" sheetId="7" r:id="rId8"/>
    <sheet name="Totaalblad Objecten" sheetId="8" r:id="rId9"/>
    <sheet name="Additioneel werk" sheetId="9" r:id="rId10"/>
    <sheet name="Additioneel werk per locatie" sheetId="10" r:id="rId11"/>
    <sheet name="Afroep" sheetId="11" r:id="rId12"/>
    <sheet name="Afroep incidenteel" sheetId="12" r:id="rId13"/>
    <sheet name="Glas" sheetId="13" r:id="rId14"/>
    <sheet name="Glas per locatie" sheetId="14" r:id="rId15"/>
    <sheet name="Totaal" sheetId="15" r:id="rId16"/>
  </sheets>
  <definedNames>
    <definedName name="_xlnm._FilterDatabase" localSheetId="4" hidden="1">'Ruimten werkdag'!$A$3:$R$201</definedName>
    <definedName name="_xlnm.Print_Titles" localSheetId="9">'Additioneel werk'!$1:$3</definedName>
    <definedName name="_xlnm.Print_Titles" localSheetId="10">'Additioneel werk per locatie'!$1:$3</definedName>
    <definedName name="_xlnm.Print_Titles" localSheetId="11">Afroep!$1:$3</definedName>
    <definedName name="_xlnm.Print_Titles" localSheetId="12">'Afroep incidenteel'!$1:$3</definedName>
    <definedName name="_xlnm.Print_Titles" localSheetId="2">Categorienormen!$1:$3</definedName>
    <definedName name="_xlnm.Print_Titles" localSheetId="13">Glas!$1:$3</definedName>
    <definedName name="_xlnm.Print_Titles" localSheetId="14">'Glas per locatie'!$1:$3</definedName>
    <definedName name="_xlnm.Print_Titles" localSheetId="7">'Niet-meewerkende objectleiding'!$1:$3</definedName>
    <definedName name="_xlnm.Print_Titles" localSheetId="6">Objecten!$1:$3</definedName>
    <definedName name="_xlnm.Print_Titles" localSheetId="5">Objectinformatie!$A:$D,Objectinformatie!$1:$4</definedName>
    <definedName name="_xlnm.Print_Titles" localSheetId="3">'Regulier werk'!$1:$3</definedName>
    <definedName name="_xlnm.Print_Titles" localSheetId="4">'Ruimten werkdag'!$1:$3</definedName>
    <definedName name="_xlnm.Print_Titles" localSheetId="15">Totaal!$1:$3</definedName>
    <definedName name="_xlnm.Print_Titles" localSheetId="8">'Totaalblad Objecten'!$1:$3</definedName>
    <definedName name="catdw_1_AHB_1">Categorienormen!$F$20</definedName>
    <definedName name="catdw_1_AHV_12">Categorienormen!$F$21</definedName>
    <definedName name="catdw_1_BHB_1">Categorienormen!$F$6</definedName>
    <definedName name="catdw_1_BHV_51">Categorienormen!$F$7</definedName>
    <definedName name="catdw_1_BZB_1">Categorienormen!$F$8</definedName>
    <definedName name="catdw_1_BZV_51">Categorienormen!$F$9</definedName>
    <definedName name="catdw_1_DHB_1">Categorienormen!$F$16</definedName>
    <definedName name="catdw_1_DHV_51">Categorienormen!$F$17</definedName>
    <definedName name="catdw_1_EZB_1">Categorienormen!$F$22</definedName>
    <definedName name="catdw_1_EZV_51">Categorienormen!$F$23</definedName>
    <definedName name="catdw_1_FHB_1">Categorienormen!$F$24</definedName>
    <definedName name="catdw_1_FHV_51">Categorienormen!$F$25</definedName>
    <definedName name="catdw_1_HHB_1">Categorienormen!$F$10</definedName>
    <definedName name="catdw_1_HHV_51">Categorienormen!$F$11</definedName>
    <definedName name="catdw_1_KPHB_1">Categorienormen!$F$26</definedName>
    <definedName name="catdw_1_KPHV_51">Categorienormen!$F$27</definedName>
    <definedName name="catdw_1_OHB_1">Categorienormen!$F$12</definedName>
    <definedName name="catdw_1_OHV_51">Categorienormen!$F$13</definedName>
    <definedName name="catdw_1_OZB_1">Categorienormen!$F$14</definedName>
    <definedName name="catdw_1_OZV_51">Categorienormen!$F$15</definedName>
    <definedName name="catdw_1_SHB_1">Categorienormen!$F$18</definedName>
    <definedName name="catdw_1_SHV_51">Categorienormen!$F$19</definedName>
    <definedName name="catdw_1_THB_1">Categorienormen!$F$28</definedName>
    <definedName name="catdw_1_THV_51">Categorienormen!$F$29</definedName>
    <definedName name="catdw_1_TZB_1">Categorienormen!$F$30</definedName>
    <definedName name="catdw_1_TZV_51">Categorienormen!$F$31</definedName>
    <definedName name="catdw_1_VHB_1">Categorienormen!$F$32</definedName>
    <definedName name="catdw_1_VHV_51">Categorienormen!$F$33</definedName>
    <definedName name="catdw_1_VZB_1">Categorienormen!$F$34</definedName>
    <definedName name="catdw_1_VZV_51">Categorienormen!$F$35</definedName>
    <definedName name="catdw_1_WHB_1">Categorienormen!$F$36</definedName>
    <definedName name="catdw_1_WHV_51">Categorienormen!$F$37</definedName>
    <definedName name="catdw_1_WZB_1">Categorienormen!$F$38</definedName>
    <definedName name="catdw_1_WZV_51">Categorienormen!$F$39</definedName>
    <definedName name="catfd_1_AHB_1">Categorienormen!$C$20</definedName>
    <definedName name="catfd_1_AHV_12">Categorienormen!$C$21</definedName>
    <definedName name="catfd_1_BHB_1">Categorienormen!$C$6</definedName>
    <definedName name="catfd_1_BHV_51">Categorienormen!$C$7</definedName>
    <definedName name="catfd_1_BZB_1">Categorienormen!$C$8</definedName>
    <definedName name="catfd_1_BZV_51">Categorienormen!$C$9</definedName>
    <definedName name="catfd_1_DHB_1">Categorienormen!$C$16</definedName>
    <definedName name="catfd_1_DHV_51">Categorienormen!$C$17</definedName>
    <definedName name="catfd_1_EZB_1">Categorienormen!$C$22</definedName>
    <definedName name="catfd_1_EZV_51">Categorienormen!$C$23</definedName>
    <definedName name="catfd_1_FHB_1">Categorienormen!$C$24</definedName>
    <definedName name="catfd_1_FHV_51">Categorienormen!$C$25</definedName>
    <definedName name="catfd_1_HHB_1">Categorienormen!$C$10</definedName>
    <definedName name="catfd_1_HHV_51">Categorienormen!$C$11</definedName>
    <definedName name="catfd_1_KPHB_1">Categorienormen!$C$26</definedName>
    <definedName name="catfd_1_KPHV_51">Categorienormen!$C$27</definedName>
    <definedName name="catfd_1_OHB_1">Categorienormen!$C$12</definedName>
    <definedName name="catfd_1_OHV_51">Categorienormen!$C$13</definedName>
    <definedName name="catfd_1_OZB_1">Categorienormen!$C$14</definedName>
    <definedName name="catfd_1_OZV_51">Categorienormen!$C$15</definedName>
    <definedName name="catfd_1_SHB_1">Categorienormen!$C$18</definedName>
    <definedName name="catfd_1_SHV_51">Categorienormen!$C$19</definedName>
    <definedName name="catfd_1_THB_1">Categorienormen!$C$28</definedName>
    <definedName name="catfd_1_THV_51">Categorienormen!$C$29</definedName>
    <definedName name="catfd_1_TZB_1">Categorienormen!$C$30</definedName>
    <definedName name="catfd_1_TZV_51">Categorienormen!$C$31</definedName>
    <definedName name="catfd_1_VHB_1">Categorienormen!$C$32</definedName>
    <definedName name="catfd_1_VHV_51">Categorienormen!$C$33</definedName>
    <definedName name="catfd_1_VZB_1">Categorienormen!$C$34</definedName>
    <definedName name="catfd_1_VZV_51">Categorienormen!$C$35</definedName>
    <definedName name="catfd_1_WHB_1">Categorienormen!$C$36</definedName>
    <definedName name="catfd_1_WHV_51">Categorienormen!$C$37</definedName>
    <definedName name="catfd_1_WZB_1">Categorienormen!$C$38</definedName>
    <definedName name="catfd_1_WZV_51">Categorienormen!$C$39</definedName>
    <definedName name="catpn_1_AHB_1">Categorienormen!$E$20</definedName>
    <definedName name="catpn_1_AHV_12">Categorienormen!$E$21</definedName>
    <definedName name="catpn_1_BHB_1">Categorienormen!$E$6</definedName>
    <definedName name="catpn_1_BHV_51">Categorienormen!$E$7</definedName>
    <definedName name="catpn_1_BZB_1">Categorienormen!$E$8</definedName>
    <definedName name="catpn_1_BZV_51">Categorienormen!$E$9</definedName>
    <definedName name="catpn_1_DHB_1">Categorienormen!$E$16</definedName>
    <definedName name="catpn_1_DHV_51">Categorienormen!$E$17</definedName>
    <definedName name="catpn_1_EZB_1">Categorienormen!$E$22</definedName>
    <definedName name="catpn_1_EZV_51">Categorienormen!$E$23</definedName>
    <definedName name="catpn_1_FHB_1">Categorienormen!$E$24</definedName>
    <definedName name="catpn_1_FHV_51">Categorienormen!$E$25</definedName>
    <definedName name="catpn_1_HHB_1">Categorienormen!$E$10</definedName>
    <definedName name="catpn_1_HHV_51">Categorienormen!$E$11</definedName>
    <definedName name="catpn_1_KPHB_1">Categorienormen!$E$26</definedName>
    <definedName name="catpn_1_KPHV_51">Categorienormen!$E$27</definedName>
    <definedName name="catpn_1_OHB_1">Categorienormen!$E$12</definedName>
    <definedName name="catpn_1_OHV_51">Categorienormen!$E$13</definedName>
    <definedName name="catpn_1_OZB_1">Categorienormen!$E$14</definedName>
    <definedName name="catpn_1_OZV_51">Categorienormen!$E$15</definedName>
    <definedName name="catpn_1_SHB_1">Categorienormen!$E$18</definedName>
    <definedName name="catpn_1_SHV_51">Categorienormen!$E$19</definedName>
    <definedName name="catpn_1_THB_1">Categorienormen!$E$28</definedName>
    <definedName name="catpn_1_THV_51">Categorienormen!$E$29</definedName>
    <definedName name="catpn_1_TZB_1">Categorienormen!$E$30</definedName>
    <definedName name="catpn_1_TZV_51">Categorienormen!$E$31</definedName>
    <definedName name="catpn_1_VHB_1">Categorienormen!$E$32</definedName>
    <definedName name="catpn_1_VHV_51">Categorienormen!$E$33</definedName>
    <definedName name="catpn_1_VZB_1">Categorienormen!$E$34</definedName>
    <definedName name="catpn_1_VZV_51">Categorienormen!$E$35</definedName>
    <definedName name="catpn_1_WHB_1">Categorienormen!$E$36</definedName>
    <definedName name="catpn_1_WHV_51">Categorienormen!$E$37</definedName>
    <definedName name="catpn_1_WZB_1">Categorienormen!$E$38</definedName>
    <definedName name="catpn_1_WZV_51">Categorienormen!$E$39</definedName>
    <definedName name="cattf_1_AHB_1">Categorienormen!$H$20</definedName>
    <definedName name="cattf_1_AHV_12">Categorienormen!$H$21</definedName>
    <definedName name="cattf_1_BHB_1">Categorienormen!$H$6</definedName>
    <definedName name="cattf_1_BHV_51">Categorienormen!$H$7</definedName>
    <definedName name="cattf_1_BZB_1">Categorienormen!$H$8</definedName>
    <definedName name="cattf_1_BZV_51">Categorienormen!$H$9</definedName>
    <definedName name="cattf_1_DHB_1">Categorienormen!$H$16</definedName>
    <definedName name="cattf_1_DHV_51">Categorienormen!$H$17</definedName>
    <definedName name="cattf_1_EZB_1">Categorienormen!$H$22</definedName>
    <definedName name="cattf_1_EZV_51">Categorienormen!$H$23</definedName>
    <definedName name="cattf_1_FHB_1">Categorienormen!$H$24</definedName>
    <definedName name="cattf_1_FHV_51">Categorienormen!$H$25</definedName>
    <definedName name="cattf_1_HHB_1">Categorienormen!$H$10</definedName>
    <definedName name="cattf_1_HHV_51">Categorienormen!$H$11</definedName>
    <definedName name="cattf_1_KPHB_1">Categorienormen!$H$26</definedName>
    <definedName name="cattf_1_KPHV_51">Categorienormen!$H$27</definedName>
    <definedName name="cattf_1_OHB_1">Categorienormen!$H$12</definedName>
    <definedName name="cattf_1_OHV_51">Categorienormen!$H$13</definedName>
    <definedName name="cattf_1_OZB_1">Categorienormen!$H$14</definedName>
    <definedName name="cattf_1_OZV_51">Categorienormen!$H$15</definedName>
    <definedName name="cattf_1_SHB_1">Categorienormen!$H$18</definedName>
    <definedName name="cattf_1_SHV_51">Categorienormen!$H$19</definedName>
    <definedName name="cattf_1_THB_1">Categorienormen!$H$28</definedName>
    <definedName name="cattf_1_THV_51">Categorienormen!$H$29</definedName>
    <definedName name="cattf_1_TZB_1">Categorienormen!$H$30</definedName>
    <definedName name="cattf_1_TZV_51">Categorienormen!$H$31</definedName>
    <definedName name="cattf_1_VHB_1">Categorienormen!$H$32</definedName>
    <definedName name="cattf_1_VHV_51">Categorienormen!$H$33</definedName>
    <definedName name="cattf_1_VZB_1">Categorienormen!$H$34</definedName>
    <definedName name="cattf_1_VZV_51">Categorienormen!$H$35</definedName>
    <definedName name="cattf_1_WHB_1">Categorienormen!$H$36</definedName>
    <definedName name="cattf_1_WHV_51">Categorienormen!$H$37</definedName>
    <definedName name="cattf_1_WZB_1">Categorienormen!$H$38</definedName>
    <definedName name="cattf_1_WZV_51">Categorienormen!$H$39</definedName>
    <definedName name="dagenperjaar1">Omreken!$B$9</definedName>
    <definedName name="dagenperweek1">Omreken!$B$10</definedName>
    <definedName name="dagsoorttabel1">Omreken!$A$13:$B$24</definedName>
    <definedName name="gemuurtarief1">'Regulier werk'!$I$36</definedName>
    <definedName name="kengetaltabel1">Objectinformatie!$G$5:$G$32</definedName>
    <definedName name="object1_gemuurtarief1">'Ruimten werkdag'!$N$24</definedName>
    <definedName name="object1_opptabel1">Objectinformatie!$I$5:$I$32</definedName>
    <definedName name="object1_prijsdag1">'Ruimten werkdag'!$P$24</definedName>
    <definedName name="object1_prijsjaar1">'Ruimten werkdag'!$R$24</definedName>
    <definedName name="object1_urendag1">'Ruimten werkdag'!$O$24</definedName>
    <definedName name="object1_urenjaar1">'Ruimten werkdag'!$Q$24</definedName>
    <definedName name="object2_gemuurtarief1">'Ruimten werkdag'!$N$43</definedName>
    <definedName name="object2_opptabel1">Objectinformatie!$J$5:$J$32</definedName>
    <definedName name="object2_prijsdag1">'Ruimten werkdag'!$P$43</definedName>
    <definedName name="object2_prijsjaar1">'Ruimten werkdag'!$R$43</definedName>
    <definedName name="object2_urendag1">'Ruimten werkdag'!$O$43</definedName>
    <definedName name="object2_urenjaar1">'Ruimten werkdag'!$Q$43</definedName>
    <definedName name="object3_gemuurtarief1">'Ruimten werkdag'!$N$150</definedName>
    <definedName name="object3_opptabel1">Objectinformatie!$K$5:$K$32</definedName>
    <definedName name="object3_prijsdag1">'Ruimten werkdag'!$P$150</definedName>
    <definedName name="object3_prijsjaar1">'Ruimten werkdag'!$R$150</definedName>
    <definedName name="object3_urendag1">'Ruimten werkdag'!$O$150</definedName>
    <definedName name="object3_urenjaar1">'Ruimten werkdag'!$Q$150</definedName>
    <definedName name="object4_gemuurtarief1">'Ruimten werkdag'!$N$179</definedName>
    <definedName name="object4_opptabel1">Objectinformatie!$L$5:$L$32</definedName>
    <definedName name="object4_prijsdag1">'Ruimten werkdag'!$P$179</definedName>
    <definedName name="object4_prijsjaar1">'Ruimten werkdag'!$R$179</definedName>
    <definedName name="object4_urendag1">'Ruimten werkdag'!$O$179</definedName>
    <definedName name="object4_urenjaar1">'Ruimten werkdag'!$Q$179</definedName>
    <definedName name="object5_gemuurtarief1">'Ruimten werkdag'!$N$201</definedName>
    <definedName name="object5_opptabel1">Objectinformatie!$M$5:$M$32</definedName>
    <definedName name="object5_prijsdag1">'Ruimten werkdag'!$P$201</definedName>
    <definedName name="object5_prijsjaar1">'Ruimten werkdag'!$R$201</definedName>
    <definedName name="object5_urendag1">'Ruimten werkdag'!$O$201</definedName>
    <definedName name="object5_urenjaar1">'Ruimten werkdag'!$Q$201</definedName>
    <definedName name="objectprijs1_1">Objecten!$N$6</definedName>
    <definedName name="objectprijs2_1">Objecten!$N$7</definedName>
    <definedName name="objectprijs3_1">Objecten!$N$8</definedName>
    <definedName name="objectprijs4_1">Objecten!$N$9</definedName>
    <definedName name="objectprijs5_1">Objecten!$N$10</definedName>
    <definedName name="objecturen1_1">Objecten!$M$6</definedName>
    <definedName name="objecturen2_1">Objecten!$M$7</definedName>
    <definedName name="objecturen3_1">Objecten!$M$8</definedName>
    <definedName name="objecturen4_1">Objecten!$M$9</definedName>
    <definedName name="objecturen5_1">Objecten!$M$10</definedName>
    <definedName name="prijsdag1">'Regulier werk'!$K$34</definedName>
    <definedName name="prijsjaar">'Regulier werk'!$M$39</definedName>
    <definedName name="prijsjaar1">'Regulier werk'!$M$34</definedName>
    <definedName name="prijsjaaradditioneel">'Additioneel werk'!$K$10</definedName>
    <definedName name="prijsjaaradditioneel1">'Additioneel werk'!$K$8</definedName>
    <definedName name="prijsjaarafroep">Afroep!$K$12</definedName>
    <definedName name="prijsjaarafroep1">Afroep!$K$10</definedName>
    <definedName name="prijsjaarglas">Glas!$K$11</definedName>
    <definedName name="prijsjaarglas1">Glas!$K$9</definedName>
    <definedName name="prijsjaarnietmeewerkend">'Niet-meewerkende objectleiding'!$J$49</definedName>
    <definedName name="prijsjaartotaal">Objecten!$N$14</definedName>
    <definedName name="prijsjaartotaal1">Objecten!$N$11</definedName>
    <definedName name="prijsjaartotaaloverzicht">'Totaalblad Objecten'!$F$10</definedName>
    <definedName name="prijsmaandtotaal1">Objecten!$O$11</definedName>
    <definedName name="prodnorm0">Afroep!$H$9</definedName>
    <definedName name="prodnorm1">'Glas per locatie'!$I$18</definedName>
    <definedName name="prodnorm10">'Regulier werk'!$G$8</definedName>
    <definedName name="prodnorm11">'Regulier werk'!$G$9</definedName>
    <definedName name="prodnorm12">'Regulier werk'!$G$10</definedName>
    <definedName name="prodnorm13">'Regulier werk'!$G$11</definedName>
    <definedName name="prodnorm14">'Regulier werk'!$G$12</definedName>
    <definedName name="prodnorm15">'Regulier werk'!$G$13</definedName>
    <definedName name="prodnorm16">'Regulier werk'!$G$14</definedName>
    <definedName name="prodnorm17">'Regulier werk'!$G$15</definedName>
    <definedName name="prodnorm18">'Regulier werk'!$G$16</definedName>
    <definedName name="prodnorm19">'Regulier werk'!$G$17</definedName>
    <definedName name="prodnorm2">'Glas per locatie'!$I$19</definedName>
    <definedName name="prodnorm20">'Regulier werk'!$G$18</definedName>
    <definedName name="prodnorm21">'Regulier werk'!$G$19</definedName>
    <definedName name="prodnorm22">'Regulier werk'!$G$20</definedName>
    <definedName name="prodnorm23">'Regulier werk'!$G$21</definedName>
    <definedName name="prodnorm24">'Regulier werk'!$G$22</definedName>
    <definedName name="prodnorm25">'Regulier werk'!$G$23</definedName>
    <definedName name="prodnorm26">'Regulier werk'!$G$24</definedName>
    <definedName name="prodnorm27">'Regulier werk'!$G$25</definedName>
    <definedName name="prodnorm28">'Regulier werk'!$G$26</definedName>
    <definedName name="prodnorm29">'Regulier werk'!$G$27</definedName>
    <definedName name="prodnorm3">'Glas per locatie'!$I$20</definedName>
    <definedName name="prodnorm30">'Regulier werk'!$G$28</definedName>
    <definedName name="prodnorm31">'Regulier werk'!$G$29</definedName>
    <definedName name="prodnorm32">'Regulier werk'!$G$30</definedName>
    <definedName name="prodnorm33">'Regulier werk'!$G$31</definedName>
    <definedName name="prodnorm34">'Regulier werk'!$G$32</definedName>
    <definedName name="prodnorm6">'Additioneel werk per locatie'!$I$10</definedName>
    <definedName name="prodnorm7">'Regulier werk'!$G$33</definedName>
    <definedName name="prodnorm8">'Regulier werk'!$G$6</definedName>
    <definedName name="prodnorm9">'Regulier werk'!$G$7</definedName>
    <definedName name="taakfreqtabel1">Objectinformatie!$E$5:$E$32</definedName>
    <definedName name="tabeltype">Omreken!$B$5:$B$5</definedName>
    <definedName name="tarieftabel1">Objectinformatie!$H$5:$H$32</definedName>
    <definedName name="tzpjt1">'Niet-meewerkende objectleiding'!$J$46</definedName>
    <definedName name="tzpjt1_1">'Niet-meewerkende objectleiding'!$J$12</definedName>
    <definedName name="tzpjt2_1">'Niet-meewerkende objectleiding'!$J$20</definedName>
    <definedName name="tzpjt3_1">'Niet-meewerkende objectleiding'!$J$28</definedName>
    <definedName name="tzpjt4_1">'Niet-meewerkende objectleiding'!$J$36</definedName>
    <definedName name="tzpjt5_1">'Niet-meewerkende objectleiding'!$J$44</definedName>
    <definedName name="tzpmt1">'Niet-meewerkende objectleiding'!$K$46</definedName>
    <definedName name="tzpmt1_1">'Niet-meewerkende objectleiding'!$K$12</definedName>
    <definedName name="tzpmt2_1">'Niet-meewerkende objectleiding'!$K$20</definedName>
    <definedName name="tzpmt3_1">'Niet-meewerkende objectleiding'!$K$28</definedName>
    <definedName name="tzpmt4_1">'Niet-meewerkende objectleiding'!$K$36</definedName>
    <definedName name="tzpmt5_1">'Niet-meewerkende objectleiding'!$K$44</definedName>
    <definedName name="tzujt1">'Niet-meewerkende objectleiding'!$H$46</definedName>
    <definedName name="tzujt1_1">'Niet-meewerkende objectleiding'!$H$12</definedName>
    <definedName name="tzujt2_1">'Niet-meewerkende objectleiding'!$H$20</definedName>
    <definedName name="tzujt3_1">'Niet-meewerkende objectleiding'!$H$28</definedName>
    <definedName name="tzujt4_1">'Niet-meewerkende objectleiding'!$H$36</definedName>
    <definedName name="tzujt5_1">'Niet-meewerkende objectleiding'!$H$44</definedName>
    <definedName name="urendag1">'Regulier werk'!$J$34</definedName>
    <definedName name="urenjaar">'Regulier werk'!$L$39</definedName>
    <definedName name="urenjaar1">'Regulier werk'!$L$34</definedName>
    <definedName name="urenjaaradditioneel">'Additioneel werk'!$M$10</definedName>
    <definedName name="urenjaaradditioneel1">'Additioneel werk'!$M$8</definedName>
    <definedName name="urenjaarafroep">Afroep!$M$12</definedName>
    <definedName name="urenjaarafroep1">Afroep!$M$10</definedName>
    <definedName name="urenjaarglas">Glas!$M$11</definedName>
    <definedName name="urenjaarglas1">Glas!$M$9</definedName>
    <definedName name="urenjaarnietmeewerkend">'Niet-meewerkende objectleiding'!$H$49</definedName>
    <definedName name="urenjaartotaal">Objecten!$M$14</definedName>
    <definedName name="urenjaartotaal1">Objecten!$M$11</definedName>
    <definedName name="urenjaartotaaloverzicht">'Totaalblad Objecten'!$E$10</definedName>
    <definedName name="uurfactortabel1">Objectinformatie!$F$5:$F$32</definedName>
    <definedName name="uurtarief0">'Afroep incidenteel'!$E$93</definedName>
    <definedName name="uurtarief1">'Glas per locatie'!$J$18</definedName>
    <definedName name="uurtarief10">'Regulier werk'!$I$8</definedName>
    <definedName name="uurtarief11">'Regulier werk'!$I$9</definedName>
    <definedName name="uurtarief12">'Regulier werk'!$I$10</definedName>
    <definedName name="uurtarief13">'Regulier werk'!$I$11</definedName>
    <definedName name="uurtarief14">'Regulier werk'!$I$12</definedName>
    <definedName name="uurtarief15">'Regulier werk'!$I$13</definedName>
    <definedName name="uurtarief16">'Regulier werk'!$I$14</definedName>
    <definedName name="uurtarief17">'Regulier werk'!$I$15</definedName>
    <definedName name="uurtarief18">'Regulier werk'!$I$16</definedName>
    <definedName name="uurtarief19">'Regulier werk'!$I$17</definedName>
    <definedName name="uurtarief2">'Glas per locatie'!$J$19</definedName>
    <definedName name="uurtarief20">'Regulier werk'!$I$18</definedName>
    <definedName name="uurtarief21">'Regulier werk'!$I$19</definedName>
    <definedName name="uurtarief22">'Regulier werk'!$I$20</definedName>
    <definedName name="uurtarief23">'Regulier werk'!$I$21</definedName>
    <definedName name="uurtarief24">'Regulier werk'!$I$22</definedName>
    <definedName name="uurtarief25">'Regulier werk'!$I$23</definedName>
    <definedName name="uurtarief26">'Regulier werk'!$I$24</definedName>
    <definedName name="uurtarief27">'Regulier werk'!$I$25</definedName>
    <definedName name="uurtarief28">'Regulier werk'!$I$26</definedName>
    <definedName name="uurtarief29">'Regulier werk'!$I$27</definedName>
    <definedName name="uurtarief3">'Glas per locatie'!$J$20</definedName>
    <definedName name="uurtarief30">'Regulier werk'!$I$28</definedName>
    <definedName name="uurtarief31">'Regulier werk'!$I$29</definedName>
    <definedName name="uurtarief32">'Regulier werk'!$I$30</definedName>
    <definedName name="uurtarief33">'Regulier werk'!$I$31</definedName>
    <definedName name="uurtarief34">'Regulier werk'!$I$32</definedName>
    <definedName name="uurtarief6">'Additioneel werk per locatie'!$H$10</definedName>
    <definedName name="uurtarief7">'Regulier werk'!$I$33</definedName>
    <definedName name="uurtarief8">'Regulier werk'!$I$6</definedName>
    <definedName name="uurtarief9">'Regulier werk'!$I$7</definedName>
    <definedName name="vu_variant">Totaal!$B$10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5" l="1"/>
  <c r="E17" i="15"/>
  <c r="A1" i="15" l="1"/>
  <c r="J20" i="14"/>
  <c r="K20" i="14" s="1"/>
  <c r="H20" i="14"/>
  <c r="J19" i="14"/>
  <c r="K19" i="14" s="1"/>
  <c r="H19" i="14"/>
  <c r="J18" i="14"/>
  <c r="K18" i="14" s="1"/>
  <c r="K21" i="14" s="1"/>
  <c r="H18" i="14"/>
  <c r="J14" i="14"/>
  <c r="K14" i="14" s="1"/>
  <c r="H14" i="14"/>
  <c r="J13" i="14"/>
  <c r="K13" i="14" s="1"/>
  <c r="H13" i="14"/>
  <c r="J12" i="14"/>
  <c r="K12" i="14" s="1"/>
  <c r="K15" i="14" s="1"/>
  <c r="H12" i="14"/>
  <c r="J8" i="14"/>
  <c r="K8" i="14" s="1"/>
  <c r="H8" i="14"/>
  <c r="J7" i="14"/>
  <c r="K7" i="14" s="1"/>
  <c r="H7" i="14"/>
  <c r="J6" i="14"/>
  <c r="K6" i="14" s="1"/>
  <c r="K9" i="14" s="1"/>
  <c r="H6" i="14"/>
  <c r="A1" i="14"/>
  <c r="J8" i="13"/>
  <c r="J7" i="13"/>
  <c r="J6" i="13"/>
  <c r="A1" i="13"/>
  <c r="A1" i="12"/>
  <c r="J9" i="11"/>
  <c r="J8" i="11"/>
  <c r="J7" i="11"/>
  <c r="J6" i="11"/>
  <c r="A1" i="11"/>
  <c r="I10" i="10"/>
  <c r="H10" i="10"/>
  <c r="I6" i="10"/>
  <c r="H6" i="10"/>
  <c r="A1" i="10"/>
  <c r="J7" i="9"/>
  <c r="J6" i="9"/>
  <c r="A1" i="9"/>
  <c r="A1" i="8"/>
  <c r="J43" i="7"/>
  <c r="K43" i="7" s="1"/>
  <c r="H43" i="7"/>
  <c r="C43" i="7"/>
  <c r="I43" i="7" s="1"/>
  <c r="J42" i="7"/>
  <c r="K42" i="7" s="1"/>
  <c r="H42" i="7"/>
  <c r="C42" i="7"/>
  <c r="I42" i="7" s="1"/>
  <c r="J41" i="7"/>
  <c r="K41" i="7" s="1"/>
  <c r="H41" i="7"/>
  <c r="C41" i="7"/>
  <c r="I41" i="7" s="1"/>
  <c r="J40" i="7"/>
  <c r="H40" i="7"/>
  <c r="H44" i="7" s="1"/>
  <c r="G8" i="8" s="1"/>
  <c r="C40" i="7"/>
  <c r="I40" i="7" s="1"/>
  <c r="J35" i="7"/>
  <c r="K35" i="7" s="1"/>
  <c r="H35" i="7"/>
  <c r="C35" i="7"/>
  <c r="I35" i="7" s="1"/>
  <c r="J34" i="7"/>
  <c r="K34" i="7" s="1"/>
  <c r="H34" i="7"/>
  <c r="C34" i="7"/>
  <c r="I34" i="7" s="1"/>
  <c r="J33" i="7"/>
  <c r="K33" i="7" s="1"/>
  <c r="H33" i="7"/>
  <c r="C33" i="7"/>
  <c r="I33" i="7" s="1"/>
  <c r="J32" i="7"/>
  <c r="H32" i="7"/>
  <c r="H36" i="7" s="1"/>
  <c r="G7" i="8" s="1"/>
  <c r="C32" i="7"/>
  <c r="I32" i="7" s="1"/>
  <c r="J27" i="7"/>
  <c r="K27" i="7" s="1"/>
  <c r="H27" i="7"/>
  <c r="C27" i="7"/>
  <c r="I27" i="7" s="1"/>
  <c r="J26" i="7"/>
  <c r="K26" i="7" s="1"/>
  <c r="H26" i="7"/>
  <c r="C26" i="7"/>
  <c r="I26" i="7" s="1"/>
  <c r="J25" i="7"/>
  <c r="K25" i="7" s="1"/>
  <c r="H25" i="7"/>
  <c r="C25" i="7"/>
  <c r="I25" i="7" s="1"/>
  <c r="J24" i="7"/>
  <c r="H24" i="7"/>
  <c r="H28" i="7" s="1"/>
  <c r="G6" i="8" s="1"/>
  <c r="C24" i="7"/>
  <c r="I24" i="7" s="1"/>
  <c r="J19" i="7"/>
  <c r="K19" i="7" s="1"/>
  <c r="H19" i="7"/>
  <c r="C19" i="7"/>
  <c r="I19" i="7" s="1"/>
  <c r="J18" i="7"/>
  <c r="K18" i="7" s="1"/>
  <c r="H18" i="7"/>
  <c r="C18" i="7"/>
  <c r="I18" i="7" s="1"/>
  <c r="J17" i="7"/>
  <c r="K17" i="7" s="1"/>
  <c r="H17" i="7"/>
  <c r="C17" i="7"/>
  <c r="I17" i="7" s="1"/>
  <c r="J16" i="7"/>
  <c r="H16" i="7"/>
  <c r="H20" i="7" s="1"/>
  <c r="G5" i="8" s="1"/>
  <c r="C16" i="7"/>
  <c r="I16" i="7" s="1"/>
  <c r="J11" i="7"/>
  <c r="K11" i="7" s="1"/>
  <c r="H11" i="7"/>
  <c r="C11" i="7"/>
  <c r="I11" i="7" s="1"/>
  <c r="J10" i="7"/>
  <c r="K10" i="7" s="1"/>
  <c r="H10" i="7"/>
  <c r="C10" i="7"/>
  <c r="I10" i="7" s="1"/>
  <c r="J9" i="7"/>
  <c r="K9" i="7" s="1"/>
  <c r="H9" i="7"/>
  <c r="C9" i="7"/>
  <c r="I9" i="7" s="1"/>
  <c r="J8" i="7"/>
  <c r="H8" i="7"/>
  <c r="H12" i="7" s="1"/>
  <c r="C8" i="7"/>
  <c r="I8" i="7" s="1"/>
  <c r="A1" i="7"/>
  <c r="A1" i="6"/>
  <c r="H32" i="5"/>
  <c r="G32" i="5"/>
  <c r="N178" i="4"/>
  <c r="L178" i="4"/>
  <c r="N42" i="4"/>
  <c r="L42" i="4"/>
  <c r="N23" i="4"/>
  <c r="L23" i="4"/>
  <c r="A1" i="4"/>
  <c r="I32" i="3"/>
  <c r="G32" i="3"/>
  <c r="I31" i="3"/>
  <c r="G31" i="3"/>
  <c r="I30" i="3"/>
  <c r="G30" i="3"/>
  <c r="I29" i="3"/>
  <c r="G29" i="3"/>
  <c r="I28" i="3"/>
  <c r="G28" i="3"/>
  <c r="I27" i="3"/>
  <c r="G27" i="3"/>
  <c r="I26" i="3"/>
  <c r="G26" i="3"/>
  <c r="I25" i="3"/>
  <c r="G25" i="3"/>
  <c r="I24" i="3"/>
  <c r="G24" i="3"/>
  <c r="I23" i="3"/>
  <c r="G23" i="3"/>
  <c r="I22" i="3"/>
  <c r="G22" i="3"/>
  <c r="I21" i="3"/>
  <c r="G21" i="3"/>
  <c r="I20" i="3"/>
  <c r="G20" i="3"/>
  <c r="I19" i="3"/>
  <c r="G19" i="3"/>
  <c r="I18" i="3"/>
  <c r="G18" i="3"/>
  <c r="I17" i="3"/>
  <c r="G17" i="3"/>
  <c r="I16" i="3"/>
  <c r="G16" i="3"/>
  <c r="I15" i="3"/>
  <c r="G15" i="3"/>
  <c r="I14" i="3"/>
  <c r="G14" i="3"/>
  <c r="I13" i="3"/>
  <c r="G13" i="3"/>
  <c r="I12" i="3"/>
  <c r="G12" i="3"/>
  <c r="I11" i="3"/>
  <c r="G11" i="3"/>
  <c r="I10" i="3"/>
  <c r="G10" i="3"/>
  <c r="I9" i="3"/>
  <c r="G9" i="3"/>
  <c r="I8" i="3"/>
  <c r="G8" i="3"/>
  <c r="I7" i="3"/>
  <c r="G7" i="3"/>
  <c r="I6" i="3"/>
  <c r="G6" i="3"/>
  <c r="A1" i="3"/>
  <c r="A1" i="2"/>
  <c r="B24" i="1"/>
  <c r="B23" i="1"/>
  <c r="B22" i="1"/>
  <c r="C7" i="9" s="1"/>
  <c r="K7" i="9" s="1"/>
  <c r="B21" i="1"/>
  <c r="B20" i="1"/>
  <c r="B19" i="1"/>
  <c r="B18" i="1"/>
  <c r="B17" i="1"/>
  <c r="B16" i="1"/>
  <c r="B15" i="1"/>
  <c r="B14" i="1"/>
  <c r="B13" i="1"/>
  <c r="E32" i="5" l="1"/>
  <c r="E31" i="5"/>
  <c r="E30" i="5"/>
  <c r="E29" i="5"/>
  <c r="E27" i="5"/>
  <c r="E25" i="5"/>
  <c r="E24" i="5"/>
  <c r="E22" i="5"/>
  <c r="E20" i="5"/>
  <c r="E18" i="5"/>
  <c r="E16" i="5"/>
  <c r="E14" i="5"/>
  <c r="E12" i="5"/>
  <c r="E11" i="5"/>
  <c r="E9" i="5"/>
  <c r="E8" i="5"/>
  <c r="E6" i="5"/>
  <c r="K188" i="4"/>
  <c r="K178" i="4"/>
  <c r="O178" i="4" s="1"/>
  <c r="Q178" i="4" s="1"/>
  <c r="R178" i="4" s="1"/>
  <c r="K177" i="4"/>
  <c r="K176" i="4"/>
  <c r="K175" i="4"/>
  <c r="K174" i="4"/>
  <c r="K173" i="4"/>
  <c r="K172" i="4"/>
  <c r="K171" i="4"/>
  <c r="K170" i="4"/>
  <c r="K169" i="4"/>
  <c r="K168" i="4"/>
  <c r="K167" i="4"/>
  <c r="K166" i="4"/>
  <c r="K165" i="4"/>
  <c r="K164" i="4"/>
  <c r="K163" i="4"/>
  <c r="K162" i="4"/>
  <c r="K161" i="4"/>
  <c r="K160" i="4"/>
  <c r="K159" i="4"/>
  <c r="K158" i="4"/>
  <c r="K157" i="4"/>
  <c r="K156" i="4"/>
  <c r="K155" i="4"/>
  <c r="K154" i="4"/>
  <c r="K153" i="4"/>
  <c r="K152" i="4"/>
  <c r="K149" i="4"/>
  <c r="K148" i="4"/>
  <c r="K147" i="4"/>
  <c r="K144" i="4"/>
  <c r="K143" i="4"/>
  <c r="K142" i="4"/>
  <c r="K141" i="4"/>
  <c r="K140" i="4"/>
  <c r="K139" i="4"/>
  <c r="K138" i="4"/>
  <c r="K137" i="4"/>
  <c r="K136" i="4"/>
  <c r="K135" i="4"/>
  <c r="K134" i="4"/>
  <c r="K133" i="4"/>
  <c r="K132" i="4"/>
  <c r="K131" i="4"/>
  <c r="K130" i="4"/>
  <c r="K129" i="4"/>
  <c r="K128" i="4"/>
  <c r="K127" i="4"/>
  <c r="K126" i="4"/>
  <c r="K125" i="4"/>
  <c r="K124" i="4"/>
  <c r="K123" i="4"/>
  <c r="K122" i="4"/>
  <c r="K121" i="4"/>
  <c r="K120" i="4"/>
  <c r="K119" i="4"/>
  <c r="K118" i="4"/>
  <c r="K117" i="4"/>
  <c r="K116" i="4"/>
  <c r="K115" i="4"/>
  <c r="K114" i="4"/>
  <c r="K113" i="4"/>
  <c r="K112" i="4"/>
  <c r="K111" i="4"/>
  <c r="K110" i="4"/>
  <c r="K109" i="4"/>
  <c r="K108" i="4"/>
  <c r="K107" i="4"/>
  <c r="K106" i="4"/>
  <c r="K105" i="4"/>
  <c r="K104" i="4"/>
  <c r="K103" i="4"/>
  <c r="K102" i="4"/>
  <c r="K101" i="4"/>
  <c r="K100" i="4"/>
  <c r="K99" i="4"/>
  <c r="K98" i="4"/>
  <c r="K97" i="4"/>
  <c r="K96" i="4"/>
  <c r="K94" i="4"/>
  <c r="K93" i="4"/>
  <c r="K92" i="4"/>
  <c r="K90" i="4"/>
  <c r="K89" i="4"/>
  <c r="K88" i="4"/>
  <c r="K87" i="4"/>
  <c r="K86" i="4"/>
  <c r="K85" i="4"/>
  <c r="K84" i="4"/>
  <c r="K82" i="4"/>
  <c r="K80" i="4"/>
  <c r="K79" i="4"/>
  <c r="K78" i="4"/>
  <c r="K77" i="4"/>
  <c r="K76" i="4"/>
  <c r="K75" i="4"/>
  <c r="K74" i="4"/>
  <c r="K73" i="4"/>
  <c r="K72" i="4"/>
  <c r="K71" i="4"/>
  <c r="K70" i="4"/>
  <c r="K69" i="4"/>
  <c r="K68" i="4"/>
  <c r="K67" i="4"/>
  <c r="K66" i="4"/>
  <c r="K65" i="4"/>
  <c r="K64" i="4"/>
  <c r="K63" i="4"/>
  <c r="K62" i="4"/>
  <c r="K61" i="4"/>
  <c r="K60" i="4"/>
  <c r="K59" i="4"/>
  <c r="K58" i="4"/>
  <c r="K57" i="4"/>
  <c r="K56" i="4"/>
  <c r="K55" i="4"/>
  <c r="K54" i="4"/>
  <c r="K53" i="4"/>
  <c r="K52" i="4"/>
  <c r="K51" i="4"/>
  <c r="K50" i="4"/>
  <c r="K49" i="4"/>
  <c r="K48" i="4"/>
  <c r="K47" i="4"/>
  <c r="K46" i="4"/>
  <c r="K45" i="4"/>
  <c r="K42" i="4"/>
  <c r="O42" i="4" s="1"/>
  <c r="Q42" i="4" s="1"/>
  <c r="R42" i="4" s="1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3" i="4"/>
  <c r="O23" i="4" s="1"/>
  <c r="Q23" i="4" s="1"/>
  <c r="R23" i="4" s="1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F33" i="3"/>
  <c r="J33" i="3" s="1"/>
  <c r="F32" i="3"/>
  <c r="F31" i="3"/>
  <c r="F30" i="3"/>
  <c r="F28" i="3"/>
  <c r="F26" i="3"/>
  <c r="F25" i="3"/>
  <c r="F23" i="3"/>
  <c r="F21" i="3"/>
  <c r="F19" i="3"/>
  <c r="F17" i="3"/>
  <c r="F15" i="3"/>
  <c r="F13" i="3"/>
  <c r="F12" i="3"/>
  <c r="F10" i="3"/>
  <c r="F9" i="3"/>
  <c r="F7" i="3"/>
  <c r="E28" i="5"/>
  <c r="E26" i="5"/>
  <c r="E23" i="5"/>
  <c r="E21" i="5"/>
  <c r="E19" i="5"/>
  <c r="E17" i="5"/>
  <c r="E15" i="5"/>
  <c r="E13" i="5"/>
  <c r="E10" i="5"/>
  <c r="E7" i="5"/>
  <c r="K200" i="4"/>
  <c r="K199" i="4"/>
  <c r="K198" i="4"/>
  <c r="K197" i="4"/>
  <c r="K196" i="4"/>
  <c r="K195" i="4"/>
  <c r="K194" i="4"/>
  <c r="K193" i="4"/>
  <c r="K192" i="4"/>
  <c r="K191" i="4"/>
  <c r="K190" i="4"/>
  <c r="K189" i="4"/>
  <c r="K187" i="4"/>
  <c r="K186" i="4"/>
  <c r="K185" i="4"/>
  <c r="K184" i="4"/>
  <c r="K183" i="4"/>
  <c r="K182" i="4"/>
  <c r="K181" i="4"/>
  <c r="F29" i="3"/>
  <c r="F27" i="3"/>
  <c r="F24" i="3"/>
  <c r="F22" i="3"/>
  <c r="F20" i="3"/>
  <c r="F18" i="3"/>
  <c r="F16" i="3"/>
  <c r="F14" i="3"/>
  <c r="F11" i="3"/>
  <c r="F8" i="3"/>
  <c r="C9" i="11"/>
  <c r="K9" i="11" s="1"/>
  <c r="C8" i="11"/>
  <c r="K8" i="11" s="1"/>
  <c r="C7" i="11"/>
  <c r="K7" i="11" s="1"/>
  <c r="C6" i="11"/>
  <c r="K6" i="11" s="1"/>
  <c r="E5" i="5"/>
  <c r="K146" i="4"/>
  <c r="K145" i="4"/>
  <c r="K95" i="4"/>
  <c r="K91" i="4"/>
  <c r="K83" i="4"/>
  <c r="K81" i="4"/>
  <c r="K22" i="4"/>
  <c r="F6" i="3"/>
  <c r="C20" i="14"/>
  <c r="L20" i="14" s="1"/>
  <c r="M20" i="14" s="1"/>
  <c r="C19" i="14"/>
  <c r="L19" i="14" s="1"/>
  <c r="M19" i="14" s="1"/>
  <c r="C18" i="14"/>
  <c r="L18" i="14" s="1"/>
  <c r="C14" i="14"/>
  <c r="L14" i="14" s="1"/>
  <c r="M14" i="14" s="1"/>
  <c r="C13" i="14"/>
  <c r="L13" i="14" s="1"/>
  <c r="M13" i="14" s="1"/>
  <c r="C12" i="14"/>
  <c r="L12" i="14" s="1"/>
  <c r="C8" i="14"/>
  <c r="L8" i="14" s="1"/>
  <c r="M8" i="14" s="1"/>
  <c r="C7" i="14"/>
  <c r="L7" i="14" s="1"/>
  <c r="M7" i="14" s="1"/>
  <c r="C6" i="14"/>
  <c r="L6" i="14" s="1"/>
  <c r="C8" i="13"/>
  <c r="K8" i="13" s="1"/>
  <c r="C7" i="13"/>
  <c r="K7" i="13" s="1"/>
  <c r="C6" i="13"/>
  <c r="K6" i="13" s="1"/>
  <c r="M7" i="9"/>
  <c r="L7" i="9"/>
  <c r="C10" i="10"/>
  <c r="C6" i="10"/>
  <c r="C6" i="9"/>
  <c r="K6" i="9" s="1"/>
  <c r="G5" i="5"/>
  <c r="L146" i="4"/>
  <c r="O146" i="4" s="1"/>
  <c r="Q146" i="4" s="1"/>
  <c r="L145" i="4"/>
  <c r="O145" i="4" s="1"/>
  <c r="Q145" i="4" s="1"/>
  <c r="L95" i="4"/>
  <c r="O95" i="4" s="1"/>
  <c r="Q95" i="4" s="1"/>
  <c r="L91" i="4"/>
  <c r="O91" i="4" s="1"/>
  <c r="Q91" i="4" s="1"/>
  <c r="L83" i="4"/>
  <c r="O83" i="4" s="1"/>
  <c r="Q83" i="4" s="1"/>
  <c r="L81" i="4"/>
  <c r="O81" i="4" s="1"/>
  <c r="Q81" i="4" s="1"/>
  <c r="L22" i="4"/>
  <c r="O22" i="4" s="1"/>
  <c r="Q22" i="4" s="1"/>
  <c r="J6" i="3"/>
  <c r="H5" i="5"/>
  <c r="N146" i="4"/>
  <c r="P146" i="4" s="1"/>
  <c r="N145" i="4"/>
  <c r="P145" i="4" s="1"/>
  <c r="N95" i="4"/>
  <c r="P95" i="4" s="1"/>
  <c r="N91" i="4"/>
  <c r="P91" i="4" s="1"/>
  <c r="N83" i="4"/>
  <c r="P83" i="4" s="1"/>
  <c r="N81" i="4"/>
  <c r="P81" i="4" s="1"/>
  <c r="N22" i="4"/>
  <c r="P22" i="4" s="1"/>
  <c r="K6" i="3"/>
  <c r="G6" i="5"/>
  <c r="L166" i="4"/>
  <c r="O166" i="4" s="1"/>
  <c r="Q166" i="4" s="1"/>
  <c r="L148" i="4"/>
  <c r="O148" i="4" s="1"/>
  <c r="Q148" i="4" s="1"/>
  <c r="L88" i="4"/>
  <c r="O88" i="4" s="1"/>
  <c r="Q88" i="4" s="1"/>
  <c r="J7" i="3"/>
  <c r="L7" i="3" s="1"/>
  <c r="M7" i="3" s="1"/>
  <c r="H6" i="5"/>
  <c r="N166" i="4"/>
  <c r="P166" i="4" s="1"/>
  <c r="N148" i="4"/>
  <c r="P148" i="4" s="1"/>
  <c r="N88" i="4"/>
  <c r="P88" i="4" s="1"/>
  <c r="K7" i="3"/>
  <c r="G7" i="5"/>
  <c r="L194" i="4"/>
  <c r="O194" i="4" s="1"/>
  <c r="Q194" i="4" s="1"/>
  <c r="L193" i="4"/>
  <c r="O193" i="4" s="1"/>
  <c r="Q193" i="4" s="1"/>
  <c r="L192" i="4"/>
  <c r="O192" i="4" s="1"/>
  <c r="Q192" i="4" s="1"/>
  <c r="L191" i="4"/>
  <c r="O191" i="4" s="1"/>
  <c r="Q191" i="4" s="1"/>
  <c r="L183" i="4"/>
  <c r="O183" i="4" s="1"/>
  <c r="Q183" i="4" s="1"/>
  <c r="J8" i="3"/>
  <c r="L8" i="3" s="1"/>
  <c r="M8" i="3" s="1"/>
  <c r="H7" i="5"/>
  <c r="N194" i="4"/>
  <c r="P194" i="4" s="1"/>
  <c r="N193" i="4"/>
  <c r="P193" i="4" s="1"/>
  <c r="N192" i="4"/>
  <c r="P192" i="4" s="1"/>
  <c r="N191" i="4"/>
  <c r="P191" i="4" s="1"/>
  <c r="N183" i="4"/>
  <c r="P183" i="4" s="1"/>
  <c r="K8" i="3"/>
  <c r="G8" i="5"/>
  <c r="L171" i="4"/>
  <c r="O171" i="4" s="1"/>
  <c r="Q171" i="4" s="1"/>
  <c r="L170" i="4"/>
  <c r="O170" i="4" s="1"/>
  <c r="Q170" i="4" s="1"/>
  <c r="L169" i="4"/>
  <c r="O169" i="4" s="1"/>
  <c r="Q169" i="4" s="1"/>
  <c r="L168" i="4"/>
  <c r="O168" i="4" s="1"/>
  <c r="Q168" i="4" s="1"/>
  <c r="L133" i="4"/>
  <c r="O133" i="4" s="1"/>
  <c r="Q133" i="4" s="1"/>
  <c r="L132" i="4"/>
  <c r="O132" i="4" s="1"/>
  <c r="Q132" i="4" s="1"/>
  <c r="L131" i="4"/>
  <c r="O131" i="4" s="1"/>
  <c r="Q131" i="4" s="1"/>
  <c r="L130" i="4"/>
  <c r="O130" i="4" s="1"/>
  <c r="Q130" i="4" s="1"/>
  <c r="L129" i="4"/>
  <c r="O129" i="4" s="1"/>
  <c r="Q129" i="4" s="1"/>
  <c r="L127" i="4"/>
  <c r="O127" i="4" s="1"/>
  <c r="Q127" i="4" s="1"/>
  <c r="L126" i="4"/>
  <c r="O126" i="4" s="1"/>
  <c r="Q126" i="4" s="1"/>
  <c r="L125" i="4"/>
  <c r="O125" i="4" s="1"/>
  <c r="Q125" i="4" s="1"/>
  <c r="L124" i="4"/>
  <c r="O124" i="4" s="1"/>
  <c r="Q124" i="4" s="1"/>
  <c r="L123" i="4"/>
  <c r="O123" i="4" s="1"/>
  <c r="Q123" i="4" s="1"/>
  <c r="L122" i="4"/>
  <c r="O122" i="4" s="1"/>
  <c r="Q122" i="4" s="1"/>
  <c r="L121" i="4"/>
  <c r="O121" i="4" s="1"/>
  <c r="Q121" i="4" s="1"/>
  <c r="L120" i="4"/>
  <c r="O120" i="4" s="1"/>
  <c r="Q120" i="4" s="1"/>
  <c r="L116" i="4"/>
  <c r="O116" i="4" s="1"/>
  <c r="Q116" i="4" s="1"/>
  <c r="L115" i="4"/>
  <c r="O115" i="4" s="1"/>
  <c r="Q115" i="4" s="1"/>
  <c r="L113" i="4"/>
  <c r="O113" i="4" s="1"/>
  <c r="Q113" i="4" s="1"/>
  <c r="L112" i="4"/>
  <c r="O112" i="4" s="1"/>
  <c r="Q112" i="4" s="1"/>
  <c r="L111" i="4"/>
  <c r="O111" i="4" s="1"/>
  <c r="Q111" i="4" s="1"/>
  <c r="L110" i="4"/>
  <c r="O110" i="4" s="1"/>
  <c r="Q110" i="4" s="1"/>
  <c r="L109" i="4"/>
  <c r="O109" i="4" s="1"/>
  <c r="Q109" i="4" s="1"/>
  <c r="L74" i="4"/>
  <c r="O74" i="4" s="1"/>
  <c r="Q74" i="4" s="1"/>
  <c r="L73" i="4"/>
  <c r="O73" i="4" s="1"/>
  <c r="Q73" i="4" s="1"/>
  <c r="L72" i="4"/>
  <c r="O72" i="4" s="1"/>
  <c r="Q72" i="4" s="1"/>
  <c r="L70" i="4"/>
  <c r="O70" i="4" s="1"/>
  <c r="Q70" i="4" s="1"/>
  <c r="L69" i="4"/>
  <c r="O69" i="4" s="1"/>
  <c r="Q69" i="4" s="1"/>
  <c r="L66" i="4"/>
  <c r="O66" i="4" s="1"/>
  <c r="Q66" i="4" s="1"/>
  <c r="L64" i="4"/>
  <c r="O64" i="4" s="1"/>
  <c r="Q64" i="4" s="1"/>
  <c r="L63" i="4"/>
  <c r="O63" i="4" s="1"/>
  <c r="Q63" i="4" s="1"/>
  <c r="L62" i="4"/>
  <c r="O62" i="4" s="1"/>
  <c r="Q62" i="4" s="1"/>
  <c r="L60" i="4"/>
  <c r="O60" i="4" s="1"/>
  <c r="Q60" i="4" s="1"/>
  <c r="L59" i="4"/>
  <c r="O59" i="4" s="1"/>
  <c r="Q59" i="4" s="1"/>
  <c r="L38" i="4"/>
  <c r="O38" i="4" s="1"/>
  <c r="Q38" i="4" s="1"/>
  <c r="L34" i="4"/>
  <c r="O34" i="4" s="1"/>
  <c r="Q34" i="4" s="1"/>
  <c r="L21" i="4"/>
  <c r="O21" i="4" s="1"/>
  <c r="Q21" i="4" s="1"/>
  <c r="L20" i="4"/>
  <c r="O20" i="4" s="1"/>
  <c r="Q20" i="4" s="1"/>
  <c r="L19" i="4"/>
  <c r="O19" i="4" s="1"/>
  <c r="Q19" i="4" s="1"/>
  <c r="L18" i="4"/>
  <c r="O18" i="4" s="1"/>
  <c r="Q18" i="4" s="1"/>
  <c r="J9" i="3"/>
  <c r="L9" i="3" s="1"/>
  <c r="M9" i="3" s="1"/>
  <c r="H8" i="5"/>
  <c r="N171" i="4"/>
  <c r="P171" i="4" s="1"/>
  <c r="N170" i="4"/>
  <c r="P170" i="4" s="1"/>
  <c r="N169" i="4"/>
  <c r="P169" i="4" s="1"/>
  <c r="N168" i="4"/>
  <c r="P168" i="4" s="1"/>
  <c r="N133" i="4"/>
  <c r="P133" i="4" s="1"/>
  <c r="N132" i="4"/>
  <c r="P132" i="4" s="1"/>
  <c r="N131" i="4"/>
  <c r="P131" i="4" s="1"/>
  <c r="N130" i="4"/>
  <c r="P130" i="4" s="1"/>
  <c r="N129" i="4"/>
  <c r="P129" i="4" s="1"/>
  <c r="N127" i="4"/>
  <c r="P127" i="4" s="1"/>
  <c r="N126" i="4"/>
  <c r="P126" i="4" s="1"/>
  <c r="N125" i="4"/>
  <c r="P125" i="4" s="1"/>
  <c r="N124" i="4"/>
  <c r="P124" i="4" s="1"/>
  <c r="N123" i="4"/>
  <c r="P123" i="4" s="1"/>
  <c r="N122" i="4"/>
  <c r="P122" i="4" s="1"/>
  <c r="N121" i="4"/>
  <c r="P121" i="4" s="1"/>
  <c r="N120" i="4"/>
  <c r="P120" i="4" s="1"/>
  <c r="N116" i="4"/>
  <c r="P116" i="4" s="1"/>
  <c r="N115" i="4"/>
  <c r="P115" i="4" s="1"/>
  <c r="N113" i="4"/>
  <c r="P113" i="4" s="1"/>
  <c r="N112" i="4"/>
  <c r="P112" i="4" s="1"/>
  <c r="N111" i="4"/>
  <c r="P111" i="4" s="1"/>
  <c r="N110" i="4"/>
  <c r="P110" i="4" s="1"/>
  <c r="N109" i="4"/>
  <c r="P109" i="4" s="1"/>
  <c r="N74" i="4"/>
  <c r="P74" i="4" s="1"/>
  <c r="N73" i="4"/>
  <c r="P73" i="4" s="1"/>
  <c r="N72" i="4"/>
  <c r="P72" i="4" s="1"/>
  <c r="N70" i="4"/>
  <c r="P70" i="4" s="1"/>
  <c r="N69" i="4"/>
  <c r="P69" i="4" s="1"/>
  <c r="N66" i="4"/>
  <c r="P66" i="4" s="1"/>
  <c r="N64" i="4"/>
  <c r="P64" i="4" s="1"/>
  <c r="N63" i="4"/>
  <c r="P63" i="4" s="1"/>
  <c r="N62" i="4"/>
  <c r="P62" i="4" s="1"/>
  <c r="N60" i="4"/>
  <c r="P60" i="4" s="1"/>
  <c r="N59" i="4"/>
  <c r="P59" i="4" s="1"/>
  <c r="N38" i="4"/>
  <c r="P38" i="4" s="1"/>
  <c r="N34" i="4"/>
  <c r="P34" i="4" s="1"/>
  <c r="N21" i="4"/>
  <c r="P21" i="4" s="1"/>
  <c r="N20" i="4"/>
  <c r="P20" i="4" s="1"/>
  <c r="N19" i="4"/>
  <c r="P19" i="4" s="1"/>
  <c r="N18" i="4"/>
  <c r="P18" i="4" s="1"/>
  <c r="K9" i="3"/>
  <c r="G9" i="5"/>
  <c r="L107" i="4"/>
  <c r="O107" i="4" s="1"/>
  <c r="Q107" i="4" s="1"/>
  <c r="J10" i="3"/>
  <c r="L10" i="3" s="1"/>
  <c r="M10" i="3" s="1"/>
  <c r="H9" i="5"/>
  <c r="N107" i="4"/>
  <c r="P107" i="4" s="1"/>
  <c r="K10" i="3"/>
  <c r="G10" i="5"/>
  <c r="L185" i="4"/>
  <c r="O185" i="4" s="1"/>
  <c r="Q185" i="4" s="1"/>
  <c r="J11" i="3"/>
  <c r="L11" i="3" s="1"/>
  <c r="M11" i="3" s="1"/>
  <c r="H10" i="5"/>
  <c r="N185" i="4"/>
  <c r="P185" i="4" s="1"/>
  <c r="K11" i="3"/>
  <c r="G11" i="5"/>
  <c r="L45" i="4"/>
  <c r="O45" i="4" s="1"/>
  <c r="L5" i="4"/>
  <c r="O5" i="4" s="1"/>
  <c r="J12" i="3"/>
  <c r="L12" i="3" s="1"/>
  <c r="M12" i="3" s="1"/>
  <c r="H11" i="5"/>
  <c r="N45" i="4"/>
  <c r="P45" i="4" s="1"/>
  <c r="P150" i="4" s="1"/>
  <c r="N5" i="4"/>
  <c r="P5" i="4" s="1"/>
  <c r="P24" i="4" s="1"/>
  <c r="K12" i="3"/>
  <c r="G12" i="5"/>
  <c r="L188" i="4"/>
  <c r="O188" i="4" s="1"/>
  <c r="Q188" i="4" s="1"/>
  <c r="L82" i="4"/>
  <c r="O82" i="4" s="1"/>
  <c r="Q82" i="4" s="1"/>
  <c r="J13" i="3"/>
  <c r="L13" i="3" s="1"/>
  <c r="M13" i="3" s="1"/>
  <c r="H12" i="5"/>
  <c r="N188" i="4"/>
  <c r="P188" i="4" s="1"/>
  <c r="N82" i="4"/>
  <c r="P82" i="4" s="1"/>
  <c r="K13" i="3"/>
  <c r="G13" i="5"/>
  <c r="L184" i="4"/>
  <c r="O184" i="4" s="1"/>
  <c r="Q184" i="4" s="1"/>
  <c r="J14" i="3"/>
  <c r="L14" i="3" s="1"/>
  <c r="M14" i="3" s="1"/>
  <c r="H13" i="5"/>
  <c r="N184" i="4"/>
  <c r="P184" i="4" s="1"/>
  <c r="K14" i="3"/>
  <c r="G14" i="5"/>
  <c r="L163" i="4"/>
  <c r="O163" i="4" s="1"/>
  <c r="Q163" i="4" s="1"/>
  <c r="L162" i="4"/>
  <c r="O162" i="4" s="1"/>
  <c r="Q162" i="4" s="1"/>
  <c r="L161" i="4"/>
  <c r="O161" i="4" s="1"/>
  <c r="Q161" i="4" s="1"/>
  <c r="L53" i="4"/>
  <c r="O53" i="4" s="1"/>
  <c r="Q53" i="4" s="1"/>
  <c r="L52" i="4"/>
  <c r="O52" i="4" s="1"/>
  <c r="Q52" i="4" s="1"/>
  <c r="L41" i="4"/>
  <c r="O41" i="4" s="1"/>
  <c r="Q41" i="4" s="1"/>
  <c r="L40" i="4"/>
  <c r="O40" i="4" s="1"/>
  <c r="Q40" i="4" s="1"/>
  <c r="L33" i="4"/>
  <c r="O33" i="4" s="1"/>
  <c r="Q33" i="4" s="1"/>
  <c r="L32" i="4"/>
  <c r="O32" i="4" s="1"/>
  <c r="Q32" i="4" s="1"/>
  <c r="L15" i="4"/>
  <c r="O15" i="4" s="1"/>
  <c r="Q15" i="4" s="1"/>
  <c r="L14" i="4"/>
  <c r="O14" i="4" s="1"/>
  <c r="Q14" i="4" s="1"/>
  <c r="L13" i="4"/>
  <c r="O13" i="4" s="1"/>
  <c r="Q13" i="4" s="1"/>
  <c r="J15" i="3"/>
  <c r="L15" i="3" s="1"/>
  <c r="M15" i="3" s="1"/>
  <c r="H14" i="5"/>
  <c r="N163" i="4"/>
  <c r="P163" i="4" s="1"/>
  <c r="N162" i="4"/>
  <c r="P162" i="4" s="1"/>
  <c r="N161" i="4"/>
  <c r="P161" i="4" s="1"/>
  <c r="N53" i="4"/>
  <c r="P53" i="4" s="1"/>
  <c r="N52" i="4"/>
  <c r="P52" i="4" s="1"/>
  <c r="N41" i="4"/>
  <c r="P41" i="4" s="1"/>
  <c r="N40" i="4"/>
  <c r="P40" i="4" s="1"/>
  <c r="N33" i="4"/>
  <c r="P33" i="4" s="1"/>
  <c r="N32" i="4"/>
  <c r="P32" i="4" s="1"/>
  <c r="N15" i="4"/>
  <c r="P15" i="4" s="1"/>
  <c r="N14" i="4"/>
  <c r="P14" i="4" s="1"/>
  <c r="N13" i="4"/>
  <c r="P13" i="4" s="1"/>
  <c r="K15" i="3"/>
  <c r="G15" i="5"/>
  <c r="L195" i="4"/>
  <c r="O195" i="4" s="1"/>
  <c r="Q195" i="4" s="1"/>
  <c r="J16" i="3"/>
  <c r="L16" i="3" s="1"/>
  <c r="M16" i="3" s="1"/>
  <c r="H15" i="5"/>
  <c r="N195" i="4"/>
  <c r="P195" i="4" s="1"/>
  <c r="K16" i="3"/>
  <c r="G16" i="5"/>
  <c r="L140" i="4"/>
  <c r="O140" i="4" s="1"/>
  <c r="Q140" i="4" s="1"/>
  <c r="L90" i="4"/>
  <c r="O90" i="4" s="1"/>
  <c r="Q90" i="4" s="1"/>
  <c r="L78" i="4"/>
  <c r="O78" i="4" s="1"/>
  <c r="Q78" i="4" s="1"/>
  <c r="L36" i="4"/>
  <c r="O36" i="4" s="1"/>
  <c r="Q36" i="4" s="1"/>
  <c r="L11" i="4"/>
  <c r="O11" i="4" s="1"/>
  <c r="Q11" i="4" s="1"/>
  <c r="J17" i="3"/>
  <c r="L17" i="3" s="1"/>
  <c r="M17" i="3" s="1"/>
  <c r="H16" i="5"/>
  <c r="N140" i="4"/>
  <c r="P140" i="4" s="1"/>
  <c r="N90" i="4"/>
  <c r="P90" i="4" s="1"/>
  <c r="N78" i="4"/>
  <c r="P78" i="4" s="1"/>
  <c r="N36" i="4"/>
  <c r="P36" i="4" s="1"/>
  <c r="N11" i="4"/>
  <c r="P11" i="4" s="1"/>
  <c r="K17" i="3"/>
  <c r="G17" i="5"/>
  <c r="L182" i="4"/>
  <c r="O182" i="4" s="1"/>
  <c r="Q182" i="4" s="1"/>
  <c r="J18" i="3"/>
  <c r="L18" i="3" s="1"/>
  <c r="M18" i="3" s="1"/>
  <c r="H17" i="5"/>
  <c r="N182" i="4"/>
  <c r="P182" i="4" s="1"/>
  <c r="K18" i="3"/>
  <c r="G18" i="5"/>
  <c r="L159" i="4"/>
  <c r="O159" i="4" s="1"/>
  <c r="Q159" i="4" s="1"/>
  <c r="L98" i="4"/>
  <c r="O98" i="4" s="1"/>
  <c r="Q98" i="4" s="1"/>
  <c r="L87" i="4"/>
  <c r="O87" i="4" s="1"/>
  <c r="Q87" i="4" s="1"/>
  <c r="L86" i="4"/>
  <c r="O86" i="4" s="1"/>
  <c r="Q86" i="4" s="1"/>
  <c r="L84" i="4"/>
  <c r="O84" i="4" s="1"/>
  <c r="Q84" i="4" s="1"/>
  <c r="J19" i="3"/>
  <c r="L19" i="3" s="1"/>
  <c r="M19" i="3" s="1"/>
  <c r="H18" i="5"/>
  <c r="N159" i="4"/>
  <c r="P159" i="4" s="1"/>
  <c r="N98" i="4"/>
  <c r="P98" i="4" s="1"/>
  <c r="N87" i="4"/>
  <c r="P87" i="4" s="1"/>
  <c r="N86" i="4"/>
  <c r="P86" i="4" s="1"/>
  <c r="N84" i="4"/>
  <c r="P84" i="4" s="1"/>
  <c r="K19" i="3"/>
  <c r="G19" i="5"/>
  <c r="L181" i="4"/>
  <c r="O181" i="4" s="1"/>
  <c r="J20" i="3"/>
  <c r="L20" i="3" s="1"/>
  <c r="M20" i="3" s="1"/>
  <c r="H19" i="5"/>
  <c r="N181" i="4"/>
  <c r="P181" i="4" s="1"/>
  <c r="P201" i="4" s="1"/>
  <c r="K20" i="3"/>
  <c r="G20" i="5"/>
  <c r="L172" i="4"/>
  <c r="O172" i="4" s="1"/>
  <c r="Q172" i="4" s="1"/>
  <c r="L143" i="4"/>
  <c r="O143" i="4" s="1"/>
  <c r="Q143" i="4" s="1"/>
  <c r="L142" i="4"/>
  <c r="O142" i="4" s="1"/>
  <c r="Q142" i="4" s="1"/>
  <c r="L104" i="4"/>
  <c r="O104" i="4" s="1"/>
  <c r="Q104" i="4" s="1"/>
  <c r="L103" i="4"/>
  <c r="O103" i="4" s="1"/>
  <c r="Q103" i="4" s="1"/>
  <c r="L99" i="4"/>
  <c r="O99" i="4" s="1"/>
  <c r="Q99" i="4" s="1"/>
  <c r="L85" i="4"/>
  <c r="O85" i="4" s="1"/>
  <c r="Q85" i="4" s="1"/>
  <c r="L71" i="4"/>
  <c r="O71" i="4" s="1"/>
  <c r="Q71" i="4" s="1"/>
  <c r="L65" i="4"/>
  <c r="O65" i="4" s="1"/>
  <c r="Q65" i="4" s="1"/>
  <c r="L61" i="4"/>
  <c r="O61" i="4" s="1"/>
  <c r="Q61" i="4" s="1"/>
  <c r="L57" i="4"/>
  <c r="O57" i="4" s="1"/>
  <c r="Q57" i="4" s="1"/>
  <c r="L56" i="4"/>
  <c r="O56" i="4" s="1"/>
  <c r="Q56" i="4" s="1"/>
  <c r="L55" i="4"/>
  <c r="O55" i="4" s="1"/>
  <c r="Q55" i="4" s="1"/>
  <c r="L35" i="4"/>
  <c r="O35" i="4" s="1"/>
  <c r="Q35" i="4" s="1"/>
  <c r="J21" i="3"/>
  <c r="L21" i="3" s="1"/>
  <c r="M21" i="3" s="1"/>
  <c r="H20" i="5"/>
  <c r="N172" i="4"/>
  <c r="P172" i="4" s="1"/>
  <c r="N143" i="4"/>
  <c r="P143" i="4" s="1"/>
  <c r="N142" i="4"/>
  <c r="P142" i="4" s="1"/>
  <c r="N104" i="4"/>
  <c r="P104" i="4" s="1"/>
  <c r="N103" i="4"/>
  <c r="P103" i="4" s="1"/>
  <c r="N99" i="4"/>
  <c r="P99" i="4" s="1"/>
  <c r="N85" i="4"/>
  <c r="P85" i="4" s="1"/>
  <c r="N71" i="4"/>
  <c r="P71" i="4" s="1"/>
  <c r="N65" i="4"/>
  <c r="P65" i="4" s="1"/>
  <c r="N61" i="4"/>
  <c r="P61" i="4" s="1"/>
  <c r="N57" i="4"/>
  <c r="P57" i="4" s="1"/>
  <c r="N56" i="4"/>
  <c r="P56" i="4" s="1"/>
  <c r="N55" i="4"/>
  <c r="P55" i="4" s="1"/>
  <c r="N35" i="4"/>
  <c r="P35" i="4" s="1"/>
  <c r="K21" i="3"/>
  <c r="G21" i="5"/>
  <c r="L199" i="4"/>
  <c r="O199" i="4" s="1"/>
  <c r="Q199" i="4" s="1"/>
  <c r="L198" i="4"/>
  <c r="O198" i="4" s="1"/>
  <c r="Q198" i="4" s="1"/>
  <c r="L189" i="4"/>
  <c r="O189" i="4" s="1"/>
  <c r="Q189" i="4" s="1"/>
  <c r="J22" i="3"/>
  <c r="L22" i="3" s="1"/>
  <c r="M22" i="3" s="1"/>
  <c r="H21" i="5"/>
  <c r="N199" i="4"/>
  <c r="P199" i="4" s="1"/>
  <c r="N198" i="4"/>
  <c r="P198" i="4" s="1"/>
  <c r="N189" i="4"/>
  <c r="P189" i="4" s="1"/>
  <c r="K22" i="3"/>
  <c r="G22" i="5"/>
  <c r="L176" i="4"/>
  <c r="O176" i="4" s="1"/>
  <c r="Q176" i="4" s="1"/>
  <c r="L175" i="4"/>
  <c r="O175" i="4" s="1"/>
  <c r="Q175" i="4" s="1"/>
  <c r="L174" i="4"/>
  <c r="O174" i="4" s="1"/>
  <c r="Q174" i="4" s="1"/>
  <c r="L158" i="4"/>
  <c r="O158" i="4" s="1"/>
  <c r="Q158" i="4" s="1"/>
  <c r="L157" i="4"/>
  <c r="O157" i="4" s="1"/>
  <c r="Q157" i="4" s="1"/>
  <c r="L156" i="4"/>
  <c r="O156" i="4" s="1"/>
  <c r="Q156" i="4" s="1"/>
  <c r="L155" i="4"/>
  <c r="O155" i="4" s="1"/>
  <c r="Q155" i="4" s="1"/>
  <c r="L139" i="4"/>
  <c r="O139" i="4" s="1"/>
  <c r="Q139" i="4" s="1"/>
  <c r="L138" i="4"/>
  <c r="O138" i="4" s="1"/>
  <c r="Q138" i="4" s="1"/>
  <c r="L106" i="4"/>
  <c r="O106" i="4" s="1"/>
  <c r="Q106" i="4" s="1"/>
  <c r="L105" i="4"/>
  <c r="O105" i="4" s="1"/>
  <c r="Q105" i="4" s="1"/>
  <c r="L94" i="4"/>
  <c r="O94" i="4" s="1"/>
  <c r="Q94" i="4" s="1"/>
  <c r="L93" i="4"/>
  <c r="O93" i="4" s="1"/>
  <c r="Q93" i="4" s="1"/>
  <c r="L92" i="4"/>
  <c r="O92" i="4" s="1"/>
  <c r="Q92" i="4" s="1"/>
  <c r="L80" i="4"/>
  <c r="O80" i="4" s="1"/>
  <c r="Q80" i="4" s="1"/>
  <c r="L79" i="4"/>
  <c r="O79" i="4" s="1"/>
  <c r="Q79" i="4" s="1"/>
  <c r="L54" i="4"/>
  <c r="O54" i="4" s="1"/>
  <c r="Q54" i="4" s="1"/>
  <c r="L30" i="4"/>
  <c r="O30" i="4" s="1"/>
  <c r="Q30" i="4" s="1"/>
  <c r="L29" i="4"/>
  <c r="O29" i="4" s="1"/>
  <c r="Q29" i="4" s="1"/>
  <c r="L28" i="4"/>
  <c r="O28" i="4" s="1"/>
  <c r="Q28" i="4" s="1"/>
  <c r="L27" i="4"/>
  <c r="O27" i="4" s="1"/>
  <c r="Q27" i="4" s="1"/>
  <c r="L10" i="4"/>
  <c r="O10" i="4" s="1"/>
  <c r="Q10" i="4" s="1"/>
  <c r="L9" i="4"/>
  <c r="O9" i="4" s="1"/>
  <c r="Q9" i="4" s="1"/>
  <c r="J23" i="3"/>
  <c r="L23" i="3" s="1"/>
  <c r="M23" i="3" s="1"/>
  <c r="H22" i="5"/>
  <c r="N176" i="4"/>
  <c r="P176" i="4" s="1"/>
  <c r="N175" i="4"/>
  <c r="P175" i="4" s="1"/>
  <c r="N174" i="4"/>
  <c r="P174" i="4" s="1"/>
  <c r="N158" i="4"/>
  <c r="P158" i="4" s="1"/>
  <c r="N157" i="4"/>
  <c r="P157" i="4" s="1"/>
  <c r="N156" i="4"/>
  <c r="P156" i="4" s="1"/>
  <c r="N155" i="4"/>
  <c r="P155" i="4" s="1"/>
  <c r="N139" i="4"/>
  <c r="P139" i="4" s="1"/>
  <c r="N138" i="4"/>
  <c r="P138" i="4" s="1"/>
  <c r="N106" i="4"/>
  <c r="P106" i="4" s="1"/>
  <c r="N105" i="4"/>
  <c r="P105" i="4" s="1"/>
  <c r="N94" i="4"/>
  <c r="P94" i="4" s="1"/>
  <c r="N93" i="4"/>
  <c r="P93" i="4" s="1"/>
  <c r="N92" i="4"/>
  <c r="P92" i="4" s="1"/>
  <c r="N80" i="4"/>
  <c r="P80" i="4" s="1"/>
  <c r="N79" i="4"/>
  <c r="P79" i="4" s="1"/>
  <c r="N54" i="4"/>
  <c r="P54" i="4" s="1"/>
  <c r="N30" i="4"/>
  <c r="P30" i="4" s="1"/>
  <c r="N29" i="4"/>
  <c r="P29" i="4" s="1"/>
  <c r="N28" i="4"/>
  <c r="P28" i="4" s="1"/>
  <c r="N27" i="4"/>
  <c r="P27" i="4" s="1"/>
  <c r="N10" i="4"/>
  <c r="P10" i="4" s="1"/>
  <c r="N9" i="4"/>
  <c r="P9" i="4" s="1"/>
  <c r="K23" i="3"/>
  <c r="G23" i="5"/>
  <c r="L200" i="4"/>
  <c r="O200" i="4" s="1"/>
  <c r="Q200" i="4" s="1"/>
  <c r="L190" i="4"/>
  <c r="O190" i="4" s="1"/>
  <c r="Q190" i="4" s="1"/>
  <c r="J24" i="3"/>
  <c r="L24" i="3" s="1"/>
  <c r="M24" i="3" s="1"/>
  <c r="H23" i="5"/>
  <c r="N200" i="4"/>
  <c r="P200" i="4" s="1"/>
  <c r="N190" i="4"/>
  <c r="P190" i="4" s="1"/>
  <c r="K24" i="3"/>
  <c r="G24" i="5"/>
  <c r="L144" i="4"/>
  <c r="O144" i="4" s="1"/>
  <c r="Q144" i="4" s="1"/>
  <c r="L68" i="4"/>
  <c r="O68" i="4" s="1"/>
  <c r="Q68" i="4" s="1"/>
  <c r="L47" i="4"/>
  <c r="O47" i="4" s="1"/>
  <c r="Q47" i="4" s="1"/>
  <c r="L16" i="4"/>
  <c r="O16" i="4" s="1"/>
  <c r="Q16" i="4" s="1"/>
  <c r="J25" i="3"/>
  <c r="L25" i="3" s="1"/>
  <c r="M25" i="3" s="1"/>
  <c r="H24" i="5"/>
  <c r="N144" i="4"/>
  <c r="P144" i="4" s="1"/>
  <c r="N68" i="4"/>
  <c r="P68" i="4" s="1"/>
  <c r="N47" i="4"/>
  <c r="P47" i="4" s="1"/>
  <c r="N16" i="4"/>
  <c r="P16" i="4" s="1"/>
  <c r="K25" i="3"/>
  <c r="G25" i="5"/>
  <c r="L128" i="4"/>
  <c r="O128" i="4" s="1"/>
  <c r="Q128" i="4" s="1"/>
  <c r="L67" i="4"/>
  <c r="O67" i="4" s="1"/>
  <c r="Q67" i="4" s="1"/>
  <c r="J26" i="3"/>
  <c r="L26" i="3" s="1"/>
  <c r="M26" i="3" s="1"/>
  <c r="H25" i="5"/>
  <c r="N128" i="4"/>
  <c r="P128" i="4" s="1"/>
  <c r="N67" i="4"/>
  <c r="P67" i="4" s="1"/>
  <c r="K26" i="3"/>
  <c r="G26" i="5"/>
  <c r="L197" i="4"/>
  <c r="O197" i="4" s="1"/>
  <c r="Q197" i="4" s="1"/>
  <c r="L196" i="4"/>
  <c r="O196" i="4" s="1"/>
  <c r="Q196" i="4" s="1"/>
  <c r="L186" i="4"/>
  <c r="O186" i="4" s="1"/>
  <c r="Q186" i="4" s="1"/>
  <c r="J27" i="3"/>
  <c r="L27" i="3" s="1"/>
  <c r="M27" i="3" s="1"/>
  <c r="H26" i="5"/>
  <c r="N197" i="4"/>
  <c r="P197" i="4" s="1"/>
  <c r="N196" i="4"/>
  <c r="P196" i="4" s="1"/>
  <c r="N186" i="4"/>
  <c r="P186" i="4" s="1"/>
  <c r="K27" i="3"/>
  <c r="G27" i="5"/>
  <c r="L173" i="4"/>
  <c r="O173" i="4" s="1"/>
  <c r="Q173" i="4" s="1"/>
  <c r="L167" i="4"/>
  <c r="O167" i="4" s="1"/>
  <c r="Q167" i="4" s="1"/>
  <c r="L164" i="4"/>
  <c r="O164" i="4" s="1"/>
  <c r="Q164" i="4" s="1"/>
  <c r="L154" i="4"/>
  <c r="O154" i="4" s="1"/>
  <c r="Q154" i="4" s="1"/>
  <c r="L149" i="4"/>
  <c r="O149" i="4" s="1"/>
  <c r="Q149" i="4" s="1"/>
  <c r="L147" i="4"/>
  <c r="O147" i="4" s="1"/>
  <c r="Q147" i="4" s="1"/>
  <c r="L141" i="4"/>
  <c r="O141" i="4" s="1"/>
  <c r="Q141" i="4" s="1"/>
  <c r="L102" i="4"/>
  <c r="O102" i="4" s="1"/>
  <c r="Q102" i="4" s="1"/>
  <c r="L101" i="4"/>
  <c r="O101" i="4" s="1"/>
  <c r="Q101" i="4" s="1"/>
  <c r="L97" i="4"/>
  <c r="O97" i="4" s="1"/>
  <c r="Q97" i="4" s="1"/>
  <c r="L89" i="4"/>
  <c r="O89" i="4" s="1"/>
  <c r="Q89" i="4" s="1"/>
  <c r="L77" i="4"/>
  <c r="O77" i="4" s="1"/>
  <c r="Q77" i="4" s="1"/>
  <c r="L49" i="4"/>
  <c r="O49" i="4" s="1"/>
  <c r="Q49" i="4" s="1"/>
  <c r="L46" i="4"/>
  <c r="O46" i="4" s="1"/>
  <c r="Q46" i="4" s="1"/>
  <c r="L39" i="4"/>
  <c r="O39" i="4" s="1"/>
  <c r="Q39" i="4" s="1"/>
  <c r="L37" i="4"/>
  <c r="O37" i="4" s="1"/>
  <c r="Q37" i="4" s="1"/>
  <c r="L31" i="4"/>
  <c r="O31" i="4" s="1"/>
  <c r="Q31" i="4" s="1"/>
  <c r="L26" i="4"/>
  <c r="O26" i="4" s="1"/>
  <c r="L12" i="4"/>
  <c r="O12" i="4" s="1"/>
  <c r="Q12" i="4" s="1"/>
  <c r="L8" i="4"/>
  <c r="O8" i="4" s="1"/>
  <c r="Q8" i="4" s="1"/>
  <c r="J28" i="3"/>
  <c r="L28" i="3" s="1"/>
  <c r="M28" i="3" s="1"/>
  <c r="H27" i="5"/>
  <c r="N173" i="4"/>
  <c r="P173" i="4" s="1"/>
  <c r="N167" i="4"/>
  <c r="P167" i="4" s="1"/>
  <c r="N164" i="4"/>
  <c r="P164" i="4" s="1"/>
  <c r="N154" i="4"/>
  <c r="P154" i="4" s="1"/>
  <c r="N149" i="4"/>
  <c r="P149" i="4" s="1"/>
  <c r="N147" i="4"/>
  <c r="P147" i="4" s="1"/>
  <c r="N141" i="4"/>
  <c r="P141" i="4" s="1"/>
  <c r="N102" i="4"/>
  <c r="P102" i="4" s="1"/>
  <c r="N101" i="4"/>
  <c r="P101" i="4" s="1"/>
  <c r="N97" i="4"/>
  <c r="P97" i="4" s="1"/>
  <c r="N89" i="4"/>
  <c r="P89" i="4" s="1"/>
  <c r="N77" i="4"/>
  <c r="P77" i="4" s="1"/>
  <c r="N49" i="4"/>
  <c r="P49" i="4" s="1"/>
  <c r="N46" i="4"/>
  <c r="P46" i="4" s="1"/>
  <c r="N39" i="4"/>
  <c r="P39" i="4" s="1"/>
  <c r="N37" i="4"/>
  <c r="P37" i="4" s="1"/>
  <c r="N31" i="4"/>
  <c r="P31" i="4" s="1"/>
  <c r="N26" i="4"/>
  <c r="P26" i="4" s="1"/>
  <c r="P43" i="4" s="1"/>
  <c r="N12" i="4"/>
  <c r="P12" i="4" s="1"/>
  <c r="N8" i="4"/>
  <c r="P8" i="4" s="1"/>
  <c r="K28" i="3"/>
  <c r="G28" i="5"/>
  <c r="L187" i="4"/>
  <c r="O187" i="4" s="1"/>
  <c r="Q187" i="4" s="1"/>
  <c r="J29" i="3"/>
  <c r="L29" i="3" s="1"/>
  <c r="M29" i="3" s="1"/>
  <c r="H28" i="5"/>
  <c r="N187" i="4"/>
  <c r="P187" i="4" s="1"/>
  <c r="K29" i="3"/>
  <c r="G29" i="5"/>
  <c r="L177" i="4"/>
  <c r="O177" i="4" s="1"/>
  <c r="Q177" i="4" s="1"/>
  <c r="L165" i="4"/>
  <c r="O165" i="4" s="1"/>
  <c r="Q165" i="4" s="1"/>
  <c r="L137" i="4"/>
  <c r="O137" i="4" s="1"/>
  <c r="Q137" i="4" s="1"/>
  <c r="L136" i="4"/>
  <c r="O136" i="4" s="1"/>
  <c r="Q136" i="4" s="1"/>
  <c r="L135" i="4"/>
  <c r="O135" i="4" s="1"/>
  <c r="Q135" i="4" s="1"/>
  <c r="L134" i="4"/>
  <c r="O134" i="4" s="1"/>
  <c r="Q134" i="4" s="1"/>
  <c r="L119" i="4"/>
  <c r="O119" i="4" s="1"/>
  <c r="Q119" i="4" s="1"/>
  <c r="L118" i="4"/>
  <c r="O118" i="4" s="1"/>
  <c r="Q118" i="4" s="1"/>
  <c r="L117" i="4"/>
  <c r="O117" i="4" s="1"/>
  <c r="Q117" i="4" s="1"/>
  <c r="L114" i="4"/>
  <c r="O114" i="4" s="1"/>
  <c r="Q114" i="4" s="1"/>
  <c r="L108" i="4"/>
  <c r="O108" i="4" s="1"/>
  <c r="Q108" i="4" s="1"/>
  <c r="L100" i="4"/>
  <c r="O100" i="4" s="1"/>
  <c r="Q100" i="4" s="1"/>
  <c r="L76" i="4"/>
  <c r="O76" i="4" s="1"/>
  <c r="Q76" i="4" s="1"/>
  <c r="L75" i="4"/>
  <c r="O75" i="4" s="1"/>
  <c r="Q75" i="4" s="1"/>
  <c r="L58" i="4"/>
  <c r="O58" i="4" s="1"/>
  <c r="Q58" i="4" s="1"/>
  <c r="L50" i="4"/>
  <c r="O50" i="4" s="1"/>
  <c r="Q50" i="4" s="1"/>
  <c r="L17" i="4"/>
  <c r="O17" i="4" s="1"/>
  <c r="Q17" i="4" s="1"/>
  <c r="J30" i="3"/>
  <c r="L30" i="3" s="1"/>
  <c r="M30" i="3" s="1"/>
  <c r="H29" i="5"/>
  <c r="N177" i="4"/>
  <c r="P177" i="4" s="1"/>
  <c r="N165" i="4"/>
  <c r="P165" i="4" s="1"/>
  <c r="N137" i="4"/>
  <c r="P137" i="4" s="1"/>
  <c r="N136" i="4"/>
  <c r="P136" i="4" s="1"/>
  <c r="N135" i="4"/>
  <c r="P135" i="4" s="1"/>
  <c r="N134" i="4"/>
  <c r="P134" i="4" s="1"/>
  <c r="N119" i="4"/>
  <c r="P119" i="4" s="1"/>
  <c r="N118" i="4"/>
  <c r="P118" i="4" s="1"/>
  <c r="N117" i="4"/>
  <c r="P117" i="4" s="1"/>
  <c r="N114" i="4"/>
  <c r="P114" i="4" s="1"/>
  <c r="N108" i="4"/>
  <c r="P108" i="4" s="1"/>
  <c r="N100" i="4"/>
  <c r="P100" i="4" s="1"/>
  <c r="N76" i="4"/>
  <c r="P76" i="4" s="1"/>
  <c r="N75" i="4"/>
  <c r="P75" i="4" s="1"/>
  <c r="N58" i="4"/>
  <c r="P58" i="4" s="1"/>
  <c r="N50" i="4"/>
  <c r="P50" i="4" s="1"/>
  <c r="N17" i="4"/>
  <c r="P17" i="4" s="1"/>
  <c r="K30" i="3"/>
  <c r="G30" i="5"/>
  <c r="L160" i="4"/>
  <c r="O160" i="4" s="1"/>
  <c r="Q160" i="4" s="1"/>
  <c r="L153" i="4"/>
  <c r="O153" i="4" s="1"/>
  <c r="Q153" i="4" s="1"/>
  <c r="L152" i="4"/>
  <c r="O152" i="4" s="1"/>
  <c r="L96" i="4"/>
  <c r="O96" i="4" s="1"/>
  <c r="Q96" i="4" s="1"/>
  <c r="L51" i="4"/>
  <c r="O51" i="4" s="1"/>
  <c r="Q51" i="4" s="1"/>
  <c r="L7" i="4"/>
  <c r="O7" i="4" s="1"/>
  <c r="Q7" i="4" s="1"/>
  <c r="L6" i="4"/>
  <c r="O6" i="4" s="1"/>
  <c r="Q6" i="4" s="1"/>
  <c r="J31" i="3"/>
  <c r="L31" i="3" s="1"/>
  <c r="M31" i="3" s="1"/>
  <c r="H30" i="5"/>
  <c r="N160" i="4"/>
  <c r="P160" i="4" s="1"/>
  <c r="N153" i="4"/>
  <c r="P153" i="4" s="1"/>
  <c r="N152" i="4"/>
  <c r="P152" i="4" s="1"/>
  <c r="P179" i="4" s="1"/>
  <c r="N96" i="4"/>
  <c r="P96" i="4" s="1"/>
  <c r="N51" i="4"/>
  <c r="P51" i="4" s="1"/>
  <c r="N7" i="4"/>
  <c r="P7" i="4" s="1"/>
  <c r="N6" i="4"/>
  <c r="P6" i="4" s="1"/>
  <c r="K31" i="3"/>
  <c r="G31" i="5"/>
  <c r="L48" i="4"/>
  <c r="O48" i="4" s="1"/>
  <c r="Q48" i="4" s="1"/>
  <c r="J32" i="3"/>
  <c r="L32" i="3" s="1"/>
  <c r="M32" i="3" s="1"/>
  <c r="H31" i="5"/>
  <c r="N48" i="4"/>
  <c r="P48" i="4" s="1"/>
  <c r="K32" i="3"/>
  <c r="P23" i="4"/>
  <c r="P42" i="4"/>
  <c r="P178" i="4"/>
  <c r="G4" i="8"/>
  <c r="G10" i="8" s="1"/>
  <c r="H46" i="7"/>
  <c r="H49" i="7" s="1"/>
  <c r="C5" i="15" s="1"/>
  <c r="C10" i="15" s="1"/>
  <c r="J12" i="7"/>
  <c r="K8" i="7"/>
  <c r="K12" i="7" s="1"/>
  <c r="J20" i="7"/>
  <c r="H5" i="8" s="1"/>
  <c r="K16" i="7"/>
  <c r="K20" i="7" s="1"/>
  <c r="J28" i="7"/>
  <c r="H6" i="8" s="1"/>
  <c r="K24" i="7"/>
  <c r="K28" i="7" s="1"/>
  <c r="J36" i="7"/>
  <c r="H7" i="8" s="1"/>
  <c r="K32" i="7"/>
  <c r="K36" i="7" s="1"/>
  <c r="J44" i="7"/>
  <c r="H8" i="8" s="1"/>
  <c r="K40" i="7"/>
  <c r="K44" i="7" s="1"/>
  <c r="K6" i="10"/>
  <c r="K7" i="10" s="1"/>
  <c r="K10" i="10"/>
  <c r="K11" i="10" s="1"/>
  <c r="K46" i="7" l="1"/>
  <c r="K49" i="7" s="1"/>
  <c r="K51" i="7" s="1"/>
  <c r="H4" i="8"/>
  <c r="H10" i="8" s="1"/>
  <c r="J46" i="7"/>
  <c r="J49" i="7" s="1"/>
  <c r="R48" i="4"/>
  <c r="R6" i="4"/>
  <c r="R7" i="4"/>
  <c r="R51" i="4"/>
  <c r="R96" i="4"/>
  <c r="O179" i="4"/>
  <c r="Q152" i="4"/>
  <c r="R153" i="4"/>
  <c r="R160" i="4"/>
  <c r="R17" i="4"/>
  <c r="R50" i="4"/>
  <c r="R58" i="4"/>
  <c r="R75" i="4"/>
  <c r="R76" i="4"/>
  <c r="R100" i="4"/>
  <c r="R108" i="4"/>
  <c r="R114" i="4"/>
  <c r="R117" i="4"/>
  <c r="R118" i="4"/>
  <c r="R119" i="4"/>
  <c r="R134" i="4"/>
  <c r="R135" i="4"/>
  <c r="R136" i="4"/>
  <c r="R137" i="4"/>
  <c r="R165" i="4"/>
  <c r="R177" i="4"/>
  <c r="R187" i="4"/>
  <c r="R8" i="4"/>
  <c r="R12" i="4"/>
  <c r="O43" i="4"/>
  <c r="Q26" i="4"/>
  <c r="R31" i="4"/>
  <c r="R37" i="4"/>
  <c r="R39" i="4"/>
  <c r="R46" i="4"/>
  <c r="R49" i="4"/>
  <c r="R77" i="4"/>
  <c r="R89" i="4"/>
  <c r="R97" i="4"/>
  <c r="R101" i="4"/>
  <c r="R102" i="4"/>
  <c r="R141" i="4"/>
  <c r="R147" i="4"/>
  <c r="R149" i="4"/>
  <c r="R154" i="4"/>
  <c r="R164" i="4"/>
  <c r="R167" i="4"/>
  <c r="R173" i="4"/>
  <c r="R186" i="4"/>
  <c r="R196" i="4"/>
  <c r="R197" i="4"/>
  <c r="R67" i="4"/>
  <c r="R128" i="4"/>
  <c r="R16" i="4"/>
  <c r="R47" i="4"/>
  <c r="R68" i="4"/>
  <c r="R144" i="4"/>
  <c r="R190" i="4"/>
  <c r="R200" i="4"/>
  <c r="R9" i="4"/>
  <c r="R10" i="4"/>
  <c r="R27" i="4"/>
  <c r="R28" i="4"/>
  <c r="R29" i="4"/>
  <c r="R30" i="4"/>
  <c r="R54" i="4"/>
  <c r="R79" i="4"/>
  <c r="R80" i="4"/>
  <c r="R92" i="4"/>
  <c r="R93" i="4"/>
  <c r="R94" i="4"/>
  <c r="R105" i="4"/>
  <c r="R106" i="4"/>
  <c r="R138" i="4"/>
  <c r="R139" i="4"/>
  <c r="R155" i="4"/>
  <c r="R156" i="4"/>
  <c r="R157" i="4"/>
  <c r="R158" i="4"/>
  <c r="R174" i="4"/>
  <c r="R175" i="4"/>
  <c r="R176" i="4"/>
  <c r="R189" i="4"/>
  <c r="R198" i="4"/>
  <c r="R199" i="4"/>
  <c r="R35" i="4"/>
  <c r="R55" i="4"/>
  <c r="R56" i="4"/>
  <c r="R57" i="4"/>
  <c r="R61" i="4"/>
  <c r="R65" i="4"/>
  <c r="R71" i="4"/>
  <c r="R85" i="4"/>
  <c r="R99" i="4"/>
  <c r="R103" i="4"/>
  <c r="R104" i="4"/>
  <c r="R142" i="4"/>
  <c r="R143" i="4"/>
  <c r="R172" i="4"/>
  <c r="O201" i="4"/>
  <c r="Q181" i="4"/>
  <c r="R84" i="4"/>
  <c r="R86" i="4"/>
  <c r="R87" i="4"/>
  <c r="R98" i="4"/>
  <c r="R159" i="4"/>
  <c r="R182" i="4"/>
  <c r="R11" i="4"/>
  <c r="R36" i="4"/>
  <c r="R78" i="4"/>
  <c r="R90" i="4"/>
  <c r="R140" i="4"/>
  <c r="R195" i="4"/>
  <c r="R13" i="4"/>
  <c r="R14" i="4"/>
  <c r="R15" i="4"/>
  <c r="R32" i="4"/>
  <c r="R33" i="4"/>
  <c r="R40" i="4"/>
  <c r="R41" i="4"/>
  <c r="R52" i="4"/>
  <c r="R53" i="4"/>
  <c r="R161" i="4"/>
  <c r="R162" i="4"/>
  <c r="R163" i="4"/>
  <c r="R184" i="4"/>
  <c r="R82" i="4"/>
  <c r="R188" i="4"/>
  <c r="O24" i="4"/>
  <c r="Q5" i="4"/>
  <c r="O150" i="4"/>
  <c r="Q45" i="4"/>
  <c r="R185" i="4"/>
  <c r="R107" i="4"/>
  <c r="R18" i="4"/>
  <c r="R19" i="4"/>
  <c r="R20" i="4"/>
  <c r="R21" i="4"/>
  <c r="R34" i="4"/>
  <c r="R38" i="4"/>
  <c r="R59" i="4"/>
  <c r="R60" i="4"/>
  <c r="R62" i="4"/>
  <c r="R63" i="4"/>
  <c r="R64" i="4"/>
  <c r="R66" i="4"/>
  <c r="R69" i="4"/>
  <c r="R70" i="4"/>
  <c r="R72" i="4"/>
  <c r="R73" i="4"/>
  <c r="R74" i="4"/>
  <c r="R109" i="4"/>
  <c r="R110" i="4"/>
  <c r="R111" i="4"/>
  <c r="R112" i="4"/>
  <c r="R113" i="4"/>
  <c r="R115" i="4"/>
  <c r="R116" i="4"/>
  <c r="R120" i="4"/>
  <c r="R121" i="4"/>
  <c r="R122" i="4"/>
  <c r="R123" i="4"/>
  <c r="R124" i="4"/>
  <c r="R125" i="4"/>
  <c r="R126" i="4"/>
  <c r="R127" i="4"/>
  <c r="R129" i="4"/>
  <c r="R130" i="4"/>
  <c r="R131" i="4"/>
  <c r="R132" i="4"/>
  <c r="R133" i="4"/>
  <c r="R168" i="4"/>
  <c r="R169" i="4"/>
  <c r="R170" i="4"/>
  <c r="R171" i="4"/>
  <c r="R183" i="4"/>
  <c r="R191" i="4"/>
  <c r="R192" i="4"/>
  <c r="R193" i="4"/>
  <c r="R194" i="4"/>
  <c r="R88" i="4"/>
  <c r="R148" i="4"/>
  <c r="R166" i="4"/>
  <c r="J34" i="3"/>
  <c r="L6" i="3"/>
  <c r="R22" i="4"/>
  <c r="R81" i="4"/>
  <c r="R83" i="4"/>
  <c r="R91" i="4"/>
  <c r="R95" i="4"/>
  <c r="R145" i="4"/>
  <c r="R146" i="4"/>
  <c r="K8" i="9"/>
  <c r="M6" i="9"/>
  <c r="M8" i="9" s="1"/>
  <c r="M10" i="9" s="1"/>
  <c r="B6" i="15" s="1"/>
  <c r="L6" i="9"/>
  <c r="L6" i="10"/>
  <c r="L10" i="10"/>
  <c r="K9" i="13"/>
  <c r="M6" i="13"/>
  <c r="L6" i="13"/>
  <c r="M7" i="13"/>
  <c r="L7" i="13"/>
  <c r="M8" i="13"/>
  <c r="L8" i="13"/>
  <c r="L9" i="14"/>
  <c r="M9" i="14" s="1"/>
  <c r="M6" i="14"/>
  <c r="L15" i="14"/>
  <c r="M15" i="14" s="1"/>
  <c r="M12" i="14"/>
  <c r="L21" i="14"/>
  <c r="M21" i="14" s="1"/>
  <c r="M18" i="14"/>
  <c r="K10" i="11"/>
  <c r="M6" i="11"/>
  <c r="L6" i="11"/>
  <c r="M7" i="11"/>
  <c r="L7" i="11"/>
  <c r="M8" i="11"/>
  <c r="L8" i="11"/>
  <c r="M9" i="11"/>
  <c r="L9" i="11"/>
  <c r="L33" i="3"/>
  <c r="M33" i="3" s="1"/>
  <c r="K33" i="3"/>
  <c r="K34" i="3" s="1"/>
  <c r="M10" i="11" l="1"/>
  <c r="M12" i="11" s="1"/>
  <c r="B7" i="15" s="1"/>
  <c r="K12" i="11"/>
  <c r="L10" i="11"/>
  <c r="M9" i="13"/>
  <c r="M11" i="13" s="1"/>
  <c r="B8" i="15" s="1"/>
  <c r="K11" i="13"/>
  <c r="L9" i="13"/>
  <c r="L11" i="10"/>
  <c r="M11" i="10" s="1"/>
  <c r="M10" i="10"/>
  <c r="L7" i="10"/>
  <c r="M7" i="10" s="1"/>
  <c r="M6" i="10"/>
  <c r="K10" i="9"/>
  <c r="L8" i="9"/>
  <c r="L34" i="3"/>
  <c r="M6" i="3"/>
  <c r="M34" i="3" s="1"/>
  <c r="M39" i="3" s="1"/>
  <c r="Q150" i="4"/>
  <c r="N150" i="4" s="1"/>
  <c r="R45" i="4"/>
  <c r="R150" i="4" s="1"/>
  <c r="Q24" i="4"/>
  <c r="N24" i="4" s="1"/>
  <c r="R5" i="4"/>
  <c r="R24" i="4" s="1"/>
  <c r="Q201" i="4"/>
  <c r="N201" i="4" s="1"/>
  <c r="R181" i="4"/>
  <c r="R201" i="4" s="1"/>
  <c r="Q43" i="4"/>
  <c r="N43" i="4" s="1"/>
  <c r="R26" i="4"/>
  <c r="R43" i="4" s="1"/>
  <c r="Q179" i="4"/>
  <c r="N179" i="4" s="1"/>
  <c r="R152" i="4"/>
  <c r="R179" i="4" s="1"/>
  <c r="D5" i="15"/>
  <c r="E5" i="15" s="1"/>
  <c r="J51" i="7"/>
  <c r="L39" i="3" l="1"/>
  <c r="I36" i="3"/>
  <c r="D6" i="15"/>
  <c r="E6" i="15" s="1"/>
  <c r="L10" i="9"/>
  <c r="D8" i="15"/>
  <c r="E8" i="15" s="1"/>
  <c r="L11" i="13"/>
  <c r="D7" i="15"/>
  <c r="E7" i="15" s="1"/>
  <c r="L12" i="11"/>
  <c r="F10" i="6" l="1"/>
  <c r="K10" i="6" s="1"/>
  <c r="F9" i="6"/>
  <c r="K9" i="6" s="1"/>
  <c r="F8" i="6"/>
  <c r="K8" i="6" s="1"/>
  <c r="F7" i="6"/>
  <c r="K7" i="6" s="1"/>
  <c r="F6" i="6"/>
  <c r="K6" i="6" s="1"/>
  <c r="J10" i="6"/>
  <c r="L10" i="6"/>
  <c r="N10" i="6"/>
  <c r="O10" i="6"/>
  <c r="F8" i="8"/>
  <c r="I8" i="8"/>
  <c r="J8" i="8"/>
  <c r="K8" i="8"/>
  <c r="G10" i="6"/>
  <c r="I10" i="6"/>
  <c r="M10" i="6"/>
  <c r="E8" i="8"/>
  <c r="J9" i="6"/>
  <c r="L9" i="6"/>
  <c r="N9" i="6"/>
  <c r="O9" i="6"/>
  <c r="F7" i="8"/>
  <c r="I7" i="8"/>
  <c r="J7" i="8"/>
  <c r="K7" i="8"/>
  <c r="G9" i="6"/>
  <c r="I9" i="6"/>
  <c r="M9" i="6"/>
  <c r="E7" i="8"/>
  <c r="J8" i="6"/>
  <c r="L8" i="6"/>
  <c r="N8" i="6"/>
  <c r="O8" i="6"/>
  <c r="F6" i="8"/>
  <c r="I6" i="8"/>
  <c r="J6" i="8"/>
  <c r="K6" i="8"/>
  <c r="G8" i="6"/>
  <c r="I8" i="6"/>
  <c r="M8" i="6"/>
  <c r="E6" i="8"/>
  <c r="J7" i="6"/>
  <c r="L7" i="6"/>
  <c r="N7" i="6"/>
  <c r="O7" i="6"/>
  <c r="F5" i="8"/>
  <c r="I5" i="8"/>
  <c r="J5" i="8"/>
  <c r="K5" i="8"/>
  <c r="G7" i="6"/>
  <c r="I7" i="6"/>
  <c r="M7" i="6"/>
  <c r="E5" i="8"/>
  <c r="J6" i="6"/>
  <c r="L6" i="6"/>
  <c r="N6" i="6"/>
  <c r="O6" i="6"/>
  <c r="O11" i="6"/>
  <c r="O14" i="6"/>
  <c r="O16" i="6"/>
  <c r="N11" i="6"/>
  <c r="N14" i="6"/>
  <c r="N16" i="6"/>
  <c r="F4" i="8"/>
  <c r="I4" i="8"/>
  <c r="J4" i="8"/>
  <c r="K4" i="8"/>
  <c r="K10" i="8"/>
  <c r="J10" i="8"/>
  <c r="I10" i="8"/>
  <c r="F10" i="8"/>
  <c r="D4" i="15"/>
  <c r="E4" i="15"/>
  <c r="D10" i="15"/>
  <c r="E10" i="15"/>
  <c r="G6" i="6"/>
  <c r="I6" i="6"/>
  <c r="M6" i="6"/>
  <c r="M11" i="6"/>
  <c r="M14" i="6"/>
  <c r="E4" i="8"/>
  <c r="E10" i="8"/>
  <c r="B4" i="15"/>
  <c r="B10" i="15"/>
  <c r="B12" i="15"/>
</calcChain>
</file>

<file path=xl/sharedStrings.xml><?xml version="1.0" encoding="utf-8"?>
<sst xmlns="http://schemas.openxmlformats.org/spreadsheetml/2006/main" count="3046" uniqueCount="601">
  <si>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</si>
  <si>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</si>
  <si>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</si>
  <si>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</si>
  <si>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</si>
  <si>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</si>
  <si>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</si>
  <si>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</si>
  <si>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</si>
  <si>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5W</t>
  </si>
  <si>
    <t>4W</t>
  </si>
  <si>
    <t>3W</t>
  </si>
  <si>
    <t>2W</t>
  </si>
  <si>
    <t>1W</t>
  </si>
  <si>
    <t>26J</t>
  </si>
  <si>
    <t>12J</t>
  </si>
  <si>
    <t>6J</t>
  </si>
  <si>
    <t>4J</t>
  </si>
  <si>
    <t>3J</t>
  </si>
  <si>
    <t>2J</t>
  </si>
  <si>
    <t>1J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</si>
  <si>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</si>
  <si>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</si>
  <si>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</si>
  <si>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</si>
  <si>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</si>
  <si>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</si>
  <si>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</si>
  <si>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</si>
  <si>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     </t>
  </si>
  <si>
    <t>BHB</t>
  </si>
  <si>
    <t xml:space="preserve">B    </t>
  </si>
  <si>
    <t>Bureauruimte - harde vloer basis</t>
  </si>
  <si>
    <t>m²/uur</t>
  </si>
  <si>
    <t>BHV</t>
  </si>
  <si>
    <t>Bureauruimte - harde vloer (volledig)</t>
  </si>
  <si>
    <t>BZB</t>
  </si>
  <si>
    <t>Bureauruimte - zachte vloer basis</t>
  </si>
  <si>
    <t>BZV</t>
  </si>
  <si>
    <t>Bureauruimte - zachte vloer (volledig)</t>
  </si>
  <si>
    <t>HHB</t>
  </si>
  <si>
    <t>Behandel/onderzoeksruimte - harde vloer basis</t>
  </si>
  <si>
    <t>HHV</t>
  </si>
  <si>
    <t>Behandel/onderzoeksruimte - harde vloer basis (volledig)</t>
  </si>
  <si>
    <t>OHB</t>
  </si>
  <si>
    <t>Vergader-/spreek-/instructie-/overlegruimte - harde vloer basis</t>
  </si>
  <si>
    <t>OHV</t>
  </si>
  <si>
    <t>Vergader-/spreek-/instructie-/overlegruimte - harde vloer (volledig)</t>
  </si>
  <si>
    <t>OZB</t>
  </si>
  <si>
    <t>Vergader-/spreek-/instructie-/overlegruimte - zachte vloer basis</t>
  </si>
  <si>
    <t>OZV</t>
  </si>
  <si>
    <t>Vergader-/spreek-/instructie-/overlegruimte - zachte vloer (volledig)</t>
  </si>
  <si>
    <t>DHB</t>
  </si>
  <si>
    <t xml:space="preserve">S    </t>
  </si>
  <si>
    <t>Douche/wasruimte - harde vloer basis</t>
  </si>
  <si>
    <t>DHV</t>
  </si>
  <si>
    <t>Douche/wasruimte - harde vloer (volledig)</t>
  </si>
  <si>
    <t>SHB</t>
  </si>
  <si>
    <t>Sanitaire ruimte - harde vloer basis</t>
  </si>
  <si>
    <t>SHV</t>
  </si>
  <si>
    <t>Sanitaire ruimte - harde vloer (volledig)</t>
  </si>
  <si>
    <t>AHB</t>
  </si>
  <si>
    <t xml:space="preserve">V    </t>
  </si>
  <si>
    <t>Archief/bergruimte/magazijn - harde vloer  basis</t>
  </si>
  <si>
    <t>AHV</t>
  </si>
  <si>
    <t>Archief/bergruimte/magazijn - harde vloer (volledig)</t>
  </si>
  <si>
    <t>EZB</t>
  </si>
  <si>
    <t>Entree - zachte vloer basis</t>
  </si>
  <si>
    <t>EZV</t>
  </si>
  <si>
    <t>Entree - zachte vloer (volledig)</t>
  </si>
  <si>
    <t>FHB</t>
  </si>
  <si>
    <t>Lift - harde vloer basis</t>
  </si>
  <si>
    <t>FHV</t>
  </si>
  <si>
    <t>Lift - harde vloer (volledig)</t>
  </si>
  <si>
    <t>KPHB</t>
  </si>
  <si>
    <t>Pantry - harde vloer basis</t>
  </si>
  <si>
    <t>KPHV</t>
  </si>
  <si>
    <t>Pantry - harde vloer (volledig)</t>
  </si>
  <si>
    <t>THB</t>
  </si>
  <si>
    <t>Trappenhuis - harde vloer basis</t>
  </si>
  <si>
    <t>THV</t>
  </si>
  <si>
    <t>Trappenhuis - harde vloer (volledig)</t>
  </si>
  <si>
    <t>TZB</t>
  </si>
  <si>
    <t>Trappenhuis - zachte vloer basis</t>
  </si>
  <si>
    <t>TZV</t>
  </si>
  <si>
    <t>Trappenhuis - zachte vloer (volledig)</t>
  </si>
  <si>
    <t>VHB</t>
  </si>
  <si>
    <t>Verkeersruimte/repro/garderobe - harde vloer basis</t>
  </si>
  <si>
    <t>VHV</t>
  </si>
  <si>
    <t>Verkeersruimte/repro/garderobe - harde vloer (volledig)</t>
  </si>
  <si>
    <t>VZB</t>
  </si>
  <si>
    <t>Verkeersruimte/repro/garderobe - zachte vloer basis</t>
  </si>
  <si>
    <t>VZV</t>
  </si>
  <si>
    <t>Verkeersruimte/repro/garderobe - zachte vloer (volledig)</t>
  </si>
  <si>
    <t>WHB</t>
  </si>
  <si>
    <t>Receptie/ontvangst/wachtruimte - harde vloer basis</t>
  </si>
  <si>
    <t>WHV</t>
  </si>
  <si>
    <t>Receptie/ontvangst/wachtruimte - harde vloer (volledig)</t>
  </si>
  <si>
    <t>WZB</t>
  </si>
  <si>
    <t>Receptie/ontvangst/wachtruimte - zachte vloer basis</t>
  </si>
  <si>
    <t>WZV</t>
  </si>
  <si>
    <t>Receptie/ontvangst/wachtruimte - zachte vloer (volledig)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</si>
  <si>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</si>
  <si>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</si>
  <si>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</si>
  <si>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</si>
  <si>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</si>
  <si>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</si>
  <si>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</si>
  <si>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</si>
  <si>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AH</t>
  </si>
  <si>
    <t>interieur</t>
  </si>
  <si>
    <t>Archief/magazijn/opslag - harde vloer</t>
  </si>
  <si>
    <t>BH</t>
  </si>
  <si>
    <t>Kantoorruimte - harde vloer</t>
  </si>
  <si>
    <t>BZ</t>
  </si>
  <si>
    <t>Kantoorruimte - zachte vloer</t>
  </si>
  <si>
    <t>DH</t>
  </si>
  <si>
    <t>Doucheruimte  - harde vloer</t>
  </si>
  <si>
    <t>EZ</t>
  </si>
  <si>
    <t>Entree - zachte vloer</t>
  </si>
  <si>
    <t>FH</t>
  </si>
  <si>
    <t>Lift - harde vloer</t>
  </si>
  <si>
    <t>HH</t>
  </si>
  <si>
    <t>Behandel-/onderzoeksruimte - harde vloeren</t>
  </si>
  <si>
    <t>KPH</t>
  </si>
  <si>
    <t>Keuken/pantry - harde vloer</t>
  </si>
  <si>
    <t>OH</t>
  </si>
  <si>
    <t>Vergader-/spreek-/instructie-/overlegruimte - harde vloer</t>
  </si>
  <si>
    <t>OZ</t>
  </si>
  <si>
    <t>Vergader-/spreek-/instructie-/overlegruimte - zachte vloer</t>
  </si>
  <si>
    <t>SH</t>
  </si>
  <si>
    <t>Sanitaire ruimte/toiletten - harde vloer</t>
  </si>
  <si>
    <t>TH</t>
  </si>
  <si>
    <t>Trappenhuis - harde vloer</t>
  </si>
  <si>
    <t>TZ</t>
  </si>
  <si>
    <t>Trappenhuis - zachte vloer</t>
  </si>
  <si>
    <t>VH</t>
  </si>
  <si>
    <t>Verkeersruimte/repro/garderobe - harde vloer</t>
  </si>
  <si>
    <t>Verkeersruimte/repro/garderobe  - harde vloer</t>
  </si>
  <si>
    <t>VZ</t>
  </si>
  <si>
    <t>Verkeersruimte/repro/garderobe  - zachte vloer</t>
  </si>
  <si>
    <t>WH</t>
  </si>
  <si>
    <t>Receptie/ontvangst/wachtruimte - harde vloer</t>
  </si>
  <si>
    <t>WZ</t>
  </si>
  <si>
    <t>Receptie/ontvangst/wachtruimte - zachte vloer</t>
  </si>
  <si>
    <t>Z001</t>
  </si>
  <si>
    <t>extra</t>
  </si>
  <si>
    <t>Koffie automaat reinigen/bijvullen</t>
  </si>
  <si>
    <t>min./stuk</t>
  </si>
  <si>
    <t xml:space="preserve">Totaal werkdag                  </t>
  </si>
  <si>
    <t xml:space="preserve">Gemiddeld uurtarief werkdag                  </t>
  </si>
  <si>
    <t>Totaal regulier werk excl. BTW</t>
  </si>
  <si>
    <t>OBJECT</t>
  </si>
  <si>
    <t>BOUW-DEEL</t>
  </si>
  <si>
    <t>ETAGE</t>
  </si>
  <si>
    <t>RUIMTENR</t>
  </si>
  <si>
    <t>RUIMTENAAM</t>
  </si>
  <si>
    <t>VLOER</t>
  </si>
  <si>
    <t>WERK-SOORT</t>
  </si>
  <si>
    <t>0001 - GGD Doetinchem, Kruisbergseweg 47, Doetinchem</t>
  </si>
  <si>
    <t>0001</t>
  </si>
  <si>
    <t/>
  </si>
  <si>
    <t>00</t>
  </si>
  <si>
    <t>0.01</t>
  </si>
  <si>
    <t>Entree</t>
  </si>
  <si>
    <t>schoonloopmat</t>
  </si>
  <si>
    <t>0.02</t>
  </si>
  <si>
    <t>Wachtruimte</t>
  </si>
  <si>
    <t>laminaat</t>
  </si>
  <si>
    <t>0.03</t>
  </si>
  <si>
    <t>0.04</t>
  </si>
  <si>
    <t>Gang</t>
  </si>
  <si>
    <t>0.05</t>
  </si>
  <si>
    <t>Toilet bezoekers</t>
  </si>
  <si>
    <t>dght</t>
  </si>
  <si>
    <t>0.06</t>
  </si>
  <si>
    <t>Toilet</t>
  </si>
  <si>
    <t>0.07</t>
  </si>
  <si>
    <t>Pantry</t>
  </si>
  <si>
    <t>0.08</t>
  </si>
  <si>
    <t>0.09</t>
  </si>
  <si>
    <t>Behandelruimte</t>
  </si>
  <si>
    <t>0.10</t>
  </si>
  <si>
    <t>0.11</t>
  </si>
  <si>
    <t>0.12</t>
  </si>
  <si>
    <t>Trap</t>
  </si>
  <si>
    <t>tapijt</t>
  </si>
  <si>
    <t>01</t>
  </si>
  <si>
    <t>1.01</t>
  </si>
  <si>
    <t>1.02</t>
  </si>
  <si>
    <t>Werkplek</t>
  </si>
  <si>
    <t>1.03</t>
  </si>
  <si>
    <t>1.04</t>
  </si>
  <si>
    <t>1.05</t>
  </si>
  <si>
    <t>1.06</t>
  </si>
  <si>
    <t>Opslag</t>
  </si>
  <si>
    <t>pvc</t>
  </si>
  <si>
    <t>EXT</t>
  </si>
  <si>
    <t>Extra werkzaamheden</t>
  </si>
  <si>
    <t>Totaal werkdag</t>
  </si>
  <si>
    <t>0002 - GGD Doetinchem, Gezellenlaan 2, Doetinchem</t>
  </si>
  <si>
    <t>0002</t>
  </si>
  <si>
    <t>Heren toilet</t>
  </si>
  <si>
    <t>Voorruimte toilet</t>
  </si>
  <si>
    <t>Dames toilet</t>
  </si>
  <si>
    <t>Miva toilet</t>
  </si>
  <si>
    <t>Vergaderruimte</t>
  </si>
  <si>
    <t>0.13</t>
  </si>
  <si>
    <t>Copy</t>
  </si>
  <si>
    <t>0.14</t>
  </si>
  <si>
    <t>0.15</t>
  </si>
  <si>
    <t>0.16</t>
  </si>
  <si>
    <t>0.17</t>
  </si>
  <si>
    <t>0003 - GGD Warnsveld, Rijksstraatweg 65, Warnsveld</t>
  </si>
  <si>
    <t>0003</t>
  </si>
  <si>
    <t>Hal</t>
  </si>
  <si>
    <t>bolidt</t>
  </si>
  <si>
    <t>0.02a</t>
  </si>
  <si>
    <t>hout</t>
  </si>
  <si>
    <t>Balie</t>
  </si>
  <si>
    <t>Copy/post</t>
  </si>
  <si>
    <t>Garderobe/lockers</t>
  </si>
  <si>
    <t>Spreek/onderzoekruimte</t>
  </si>
  <si>
    <t>Vergaderruimte Groevenbeek</t>
  </si>
  <si>
    <t>Vergaderruimte Zwaluwenburg</t>
  </si>
  <si>
    <t>Vergaderruimte Kerkenbosch</t>
  </si>
  <si>
    <t>Verkeersruimte</t>
  </si>
  <si>
    <t>Stilte werkplek</t>
  </si>
  <si>
    <t>Vergaderruimte morgenster</t>
  </si>
  <si>
    <t>0.18</t>
  </si>
  <si>
    <t>0.19</t>
  </si>
  <si>
    <t>0.20</t>
  </si>
  <si>
    <t>Vergaderruimte Loo</t>
  </si>
  <si>
    <t>0.21</t>
  </si>
  <si>
    <t>0.21a</t>
  </si>
  <si>
    <t>Traphal</t>
  </si>
  <si>
    <t>0.21b</t>
  </si>
  <si>
    <t>staal/noppen</t>
  </si>
  <si>
    <t>0.22</t>
  </si>
  <si>
    <t>0.23</t>
  </si>
  <si>
    <t>0.24</t>
  </si>
  <si>
    <t>Vergaderruimte Tongeren</t>
  </si>
  <si>
    <t>0.25</t>
  </si>
  <si>
    <t>0.26</t>
  </si>
  <si>
    <t>0.27</t>
  </si>
  <si>
    <t>0.28</t>
  </si>
  <si>
    <t>0.29</t>
  </si>
  <si>
    <t>0.29a</t>
  </si>
  <si>
    <t>linoleum</t>
  </si>
  <si>
    <t>0.29b</t>
  </si>
  <si>
    <t>0.30</t>
  </si>
  <si>
    <t>Dames Toilet</t>
  </si>
  <si>
    <t>0.31</t>
  </si>
  <si>
    <t>Heren Toilet</t>
  </si>
  <si>
    <t>0.32</t>
  </si>
  <si>
    <t>0.34</t>
  </si>
  <si>
    <t>Lift</t>
  </si>
  <si>
    <t>0.35</t>
  </si>
  <si>
    <t>0.37</t>
  </si>
  <si>
    <t>Vergaderruimte Engelenburg</t>
  </si>
  <si>
    <t>0.37a</t>
  </si>
  <si>
    <t>0.38</t>
  </si>
  <si>
    <t>Informeel overleg</t>
  </si>
  <si>
    <t>0.38a</t>
  </si>
  <si>
    <t>0.39</t>
  </si>
  <si>
    <t>Werkplekken</t>
  </si>
  <si>
    <t>0.40</t>
  </si>
  <si>
    <t>0.41</t>
  </si>
  <si>
    <t>Keuken</t>
  </si>
  <si>
    <t>0.42</t>
  </si>
  <si>
    <t>0.43</t>
  </si>
  <si>
    <t>0.44</t>
  </si>
  <si>
    <t>0.45</t>
  </si>
  <si>
    <t>Miva Toilet</t>
  </si>
  <si>
    <t>0.47</t>
  </si>
  <si>
    <t>0.48</t>
  </si>
  <si>
    <t>0.49</t>
  </si>
  <si>
    <t>0.50</t>
  </si>
  <si>
    <t>Leeshoek</t>
  </si>
  <si>
    <t>0.51</t>
  </si>
  <si>
    <t>Vergaderruimte Voorstonden</t>
  </si>
  <si>
    <t>0.52</t>
  </si>
  <si>
    <t>Verkeersruimte/opslag</t>
  </si>
  <si>
    <t>0.53</t>
  </si>
  <si>
    <t>Vergaderruimte Woudhuis</t>
  </si>
  <si>
    <t>Vergaderruimte Holtslag</t>
  </si>
  <si>
    <t>Douche</t>
  </si>
  <si>
    <t>1.06a</t>
  </si>
  <si>
    <t>Belcel</t>
  </si>
  <si>
    <t>1.07</t>
  </si>
  <si>
    <t>1.08</t>
  </si>
  <si>
    <t>1.08a</t>
  </si>
  <si>
    <t>1.09</t>
  </si>
  <si>
    <t>1.10</t>
  </si>
  <si>
    <t>1.10a</t>
  </si>
  <si>
    <t>1.11</t>
  </si>
  <si>
    <t>1.12</t>
  </si>
  <si>
    <t>1.13</t>
  </si>
  <si>
    <t>1.14</t>
  </si>
  <si>
    <t>1.15</t>
  </si>
  <si>
    <t>1.16</t>
  </si>
  <si>
    <t>1.17</t>
  </si>
  <si>
    <t>1.17a</t>
  </si>
  <si>
    <t>1.18</t>
  </si>
  <si>
    <t>1.19</t>
  </si>
  <si>
    <t>1.20</t>
  </si>
  <si>
    <t>1.21</t>
  </si>
  <si>
    <t>1.22</t>
  </si>
  <si>
    <t>1.22a</t>
  </si>
  <si>
    <t>1.23</t>
  </si>
  <si>
    <t>1.24</t>
  </si>
  <si>
    <t>1.25</t>
  </si>
  <si>
    <t>1.26</t>
  </si>
  <si>
    <t>1.27</t>
  </si>
  <si>
    <t>1.28</t>
  </si>
  <si>
    <t>1.29</t>
  </si>
  <si>
    <t>1.29a</t>
  </si>
  <si>
    <t>1.29b</t>
  </si>
  <si>
    <t>1.30</t>
  </si>
  <si>
    <t>1.31</t>
  </si>
  <si>
    <t>1.32</t>
  </si>
  <si>
    <t>1.32a</t>
  </si>
  <si>
    <t>1.33</t>
  </si>
  <si>
    <t>Vergaderruimte Staverden</t>
  </si>
  <si>
    <t>1.34</t>
  </si>
  <si>
    <t>Vergaderruimte Binnenveld</t>
  </si>
  <si>
    <t>1.36</t>
  </si>
  <si>
    <t>1.37</t>
  </si>
  <si>
    <t>Berging</t>
  </si>
  <si>
    <t>1.39</t>
  </si>
  <si>
    <t>1.40</t>
  </si>
  <si>
    <t>1.41</t>
  </si>
  <si>
    <t>Kolfruimte</t>
  </si>
  <si>
    <t>1.42</t>
  </si>
  <si>
    <t>0004 - GGD Harderwijk, Oosteinde 17, Harderwijk</t>
  </si>
  <si>
    <t>0004</t>
  </si>
  <si>
    <t>Receptie</t>
  </si>
  <si>
    <t>Spreekkamer</t>
  </si>
  <si>
    <t>0005 - GGD Witte Villa (Tijdelijke locatie), Witte Villa (tijdelijke locatie tot 31-1, Warnsveld</t>
  </si>
  <si>
    <t>0005</t>
  </si>
  <si>
    <t>Vergaderruimte De Achterkamer</t>
  </si>
  <si>
    <t>Vergaderruimte De Voorkamer</t>
  </si>
  <si>
    <t>vinyl</t>
  </si>
  <si>
    <t>Werkplek De Haardkamer</t>
  </si>
  <si>
    <t>natuursteen</t>
  </si>
  <si>
    <t>Werkplekken De Bovenkamer</t>
  </si>
  <si>
    <t>Omrekentabel t.b.v. Invultabel Objecten (niet afdrukken)</t>
  </si>
  <si>
    <t>DAGSOORT</t>
  </si>
  <si>
    <t>WERKSOORT</t>
  </si>
  <si>
    <t>FREQ DECIMAAL</t>
  </si>
  <si>
    <t>UURFACTOR</t>
  </si>
  <si>
    <t xml:space="preserve">KENGETAL </t>
  </si>
  <si>
    <t>TARIEF</t>
  </si>
  <si>
    <t xml:space="preserve">    0001</t>
  </si>
  <si>
    <t xml:space="preserve">    0002</t>
  </si>
  <si>
    <t xml:space="preserve">    0003</t>
  </si>
  <si>
    <t xml:space="preserve">    0004</t>
  </si>
  <si>
    <t xml:space="preserve">    0005</t>
  </si>
  <si>
    <t>werkdag</t>
  </si>
  <si>
    <t>NAAM</t>
  </si>
  <si>
    <t>ADRES</t>
  </si>
  <si>
    <t>PLAATS</t>
  </si>
  <si>
    <t>BASIS UUR- TARIEF</t>
  </si>
  <si>
    <t>UREN/ UITVOERING</t>
  </si>
  <si>
    <t>UREN SUPPLETIE/ UITVOERING</t>
  </si>
  <si>
    <t>UREN TOTAAL/ UITVOERING</t>
  </si>
  <si>
    <t>PRIJS/ UITVOERING</t>
  </si>
  <si>
    <t>PRIJS SUPPLETIE/ UITVOERING</t>
  </si>
  <si>
    <t>PRIJS TOTAAL/ UITVOERING</t>
  </si>
  <si>
    <t>PRIJS/ MAAND (EURO)</t>
  </si>
  <si>
    <t>GGD Doetinchem</t>
  </si>
  <si>
    <t>Kruisbergseweg 47</t>
  </si>
  <si>
    <t>Doetinchem</t>
  </si>
  <si>
    <t>Gezellenlaan 2</t>
  </si>
  <si>
    <t>GGD Warnsveld</t>
  </si>
  <si>
    <t>Rijksstraatweg 65</t>
  </si>
  <si>
    <t>Warnsveld</t>
  </si>
  <si>
    <t>GGD Harderwijk</t>
  </si>
  <si>
    <t>Oosteinde 17</t>
  </si>
  <si>
    <t>Harderwijk</t>
  </si>
  <si>
    <t>GGD Witte Villa (Tijdelijke locatie)</t>
  </si>
  <si>
    <t>Witte Villa (tijdelijke locatie tot 31-1</t>
  </si>
  <si>
    <t>Totaal regulier werk incl. suppleties (excl. BTW)</t>
  </si>
  <si>
    <t>Totaal regulier werk incl. suppleties (incl. BTW)</t>
  </si>
  <si>
    <t>CODE</t>
  </si>
  <si>
    <t>FREQ (dagen)</t>
  </si>
  <si>
    <t>FUNCTIENAAM</t>
  </si>
  <si>
    <t>UURTARIEF (euro)</t>
  </si>
  <si>
    <t>PERC. VAN UREN/JAAR REGULIER WERK</t>
  </si>
  <si>
    <t>VASTE UREN/KEER (decimaal)</t>
  </si>
  <si>
    <t>UREN/ KEER</t>
  </si>
  <si>
    <t>PRIJS/ JAAR  (euro)</t>
  </si>
  <si>
    <t>PRIJS/ MAAND  (euro)</t>
  </si>
  <si>
    <t>&lt;invullen functie afh. van uren uitvoering per jaar&gt;</t>
  </si>
  <si>
    <t>&lt;invullen functie met vaste uren per dag&gt;</t>
  </si>
  <si>
    <t>Totaal 0001 - GGD Doetinchem, Kruisbergseweg 47, Doetinchem</t>
  </si>
  <si>
    <t>Totaal 0002 - GGD Doetinchem, Gezellenlaan 2, Doetinchem</t>
  </si>
  <si>
    <t>Totaal 0003 - GGD Warnsveld, Rijksstraatweg 65, Warnsveld</t>
  </si>
  <si>
    <t>Totaal 0004 - GGD Harderwijk, Oosteinde 17, Harderwijk</t>
  </si>
  <si>
    <t>Totaal 0005 - GGD Witte Villa (Tijdelijke locatie), Witte Villa (tijdelijke locatie tot 31-1, Warnsveld</t>
  </si>
  <si>
    <t>Totaal niet-meewerkende objectleiding</t>
  </si>
  <si>
    <t>Totaal niet-meewerkende objectleiding (incl. BTW)</t>
  </si>
  <si>
    <t>PRIJS UITVOEREND/ JAAR</t>
  </si>
  <si>
    <t>UREN LEIDING/ JAAR</t>
  </si>
  <si>
    <t>PRIJS LEIDING/ JAAR</t>
  </si>
  <si>
    <t>PRIJS MET LEIDING/ JAAR</t>
  </si>
  <si>
    <t>PRIJS/ MAAND EXCL.BTW</t>
  </si>
  <si>
    <t>PRIJS/ MAAND INCL.BTW</t>
  </si>
  <si>
    <t>Totaal van alle objecten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</si>
  <si>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</si>
  <si>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</si>
  <si>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</si>
  <si>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</si>
  <si>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</si>
  <si>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</si>
  <si>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</si>
  <si>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XB</t>
  </si>
  <si>
    <t>Periodiek beschermde vloeren</t>
  </si>
  <si>
    <t>tijdsnorm in vloer m²/uur</t>
  </si>
  <si>
    <t>ZB</t>
  </si>
  <si>
    <t>Sprayen/opbbokken beschermde vloeren</t>
  </si>
  <si>
    <t>Totaal additioneel werk excl. BTW</t>
  </si>
  <si>
    <t>9000</t>
  </si>
  <si>
    <t>Medewerker regiewerkzaamheden</t>
  </si>
  <si>
    <t>prijs per uur</t>
  </si>
  <si>
    <t>9100</t>
  </si>
  <si>
    <t>Medewerker regiewerkzaamheden (specialistisch)</t>
  </si>
  <si>
    <t>9200</t>
  </si>
  <si>
    <t>Medewerker graffiti verwijdering (specialistisch)</t>
  </si>
  <si>
    <t>9300</t>
  </si>
  <si>
    <t>Koffiezet apparaat</t>
  </si>
  <si>
    <t>tijdsnorm in minuten/stuk</t>
  </si>
  <si>
    <t>Totaal afroep excl. BTW</t>
  </si>
  <si>
    <t>STAFFEL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</si>
  <si>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</si>
  <si>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</si>
  <si>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</si>
  <si>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</si>
  <si>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</si>
  <si>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</si>
  <si>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</si>
  <si>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</si>
  <si>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</si>
  <si>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</si>
  <si>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</si>
  <si>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</si>
  <si>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</si>
  <si>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</si>
  <si>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</si>
  <si>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2020A</t>
  </si>
  <si>
    <t>Fax uitwendig reinigen</t>
  </si>
  <si>
    <t>2020B</t>
  </si>
  <si>
    <t>2020C</t>
  </si>
  <si>
    <t>2020D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</si>
  <si>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</si>
  <si>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</si>
  <si>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</si>
  <si>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</si>
  <si>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</si>
  <si>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</si>
  <si>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</si>
  <si>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</si>
  <si>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</si>
  <si>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</si>
  <si>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</si>
  <si>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</si>
  <si>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</si>
  <si>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</si>
  <si>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</si>
  <si>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3001A</t>
  </si>
  <si>
    <t>Lamellen (horizontaal) reinigen (stof)</t>
  </si>
  <si>
    <t>3001B</t>
  </si>
  <si>
    <t>3001C</t>
  </si>
  <si>
    <t>3001D</t>
  </si>
  <si>
    <t>3002A</t>
  </si>
  <si>
    <t>Lamellen (horizontaal) reinigen (kunst)</t>
  </si>
  <si>
    <t>3002B</t>
  </si>
  <si>
    <t>3002C</t>
  </si>
  <si>
    <t>3002D</t>
  </si>
  <si>
    <t>3010A</t>
  </si>
  <si>
    <t>Lamellen (verticaal) reinigen (alumin)</t>
  </si>
  <si>
    <t>3010B</t>
  </si>
  <si>
    <t>3010C</t>
  </si>
  <si>
    <t>3010D</t>
  </si>
  <si>
    <t>3011A</t>
  </si>
  <si>
    <t>Lamellen (verticaal) reinigen (stof)</t>
  </si>
  <si>
    <t>3011B</t>
  </si>
  <si>
    <t>3011C</t>
  </si>
  <si>
    <t>3011D</t>
  </si>
  <si>
    <t>3012A</t>
  </si>
  <si>
    <t>Lamellen (verticaal) reinigen (kunst)</t>
  </si>
  <si>
    <t>3012B</t>
  </si>
  <si>
    <t>3012C</t>
  </si>
  <si>
    <t>3012D</t>
  </si>
  <si>
    <t>3020A</t>
  </si>
  <si>
    <t>Gordijnen reinigen</t>
  </si>
  <si>
    <t>3020B</t>
  </si>
  <si>
    <t>3020C</t>
  </si>
  <si>
    <t>3020D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</si>
  <si>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</si>
  <si>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</si>
  <si>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</si>
  <si>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</si>
  <si>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</si>
  <si>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</si>
  <si>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</si>
  <si>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</si>
  <si>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</si>
  <si>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</si>
  <si>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</si>
  <si>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</si>
  <si>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</si>
  <si>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</si>
  <si>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</si>
  <si>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</si>
  <si>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</si>
  <si>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</si>
  <si>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</si>
  <si>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</si>
  <si>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</si>
  <si>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</si>
  <si>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</si>
  <si>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</si>
  <si>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</si>
  <si>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</si>
  <si>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</si>
  <si>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</si>
  <si>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</si>
  <si>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</si>
  <si>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</si>
  <si>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</si>
  <si>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</si>
  <si>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</si>
  <si>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</si>
  <si>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</t>
  </si>
  <si>
    <t>4060B</t>
  </si>
  <si>
    <t>500 &lt; 1500 m²</t>
  </si>
  <si>
    <t>4060C</t>
  </si>
  <si>
    <t>1500 &lt; 2500 m²</t>
  </si>
  <si>
    <t>4060D</t>
  </si>
  <si>
    <t>&gt;= 2500 m²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</si>
  <si>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</si>
  <si>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</si>
  <si>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</si>
  <si>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</si>
  <si>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</si>
  <si>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</si>
  <si>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</si>
  <si>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</si>
  <si>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</si>
  <si>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</si>
  <si>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4090A</t>
  </si>
  <si>
    <t>Inloopmatten uitkloppen</t>
  </si>
  <si>
    <t>4090B</t>
  </si>
  <si>
    <t>4090C</t>
  </si>
  <si>
    <t>4090D</t>
  </si>
  <si>
    <t>4100A</t>
  </si>
  <si>
    <t>Afneembare wanden reiningen</t>
  </si>
  <si>
    <t>&lt;250 m²</t>
  </si>
  <si>
    <t>4100B</t>
  </si>
  <si>
    <t>250 &lt; 750 m²</t>
  </si>
  <si>
    <t>4100C</t>
  </si>
  <si>
    <t>750 &lt; 1500 m²</t>
  </si>
  <si>
    <t>4100D</t>
  </si>
  <si>
    <t>&gt; 1500 m²</t>
  </si>
  <si>
    <t>Totaal afroep incidenteel excl. BTW</t>
  </si>
  <si>
    <t>8000</t>
  </si>
  <si>
    <t>Gevelglas buitenzijde</t>
  </si>
  <si>
    <t>8010</t>
  </si>
  <si>
    <t>Gevelglas binnenzijde</t>
  </si>
  <si>
    <t>8020</t>
  </si>
  <si>
    <t>Separatieglas (m ² is totaal)</t>
  </si>
  <si>
    <t>Totaal glas excl. BTW</t>
  </si>
  <si>
    <t>Soort werk</t>
  </si>
  <si>
    <t>Uren per jaar uitvoering</t>
  </si>
  <si>
    <t>Uren per jaar leiding</t>
  </si>
  <si>
    <t>Bedrag per jaar excl. BTW (euro)</t>
  </si>
  <si>
    <t>Bedrag per jaar incl. BTW (euro)</t>
  </si>
  <si>
    <t xml:space="preserve">Regulier werk </t>
  </si>
  <si>
    <t xml:space="preserve">Objectleiding </t>
  </si>
  <si>
    <t>Additioneel werk</t>
  </si>
  <si>
    <t>Afroepwerk (geschatte frequenties)</t>
  </si>
  <si>
    <t>Glas</t>
  </si>
  <si>
    <t>Totaal generaal</t>
  </si>
  <si>
    <t>Percentage objectleiding</t>
  </si>
  <si>
    <t>Bijlage 10a - Inschrijfblad</t>
  </si>
  <si>
    <t>Opdrachtgever</t>
  </si>
  <si>
    <t xml:space="preserve">GGD Noord- en Oost - Gelderland </t>
  </si>
  <si>
    <t>Inschrijver</t>
  </si>
  <si>
    <t xml:space="preserve">Referentienummer </t>
  </si>
  <si>
    <t>HSCDOC-1368817716-4293</t>
  </si>
  <si>
    <t>De inschrijver verklaart met de ondertekening van deze verklaring  dat dit inschrijfblad naar waarheid is ingevuld:</t>
  </si>
  <si>
    <t>Bedrijfsnaam:</t>
  </si>
  <si>
    <t>Vestigingsadres:</t>
  </si>
  <si>
    <t>Naam:</t>
  </si>
  <si>
    <t>Functie:</t>
  </si>
  <si>
    <t>Datum:</t>
  </si>
  <si>
    <t>Handtekening:</t>
  </si>
  <si>
    <t>VERGELIJKINGSBEDRAG ADITIONEEL/AFROEP/REGIE WERK (GESCHAT) VOOR PRIJSCRITERIUM</t>
  </si>
  <si>
    <t>BEGROOT BEDRAG REGULIERE WERKZAAMHEDEN (NIET HOGER DAN BUDGET)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</si>
</sst>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8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1F4E78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969696"/>
        <bgColor rgb="FF000000"/>
      </patternFill>
    </fill>
    <fill>
      <patternFill patternType="solid">
        <fgColor rgb="FFCCFFCC"/>
        <bgColor rgb="FF000000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61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3" xfId="0" applyFill="1" applyBorder="1"/>
    <xf numFmtId="0" fontId="0" fillId="3" borderId="8" xfId="0" applyFill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0" borderId="14" xfId="0" applyNumberFormat="1" applyBorder="1" applyProtection="1">
      <protection locked="0"/>
    </xf>
    <xf numFmtId="10" fontId="0" fillId="0" borderId="14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0" borderId="15" xfId="0" applyNumberFormat="1" applyBorder="1" applyProtection="1">
      <protection locked="0"/>
    </xf>
    <xf numFmtId="10" fontId="0" fillId="0" borderId="15" xfId="0" applyNumberFormat="1" applyBorder="1" applyProtection="1">
      <protection locked="0"/>
    </xf>
    <xf numFmtId="164" fontId="0" fillId="0" borderId="15" xfId="0" applyNumberFormat="1" applyBorder="1" applyProtection="1">
      <protection locked="0"/>
    </xf>
    <xf numFmtId="49" fontId="0" fillId="2" borderId="16" xfId="0" applyNumberFormat="1" applyFill="1" applyBorder="1"/>
    <xf numFmtId="1" fontId="0" fillId="2" borderId="16" xfId="0" applyNumberFormat="1" applyFill="1" applyBorder="1"/>
    <xf numFmtId="4" fontId="0" fillId="0" borderId="16" xfId="0" applyNumberFormat="1" applyBorder="1" applyProtection="1">
      <protection locked="0"/>
    </xf>
    <xf numFmtId="10" fontId="0" fillId="0" borderId="16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4" fontId="0" fillId="2" borderId="14" xfId="0" applyNumberFormat="1" applyFill="1" applyBorder="1"/>
    <xf numFmtId="165" fontId="0" fillId="2" borderId="14" xfId="0" applyNumberFormat="1" applyFill="1" applyBorder="1"/>
    <xf numFmtId="164" fontId="0" fillId="2" borderId="14" xfId="0" applyNumberFormat="1" applyFill="1" applyBorder="1"/>
    <xf numFmtId="4" fontId="0" fillId="2" borderId="15" xfId="0" applyNumberFormat="1" applyFill="1" applyBorder="1"/>
    <xf numFmtId="165" fontId="0" fillId="2" borderId="15" xfId="0" applyNumberFormat="1" applyFill="1" applyBorder="1"/>
    <xf numFmtId="164" fontId="0" fillId="2" borderId="15" xfId="0" applyNumberFormat="1" applyFill="1" applyBorder="1"/>
    <xf numFmtId="4" fontId="0" fillId="2" borderId="16" xfId="0" applyNumberFormat="1" applyFill="1" applyBorder="1"/>
    <xf numFmtId="165" fontId="0" fillId="0" borderId="16" xfId="0" applyNumberFormat="1" applyBorder="1" applyProtection="1">
      <protection locked="0"/>
    </xf>
    <xf numFmtId="164" fontId="0" fillId="2" borderId="16" xfId="0" applyNumberFormat="1" applyFill="1" applyBorder="1"/>
    <xf numFmtId="0" fontId="0" fillId="3" borderId="18" xfId="0" applyFill="1" applyBorder="1"/>
    <xf numFmtId="49" fontId="0" fillId="3" borderId="10" xfId="0" applyNumberFormat="1" applyFill="1" applyBorder="1"/>
    <xf numFmtId="0" fontId="0" fillId="3" borderId="11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17" xfId="0" applyNumberFormat="1" applyFill="1" applyBorder="1"/>
    <xf numFmtId="0" fontId="0" fillId="3" borderId="10" xfId="0" applyFill="1" applyBorder="1"/>
    <xf numFmtId="0" fontId="0" fillId="3" borderId="19" xfId="0" applyFill="1" applyBorder="1"/>
    <xf numFmtId="49" fontId="0" fillId="3" borderId="20" xfId="0" applyNumberFormat="1" applyFill="1" applyBorder="1" applyAlignment="1">
      <alignment wrapText="1"/>
    </xf>
    <xf numFmtId="49" fontId="0" fillId="3" borderId="17" xfId="0" applyNumberFormat="1" applyFill="1" applyBorder="1" applyAlignment="1">
      <alignment wrapText="1"/>
    </xf>
    <xf numFmtId="0" fontId="0" fillId="3" borderId="21" xfId="0" applyFill="1" applyBorder="1"/>
    <xf numFmtId="49" fontId="0" fillId="2" borderId="23" xfId="0" applyNumberFormat="1" applyFill="1" applyBorder="1"/>
    <xf numFmtId="49" fontId="0" fillId="2" borderId="24" xfId="0" applyNumberFormat="1" applyFill="1" applyBorder="1"/>
    <xf numFmtId="49" fontId="0" fillId="2" borderId="24" xfId="0" applyNumberFormat="1" applyFill="1" applyBorder="1" applyAlignment="1">
      <alignment wrapText="1"/>
    </xf>
    <xf numFmtId="4" fontId="0" fillId="2" borderId="24" xfId="0" applyNumberFormat="1" applyFill="1" applyBorder="1"/>
    <xf numFmtId="165" fontId="0" fillId="2" borderId="24" xfId="0" applyNumberFormat="1" applyFill="1" applyBorder="1"/>
    <xf numFmtId="164" fontId="0" fillId="2" borderId="24" xfId="0" applyNumberFormat="1" applyFill="1" applyBorder="1"/>
    <xf numFmtId="164" fontId="0" fillId="2" borderId="25" xfId="0" applyNumberFormat="1" applyFill="1" applyBorder="1"/>
    <xf numFmtId="49" fontId="0" fillId="2" borderId="26" xfId="0" applyNumberFormat="1" applyFill="1" applyBorder="1"/>
    <xf numFmtId="49" fontId="0" fillId="2" borderId="27" xfId="0" applyNumberFormat="1" applyFill="1" applyBorder="1"/>
    <xf numFmtId="49" fontId="0" fillId="2" borderId="27" xfId="0" applyNumberFormat="1" applyFill="1" applyBorder="1" applyAlignment="1">
      <alignment wrapText="1"/>
    </xf>
    <xf numFmtId="4" fontId="0" fillId="2" borderId="27" xfId="0" applyNumberFormat="1" applyFill="1" applyBorder="1"/>
    <xf numFmtId="165" fontId="0" fillId="2" borderId="27" xfId="0" applyNumberFormat="1" applyFill="1" applyBorder="1"/>
    <xf numFmtId="164" fontId="0" fillId="2" borderId="27" xfId="0" applyNumberFormat="1" applyFill="1" applyBorder="1"/>
    <xf numFmtId="164" fontId="0" fillId="2" borderId="28" xfId="0" applyNumberFormat="1" applyFill="1" applyBorder="1"/>
    <xf numFmtId="49" fontId="0" fillId="2" borderId="29" xfId="0" applyNumberFormat="1" applyFill="1" applyBorder="1"/>
    <xf numFmtId="49" fontId="0" fillId="2" borderId="30" xfId="0" applyNumberFormat="1" applyFill="1" applyBorder="1"/>
    <xf numFmtId="49" fontId="0" fillId="2" borderId="30" xfId="0" applyNumberFormat="1" applyFill="1" applyBorder="1" applyAlignment="1">
      <alignment wrapText="1"/>
    </xf>
    <xf numFmtId="4" fontId="0" fillId="2" borderId="30" xfId="0" applyNumberFormat="1" applyFill="1" applyBorder="1"/>
    <xf numFmtId="165" fontId="0" fillId="2" borderId="30" xfId="0" applyNumberFormat="1" applyFill="1" applyBorder="1"/>
    <xf numFmtId="164" fontId="0" fillId="2" borderId="30" xfId="0" applyNumberFormat="1" applyFill="1" applyBorder="1"/>
    <xf numFmtId="164" fontId="0" fillId="2" borderId="31" xfId="0" applyNumberFormat="1" applyFill="1" applyBorder="1"/>
    <xf numFmtId="49" fontId="0" fillId="3" borderId="32" xfId="0" applyNumberFormat="1" applyFill="1" applyBorder="1"/>
    <xf numFmtId="49" fontId="0" fillId="3" borderId="3" xfId="0" applyNumberFormat="1" applyFill="1" applyBorder="1"/>
    <xf numFmtId="49" fontId="0" fillId="3" borderId="3" xfId="0" applyNumberFormat="1" applyFill="1" applyBorder="1" applyAlignment="1">
      <alignment wrapText="1"/>
    </xf>
    <xf numFmtId="0" fontId="0" fillId="3" borderId="22" xfId="0" applyFill="1" applyBorder="1"/>
    <xf numFmtId="49" fontId="0" fillId="3" borderId="22" xfId="0" applyNumberFormat="1" applyFill="1" applyBorder="1"/>
    <xf numFmtId="0" fontId="0" fillId="3" borderId="6" xfId="0" applyFill="1" applyBorder="1"/>
    <xf numFmtId="49" fontId="0" fillId="4" borderId="14" xfId="0" applyNumberFormat="1" applyFill="1" applyBorder="1" applyProtection="1">
      <protection locked="0"/>
    </xf>
    <xf numFmtId="164" fontId="0" fillId="4" borderId="14" xfId="0" applyNumberFormat="1" applyFill="1" applyBorder="1" applyProtection="1">
      <protection locked="0"/>
    </xf>
    <xf numFmtId="49" fontId="0" fillId="4" borderId="15" xfId="0" applyNumberFormat="1" applyFill="1" applyBorder="1" applyProtection="1">
      <protection locked="0"/>
    </xf>
    <xf numFmtId="164" fontId="0" fillId="4" borderId="15" xfId="0" applyNumberFormat="1" applyFill="1" applyBorder="1" applyProtection="1">
      <protection locked="0"/>
    </xf>
    <xf numFmtId="49" fontId="0" fillId="4" borderId="16" xfId="0" applyNumberFormat="1" applyFill="1" applyBorder="1" applyProtection="1">
      <protection locked="0"/>
    </xf>
    <xf numFmtId="164" fontId="0" fillId="4" borderId="16" xfId="0" applyNumberFormat="1" applyFill="1" applyBorder="1" applyProtection="1">
      <protection locked="0"/>
    </xf>
    <xf numFmtId="0" fontId="0" fillId="0" borderId="4" xfId="0" applyBorder="1"/>
    <xf numFmtId="0" fontId="0" fillId="0" borderId="9" xfId="0" applyBorder="1"/>
    <xf numFmtId="0" fontId="0" fillId="0" borderId="5" xfId="0" applyBorder="1"/>
    <xf numFmtId="0" fontId="0" fillId="3" borderId="7" xfId="0" applyFill="1" applyBorder="1" applyAlignment="1"/>
    <xf numFmtId="1" fontId="0" fillId="0" borderId="14" xfId="0" applyNumberFormat="1" applyBorder="1"/>
    <xf numFmtId="49" fontId="0" fillId="0" borderId="14" xfId="0" applyNumberFormat="1" applyBorder="1"/>
    <xf numFmtId="4" fontId="0" fillId="3" borderId="14" xfId="0" applyNumberFormat="1" applyFill="1" applyBorder="1"/>
    <xf numFmtId="1" fontId="0" fillId="0" borderId="15" xfId="0" applyNumberFormat="1" applyBorder="1"/>
    <xf numFmtId="49" fontId="0" fillId="0" borderId="15" xfId="0" applyNumberFormat="1" applyBorder="1"/>
    <xf numFmtId="4" fontId="0" fillId="3" borderId="15" xfId="0" applyNumberFormat="1" applyFill="1" applyBorder="1"/>
    <xf numFmtId="10" fontId="0" fillId="3" borderId="15" xfId="0" applyNumberFormat="1" applyFill="1" applyBorder="1"/>
    <xf numFmtId="1" fontId="0" fillId="0" borderId="16" xfId="0" applyNumberFormat="1" applyBorder="1"/>
    <xf numFmtId="49" fontId="0" fillId="0" borderId="16" xfId="0" applyNumberFormat="1" applyBorder="1"/>
    <xf numFmtId="10" fontId="0" fillId="3" borderId="16" xfId="0" applyNumberFormat="1" applyFill="1" applyBorder="1"/>
    <xf numFmtId="49" fontId="0" fillId="3" borderId="10" xfId="0" applyNumberFormat="1" applyFill="1" applyBorder="1" applyAlignment="1"/>
    <xf numFmtId="4" fontId="0" fillId="4" borderId="14" xfId="0" applyNumberFormat="1" applyFill="1" applyBorder="1"/>
    <xf numFmtId="164" fontId="0" fillId="3" borderId="14" xfId="0" applyNumberFormat="1" applyFill="1" applyBorder="1" applyProtection="1"/>
    <xf numFmtId="4" fontId="0" fillId="4" borderId="16" xfId="0" applyNumberFormat="1" applyFill="1" applyBorder="1"/>
    <xf numFmtId="164" fontId="0" fillId="3" borderId="16" xfId="0" applyNumberFormat="1" applyFill="1" applyBorder="1" applyProtection="1"/>
    <xf numFmtId="164" fontId="0" fillId="3" borderId="11" xfId="0" applyNumberFormat="1" applyFill="1" applyBorder="1"/>
    <xf numFmtId="0" fontId="0" fillId="3" borderId="10" xfId="0" applyFill="1" applyBorder="1" applyAlignment="1"/>
    <xf numFmtId="0" fontId="0" fillId="3" borderId="12" xfId="0" applyFill="1" applyBorder="1"/>
    <xf numFmtId="49" fontId="0" fillId="2" borderId="6" xfId="0" applyNumberFormat="1" applyFill="1" applyBorder="1"/>
    <xf numFmtId="1" fontId="0" fillId="2" borderId="6" xfId="0" applyNumberFormat="1" applyFill="1" applyBorder="1"/>
    <xf numFmtId="4" fontId="0" fillId="4" borderId="6" xfId="0" applyNumberFormat="1" applyFill="1" applyBorder="1"/>
    <xf numFmtId="164" fontId="0" fillId="2" borderId="6" xfId="0" applyNumberFormat="1" applyFill="1" applyBorder="1" applyProtection="1"/>
    <xf numFmtId="4" fontId="0" fillId="2" borderId="6" xfId="0" applyNumberFormat="1" applyFill="1" applyBorder="1" applyProtection="1"/>
    <xf numFmtId="164" fontId="0" fillId="3" borderId="6" xfId="0" applyNumberFormat="1" applyFill="1" applyBorder="1" applyProtection="1"/>
    <xf numFmtId="164" fontId="0" fillId="2" borderId="6" xfId="0" applyNumberFormat="1" applyFill="1" applyBorder="1"/>
    <xf numFmtId="164" fontId="0" fillId="3" borderId="12" xfId="0" applyNumberFormat="1" applyFill="1" applyBorder="1"/>
    <xf numFmtId="4" fontId="0" fillId="3" borderId="14" xfId="0" applyNumberFormat="1" applyFill="1" applyBorder="1" applyProtection="1"/>
    <xf numFmtId="4" fontId="0" fillId="4" borderId="15" xfId="0" applyNumberFormat="1" applyFill="1" applyBorder="1"/>
    <xf numFmtId="4" fontId="0" fillId="3" borderId="15" xfId="0" applyNumberFormat="1" applyFill="1" applyBorder="1" applyProtection="1"/>
    <xf numFmtId="4" fontId="0" fillId="3" borderId="16" xfId="0" applyNumberFormat="1" applyFill="1" applyBorder="1" applyProtection="1"/>
    <xf numFmtId="164" fontId="0" fillId="2" borderId="14" xfId="0" applyNumberFormat="1" applyFill="1" applyBorder="1" applyProtection="1"/>
    <xf numFmtId="164" fontId="0" fillId="2" borderId="15" xfId="0" applyNumberFormat="1" applyFill="1" applyBorder="1" applyProtection="1"/>
    <xf numFmtId="164" fontId="0" fillId="2" borderId="16" xfId="0" applyNumberFormat="1" applyFill="1" applyBorder="1" applyProtection="1"/>
    <xf numFmtId="49" fontId="0" fillId="3" borderId="14" xfId="0" applyNumberForma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0" fillId="3" borderId="16" xfId="0" applyNumberFormat="1" applyFill="1" applyBorder="1" applyAlignment="1">
      <alignment wrapText="1"/>
    </xf>
    <xf numFmtId="4" fontId="0" fillId="3" borderId="16" xfId="0" applyNumberFormat="1" applyFill="1" applyBorder="1"/>
    <xf numFmtId="10" fontId="0" fillId="3" borderId="6" xfId="0" applyNumberFormat="1" applyFill="1" applyBorder="1"/>
    <xf numFmtId="0" fontId="2" fillId="5" borderId="32" xfId="0" applyFont="1" applyFill="1" applyBorder="1" applyAlignment="1">
      <alignment horizontal="center" wrapText="1"/>
    </xf>
    <xf numFmtId="0" fontId="2" fillId="5" borderId="11" xfId="0" applyFont="1" applyFill="1" applyBorder="1" applyAlignment="1">
      <alignment horizontal="center" wrapText="1"/>
    </xf>
    <xf numFmtId="0" fontId="2" fillId="5" borderId="19" xfId="0" applyFont="1" applyFill="1" applyBorder="1" applyAlignment="1">
      <alignment horizontal="center" wrapText="1"/>
    </xf>
    <xf numFmtId="0" fontId="3" fillId="6" borderId="32" xfId="0" applyFont="1" applyFill="1" applyBorder="1" applyAlignment="1">
      <alignment horizontal="left" wrapText="1"/>
    </xf>
    <xf numFmtId="0" fontId="3" fillId="6" borderId="11" xfId="0" applyFont="1" applyFill="1" applyBorder="1" applyAlignment="1">
      <alignment horizontal="left" wrapText="1"/>
    </xf>
    <xf numFmtId="0" fontId="3" fillId="6" borderId="19" xfId="0" applyFont="1" applyFill="1" applyBorder="1" applyAlignment="1">
      <alignment horizontal="left" wrapText="1"/>
    </xf>
    <xf numFmtId="0" fontId="4" fillId="7" borderId="32" xfId="0" applyFont="1" applyFill="1" applyBorder="1" applyAlignment="1">
      <alignment horizontal="left" vertical="top" wrapText="1"/>
    </xf>
    <xf numFmtId="0" fontId="4" fillId="7" borderId="11" xfId="0" applyFont="1" applyFill="1" applyBorder="1" applyAlignment="1">
      <alignment horizontal="left" vertical="top" wrapText="1"/>
    </xf>
    <xf numFmtId="0" fontId="4" fillId="7" borderId="19" xfId="0" applyFont="1" applyFill="1" applyBorder="1" applyAlignment="1">
      <alignment horizontal="left" vertical="top" wrapText="1"/>
    </xf>
    <xf numFmtId="0" fontId="3" fillId="6" borderId="4" xfId="0" applyFont="1" applyFill="1" applyBorder="1" applyAlignment="1">
      <alignment horizontal="left" wrapText="1"/>
    </xf>
    <xf numFmtId="0" fontId="3" fillId="6" borderId="9" xfId="0" applyFont="1" applyFill="1" applyBorder="1" applyAlignment="1">
      <alignment horizontal="left" wrapText="1"/>
    </xf>
    <xf numFmtId="0" fontId="3" fillId="6" borderId="5" xfId="0" applyFont="1" applyFill="1" applyBorder="1" applyAlignment="1">
      <alignment horizontal="left" wrapText="1"/>
    </xf>
    <xf numFmtId="0" fontId="3" fillId="6" borderId="21" xfId="0" applyFont="1" applyFill="1" applyBorder="1" applyAlignment="1">
      <alignment horizontal="left" wrapText="1"/>
    </xf>
    <xf numFmtId="0" fontId="3" fillId="6" borderId="13" xfId="0" applyFont="1" applyFill="1" applyBorder="1" applyAlignment="1">
      <alignment horizontal="left" wrapText="1"/>
    </xf>
    <xf numFmtId="0" fontId="3" fillId="6" borderId="18" xfId="0" applyFont="1" applyFill="1" applyBorder="1" applyAlignment="1">
      <alignment horizontal="left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9" xfId="0" applyFont="1" applyFill="1" applyBorder="1" applyAlignment="1">
      <alignment horizontal="left" vertical="top" wrapText="1"/>
    </xf>
    <xf numFmtId="0" fontId="3" fillId="6" borderId="5" xfId="0" applyFont="1" applyFill="1" applyBorder="1" applyAlignment="1">
      <alignment horizontal="left" vertical="top" wrapText="1"/>
    </xf>
    <xf numFmtId="0" fontId="4" fillId="7" borderId="4" xfId="0" applyFont="1" applyFill="1" applyBorder="1" applyAlignment="1">
      <alignment horizontal="left" vertical="top" wrapText="1"/>
    </xf>
    <xf numFmtId="0" fontId="4" fillId="7" borderId="9" xfId="0" applyFont="1" applyFill="1" applyBorder="1" applyAlignment="1">
      <alignment horizontal="left" vertical="top" wrapText="1"/>
    </xf>
    <xf numFmtId="0" fontId="4" fillId="7" borderId="5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0" xfId="0" applyFont="1" applyFill="1" applyAlignment="1">
      <alignment horizontal="left" vertical="top" wrapText="1"/>
    </xf>
    <xf numFmtId="0" fontId="3" fillId="6" borderId="2" xfId="0" applyFont="1" applyFill="1" applyBorder="1" applyAlignment="1">
      <alignment horizontal="left" vertical="top" wrapText="1"/>
    </xf>
    <xf numFmtId="0" fontId="4" fillId="7" borderId="1" xfId="0" applyFont="1" applyFill="1" applyBorder="1" applyAlignment="1">
      <alignment horizontal="left" vertical="top" wrapText="1"/>
    </xf>
    <xf numFmtId="0" fontId="4" fillId="7" borderId="0" xfId="0" applyFont="1" applyFill="1" applyAlignment="1">
      <alignment horizontal="left" vertical="top" wrapText="1"/>
    </xf>
    <xf numFmtId="0" fontId="4" fillId="7" borderId="2" xfId="0" applyFont="1" applyFill="1" applyBorder="1" applyAlignment="1">
      <alignment horizontal="left" vertical="top" wrapText="1"/>
    </xf>
    <xf numFmtId="0" fontId="3" fillId="6" borderId="21" xfId="0" applyFont="1" applyFill="1" applyBorder="1" applyAlignment="1">
      <alignment horizontal="left" vertical="top" wrapText="1"/>
    </xf>
    <xf numFmtId="0" fontId="3" fillId="6" borderId="13" xfId="0" applyFont="1" applyFill="1" applyBorder="1" applyAlignment="1">
      <alignment horizontal="left" vertical="top" wrapText="1"/>
    </xf>
    <xf numFmtId="0" fontId="3" fillId="6" borderId="18" xfId="0" applyFont="1" applyFill="1" applyBorder="1" applyAlignment="1">
      <alignment horizontal="left" vertical="top" wrapText="1"/>
    </xf>
    <xf numFmtId="0" fontId="4" fillId="7" borderId="21" xfId="0" applyFont="1" applyFill="1" applyBorder="1" applyAlignment="1">
      <alignment horizontal="left" vertical="top" wrapText="1"/>
    </xf>
    <xf numFmtId="0" fontId="4" fillId="7" borderId="13" xfId="0" applyFont="1" applyFill="1" applyBorder="1" applyAlignment="1">
      <alignment horizontal="left" vertical="top" wrapText="1"/>
    </xf>
    <xf numFmtId="0" fontId="4" fillId="7" borderId="18" xfId="0" applyFont="1" applyFill="1" applyBorder="1" applyAlignment="1">
      <alignment horizontal="left" vertical="top" wrapText="1"/>
    </xf>
    <xf numFmtId="0" fontId="6" fillId="8" borderId="20" xfId="1" applyFont="1" applyFill="1" applyBorder="1"/>
    <xf numFmtId="0" fontId="7" fillId="8" borderId="20" xfId="1" applyFont="1" applyFill="1" applyBorder="1"/>
    <xf numFmtId="164" fontId="6" fillId="9" borderId="20" xfId="1" applyNumberFormat="1" applyFont="1" applyFill="1" applyBorder="1"/>
  </cellXfs>
  <cellStyles count="2">
    <cellStyle name="Standaard" xfId="0" builtinId="0"/>
    <cellStyle name="Standaard 2" xfId="1" xr:uid="{34BC7765-BB63-4B91-B57D-38F3AFEFD6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CDDD9-5A76-4E47-9AC0-3B3CF9D73B64}">
  <dimension ref="A1:M14"/>
  <sheetViews>
    <sheetView tabSelected="1" workbookViewId="0">
      <selection activeCell="D32" sqref="D32"/>
    </sheetView>
  </sheetViews>
  <sheetFormatPr defaultRowHeight="12.75" x14ac:dyDescent="0.2"/>
  <sheetData>
    <row r="1" spans="1:13" ht="15" customHeight="1" x14ac:dyDescent="0.25">
      <c r="A1" s="125" t="s">
        <v>586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7"/>
    </row>
    <row r="2" spans="1:13" ht="15" customHeight="1" x14ac:dyDescent="0.25">
      <c r="A2" s="128" t="s">
        <v>587</v>
      </c>
      <c r="B2" s="129"/>
      <c r="C2" s="130"/>
      <c r="D2" s="128" t="s">
        <v>588</v>
      </c>
      <c r="E2" s="129"/>
      <c r="F2" s="129"/>
      <c r="G2" s="129"/>
      <c r="H2" s="129"/>
      <c r="I2" s="129"/>
      <c r="J2" s="129"/>
      <c r="K2" s="129"/>
      <c r="L2" s="129"/>
      <c r="M2" s="130"/>
    </row>
    <row r="3" spans="1:13" ht="15" x14ac:dyDescent="0.25">
      <c r="A3" s="128" t="s">
        <v>589</v>
      </c>
      <c r="B3" s="129"/>
      <c r="C3" s="130"/>
      <c r="D3" s="131"/>
      <c r="E3" s="132"/>
      <c r="F3" s="132"/>
      <c r="G3" s="132"/>
      <c r="H3" s="132"/>
      <c r="I3" s="132"/>
      <c r="J3" s="132"/>
      <c r="K3" s="132"/>
      <c r="L3" s="132"/>
      <c r="M3" s="133"/>
    </row>
    <row r="4" spans="1:13" ht="15" customHeight="1" x14ac:dyDescent="0.25">
      <c r="A4" s="128" t="s">
        <v>590</v>
      </c>
      <c r="B4" s="129"/>
      <c r="C4" s="130"/>
      <c r="D4" s="128" t="s">
        <v>591</v>
      </c>
      <c r="E4" s="129"/>
      <c r="F4" s="129"/>
      <c r="G4" s="129"/>
      <c r="H4" s="129"/>
      <c r="I4" s="129"/>
      <c r="J4" s="129"/>
      <c r="K4" s="129"/>
      <c r="L4" s="129"/>
      <c r="M4" s="130"/>
    </row>
    <row r="5" spans="1:13" x14ac:dyDescent="0.2">
      <c r="A5" s="134" t="s">
        <v>592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6"/>
    </row>
    <row r="6" spans="1:13" x14ac:dyDescent="0.2">
      <c r="A6" s="137"/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9"/>
    </row>
    <row r="7" spans="1:13" ht="15" customHeight="1" x14ac:dyDescent="0.25">
      <c r="A7" s="128" t="s">
        <v>593</v>
      </c>
      <c r="B7" s="129"/>
      <c r="C7" s="130"/>
      <c r="D7" s="131"/>
      <c r="E7" s="132"/>
      <c r="F7" s="132"/>
      <c r="G7" s="132"/>
      <c r="H7" s="132"/>
      <c r="I7" s="132"/>
      <c r="J7" s="132"/>
      <c r="K7" s="132"/>
      <c r="L7" s="132"/>
      <c r="M7" s="133"/>
    </row>
    <row r="8" spans="1:13" ht="15" customHeight="1" x14ac:dyDescent="0.25">
      <c r="A8" s="128" t="s">
        <v>594</v>
      </c>
      <c r="B8" s="129"/>
      <c r="C8" s="130"/>
      <c r="D8" s="131"/>
      <c r="E8" s="132"/>
      <c r="F8" s="132"/>
      <c r="G8" s="132"/>
      <c r="H8" s="132"/>
      <c r="I8" s="132"/>
      <c r="J8" s="132"/>
      <c r="K8" s="132"/>
      <c r="L8" s="132"/>
      <c r="M8" s="133"/>
    </row>
    <row r="9" spans="1:13" ht="15" x14ac:dyDescent="0.25">
      <c r="A9" s="128" t="s">
        <v>595</v>
      </c>
      <c r="B9" s="129"/>
      <c r="C9" s="130"/>
      <c r="D9" s="131"/>
      <c r="E9" s="132"/>
      <c r="F9" s="132"/>
      <c r="G9" s="132"/>
      <c r="H9" s="132"/>
      <c r="I9" s="132"/>
      <c r="J9" s="132"/>
      <c r="K9" s="132"/>
      <c r="L9" s="132"/>
      <c r="M9" s="133"/>
    </row>
    <row r="10" spans="1:13" ht="15" x14ac:dyDescent="0.25">
      <c r="A10" s="128" t="s">
        <v>596</v>
      </c>
      <c r="B10" s="129"/>
      <c r="C10" s="130"/>
      <c r="D10" s="131"/>
      <c r="E10" s="132"/>
      <c r="F10" s="132"/>
      <c r="G10" s="132"/>
      <c r="H10" s="132"/>
      <c r="I10" s="132"/>
      <c r="J10" s="132"/>
      <c r="K10" s="132"/>
      <c r="L10" s="132"/>
      <c r="M10" s="133"/>
    </row>
    <row r="11" spans="1:13" ht="15" x14ac:dyDescent="0.25">
      <c r="A11" s="128" t="s">
        <v>597</v>
      </c>
      <c r="B11" s="129"/>
      <c r="C11" s="130"/>
      <c r="D11" s="131"/>
      <c r="E11" s="132"/>
      <c r="F11" s="132"/>
      <c r="G11" s="132"/>
      <c r="H11" s="132"/>
      <c r="I11" s="132"/>
      <c r="J11" s="132"/>
      <c r="K11" s="132"/>
      <c r="L11" s="132"/>
      <c r="M11" s="133"/>
    </row>
    <row r="12" spans="1:13" x14ac:dyDescent="0.2">
      <c r="A12" s="140" t="s">
        <v>598</v>
      </c>
      <c r="B12" s="141"/>
      <c r="C12" s="142"/>
      <c r="D12" s="143"/>
      <c r="E12" s="144"/>
      <c r="F12" s="144"/>
      <c r="G12" s="144"/>
      <c r="H12" s="144"/>
      <c r="I12" s="144"/>
      <c r="J12" s="144"/>
      <c r="K12" s="144"/>
      <c r="L12" s="144"/>
      <c r="M12" s="145"/>
    </row>
    <row r="13" spans="1:13" x14ac:dyDescent="0.2">
      <c r="A13" s="146"/>
      <c r="B13" s="147"/>
      <c r="C13" s="148"/>
      <c r="D13" s="149"/>
      <c r="E13" s="150"/>
      <c r="F13" s="150"/>
      <c r="G13" s="150"/>
      <c r="H13" s="150"/>
      <c r="I13" s="150"/>
      <c r="J13" s="150"/>
      <c r="K13" s="150"/>
      <c r="L13" s="150"/>
      <c r="M13" s="151"/>
    </row>
    <row r="14" spans="1:13" x14ac:dyDescent="0.2">
      <c r="A14" s="152"/>
      <c r="B14" s="153"/>
      <c r="C14" s="154"/>
      <c r="D14" s="155"/>
      <c r="E14" s="156"/>
      <c r="F14" s="156"/>
      <c r="G14" s="156"/>
      <c r="H14" s="156"/>
      <c r="I14" s="156"/>
      <c r="J14" s="156"/>
      <c r="K14" s="156"/>
      <c r="L14" s="156"/>
      <c r="M14" s="157"/>
    </row>
  </sheetData>
  <mergeCells count="20">
    <mergeCell ref="A10:C10"/>
    <mergeCell ref="D10:M10"/>
    <mergeCell ref="A11:C11"/>
    <mergeCell ref="D11:M11"/>
    <mergeCell ref="A12:C14"/>
    <mergeCell ref="D12:M14"/>
    <mergeCell ref="A5:M6"/>
    <mergeCell ref="A7:C7"/>
    <mergeCell ref="D7:M7"/>
    <mergeCell ref="A8:C8"/>
    <mergeCell ref="D8:M8"/>
    <mergeCell ref="A9:C9"/>
    <mergeCell ref="D9:M9"/>
    <mergeCell ref="A1:M1"/>
    <mergeCell ref="A2:C2"/>
    <mergeCell ref="D2:M2"/>
    <mergeCell ref="A3:C3"/>
    <mergeCell ref="D3:M3"/>
    <mergeCell ref="A4:C4"/>
    <mergeCell ref="D4:M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B0E56-280C-45F0-B1F4-E2B4D18DE651}">
  <dimension ref="A1:M10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3" width="13.625" customWidth="1"/>
  </cols>
  <sheetData>
    <row r="1" spans="1:13" x14ac:dyDescent="0.2">
      <c r="A1" s="1" t="str">
        <f>CONCATENATE("Bijlage D.7: ",tabeltype," additioneel werk")</f>
        <v>Bijlage D.7: Invultabel additioneel werk</v>
      </c>
    </row>
    <row r="3" spans="1:13" ht="38.25" x14ac:dyDescent="0.2">
      <c r="A3" s="8" t="s">
        <v>410</v>
      </c>
      <c r="B3" s="8" t="s">
        <v>7</v>
      </c>
      <c r="C3" s="8" t="s">
        <v>411</v>
      </c>
      <c r="D3" s="8" t="s">
        <v>24</v>
      </c>
      <c r="E3" s="8" t="s">
        <v>27</v>
      </c>
      <c r="F3" s="8" t="s">
        <v>412</v>
      </c>
      <c r="G3" s="8" t="s">
        <v>413</v>
      </c>
      <c r="H3" s="8" t="s">
        <v>414</v>
      </c>
      <c r="I3" s="8" t="s">
        <v>415</v>
      </c>
      <c r="J3" s="8" t="s">
        <v>416</v>
      </c>
      <c r="K3" s="8" t="s">
        <v>109</v>
      </c>
      <c r="L3" s="8" t="s">
        <v>370</v>
      </c>
      <c r="M3" s="8" t="s">
        <v>108</v>
      </c>
    </row>
    <row r="4" spans="1:13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</row>
    <row r="5" spans="1:13" x14ac:dyDescent="0.2">
      <c r="A5" s="12" t="s">
        <v>29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4"/>
    </row>
    <row r="6" spans="1:13" x14ac:dyDescent="0.2">
      <c r="A6" s="15" t="s">
        <v>417</v>
      </c>
      <c r="B6" s="15" t="s">
        <v>20</v>
      </c>
      <c r="C6" s="16">
        <f>IF(ISBLANK(B6),0,IF(ISERROR(VALUE(B6)),VLOOKUP(B6,dagsoorttabel1,2,FALSE)*dagenperjaar1,VALUE(B6)))</f>
        <v>1</v>
      </c>
      <c r="D6" s="15" t="s">
        <v>418</v>
      </c>
      <c r="E6" s="15" t="s">
        <v>419</v>
      </c>
      <c r="F6" s="98">
        <v>196.60000000000002</v>
      </c>
      <c r="G6" s="19"/>
      <c r="H6" s="17"/>
      <c r="I6" s="99"/>
      <c r="J6" s="32">
        <f>IF(ISBLANK(H6),0,F6 / ROUND(H6,4) * ROUND(G6,2))</f>
        <v>0</v>
      </c>
      <c r="K6" s="32">
        <f>C6*J6</f>
        <v>0</v>
      </c>
      <c r="L6" s="32">
        <f>K6/12</f>
        <v>0</v>
      </c>
      <c r="M6" s="30" t="str">
        <f>IF(AND(SUM(K6)&gt;0,SUM(G6)&lt;=0),"INCOMPLEET",IF(SUM(G6)&gt;0,K6/G6,""))</f>
        <v/>
      </c>
    </row>
    <row r="7" spans="1:13" x14ac:dyDescent="0.2">
      <c r="A7" s="25" t="s">
        <v>420</v>
      </c>
      <c r="B7" s="25" t="s">
        <v>18</v>
      </c>
      <c r="C7" s="26">
        <f>IF(ISBLANK(B7),0,IF(ISERROR(VALUE(B7)),VLOOKUP(B7,dagsoorttabel1,2,FALSE)*dagenperjaar1,VALUE(B7)))</f>
        <v>3</v>
      </c>
      <c r="D7" s="25" t="s">
        <v>421</v>
      </c>
      <c r="E7" s="25" t="s">
        <v>419</v>
      </c>
      <c r="F7" s="100">
        <v>230</v>
      </c>
      <c r="G7" s="29"/>
      <c r="H7" s="27"/>
      <c r="I7" s="101"/>
      <c r="J7" s="38">
        <f>IF(ISBLANK(H7),0,F7 / ROUND(H7,4) * ROUND(G7,2))</f>
        <v>0</v>
      </c>
      <c r="K7" s="38">
        <f>C7*J7</f>
        <v>0</v>
      </c>
      <c r="L7" s="38">
        <f>K7/12</f>
        <v>0</v>
      </c>
      <c r="M7" s="36" t="str">
        <f>IF(AND(SUM(K7)&gt;0,SUM(G7)&lt;=0),"INCOMPLEET",IF(SUM(G7)&gt;0,K7/G7,""))</f>
        <v/>
      </c>
    </row>
    <row r="8" spans="1:13" x14ac:dyDescent="0.2">
      <c r="A8" s="40" t="s">
        <v>150</v>
      </c>
      <c r="B8" s="41"/>
      <c r="C8" s="41"/>
      <c r="D8" s="41"/>
      <c r="E8" s="41"/>
      <c r="F8" s="41"/>
      <c r="G8" s="41"/>
      <c r="H8" s="41"/>
      <c r="I8" s="41"/>
      <c r="J8" s="41"/>
      <c r="K8" s="43">
        <f>SUM(K6:K7)</f>
        <v>0</v>
      </c>
      <c r="L8" s="102">
        <f>K8/12</f>
        <v>0</v>
      </c>
      <c r="M8" s="42">
        <f>SUM(M6:M7)</f>
        <v>0</v>
      </c>
    </row>
    <row r="10" spans="1:13" x14ac:dyDescent="0.2">
      <c r="A10" s="40" t="s">
        <v>422</v>
      </c>
      <c r="B10" s="41"/>
      <c r="C10" s="41"/>
      <c r="D10" s="41"/>
      <c r="E10" s="41"/>
      <c r="F10" s="41"/>
      <c r="G10" s="41"/>
      <c r="H10" s="41"/>
      <c r="I10" s="41"/>
      <c r="J10" s="41"/>
      <c r="K10" s="43">
        <f>prijsjaaradditioneel1</f>
        <v>0</v>
      </c>
      <c r="L10" s="102">
        <f>K10/12</f>
        <v>0</v>
      </c>
      <c r="M10" s="42">
        <f>urenjaaradditioneel1</f>
        <v>0</v>
      </c>
    </row>
  </sheetData>
  <sheetProtection algorithmName="SHA-512" hashValue="l3YhHSZwo8IN+1i2e0ji25q6gWwVAxVpf8iqRQ7iNJn9PvSo+6vQ7Bgzg1OKXL+YuMuLWGhQqHJtHuJZwYnq/g==" saltValue="6H+DWhRx2z+NU7ycn6ZxQA==" spinCount="100000" sheet="1" objects="1" scenarios="1" autoFilter="0"/>
  <pageMargins left="0.7" right="0.7" top="0.75" bottom="0.75" header="0.3" footer="0.3"/>
  <pageSetup scale="65" orientation="landscape" r:id="rId1"/>
  <headerFooter>
    <oddFooter>&amp;LGGD Noord- en Oost Gelderland                               &amp;ROpmaakdatum: 19-08-2024
Intexso - Plantageweg 23E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FCB6A-65D3-4AF0-BB85-D4F4436BCF09}">
  <dimension ref="A1:M11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11.625" customWidth="1"/>
    <col min="5" max="5" width="50.625" customWidth="1"/>
    <col min="6" max="7" width="14.625" customWidth="1"/>
    <col min="8" max="10" width="11.625" customWidth="1"/>
    <col min="11" max="11" width="12.625" customWidth="1"/>
    <col min="12" max="12" width="14.625" customWidth="1"/>
    <col min="13" max="13" width="13.625" customWidth="1"/>
  </cols>
  <sheetData>
    <row r="1" spans="1:13" x14ac:dyDescent="0.2">
      <c r="A1" s="1" t="str">
        <f>CONCATENATE("Bijlage D.8: ",tabeltype," additioneel werk per locatie")</f>
        <v>Bijlage D.8: Invultabel additioneel werk per locatie</v>
      </c>
    </row>
    <row r="3" spans="1:13" ht="38.25" x14ac:dyDescent="0.2">
      <c r="A3" s="8" t="s">
        <v>410</v>
      </c>
      <c r="B3" s="8" t="s">
        <v>7</v>
      </c>
      <c r="C3" s="8" t="s">
        <v>411</v>
      </c>
      <c r="D3" s="8" t="s">
        <v>348</v>
      </c>
      <c r="E3" s="8" t="s">
        <v>24</v>
      </c>
      <c r="F3" s="8" t="s">
        <v>27</v>
      </c>
      <c r="G3" s="8" t="s">
        <v>412</v>
      </c>
      <c r="H3" s="8" t="s">
        <v>413</v>
      </c>
      <c r="I3" s="8" t="s">
        <v>414</v>
      </c>
      <c r="J3" s="8" t="s">
        <v>415</v>
      </c>
      <c r="K3" s="8" t="s">
        <v>416</v>
      </c>
      <c r="L3" s="8" t="s">
        <v>109</v>
      </c>
      <c r="M3" s="8" t="s">
        <v>370</v>
      </c>
    </row>
    <row r="5" spans="1:13" x14ac:dyDescent="0.2">
      <c r="A5" s="103" t="s">
        <v>214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104"/>
    </row>
    <row r="6" spans="1:13" x14ac:dyDescent="0.2">
      <c r="A6" s="105" t="s">
        <v>417</v>
      </c>
      <c r="B6" s="105" t="s">
        <v>20</v>
      </c>
      <c r="C6" s="106">
        <f>IF(ISBLANK(B6),0,IF(ISERROR(VALUE(B6)),VLOOKUP(B6,dagsoorttabel1,2,FALSE)*dagenperjaar1,VALUE(B6)))</f>
        <v>1</v>
      </c>
      <c r="D6" s="105" t="s">
        <v>359</v>
      </c>
      <c r="E6" s="105" t="s">
        <v>418</v>
      </c>
      <c r="F6" s="105" t="s">
        <v>419</v>
      </c>
      <c r="G6" s="107">
        <v>69.5</v>
      </c>
      <c r="H6" s="108">
        <f>'Additioneel werk'!G6</f>
        <v>0</v>
      </c>
      <c r="I6" s="109">
        <f>'Additioneel werk'!H6</f>
        <v>0</v>
      </c>
      <c r="J6" s="110"/>
      <c r="K6" s="111" t="e">
        <f>IF(ISBLANK(I6),0,G6 / ROUND(I6,4) * ROUND(H6,2))</f>
        <v>#DIV/0!</v>
      </c>
      <c r="L6" s="111" t="e">
        <f>C6*K6</f>
        <v>#DIV/0!</v>
      </c>
      <c r="M6" s="111" t="e">
        <f>L6/12</f>
        <v>#DIV/0!</v>
      </c>
    </row>
    <row r="7" spans="1:13" x14ac:dyDescent="0.2">
      <c r="A7" s="97" t="s">
        <v>398</v>
      </c>
      <c r="B7" s="41"/>
      <c r="C7" s="41"/>
      <c r="D7" s="41"/>
      <c r="E7" s="41"/>
      <c r="F7" s="41"/>
      <c r="G7" s="41"/>
      <c r="H7" s="41"/>
      <c r="I7" s="41"/>
      <c r="J7" s="41"/>
      <c r="K7" s="43" t="e">
        <f>SUM(K6:K6)</f>
        <v>#DIV/0!</v>
      </c>
      <c r="L7" s="43" t="e">
        <f>SUM(L6:L6)</f>
        <v>#DIV/0!</v>
      </c>
      <c r="M7" s="112" t="e">
        <f>L7/12</f>
        <v>#DIV/0!</v>
      </c>
    </row>
    <row r="9" spans="1:13" x14ac:dyDescent="0.2">
      <c r="A9" s="103" t="s">
        <v>335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104"/>
    </row>
    <row r="10" spans="1:13" x14ac:dyDescent="0.2">
      <c r="A10" s="105" t="s">
        <v>417</v>
      </c>
      <c r="B10" s="105" t="s">
        <v>20</v>
      </c>
      <c r="C10" s="106">
        <f>IF(ISBLANK(B10),0,IF(ISERROR(VALUE(B10)),VLOOKUP(B10,dagsoorttabel1,2,FALSE)*dagenperjaar1,VALUE(B10)))</f>
        <v>1</v>
      </c>
      <c r="D10" s="105" t="s">
        <v>359</v>
      </c>
      <c r="E10" s="105" t="s">
        <v>418</v>
      </c>
      <c r="F10" s="105" t="s">
        <v>419</v>
      </c>
      <c r="G10" s="107">
        <v>127.10000000000001</v>
      </c>
      <c r="H10" s="108">
        <f>'Additioneel werk'!G6</f>
        <v>0</v>
      </c>
      <c r="I10" s="109">
        <f>'Additioneel werk'!H6</f>
        <v>0</v>
      </c>
      <c r="J10" s="110"/>
      <c r="K10" s="111" t="e">
        <f>IF(ISBLANK(I10),0,G10 / ROUND(I10,4) * ROUND(H10,2))</f>
        <v>#DIV/0!</v>
      </c>
      <c r="L10" s="111" t="e">
        <f>C10*K10</f>
        <v>#DIV/0!</v>
      </c>
      <c r="M10" s="111" t="e">
        <f>L10/12</f>
        <v>#DIV/0!</v>
      </c>
    </row>
    <row r="11" spans="1:13" x14ac:dyDescent="0.2">
      <c r="A11" s="97" t="s">
        <v>399</v>
      </c>
      <c r="B11" s="41"/>
      <c r="C11" s="41"/>
      <c r="D11" s="41"/>
      <c r="E11" s="41"/>
      <c r="F11" s="41"/>
      <c r="G11" s="41"/>
      <c r="H11" s="41"/>
      <c r="I11" s="41"/>
      <c r="J11" s="41"/>
      <c r="K11" s="43" t="e">
        <f>SUM(K10:K10)</f>
        <v>#DIV/0!</v>
      </c>
      <c r="L11" s="43" t="e">
        <f>SUM(L10:L10)</f>
        <v>#DIV/0!</v>
      </c>
      <c r="M11" s="112" t="e">
        <f>L11/12</f>
        <v>#DIV/0!</v>
      </c>
    </row>
  </sheetData>
  <sheetProtection algorithmName="SHA-512" hashValue="3oJ4kW/oqjr8teUkTMC9GW/rVUCtVwatz0Gkoc70wY9iYs3PbIV1RiruLw/MqZJo8mmAUHrU0IXp02y915OvDA==" saltValue="jJq3wV01UOjaqWBEHmdBdg==" spinCount="100000" sheet="1" objects="1" scenarios="1" autoFilter="0"/>
  <pageMargins left="0.7" right="0.7" top="0.75" bottom="0.75" header="0.3" footer="0.3"/>
  <pageSetup scale="65" orientation="landscape" r:id="rId1"/>
  <headerFooter>
    <oddFooter>&amp;LGGD Noord- en Oost Gelderland                               &amp;ROpmaakdatum: 19-08-2024
Intexso - Plantageweg 23E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1ADE8-3346-4292-811A-A5A133ECC8C9}">
  <dimension ref="A1:M12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3" width="13.625" customWidth="1"/>
  </cols>
  <sheetData>
    <row r="1" spans="1:13" x14ac:dyDescent="0.2">
      <c r="A1" s="1" t="str">
        <f>CONCATENATE("Bijlage D.9: ",tabeltype," afroep")</f>
        <v>Bijlage D.9: Invultabel afroep</v>
      </c>
    </row>
    <row r="3" spans="1:13" ht="38.25" x14ac:dyDescent="0.2">
      <c r="A3" s="8" t="s">
        <v>410</v>
      </c>
      <c r="B3" s="8" t="s">
        <v>7</v>
      </c>
      <c r="C3" s="8" t="s">
        <v>411</v>
      </c>
      <c r="D3" s="8" t="s">
        <v>24</v>
      </c>
      <c r="E3" s="8" t="s">
        <v>27</v>
      </c>
      <c r="F3" s="8" t="s">
        <v>412</v>
      </c>
      <c r="G3" s="8" t="s">
        <v>413</v>
      </c>
      <c r="H3" s="8" t="s">
        <v>414</v>
      </c>
      <c r="I3" s="8" t="s">
        <v>415</v>
      </c>
      <c r="J3" s="8" t="s">
        <v>416</v>
      </c>
      <c r="K3" s="8" t="s">
        <v>109</v>
      </c>
      <c r="L3" s="8" t="s">
        <v>370</v>
      </c>
      <c r="M3" s="8" t="s">
        <v>108</v>
      </c>
    </row>
    <row r="4" spans="1:13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</row>
    <row r="5" spans="1:13" x14ac:dyDescent="0.2">
      <c r="A5" s="12" t="s">
        <v>29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4"/>
    </row>
    <row r="6" spans="1:13" x14ac:dyDescent="0.2">
      <c r="A6" s="15" t="s">
        <v>423</v>
      </c>
      <c r="B6" s="15" t="s">
        <v>15</v>
      </c>
      <c r="C6" s="16">
        <f>IF(ISBLANK(B6),0,IF(ISERROR(VALUE(B6)),VLOOKUP(B6,dagsoorttabel1,2,FALSE)*dagenperjaar1,VALUE(B6)))</f>
        <v>12</v>
      </c>
      <c r="D6" s="15" t="s">
        <v>424</v>
      </c>
      <c r="E6" s="15" t="s">
        <v>425</v>
      </c>
      <c r="F6" s="98">
        <v>20</v>
      </c>
      <c r="G6" s="19"/>
      <c r="H6" s="113"/>
      <c r="I6" s="19"/>
      <c r="J6" s="32">
        <f>IF(ISBLANK(F6),0,F6)*ROUND(I6,2)</f>
        <v>0</v>
      </c>
      <c r="K6" s="32">
        <f>C6*J6</f>
        <v>0</v>
      </c>
      <c r="L6" s="32">
        <f>K6/12</f>
        <v>0</v>
      </c>
      <c r="M6" s="30" t="str">
        <f>IF(AND(SUM(K6)&gt;0,SUM(G6)&lt;=0),"INCOMPLEET",IF(SUM(G6)&gt;0,K6/G6,""))</f>
        <v/>
      </c>
    </row>
    <row r="7" spans="1:13" x14ac:dyDescent="0.2">
      <c r="A7" s="20" t="s">
        <v>426</v>
      </c>
      <c r="B7" s="20" t="s">
        <v>15</v>
      </c>
      <c r="C7" s="21">
        <f>IF(ISBLANK(B7),0,IF(ISERROR(VALUE(B7)),VLOOKUP(B7,dagsoorttabel1,2,FALSE)*dagenperjaar1,VALUE(B7)))</f>
        <v>12</v>
      </c>
      <c r="D7" s="20" t="s">
        <v>427</v>
      </c>
      <c r="E7" s="20" t="s">
        <v>425</v>
      </c>
      <c r="F7" s="114">
        <v>4</v>
      </c>
      <c r="G7" s="24"/>
      <c r="H7" s="115"/>
      <c r="I7" s="24"/>
      <c r="J7" s="35">
        <f>IF(ISBLANK(F7),0,F7)*ROUND(I7,2)</f>
        <v>0</v>
      </c>
      <c r="K7" s="35">
        <f>C7*J7</f>
        <v>0</v>
      </c>
      <c r="L7" s="35">
        <f>K7/12</f>
        <v>0</v>
      </c>
      <c r="M7" s="33" t="str">
        <f>IF(AND(SUM(K7)&gt;0,SUM(G7)&lt;=0),"INCOMPLEET",IF(SUM(G7)&gt;0,K7/G7,""))</f>
        <v/>
      </c>
    </row>
    <row r="8" spans="1:13" x14ac:dyDescent="0.2">
      <c r="A8" s="20" t="s">
        <v>428</v>
      </c>
      <c r="B8" s="20" t="s">
        <v>15</v>
      </c>
      <c r="C8" s="21">
        <f>IF(ISBLANK(B8),0,IF(ISERROR(VALUE(B8)),VLOOKUP(B8,dagsoorttabel1,2,FALSE)*dagenperjaar1,VALUE(B8)))</f>
        <v>12</v>
      </c>
      <c r="D8" s="20" t="s">
        <v>429</v>
      </c>
      <c r="E8" s="20" t="s">
        <v>425</v>
      </c>
      <c r="F8" s="114">
        <v>1</v>
      </c>
      <c r="G8" s="24"/>
      <c r="H8" s="115"/>
      <c r="I8" s="24"/>
      <c r="J8" s="35">
        <f>IF(ISBLANK(F8),0,F8)*ROUND(I8,2)</f>
        <v>0</v>
      </c>
      <c r="K8" s="35">
        <f>C8*J8</f>
        <v>0</v>
      </c>
      <c r="L8" s="35">
        <f>K8/12</f>
        <v>0</v>
      </c>
      <c r="M8" s="33" t="str">
        <f>IF(AND(SUM(K8)&gt;0,SUM(G8)&lt;=0),"INCOMPLEET",IF(SUM(G8)&gt;0,K8/G8,""))</f>
        <v/>
      </c>
    </row>
    <row r="9" spans="1:13" x14ac:dyDescent="0.2">
      <c r="A9" s="25" t="s">
        <v>430</v>
      </c>
      <c r="B9" s="25" t="s">
        <v>15</v>
      </c>
      <c r="C9" s="26">
        <f>IF(ISBLANK(B9),0,IF(ISERROR(VALUE(B9)),VLOOKUP(B9,dagsoorttabel1,2,FALSE)*dagenperjaar1,VALUE(B9)))</f>
        <v>12</v>
      </c>
      <c r="D9" s="25" t="s">
        <v>431</v>
      </c>
      <c r="E9" s="25" t="s">
        <v>432</v>
      </c>
      <c r="F9" s="100">
        <v>1</v>
      </c>
      <c r="G9" s="29"/>
      <c r="H9" s="27"/>
      <c r="I9" s="101"/>
      <c r="J9" s="38">
        <f>IF(ISBLANK(H9),0,F9 * ROUND(H9,4) * ROUND(G9,2) / 60)</f>
        <v>0</v>
      </c>
      <c r="K9" s="38">
        <f>C9*J9</f>
        <v>0</v>
      </c>
      <c r="L9" s="38">
        <f>K9/12</f>
        <v>0</v>
      </c>
      <c r="M9" s="36" t="str">
        <f>IF(AND(SUM(K9)&gt;0,SUM(G9)&lt;=0),"INCOMPLEET",IF(SUM(G9)&gt;0,K9/G9,""))</f>
        <v/>
      </c>
    </row>
    <row r="10" spans="1:13" x14ac:dyDescent="0.2">
      <c r="A10" s="40" t="s">
        <v>150</v>
      </c>
      <c r="B10" s="41"/>
      <c r="C10" s="41"/>
      <c r="D10" s="41"/>
      <c r="E10" s="41"/>
      <c r="F10" s="41"/>
      <c r="G10" s="41"/>
      <c r="H10" s="41"/>
      <c r="I10" s="41"/>
      <c r="J10" s="41"/>
      <c r="K10" s="43">
        <f>SUM(K6:K9)</f>
        <v>0</v>
      </c>
      <c r="L10" s="102">
        <f>K10/12</f>
        <v>0</v>
      </c>
      <c r="M10" s="42">
        <f>SUM(M6:M9)</f>
        <v>0</v>
      </c>
    </row>
    <row r="12" spans="1:13" x14ac:dyDescent="0.2">
      <c r="A12" s="40" t="s">
        <v>433</v>
      </c>
      <c r="B12" s="41"/>
      <c r="C12" s="41"/>
      <c r="D12" s="41"/>
      <c r="E12" s="41"/>
      <c r="F12" s="41"/>
      <c r="G12" s="41"/>
      <c r="H12" s="41"/>
      <c r="I12" s="41"/>
      <c r="J12" s="41"/>
      <c r="K12" s="43">
        <f>prijsjaarafroep1</f>
        <v>0</v>
      </c>
      <c r="L12" s="102">
        <f>K12/12</f>
        <v>0</v>
      </c>
      <c r="M12" s="42">
        <f>urenjaarafroep1</f>
        <v>0</v>
      </c>
    </row>
  </sheetData>
  <sheetProtection algorithmName="SHA-512" hashValue="X68KPBDpIwRO0MjkI8s27nEyZ0vZMdHhpcaxjorUAkBUeu2Jnlnd+eSknOoe7xXLkEUZuFqDmii89mINTUZVTA==" saltValue="3e7WuiHxC0zNkRvKzO+fhg==" spinCount="100000" sheet="1" objects="1" scenarios="1" autoFilter="0"/>
  <pageMargins left="0.7" right="0.7" top="0.75" bottom="0.75" header="0.3" footer="0.3"/>
  <pageSetup scale="65" orientation="landscape" r:id="rId1"/>
  <headerFooter>
    <oddFooter>&amp;LGGD Noord- en Oost Gelderland                               &amp;ROpmaakdatum: 19-08-2024
Intexso - Plantageweg 23E - Leusden
+31 (33) 2778485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9A2CB-89A0-4E05-A47E-FD0CEDBC4985}">
  <dimension ref="A1:E96"/>
  <sheetViews>
    <sheetView workbookViewId="0"/>
  </sheetViews>
  <sheetFormatPr defaultRowHeight="12.75" x14ac:dyDescent="0.2"/>
  <cols>
    <col min="1" max="1" width="7.625" customWidth="1"/>
    <col min="2" max="2" width="40.625" customWidth="1"/>
    <col min="3" max="3" width="18.625" customWidth="1"/>
    <col min="4" max="4" width="20.625" customWidth="1"/>
    <col min="5" max="5" width="15.625" customWidth="1"/>
  </cols>
  <sheetData>
    <row r="1" spans="1:5" x14ac:dyDescent="0.2">
      <c r="A1" s="1" t="str">
        <f>CONCATENATE("Bijlage D.10: ",tabeltype," afroep incidenteel")</f>
        <v>Bijlage D.10: Invultabel afroep incidenteel</v>
      </c>
    </row>
    <row r="3" spans="1:5" ht="38.25" x14ac:dyDescent="0.2">
      <c r="A3" s="8" t="s">
        <v>410</v>
      </c>
      <c r="B3" s="8" t="s">
        <v>24</v>
      </c>
      <c r="C3" s="8" t="s">
        <v>27</v>
      </c>
      <c r="D3" s="8" t="s">
        <v>434</v>
      </c>
      <c r="E3" s="8" t="s">
        <v>415</v>
      </c>
    </row>
    <row r="4" spans="1:5" x14ac:dyDescent="0.2">
      <c r="A4" s="9"/>
      <c r="B4" s="10"/>
      <c r="C4" s="10"/>
      <c r="D4" s="10"/>
      <c r="E4" s="11"/>
    </row>
    <row r="5" spans="1:5" x14ac:dyDescent="0.2">
      <c r="A5" s="12" t="s">
        <v>29</v>
      </c>
      <c r="B5" s="13"/>
      <c r="C5" s="13"/>
      <c r="D5" s="13"/>
      <c r="E5" s="14"/>
    </row>
    <row r="6" spans="1:5" x14ac:dyDescent="0.2">
      <c r="A6" s="15" t="s">
        <v>435</v>
      </c>
      <c r="B6" s="15" t="s">
        <v>436</v>
      </c>
      <c r="C6" s="15" t="s">
        <v>437</v>
      </c>
      <c r="D6" s="15" t="s">
        <v>438</v>
      </c>
      <c r="E6" s="19"/>
    </row>
    <row r="7" spans="1:5" x14ac:dyDescent="0.2">
      <c r="A7" s="20" t="s">
        <v>439</v>
      </c>
      <c r="B7" s="20" t="s">
        <v>436</v>
      </c>
      <c r="C7" s="20" t="s">
        <v>437</v>
      </c>
      <c r="D7" s="20" t="s">
        <v>440</v>
      </c>
      <c r="E7" s="24"/>
    </row>
    <row r="8" spans="1:5" x14ac:dyDescent="0.2">
      <c r="A8" s="20" t="s">
        <v>441</v>
      </c>
      <c r="B8" s="20" t="s">
        <v>436</v>
      </c>
      <c r="C8" s="20" t="s">
        <v>437</v>
      </c>
      <c r="D8" s="20" t="s">
        <v>442</v>
      </c>
      <c r="E8" s="24"/>
    </row>
    <row r="9" spans="1:5" x14ac:dyDescent="0.2">
      <c r="A9" s="20" t="s">
        <v>443</v>
      </c>
      <c r="B9" s="20" t="s">
        <v>436</v>
      </c>
      <c r="C9" s="20" t="s">
        <v>437</v>
      </c>
      <c r="D9" s="20" t="s">
        <v>444</v>
      </c>
      <c r="E9" s="24"/>
    </row>
    <row r="10" spans="1:5" x14ac:dyDescent="0.2">
      <c r="A10" s="20" t="s">
        <v>445</v>
      </c>
      <c r="B10" s="20" t="s">
        <v>446</v>
      </c>
      <c r="C10" s="20" t="s">
        <v>437</v>
      </c>
      <c r="D10" s="20" t="s">
        <v>438</v>
      </c>
      <c r="E10" s="24"/>
    </row>
    <row r="11" spans="1:5" x14ac:dyDescent="0.2">
      <c r="A11" s="20" t="s">
        <v>447</v>
      </c>
      <c r="B11" s="20" t="s">
        <v>446</v>
      </c>
      <c r="C11" s="20" t="s">
        <v>437</v>
      </c>
      <c r="D11" s="20" t="s">
        <v>440</v>
      </c>
      <c r="E11" s="24"/>
    </row>
    <row r="12" spans="1:5" x14ac:dyDescent="0.2">
      <c r="A12" s="20" t="s">
        <v>448</v>
      </c>
      <c r="B12" s="20" t="s">
        <v>446</v>
      </c>
      <c r="C12" s="20" t="s">
        <v>437</v>
      </c>
      <c r="D12" s="20" t="s">
        <v>442</v>
      </c>
      <c r="E12" s="24"/>
    </row>
    <row r="13" spans="1:5" x14ac:dyDescent="0.2">
      <c r="A13" s="20" t="s">
        <v>449</v>
      </c>
      <c r="B13" s="20" t="s">
        <v>446</v>
      </c>
      <c r="C13" s="20" t="s">
        <v>437</v>
      </c>
      <c r="D13" s="20" t="s">
        <v>444</v>
      </c>
      <c r="E13" s="24"/>
    </row>
    <row r="14" spans="1:5" x14ac:dyDescent="0.2">
      <c r="A14" s="20" t="s">
        <v>450</v>
      </c>
      <c r="B14" s="20" t="s">
        <v>451</v>
      </c>
      <c r="C14" s="20" t="s">
        <v>437</v>
      </c>
      <c r="D14" s="20" t="s">
        <v>438</v>
      </c>
      <c r="E14" s="24"/>
    </row>
    <row r="15" spans="1:5" x14ac:dyDescent="0.2">
      <c r="A15" s="20" t="s">
        <v>452</v>
      </c>
      <c r="B15" s="20" t="s">
        <v>451</v>
      </c>
      <c r="C15" s="20" t="s">
        <v>437</v>
      </c>
      <c r="D15" s="20" t="s">
        <v>440</v>
      </c>
      <c r="E15" s="24"/>
    </row>
    <row r="16" spans="1:5" x14ac:dyDescent="0.2">
      <c r="A16" s="20" t="s">
        <v>453</v>
      </c>
      <c r="B16" s="20" t="s">
        <v>451</v>
      </c>
      <c r="C16" s="20" t="s">
        <v>437</v>
      </c>
      <c r="D16" s="20" t="s">
        <v>442</v>
      </c>
      <c r="E16" s="24"/>
    </row>
    <row r="17" spans="1:5" x14ac:dyDescent="0.2">
      <c r="A17" s="20" t="s">
        <v>454</v>
      </c>
      <c r="B17" s="20" t="s">
        <v>451</v>
      </c>
      <c r="C17" s="20" t="s">
        <v>437</v>
      </c>
      <c r="D17" s="20" t="s">
        <v>444</v>
      </c>
      <c r="E17" s="24"/>
    </row>
    <row r="18" spans="1:5" x14ac:dyDescent="0.2">
      <c r="A18" s="20" t="s">
        <v>455</v>
      </c>
      <c r="B18" s="20" t="s">
        <v>456</v>
      </c>
      <c r="C18" s="20" t="s">
        <v>437</v>
      </c>
      <c r="D18" s="20" t="s">
        <v>438</v>
      </c>
      <c r="E18" s="24"/>
    </row>
    <row r="19" spans="1:5" x14ac:dyDescent="0.2">
      <c r="A19" s="20" t="s">
        <v>457</v>
      </c>
      <c r="B19" s="20" t="s">
        <v>456</v>
      </c>
      <c r="C19" s="20" t="s">
        <v>437</v>
      </c>
      <c r="D19" s="20" t="s">
        <v>440</v>
      </c>
      <c r="E19" s="24"/>
    </row>
    <row r="20" spans="1:5" x14ac:dyDescent="0.2">
      <c r="A20" s="20" t="s">
        <v>458</v>
      </c>
      <c r="B20" s="20" t="s">
        <v>456</v>
      </c>
      <c r="C20" s="20" t="s">
        <v>437</v>
      </c>
      <c r="D20" s="20" t="s">
        <v>442</v>
      </c>
      <c r="E20" s="24"/>
    </row>
    <row r="21" spans="1:5" x14ac:dyDescent="0.2">
      <c r="A21" s="20" t="s">
        <v>459</v>
      </c>
      <c r="B21" s="20" t="s">
        <v>456</v>
      </c>
      <c r="C21" s="20" t="s">
        <v>437</v>
      </c>
      <c r="D21" s="20" t="s">
        <v>444</v>
      </c>
      <c r="E21" s="24"/>
    </row>
    <row r="22" spans="1:5" x14ac:dyDescent="0.2">
      <c r="A22" s="20" t="s">
        <v>460</v>
      </c>
      <c r="B22" s="20" t="s">
        <v>461</v>
      </c>
      <c r="C22" s="20" t="s">
        <v>462</v>
      </c>
      <c r="D22" s="20" t="s">
        <v>463</v>
      </c>
      <c r="E22" s="24"/>
    </row>
    <row r="23" spans="1:5" x14ac:dyDescent="0.2">
      <c r="A23" s="20" t="s">
        <v>464</v>
      </c>
      <c r="B23" s="20" t="s">
        <v>461</v>
      </c>
      <c r="C23" s="20" t="s">
        <v>462</v>
      </c>
      <c r="D23" s="20" t="s">
        <v>465</v>
      </c>
      <c r="E23" s="24"/>
    </row>
    <row r="24" spans="1:5" x14ac:dyDescent="0.2">
      <c r="A24" s="20" t="s">
        <v>466</v>
      </c>
      <c r="B24" s="20" t="s">
        <v>461</v>
      </c>
      <c r="C24" s="20" t="s">
        <v>462</v>
      </c>
      <c r="D24" s="20" t="s">
        <v>467</v>
      </c>
      <c r="E24" s="24"/>
    </row>
    <row r="25" spans="1:5" x14ac:dyDescent="0.2">
      <c r="A25" s="20" t="s">
        <v>468</v>
      </c>
      <c r="B25" s="20" t="s">
        <v>461</v>
      </c>
      <c r="C25" s="20" t="s">
        <v>462</v>
      </c>
      <c r="D25" s="20" t="s">
        <v>469</v>
      </c>
      <c r="E25" s="24"/>
    </row>
    <row r="26" spans="1:5" x14ac:dyDescent="0.2">
      <c r="A26" s="20" t="s">
        <v>470</v>
      </c>
      <c r="B26" s="20" t="s">
        <v>471</v>
      </c>
      <c r="C26" s="20" t="s">
        <v>462</v>
      </c>
      <c r="D26" s="20" t="s">
        <v>463</v>
      </c>
      <c r="E26" s="24"/>
    </row>
    <row r="27" spans="1:5" x14ac:dyDescent="0.2">
      <c r="A27" s="20" t="s">
        <v>472</v>
      </c>
      <c r="B27" s="20" t="s">
        <v>471</v>
      </c>
      <c r="C27" s="20" t="s">
        <v>462</v>
      </c>
      <c r="D27" s="20" t="s">
        <v>465</v>
      </c>
      <c r="E27" s="24"/>
    </row>
    <row r="28" spans="1:5" x14ac:dyDescent="0.2">
      <c r="A28" s="20" t="s">
        <v>473</v>
      </c>
      <c r="B28" s="20" t="s">
        <v>471</v>
      </c>
      <c r="C28" s="20" t="s">
        <v>462</v>
      </c>
      <c r="D28" s="20" t="s">
        <v>467</v>
      </c>
      <c r="E28" s="24"/>
    </row>
    <row r="29" spans="1:5" x14ac:dyDescent="0.2">
      <c r="A29" s="20" t="s">
        <v>474</v>
      </c>
      <c r="B29" s="20" t="s">
        <v>471</v>
      </c>
      <c r="C29" s="20" t="s">
        <v>462</v>
      </c>
      <c r="D29" s="20" t="s">
        <v>469</v>
      </c>
      <c r="E29" s="24"/>
    </row>
    <row r="30" spans="1:5" x14ac:dyDescent="0.2">
      <c r="A30" s="20" t="s">
        <v>475</v>
      </c>
      <c r="B30" s="20" t="s">
        <v>476</v>
      </c>
      <c r="C30" s="20" t="s">
        <v>462</v>
      </c>
      <c r="D30" s="20" t="s">
        <v>463</v>
      </c>
      <c r="E30" s="24"/>
    </row>
    <row r="31" spans="1:5" x14ac:dyDescent="0.2">
      <c r="A31" s="20" t="s">
        <v>477</v>
      </c>
      <c r="B31" s="20" t="s">
        <v>476</v>
      </c>
      <c r="C31" s="20" t="s">
        <v>462</v>
      </c>
      <c r="D31" s="20" t="s">
        <v>465</v>
      </c>
      <c r="E31" s="24"/>
    </row>
    <row r="32" spans="1:5" x14ac:dyDescent="0.2">
      <c r="A32" s="20" t="s">
        <v>478</v>
      </c>
      <c r="B32" s="20" t="s">
        <v>476</v>
      </c>
      <c r="C32" s="20" t="s">
        <v>462</v>
      </c>
      <c r="D32" s="20" t="s">
        <v>467</v>
      </c>
      <c r="E32" s="24"/>
    </row>
    <row r="33" spans="1:5" x14ac:dyDescent="0.2">
      <c r="A33" s="20" t="s">
        <v>479</v>
      </c>
      <c r="B33" s="20" t="s">
        <v>476</v>
      </c>
      <c r="C33" s="20" t="s">
        <v>462</v>
      </c>
      <c r="D33" s="20" t="s">
        <v>469</v>
      </c>
      <c r="E33" s="24"/>
    </row>
    <row r="34" spans="1:5" x14ac:dyDescent="0.2">
      <c r="A34" s="20" t="s">
        <v>480</v>
      </c>
      <c r="B34" s="20" t="s">
        <v>481</v>
      </c>
      <c r="C34" s="20" t="s">
        <v>462</v>
      </c>
      <c r="D34" s="20" t="s">
        <v>463</v>
      </c>
      <c r="E34" s="24"/>
    </row>
    <row r="35" spans="1:5" x14ac:dyDescent="0.2">
      <c r="A35" s="20" t="s">
        <v>482</v>
      </c>
      <c r="B35" s="20" t="s">
        <v>481</v>
      </c>
      <c r="C35" s="20" t="s">
        <v>462</v>
      </c>
      <c r="D35" s="20" t="s">
        <v>465</v>
      </c>
      <c r="E35" s="24"/>
    </row>
    <row r="36" spans="1:5" x14ac:dyDescent="0.2">
      <c r="A36" s="20" t="s">
        <v>483</v>
      </c>
      <c r="B36" s="20" t="s">
        <v>481</v>
      </c>
      <c r="C36" s="20" t="s">
        <v>462</v>
      </c>
      <c r="D36" s="20" t="s">
        <v>467</v>
      </c>
      <c r="E36" s="24"/>
    </row>
    <row r="37" spans="1:5" x14ac:dyDescent="0.2">
      <c r="A37" s="20" t="s">
        <v>484</v>
      </c>
      <c r="B37" s="20" t="s">
        <v>481</v>
      </c>
      <c r="C37" s="20" t="s">
        <v>462</v>
      </c>
      <c r="D37" s="20" t="s">
        <v>469</v>
      </c>
      <c r="E37" s="24"/>
    </row>
    <row r="38" spans="1:5" x14ac:dyDescent="0.2">
      <c r="A38" s="20" t="s">
        <v>485</v>
      </c>
      <c r="B38" s="20" t="s">
        <v>486</v>
      </c>
      <c r="C38" s="20" t="s">
        <v>462</v>
      </c>
      <c r="D38" s="20" t="s">
        <v>463</v>
      </c>
      <c r="E38" s="24"/>
    </row>
    <row r="39" spans="1:5" x14ac:dyDescent="0.2">
      <c r="A39" s="20" t="s">
        <v>487</v>
      </c>
      <c r="B39" s="20" t="s">
        <v>486</v>
      </c>
      <c r="C39" s="20" t="s">
        <v>462</v>
      </c>
      <c r="D39" s="20" t="s">
        <v>465</v>
      </c>
      <c r="E39" s="24"/>
    </row>
    <row r="40" spans="1:5" x14ac:dyDescent="0.2">
      <c r="A40" s="20" t="s">
        <v>488</v>
      </c>
      <c r="B40" s="20" t="s">
        <v>486</v>
      </c>
      <c r="C40" s="20" t="s">
        <v>462</v>
      </c>
      <c r="D40" s="20" t="s">
        <v>467</v>
      </c>
      <c r="E40" s="24"/>
    </row>
    <row r="41" spans="1:5" x14ac:dyDescent="0.2">
      <c r="A41" s="20" t="s">
        <v>489</v>
      </c>
      <c r="B41" s="20" t="s">
        <v>486</v>
      </c>
      <c r="C41" s="20" t="s">
        <v>462</v>
      </c>
      <c r="D41" s="20" t="s">
        <v>469</v>
      </c>
      <c r="E41" s="24"/>
    </row>
    <row r="42" spans="1:5" x14ac:dyDescent="0.2">
      <c r="A42" s="20" t="s">
        <v>490</v>
      </c>
      <c r="B42" s="20" t="s">
        <v>491</v>
      </c>
      <c r="C42" s="20" t="s">
        <v>462</v>
      </c>
      <c r="D42" s="20" t="s">
        <v>463</v>
      </c>
      <c r="E42" s="24"/>
    </row>
    <row r="43" spans="1:5" x14ac:dyDescent="0.2">
      <c r="A43" s="20" t="s">
        <v>492</v>
      </c>
      <c r="B43" s="20" t="s">
        <v>491</v>
      </c>
      <c r="C43" s="20" t="s">
        <v>462</v>
      </c>
      <c r="D43" s="20" t="s">
        <v>465</v>
      </c>
      <c r="E43" s="24"/>
    </row>
    <row r="44" spans="1:5" x14ac:dyDescent="0.2">
      <c r="A44" s="20" t="s">
        <v>493</v>
      </c>
      <c r="B44" s="20" t="s">
        <v>491</v>
      </c>
      <c r="C44" s="20" t="s">
        <v>462</v>
      </c>
      <c r="D44" s="20" t="s">
        <v>467</v>
      </c>
      <c r="E44" s="24"/>
    </row>
    <row r="45" spans="1:5" x14ac:dyDescent="0.2">
      <c r="A45" s="20" t="s">
        <v>494</v>
      </c>
      <c r="B45" s="20" t="s">
        <v>491</v>
      </c>
      <c r="C45" s="20" t="s">
        <v>462</v>
      </c>
      <c r="D45" s="20" t="s">
        <v>469</v>
      </c>
      <c r="E45" s="24"/>
    </row>
    <row r="46" spans="1:5" x14ac:dyDescent="0.2">
      <c r="A46" s="20" t="s">
        <v>495</v>
      </c>
      <c r="B46" s="20" t="s">
        <v>496</v>
      </c>
      <c r="C46" s="20" t="s">
        <v>462</v>
      </c>
      <c r="D46" s="20" t="s">
        <v>463</v>
      </c>
      <c r="E46" s="24"/>
    </row>
    <row r="47" spans="1:5" x14ac:dyDescent="0.2">
      <c r="A47" s="20" t="s">
        <v>497</v>
      </c>
      <c r="B47" s="20" t="s">
        <v>496</v>
      </c>
      <c r="C47" s="20" t="s">
        <v>462</v>
      </c>
      <c r="D47" s="20" t="s">
        <v>465</v>
      </c>
      <c r="E47" s="24"/>
    </row>
    <row r="48" spans="1:5" x14ac:dyDescent="0.2">
      <c r="A48" s="20" t="s">
        <v>498</v>
      </c>
      <c r="B48" s="20" t="s">
        <v>496</v>
      </c>
      <c r="C48" s="20" t="s">
        <v>462</v>
      </c>
      <c r="D48" s="20" t="s">
        <v>467</v>
      </c>
      <c r="E48" s="24"/>
    </row>
    <row r="49" spans="1:5" x14ac:dyDescent="0.2">
      <c r="A49" s="20" t="s">
        <v>499</v>
      </c>
      <c r="B49" s="20" t="s">
        <v>496</v>
      </c>
      <c r="C49" s="20" t="s">
        <v>462</v>
      </c>
      <c r="D49" s="20" t="s">
        <v>469</v>
      </c>
      <c r="E49" s="24"/>
    </row>
    <row r="50" spans="1:5" x14ac:dyDescent="0.2">
      <c r="A50" s="20" t="s">
        <v>500</v>
      </c>
      <c r="B50" s="20" t="s">
        <v>501</v>
      </c>
      <c r="C50" s="20" t="s">
        <v>462</v>
      </c>
      <c r="D50" s="20" t="s">
        <v>502</v>
      </c>
      <c r="E50" s="24"/>
    </row>
    <row r="51" spans="1:5" x14ac:dyDescent="0.2">
      <c r="A51" s="20" t="s">
        <v>503</v>
      </c>
      <c r="B51" s="20" t="s">
        <v>501</v>
      </c>
      <c r="C51" s="20" t="s">
        <v>462</v>
      </c>
      <c r="D51" s="20" t="s">
        <v>504</v>
      </c>
      <c r="E51" s="24"/>
    </row>
    <row r="52" spans="1:5" x14ac:dyDescent="0.2">
      <c r="A52" s="20" t="s">
        <v>505</v>
      </c>
      <c r="B52" s="20" t="s">
        <v>501</v>
      </c>
      <c r="C52" s="20" t="s">
        <v>462</v>
      </c>
      <c r="D52" s="20" t="s">
        <v>506</v>
      </c>
      <c r="E52" s="24"/>
    </row>
    <row r="53" spans="1:5" x14ac:dyDescent="0.2">
      <c r="A53" s="20" t="s">
        <v>507</v>
      </c>
      <c r="B53" s="20" t="s">
        <v>501</v>
      </c>
      <c r="C53" s="20" t="s">
        <v>462</v>
      </c>
      <c r="D53" s="20" t="s">
        <v>508</v>
      </c>
      <c r="E53" s="24"/>
    </row>
    <row r="54" spans="1:5" x14ac:dyDescent="0.2">
      <c r="A54" s="20" t="s">
        <v>509</v>
      </c>
      <c r="B54" s="20" t="s">
        <v>510</v>
      </c>
      <c r="C54" s="20" t="s">
        <v>462</v>
      </c>
      <c r="D54" s="20" t="s">
        <v>502</v>
      </c>
      <c r="E54" s="24"/>
    </row>
    <row r="55" spans="1:5" x14ac:dyDescent="0.2">
      <c r="A55" s="20" t="s">
        <v>511</v>
      </c>
      <c r="B55" s="20" t="s">
        <v>510</v>
      </c>
      <c r="C55" s="20" t="s">
        <v>462</v>
      </c>
      <c r="D55" s="20" t="s">
        <v>504</v>
      </c>
      <c r="E55" s="24"/>
    </row>
    <row r="56" spans="1:5" x14ac:dyDescent="0.2">
      <c r="A56" s="20" t="s">
        <v>512</v>
      </c>
      <c r="B56" s="20" t="s">
        <v>510</v>
      </c>
      <c r="C56" s="20" t="s">
        <v>462</v>
      </c>
      <c r="D56" s="20" t="s">
        <v>506</v>
      </c>
      <c r="E56" s="24"/>
    </row>
    <row r="57" spans="1:5" x14ac:dyDescent="0.2">
      <c r="A57" s="20" t="s">
        <v>513</v>
      </c>
      <c r="B57" s="20" t="s">
        <v>510</v>
      </c>
      <c r="C57" s="20" t="s">
        <v>462</v>
      </c>
      <c r="D57" s="20" t="s">
        <v>508</v>
      </c>
      <c r="E57" s="24"/>
    </row>
    <row r="58" spans="1:5" x14ac:dyDescent="0.2">
      <c r="A58" s="20" t="s">
        <v>514</v>
      </c>
      <c r="B58" s="20" t="s">
        <v>515</v>
      </c>
      <c r="C58" s="20" t="s">
        <v>462</v>
      </c>
      <c r="D58" s="20" t="s">
        <v>502</v>
      </c>
      <c r="E58" s="24"/>
    </row>
    <row r="59" spans="1:5" x14ac:dyDescent="0.2">
      <c r="A59" s="20" t="s">
        <v>516</v>
      </c>
      <c r="B59" s="20" t="s">
        <v>515</v>
      </c>
      <c r="C59" s="20" t="s">
        <v>462</v>
      </c>
      <c r="D59" s="20" t="s">
        <v>504</v>
      </c>
      <c r="E59" s="24"/>
    </row>
    <row r="60" spans="1:5" x14ac:dyDescent="0.2">
      <c r="A60" s="20" t="s">
        <v>517</v>
      </c>
      <c r="B60" s="20" t="s">
        <v>515</v>
      </c>
      <c r="C60" s="20" t="s">
        <v>462</v>
      </c>
      <c r="D60" s="20" t="s">
        <v>506</v>
      </c>
      <c r="E60" s="24"/>
    </row>
    <row r="61" spans="1:5" x14ac:dyDescent="0.2">
      <c r="A61" s="20" t="s">
        <v>518</v>
      </c>
      <c r="B61" s="20" t="s">
        <v>515</v>
      </c>
      <c r="C61" s="20" t="s">
        <v>462</v>
      </c>
      <c r="D61" s="20" t="s">
        <v>508</v>
      </c>
      <c r="E61" s="24"/>
    </row>
    <row r="62" spans="1:5" x14ac:dyDescent="0.2">
      <c r="A62" s="20" t="s">
        <v>519</v>
      </c>
      <c r="B62" s="20" t="s">
        <v>520</v>
      </c>
      <c r="C62" s="20" t="s">
        <v>462</v>
      </c>
      <c r="D62" s="20" t="s">
        <v>502</v>
      </c>
      <c r="E62" s="24"/>
    </row>
    <row r="63" spans="1:5" x14ac:dyDescent="0.2">
      <c r="A63" s="20" t="s">
        <v>521</v>
      </c>
      <c r="B63" s="20" t="s">
        <v>520</v>
      </c>
      <c r="C63" s="20" t="s">
        <v>462</v>
      </c>
      <c r="D63" s="20" t="s">
        <v>504</v>
      </c>
      <c r="E63" s="24"/>
    </row>
    <row r="64" spans="1:5" x14ac:dyDescent="0.2">
      <c r="A64" s="20" t="s">
        <v>522</v>
      </c>
      <c r="B64" s="20" t="s">
        <v>520</v>
      </c>
      <c r="C64" s="20" t="s">
        <v>462</v>
      </c>
      <c r="D64" s="20" t="s">
        <v>506</v>
      </c>
      <c r="E64" s="24"/>
    </row>
    <row r="65" spans="1:5" x14ac:dyDescent="0.2">
      <c r="A65" s="20" t="s">
        <v>523</v>
      </c>
      <c r="B65" s="20" t="s">
        <v>520</v>
      </c>
      <c r="C65" s="20" t="s">
        <v>462</v>
      </c>
      <c r="D65" s="20" t="s">
        <v>508</v>
      </c>
      <c r="E65" s="24"/>
    </row>
    <row r="66" spans="1:5" x14ac:dyDescent="0.2">
      <c r="A66" s="20" t="s">
        <v>524</v>
      </c>
      <c r="B66" s="20" t="s">
        <v>525</v>
      </c>
      <c r="C66" s="20" t="s">
        <v>462</v>
      </c>
      <c r="D66" s="20" t="s">
        <v>502</v>
      </c>
      <c r="E66" s="24"/>
    </row>
    <row r="67" spans="1:5" x14ac:dyDescent="0.2">
      <c r="A67" s="20" t="s">
        <v>526</v>
      </c>
      <c r="B67" s="20" t="s">
        <v>525</v>
      </c>
      <c r="C67" s="20" t="s">
        <v>462</v>
      </c>
      <c r="D67" s="20" t="s">
        <v>504</v>
      </c>
      <c r="E67" s="24"/>
    </row>
    <row r="68" spans="1:5" x14ac:dyDescent="0.2">
      <c r="A68" s="20" t="s">
        <v>527</v>
      </c>
      <c r="B68" s="20" t="s">
        <v>525</v>
      </c>
      <c r="C68" s="20" t="s">
        <v>462</v>
      </c>
      <c r="D68" s="20" t="s">
        <v>506</v>
      </c>
      <c r="E68" s="24"/>
    </row>
    <row r="69" spans="1:5" x14ac:dyDescent="0.2">
      <c r="A69" s="20" t="s">
        <v>528</v>
      </c>
      <c r="B69" s="20" t="s">
        <v>525</v>
      </c>
      <c r="C69" s="20" t="s">
        <v>462</v>
      </c>
      <c r="D69" s="20" t="s">
        <v>508</v>
      </c>
      <c r="E69" s="24"/>
    </row>
    <row r="70" spans="1:5" x14ac:dyDescent="0.2">
      <c r="A70" s="20" t="s">
        <v>529</v>
      </c>
      <c r="B70" s="20" t="s">
        <v>530</v>
      </c>
      <c r="C70" s="20" t="s">
        <v>462</v>
      </c>
      <c r="D70" s="20" t="s">
        <v>502</v>
      </c>
      <c r="E70" s="24"/>
    </row>
    <row r="71" spans="1:5" x14ac:dyDescent="0.2">
      <c r="A71" s="20" t="s">
        <v>531</v>
      </c>
      <c r="B71" s="20" t="s">
        <v>530</v>
      </c>
      <c r="C71" s="20" t="s">
        <v>462</v>
      </c>
      <c r="D71" s="20" t="s">
        <v>504</v>
      </c>
      <c r="E71" s="24"/>
    </row>
    <row r="72" spans="1:5" x14ac:dyDescent="0.2">
      <c r="A72" s="20" t="s">
        <v>532</v>
      </c>
      <c r="B72" s="20" t="s">
        <v>530</v>
      </c>
      <c r="C72" s="20" t="s">
        <v>462</v>
      </c>
      <c r="D72" s="20" t="s">
        <v>506</v>
      </c>
      <c r="E72" s="24"/>
    </row>
    <row r="73" spans="1:5" x14ac:dyDescent="0.2">
      <c r="A73" s="20" t="s">
        <v>533</v>
      </c>
      <c r="B73" s="20" t="s">
        <v>530</v>
      </c>
      <c r="C73" s="20" t="s">
        <v>462</v>
      </c>
      <c r="D73" s="20" t="s">
        <v>508</v>
      </c>
      <c r="E73" s="24"/>
    </row>
    <row r="74" spans="1:5" x14ac:dyDescent="0.2">
      <c r="A74" s="20" t="s">
        <v>534</v>
      </c>
      <c r="B74" s="20" t="s">
        <v>535</v>
      </c>
      <c r="C74" s="20" t="s">
        <v>462</v>
      </c>
      <c r="D74" s="20" t="s">
        <v>502</v>
      </c>
      <c r="E74" s="24"/>
    </row>
    <row r="75" spans="1:5" x14ac:dyDescent="0.2">
      <c r="A75" s="20" t="s">
        <v>536</v>
      </c>
      <c r="B75" s="20" t="s">
        <v>535</v>
      </c>
      <c r="C75" s="20" t="s">
        <v>462</v>
      </c>
      <c r="D75" s="20" t="s">
        <v>537</v>
      </c>
      <c r="E75" s="24"/>
    </row>
    <row r="76" spans="1:5" x14ac:dyDescent="0.2">
      <c r="A76" s="20" t="s">
        <v>538</v>
      </c>
      <c r="B76" s="20" t="s">
        <v>535</v>
      </c>
      <c r="C76" s="20" t="s">
        <v>462</v>
      </c>
      <c r="D76" s="20" t="s">
        <v>539</v>
      </c>
      <c r="E76" s="24"/>
    </row>
    <row r="77" spans="1:5" x14ac:dyDescent="0.2">
      <c r="A77" s="20" t="s">
        <v>540</v>
      </c>
      <c r="B77" s="20" t="s">
        <v>535</v>
      </c>
      <c r="C77" s="20" t="s">
        <v>462</v>
      </c>
      <c r="D77" s="20" t="s">
        <v>541</v>
      </c>
      <c r="E77" s="24"/>
    </row>
    <row r="78" spans="1:5" x14ac:dyDescent="0.2">
      <c r="A78" s="20" t="s">
        <v>542</v>
      </c>
      <c r="B78" s="20" t="s">
        <v>543</v>
      </c>
      <c r="C78" s="20" t="s">
        <v>462</v>
      </c>
      <c r="D78" s="20" t="s">
        <v>502</v>
      </c>
      <c r="E78" s="24"/>
    </row>
    <row r="79" spans="1:5" x14ac:dyDescent="0.2">
      <c r="A79" s="20" t="s">
        <v>544</v>
      </c>
      <c r="B79" s="20" t="s">
        <v>543</v>
      </c>
      <c r="C79" s="20" t="s">
        <v>462</v>
      </c>
      <c r="D79" s="20" t="s">
        <v>504</v>
      </c>
      <c r="E79" s="24"/>
    </row>
    <row r="80" spans="1:5" x14ac:dyDescent="0.2">
      <c r="A80" s="20" t="s">
        <v>545</v>
      </c>
      <c r="B80" s="20" t="s">
        <v>543</v>
      </c>
      <c r="C80" s="20" t="s">
        <v>462</v>
      </c>
      <c r="D80" s="20" t="s">
        <v>506</v>
      </c>
      <c r="E80" s="24"/>
    </row>
    <row r="81" spans="1:5" x14ac:dyDescent="0.2">
      <c r="A81" s="20" t="s">
        <v>546</v>
      </c>
      <c r="B81" s="20" t="s">
        <v>543</v>
      </c>
      <c r="C81" s="20" t="s">
        <v>462</v>
      </c>
      <c r="D81" s="20" t="s">
        <v>508</v>
      </c>
      <c r="E81" s="24"/>
    </row>
    <row r="82" spans="1:5" x14ac:dyDescent="0.2">
      <c r="A82" s="20" t="s">
        <v>547</v>
      </c>
      <c r="B82" s="20" t="s">
        <v>548</v>
      </c>
      <c r="C82" s="20" t="s">
        <v>462</v>
      </c>
      <c r="D82" s="20" t="s">
        <v>502</v>
      </c>
      <c r="E82" s="24"/>
    </row>
    <row r="83" spans="1:5" x14ac:dyDescent="0.2">
      <c r="A83" s="20" t="s">
        <v>549</v>
      </c>
      <c r="B83" s="20" t="s">
        <v>548</v>
      </c>
      <c r="C83" s="20" t="s">
        <v>462</v>
      </c>
      <c r="D83" s="20" t="s">
        <v>504</v>
      </c>
      <c r="E83" s="24"/>
    </row>
    <row r="84" spans="1:5" x14ac:dyDescent="0.2">
      <c r="A84" s="20" t="s">
        <v>550</v>
      </c>
      <c r="B84" s="20" t="s">
        <v>548</v>
      </c>
      <c r="C84" s="20" t="s">
        <v>462</v>
      </c>
      <c r="D84" s="20" t="s">
        <v>506</v>
      </c>
      <c r="E84" s="24"/>
    </row>
    <row r="85" spans="1:5" x14ac:dyDescent="0.2">
      <c r="A85" s="20" t="s">
        <v>551</v>
      </c>
      <c r="B85" s="20" t="s">
        <v>548</v>
      </c>
      <c r="C85" s="20" t="s">
        <v>462</v>
      </c>
      <c r="D85" s="20" t="s">
        <v>508</v>
      </c>
      <c r="E85" s="24"/>
    </row>
    <row r="86" spans="1:5" x14ac:dyDescent="0.2">
      <c r="A86" s="20" t="s">
        <v>552</v>
      </c>
      <c r="B86" s="20" t="s">
        <v>553</v>
      </c>
      <c r="C86" s="20" t="s">
        <v>437</v>
      </c>
      <c r="D86" s="20" t="s">
        <v>438</v>
      </c>
      <c r="E86" s="24"/>
    </row>
    <row r="87" spans="1:5" x14ac:dyDescent="0.2">
      <c r="A87" s="20" t="s">
        <v>554</v>
      </c>
      <c r="B87" s="20" t="s">
        <v>553</v>
      </c>
      <c r="C87" s="20" t="s">
        <v>437</v>
      </c>
      <c r="D87" s="20" t="s">
        <v>440</v>
      </c>
      <c r="E87" s="24"/>
    </row>
    <row r="88" spans="1:5" x14ac:dyDescent="0.2">
      <c r="A88" s="20" t="s">
        <v>555</v>
      </c>
      <c r="B88" s="20" t="s">
        <v>553</v>
      </c>
      <c r="C88" s="20" t="s">
        <v>437</v>
      </c>
      <c r="D88" s="20" t="s">
        <v>442</v>
      </c>
      <c r="E88" s="24"/>
    </row>
    <row r="89" spans="1:5" x14ac:dyDescent="0.2">
      <c r="A89" s="20" t="s">
        <v>556</v>
      </c>
      <c r="B89" s="20" t="s">
        <v>553</v>
      </c>
      <c r="C89" s="20" t="s">
        <v>437</v>
      </c>
      <c r="D89" s="20" t="s">
        <v>444</v>
      </c>
      <c r="E89" s="24"/>
    </row>
    <row r="90" spans="1:5" x14ac:dyDescent="0.2">
      <c r="A90" s="20" t="s">
        <v>557</v>
      </c>
      <c r="B90" s="20" t="s">
        <v>558</v>
      </c>
      <c r="C90" s="20" t="s">
        <v>462</v>
      </c>
      <c r="D90" s="20" t="s">
        <v>559</v>
      </c>
      <c r="E90" s="24"/>
    </row>
    <row r="91" spans="1:5" x14ac:dyDescent="0.2">
      <c r="A91" s="20" t="s">
        <v>560</v>
      </c>
      <c r="B91" s="20" t="s">
        <v>558</v>
      </c>
      <c r="C91" s="20" t="s">
        <v>462</v>
      </c>
      <c r="D91" s="20" t="s">
        <v>561</v>
      </c>
      <c r="E91" s="24"/>
    </row>
    <row r="92" spans="1:5" x14ac:dyDescent="0.2">
      <c r="A92" s="20" t="s">
        <v>562</v>
      </c>
      <c r="B92" s="20" t="s">
        <v>558</v>
      </c>
      <c r="C92" s="20" t="s">
        <v>462</v>
      </c>
      <c r="D92" s="20" t="s">
        <v>563</v>
      </c>
      <c r="E92" s="24"/>
    </row>
    <row r="93" spans="1:5" x14ac:dyDescent="0.2">
      <c r="A93" s="25" t="s">
        <v>564</v>
      </c>
      <c r="B93" s="25" t="s">
        <v>558</v>
      </c>
      <c r="C93" s="25" t="s">
        <v>462</v>
      </c>
      <c r="D93" s="25" t="s">
        <v>565</v>
      </c>
      <c r="E93" s="29"/>
    </row>
    <row r="94" spans="1:5" x14ac:dyDescent="0.2">
      <c r="A94" s="40" t="s">
        <v>150</v>
      </c>
      <c r="B94" s="41"/>
      <c r="C94" s="41"/>
      <c r="D94" s="41"/>
      <c r="E94" s="104"/>
    </row>
    <row r="96" spans="1:5" x14ac:dyDescent="0.2">
      <c r="A96" s="40" t="s">
        <v>566</v>
      </c>
      <c r="B96" s="41"/>
      <c r="C96" s="41"/>
      <c r="D96" s="41"/>
      <c r="E96" s="104"/>
    </row>
  </sheetData>
  <sheetProtection algorithmName="SHA-512" hashValue="tSXrS7wyKsd/LIoM70iTsmF8aqwy/9Ik+Zu5fvjunBR8G2B9Qbpwi/C6bAza/FgM8tf+PnkrdkZczpkWdx9kvQ==" saltValue="kRi/j+f/YKrAiayt7KsY4Q==" spinCount="100000" sheet="1" objects="1" scenarios="1" autoFilter="0"/>
  <pageMargins left="0.7" right="0.7" top="0.75" bottom="0.75" header="0.3" footer="0.3"/>
  <pageSetup scale="65" orientation="landscape" r:id="rId1"/>
  <headerFooter>
    <oddFooter>&amp;LGGD Noord- en Oost Gelderland                               &amp;ROpmaakdatum: 19-08-2024
Intexso - Plantageweg 23E - Leusden
+31 (33) 2778485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D2FF0-195A-4F2E-AF97-4E2D9B83553E}">
  <dimension ref="A1:M11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3" width="13.625" customWidth="1"/>
  </cols>
  <sheetData>
    <row r="1" spans="1:13" x14ac:dyDescent="0.2">
      <c r="A1" s="1" t="str">
        <f>CONCATENATE("Bijlage D.11: ",tabeltype," glas")</f>
        <v>Bijlage D.11: Invultabel glas</v>
      </c>
    </row>
    <row r="3" spans="1:13" ht="38.25" x14ac:dyDescent="0.2">
      <c r="A3" s="8" t="s">
        <v>410</v>
      </c>
      <c r="B3" s="8" t="s">
        <v>7</v>
      </c>
      <c r="C3" s="8" t="s">
        <v>411</v>
      </c>
      <c r="D3" s="8" t="s">
        <v>24</v>
      </c>
      <c r="E3" s="8" t="s">
        <v>27</v>
      </c>
      <c r="F3" s="8" t="s">
        <v>412</v>
      </c>
      <c r="G3" s="8" t="s">
        <v>413</v>
      </c>
      <c r="H3" s="8" t="s">
        <v>414</v>
      </c>
      <c r="I3" s="8" t="s">
        <v>415</v>
      </c>
      <c r="J3" s="8" t="s">
        <v>416</v>
      </c>
      <c r="K3" s="8" t="s">
        <v>109</v>
      </c>
      <c r="L3" s="8" t="s">
        <v>370</v>
      </c>
      <c r="M3" s="8" t="s">
        <v>108</v>
      </c>
    </row>
    <row r="4" spans="1:13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</row>
    <row r="5" spans="1:13" x14ac:dyDescent="0.2">
      <c r="A5" s="12" t="s">
        <v>29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4"/>
    </row>
    <row r="6" spans="1:13" x14ac:dyDescent="0.2">
      <c r="A6" s="15" t="s">
        <v>567</v>
      </c>
      <c r="B6" s="15" t="s">
        <v>17</v>
      </c>
      <c r="C6" s="16">
        <f>IF(ISBLANK(B6),0,IF(ISERROR(VALUE(B6)),VLOOKUP(B6,dagsoorttabel1,2,FALSE)*dagenperjaar1,VALUE(B6)))</f>
        <v>4</v>
      </c>
      <c r="D6" s="15" t="s">
        <v>568</v>
      </c>
      <c r="E6" s="15" t="s">
        <v>462</v>
      </c>
      <c r="F6" s="98">
        <v>652</v>
      </c>
      <c r="G6" s="19"/>
      <c r="H6" s="113"/>
      <c r="I6" s="19"/>
      <c r="J6" s="32">
        <f>IF(ISBLANK(F6),0,F6)*ROUND(I6,2)</f>
        <v>0</v>
      </c>
      <c r="K6" s="32">
        <f>C6*J6</f>
        <v>0</v>
      </c>
      <c r="L6" s="32">
        <f>K6/12</f>
        <v>0</v>
      </c>
      <c r="M6" s="30" t="str">
        <f>IF(AND(SUM(K6)&gt;0,SUM(G6)&lt;=0),"INCOMPLEET",IF(SUM(G6)&gt;0,K6/G6,""))</f>
        <v/>
      </c>
    </row>
    <row r="7" spans="1:13" x14ac:dyDescent="0.2">
      <c r="A7" s="20" t="s">
        <v>569</v>
      </c>
      <c r="B7" s="20" t="s">
        <v>17</v>
      </c>
      <c r="C7" s="21">
        <f>IF(ISBLANK(B7),0,IF(ISERROR(VALUE(B7)),VLOOKUP(B7,dagsoorttabel1,2,FALSE)*dagenperjaar1,VALUE(B7)))</f>
        <v>4</v>
      </c>
      <c r="D7" s="20" t="s">
        <v>570</v>
      </c>
      <c r="E7" s="20" t="s">
        <v>462</v>
      </c>
      <c r="F7" s="114">
        <v>652</v>
      </c>
      <c r="G7" s="24"/>
      <c r="H7" s="115"/>
      <c r="I7" s="24"/>
      <c r="J7" s="35">
        <f>IF(ISBLANK(F7),0,F7)*ROUND(I7,2)</f>
        <v>0</v>
      </c>
      <c r="K7" s="35">
        <f>C7*J7</f>
        <v>0</v>
      </c>
      <c r="L7" s="35">
        <f>K7/12</f>
        <v>0</v>
      </c>
      <c r="M7" s="33" t="str">
        <f>IF(AND(SUM(K7)&gt;0,SUM(G7)&lt;=0),"INCOMPLEET",IF(SUM(G7)&gt;0,K7/G7,""))</f>
        <v/>
      </c>
    </row>
    <row r="8" spans="1:13" x14ac:dyDescent="0.2">
      <c r="A8" s="25" t="s">
        <v>571</v>
      </c>
      <c r="B8" s="25" t="s">
        <v>17</v>
      </c>
      <c r="C8" s="26">
        <f>IF(ISBLANK(B8),0,IF(ISERROR(VALUE(B8)),VLOOKUP(B8,dagsoorttabel1,2,FALSE)*dagenperjaar1,VALUE(B8)))</f>
        <v>4</v>
      </c>
      <c r="D8" s="25" t="s">
        <v>572</v>
      </c>
      <c r="E8" s="25" t="s">
        <v>462</v>
      </c>
      <c r="F8" s="100">
        <v>412</v>
      </c>
      <c r="G8" s="29"/>
      <c r="H8" s="116"/>
      <c r="I8" s="29"/>
      <c r="J8" s="38">
        <f>IF(ISBLANK(F8),0,F8)*ROUND(I8,2)</f>
        <v>0</v>
      </c>
      <c r="K8" s="38">
        <f>C8*J8</f>
        <v>0</v>
      </c>
      <c r="L8" s="38">
        <f>K8/12</f>
        <v>0</v>
      </c>
      <c r="M8" s="36" t="str">
        <f>IF(AND(SUM(K8)&gt;0,SUM(G8)&lt;=0),"INCOMPLEET",IF(SUM(G8)&gt;0,K8/G8,""))</f>
        <v/>
      </c>
    </row>
    <row r="9" spans="1:13" x14ac:dyDescent="0.2">
      <c r="A9" s="40" t="s">
        <v>150</v>
      </c>
      <c r="B9" s="41"/>
      <c r="C9" s="41"/>
      <c r="D9" s="41"/>
      <c r="E9" s="41"/>
      <c r="F9" s="41"/>
      <c r="G9" s="41"/>
      <c r="H9" s="41"/>
      <c r="I9" s="41"/>
      <c r="J9" s="41"/>
      <c r="K9" s="43">
        <f>SUM(K6:K8)</f>
        <v>0</v>
      </c>
      <c r="L9" s="102">
        <f>K9/12</f>
        <v>0</v>
      </c>
      <c r="M9" s="42">
        <f>SUM(M6:M8)</f>
        <v>0</v>
      </c>
    </row>
    <row r="11" spans="1:13" x14ac:dyDescent="0.2">
      <c r="A11" s="40" t="s">
        <v>573</v>
      </c>
      <c r="B11" s="41"/>
      <c r="C11" s="41"/>
      <c r="D11" s="41"/>
      <c r="E11" s="41"/>
      <c r="F11" s="41"/>
      <c r="G11" s="41"/>
      <c r="H11" s="41"/>
      <c r="I11" s="41"/>
      <c r="J11" s="41"/>
      <c r="K11" s="43">
        <f>prijsjaarglas1</f>
        <v>0</v>
      </c>
      <c r="L11" s="102">
        <f>K11/12</f>
        <v>0</v>
      </c>
      <c r="M11" s="42">
        <f>urenjaarglas1</f>
        <v>0</v>
      </c>
    </row>
  </sheetData>
  <sheetProtection algorithmName="SHA-512" hashValue="pkdGGCPtEHKJlzbevs6QfuYTxxv9+socKDx4gCS5gX/XW0nBjVtEMeQQbbOGFEBkMPfzIEmm2xIzA2foOnW1cQ==" saltValue="4UGz7kUT7rLF7FAWXrODkA==" spinCount="100000" sheet="1" objects="1" scenarios="1" autoFilter="0"/>
  <pageMargins left="0.7" right="0.7" top="0.75" bottom="0.75" header="0.3" footer="0.3"/>
  <pageSetup scale="65" orientation="landscape" r:id="rId1"/>
  <headerFooter>
    <oddFooter>&amp;LGGD Noord- en Oost Gelderland                               &amp;ROpmaakdatum: 19-08-2024
Intexso - Plantageweg 23E - Leusden
+31 (33) 2778485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B5763-48AC-4D85-BD5B-0B175154F974}">
  <dimension ref="A1:M21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11.625" customWidth="1"/>
    <col min="5" max="5" width="50.625" customWidth="1"/>
    <col min="6" max="7" width="14.625" customWidth="1"/>
    <col min="8" max="10" width="11.625" customWidth="1"/>
    <col min="11" max="11" width="12.625" customWidth="1"/>
    <col min="12" max="12" width="14.625" customWidth="1"/>
    <col min="13" max="13" width="13.625" customWidth="1"/>
  </cols>
  <sheetData>
    <row r="1" spans="1:13" x14ac:dyDescent="0.2">
      <c r="A1" s="1" t="str">
        <f>CONCATENATE("Bijlage D.12: ",tabeltype," glas per locatie")</f>
        <v>Bijlage D.12: Invultabel glas per locatie</v>
      </c>
    </row>
    <row r="3" spans="1:13" ht="38.25" x14ac:dyDescent="0.2">
      <c r="A3" s="8" t="s">
        <v>410</v>
      </c>
      <c r="B3" s="8" t="s">
        <v>7</v>
      </c>
      <c r="C3" s="8" t="s">
        <v>411</v>
      </c>
      <c r="D3" s="8" t="s">
        <v>348</v>
      </c>
      <c r="E3" s="8" t="s">
        <v>24</v>
      </c>
      <c r="F3" s="8" t="s">
        <v>27</v>
      </c>
      <c r="G3" s="8" t="s">
        <v>412</v>
      </c>
      <c r="H3" s="8" t="s">
        <v>413</v>
      </c>
      <c r="I3" s="8" t="s">
        <v>414</v>
      </c>
      <c r="J3" s="8" t="s">
        <v>415</v>
      </c>
      <c r="K3" s="8" t="s">
        <v>416</v>
      </c>
      <c r="L3" s="8" t="s">
        <v>109</v>
      </c>
      <c r="M3" s="8" t="s">
        <v>370</v>
      </c>
    </row>
    <row r="5" spans="1:13" x14ac:dyDescent="0.2">
      <c r="A5" s="103" t="s">
        <v>160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104"/>
    </row>
    <row r="6" spans="1:13" x14ac:dyDescent="0.2">
      <c r="A6" s="15" t="s">
        <v>567</v>
      </c>
      <c r="B6" s="15" t="s">
        <v>17</v>
      </c>
      <c r="C6" s="16">
        <f>IF(ISBLANK(B6),0,IF(ISERROR(VALUE(B6)),VLOOKUP(B6,dagsoorttabel1,2,FALSE)*dagenperjaar1,VALUE(B6)))</f>
        <v>4</v>
      </c>
      <c r="D6" s="15" t="s">
        <v>359</v>
      </c>
      <c r="E6" s="15" t="s">
        <v>568</v>
      </c>
      <c r="F6" s="15" t="s">
        <v>462</v>
      </c>
      <c r="G6" s="98">
        <v>35</v>
      </c>
      <c r="H6" s="117">
        <f>Glas!G6</f>
        <v>0</v>
      </c>
      <c r="I6" s="113"/>
      <c r="J6" s="117">
        <f>Glas!I6</f>
        <v>0</v>
      </c>
      <c r="K6" s="32">
        <f>IF(ISBLANK(G6),0,G6)*ROUND(J6,2)</f>
        <v>0</v>
      </c>
      <c r="L6" s="32">
        <f>C6*K6</f>
        <v>0</v>
      </c>
      <c r="M6" s="32">
        <f>L6/12</f>
        <v>0</v>
      </c>
    </row>
    <row r="7" spans="1:13" x14ac:dyDescent="0.2">
      <c r="A7" s="20" t="s">
        <v>569</v>
      </c>
      <c r="B7" s="20" t="s">
        <v>17</v>
      </c>
      <c r="C7" s="21">
        <f>IF(ISBLANK(B7),0,IF(ISERROR(VALUE(B7)),VLOOKUP(B7,dagsoorttabel1,2,FALSE)*dagenperjaar1,VALUE(B7)))</f>
        <v>4</v>
      </c>
      <c r="D7" s="20" t="s">
        <v>359</v>
      </c>
      <c r="E7" s="20" t="s">
        <v>570</v>
      </c>
      <c r="F7" s="20" t="s">
        <v>462</v>
      </c>
      <c r="G7" s="114">
        <v>35</v>
      </c>
      <c r="H7" s="118">
        <f>Glas!G7</f>
        <v>0</v>
      </c>
      <c r="I7" s="115"/>
      <c r="J7" s="118">
        <f>Glas!I7</f>
        <v>0</v>
      </c>
      <c r="K7" s="35">
        <f>IF(ISBLANK(G7),0,G7)*ROUND(J7,2)</f>
        <v>0</v>
      </c>
      <c r="L7" s="35">
        <f>C7*K7</f>
        <v>0</v>
      </c>
      <c r="M7" s="35">
        <f>L7/12</f>
        <v>0</v>
      </c>
    </row>
    <row r="8" spans="1:13" x14ac:dyDescent="0.2">
      <c r="A8" s="25" t="s">
        <v>571</v>
      </c>
      <c r="B8" s="25" t="s">
        <v>17</v>
      </c>
      <c r="C8" s="26">
        <f>IF(ISBLANK(B8),0,IF(ISERROR(VALUE(B8)),VLOOKUP(B8,dagsoorttabel1,2,FALSE)*dagenperjaar1,VALUE(B8)))</f>
        <v>4</v>
      </c>
      <c r="D8" s="25" t="s">
        <v>359</v>
      </c>
      <c r="E8" s="25" t="s">
        <v>572</v>
      </c>
      <c r="F8" s="25" t="s">
        <v>462</v>
      </c>
      <c r="G8" s="100">
        <v>3</v>
      </c>
      <c r="H8" s="119">
        <f>Glas!G8</f>
        <v>0</v>
      </c>
      <c r="I8" s="116"/>
      <c r="J8" s="119">
        <f>Glas!I8</f>
        <v>0</v>
      </c>
      <c r="K8" s="38">
        <f>IF(ISBLANK(G8),0,G8)*ROUND(J8,2)</f>
        <v>0</v>
      </c>
      <c r="L8" s="38">
        <f>C8*K8</f>
        <v>0</v>
      </c>
      <c r="M8" s="38">
        <f>L8/12</f>
        <v>0</v>
      </c>
    </row>
    <row r="9" spans="1:13" x14ac:dyDescent="0.2">
      <c r="A9" s="97" t="s">
        <v>396</v>
      </c>
      <c r="B9" s="41"/>
      <c r="C9" s="41"/>
      <c r="D9" s="41"/>
      <c r="E9" s="41"/>
      <c r="F9" s="41"/>
      <c r="G9" s="41"/>
      <c r="H9" s="41"/>
      <c r="I9" s="41"/>
      <c r="J9" s="41"/>
      <c r="K9" s="43">
        <f>SUM(K6:K8)</f>
        <v>0</v>
      </c>
      <c r="L9" s="43">
        <f>SUM(L6:L8)</f>
        <v>0</v>
      </c>
      <c r="M9" s="112">
        <f>L9/12</f>
        <v>0</v>
      </c>
    </row>
    <row r="11" spans="1:13" x14ac:dyDescent="0.2">
      <c r="A11" s="103" t="s">
        <v>214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104"/>
    </row>
    <row r="12" spans="1:13" x14ac:dyDescent="0.2">
      <c r="A12" s="15" t="s">
        <v>567</v>
      </c>
      <c r="B12" s="15" t="s">
        <v>17</v>
      </c>
      <c r="C12" s="16">
        <f>IF(ISBLANK(B12),0,IF(ISERROR(VALUE(B12)),VLOOKUP(B12,dagsoorttabel1,2,FALSE)*dagenperjaar1,VALUE(B12)))</f>
        <v>4</v>
      </c>
      <c r="D12" s="15" t="s">
        <v>359</v>
      </c>
      <c r="E12" s="15" t="s">
        <v>568</v>
      </c>
      <c r="F12" s="15" t="s">
        <v>462</v>
      </c>
      <c r="G12" s="98">
        <v>528</v>
      </c>
      <c r="H12" s="117">
        <f>Glas!G6</f>
        <v>0</v>
      </c>
      <c r="I12" s="113"/>
      <c r="J12" s="117">
        <f>Glas!I6</f>
        <v>0</v>
      </c>
      <c r="K12" s="32">
        <f>IF(ISBLANK(G12),0,G12)*ROUND(J12,2)</f>
        <v>0</v>
      </c>
      <c r="L12" s="32">
        <f>C12*K12</f>
        <v>0</v>
      </c>
      <c r="M12" s="32">
        <f>L12/12</f>
        <v>0</v>
      </c>
    </row>
    <row r="13" spans="1:13" x14ac:dyDescent="0.2">
      <c r="A13" s="20" t="s">
        <v>569</v>
      </c>
      <c r="B13" s="20" t="s">
        <v>17</v>
      </c>
      <c r="C13" s="21">
        <f>IF(ISBLANK(B13),0,IF(ISERROR(VALUE(B13)),VLOOKUP(B13,dagsoorttabel1,2,FALSE)*dagenperjaar1,VALUE(B13)))</f>
        <v>4</v>
      </c>
      <c r="D13" s="20" t="s">
        <v>359</v>
      </c>
      <c r="E13" s="20" t="s">
        <v>570</v>
      </c>
      <c r="F13" s="20" t="s">
        <v>462</v>
      </c>
      <c r="G13" s="114">
        <v>528</v>
      </c>
      <c r="H13" s="118">
        <f>Glas!G7</f>
        <v>0</v>
      </c>
      <c r="I13" s="115"/>
      <c r="J13" s="118">
        <f>Glas!I7</f>
        <v>0</v>
      </c>
      <c r="K13" s="35">
        <f>IF(ISBLANK(G13),0,G13)*ROUND(J13,2)</f>
        <v>0</v>
      </c>
      <c r="L13" s="35">
        <f>C13*K13</f>
        <v>0</v>
      </c>
      <c r="M13" s="35">
        <f>L13/12</f>
        <v>0</v>
      </c>
    </row>
    <row r="14" spans="1:13" x14ac:dyDescent="0.2">
      <c r="A14" s="25" t="s">
        <v>571</v>
      </c>
      <c r="B14" s="25" t="s">
        <v>17</v>
      </c>
      <c r="C14" s="26">
        <f>IF(ISBLANK(B14),0,IF(ISERROR(VALUE(B14)),VLOOKUP(B14,dagsoorttabel1,2,FALSE)*dagenperjaar1,VALUE(B14)))</f>
        <v>4</v>
      </c>
      <c r="D14" s="25" t="s">
        <v>359</v>
      </c>
      <c r="E14" s="25" t="s">
        <v>572</v>
      </c>
      <c r="F14" s="25" t="s">
        <v>462</v>
      </c>
      <c r="G14" s="100">
        <v>359</v>
      </c>
      <c r="H14" s="119">
        <f>Glas!G8</f>
        <v>0</v>
      </c>
      <c r="I14" s="116"/>
      <c r="J14" s="119">
        <f>Glas!I8</f>
        <v>0</v>
      </c>
      <c r="K14" s="38">
        <f>IF(ISBLANK(G14),0,G14)*ROUND(J14,2)</f>
        <v>0</v>
      </c>
      <c r="L14" s="38">
        <f>C14*K14</f>
        <v>0</v>
      </c>
      <c r="M14" s="38">
        <f>L14/12</f>
        <v>0</v>
      </c>
    </row>
    <row r="15" spans="1:13" x14ac:dyDescent="0.2">
      <c r="A15" s="97" t="s">
        <v>398</v>
      </c>
      <c r="B15" s="41"/>
      <c r="C15" s="41"/>
      <c r="D15" s="41"/>
      <c r="E15" s="41"/>
      <c r="F15" s="41"/>
      <c r="G15" s="41"/>
      <c r="H15" s="41"/>
      <c r="I15" s="41"/>
      <c r="J15" s="41"/>
      <c r="K15" s="43">
        <f>SUM(K12:K14)</f>
        <v>0</v>
      </c>
      <c r="L15" s="43">
        <f>SUM(L12:L14)</f>
        <v>0</v>
      </c>
      <c r="M15" s="112">
        <f>L15/12</f>
        <v>0</v>
      </c>
    </row>
    <row r="17" spans="1:13" x14ac:dyDescent="0.2">
      <c r="A17" s="103" t="s">
        <v>339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104"/>
    </row>
    <row r="18" spans="1:13" x14ac:dyDescent="0.2">
      <c r="A18" s="15" t="s">
        <v>567</v>
      </c>
      <c r="B18" s="15" t="s">
        <v>17</v>
      </c>
      <c r="C18" s="16">
        <f>IF(ISBLANK(B18),0,IF(ISERROR(VALUE(B18)),VLOOKUP(B18,dagsoorttabel1,2,FALSE)*dagenperjaar1,VALUE(B18)))</f>
        <v>4</v>
      </c>
      <c r="D18" s="15" t="s">
        <v>359</v>
      </c>
      <c r="E18" s="15" t="s">
        <v>568</v>
      </c>
      <c r="F18" s="15" t="s">
        <v>462</v>
      </c>
      <c r="G18" s="98">
        <v>89</v>
      </c>
      <c r="H18" s="117">
        <f>Glas!G6</f>
        <v>0</v>
      </c>
      <c r="I18" s="113"/>
      <c r="J18" s="117">
        <f>Glas!I6</f>
        <v>0</v>
      </c>
      <c r="K18" s="32">
        <f>IF(ISBLANK(G18),0,G18)*ROUND(J18,2)</f>
        <v>0</v>
      </c>
      <c r="L18" s="32">
        <f>C18*K18</f>
        <v>0</v>
      </c>
      <c r="M18" s="32">
        <f>L18/12</f>
        <v>0</v>
      </c>
    </row>
    <row r="19" spans="1:13" x14ac:dyDescent="0.2">
      <c r="A19" s="20" t="s">
        <v>569</v>
      </c>
      <c r="B19" s="20" t="s">
        <v>17</v>
      </c>
      <c r="C19" s="21">
        <f>IF(ISBLANK(B19),0,IF(ISERROR(VALUE(B19)),VLOOKUP(B19,dagsoorttabel1,2,FALSE)*dagenperjaar1,VALUE(B19)))</f>
        <v>4</v>
      </c>
      <c r="D19" s="20" t="s">
        <v>359</v>
      </c>
      <c r="E19" s="20" t="s">
        <v>570</v>
      </c>
      <c r="F19" s="20" t="s">
        <v>462</v>
      </c>
      <c r="G19" s="114">
        <v>89</v>
      </c>
      <c r="H19" s="118">
        <f>Glas!G7</f>
        <v>0</v>
      </c>
      <c r="I19" s="115"/>
      <c r="J19" s="118">
        <f>Glas!I7</f>
        <v>0</v>
      </c>
      <c r="K19" s="35">
        <f>IF(ISBLANK(G19),0,G19)*ROUND(J19,2)</f>
        <v>0</v>
      </c>
      <c r="L19" s="35">
        <f>C19*K19</f>
        <v>0</v>
      </c>
      <c r="M19" s="35">
        <f>L19/12</f>
        <v>0</v>
      </c>
    </row>
    <row r="20" spans="1:13" x14ac:dyDescent="0.2">
      <c r="A20" s="25" t="s">
        <v>571</v>
      </c>
      <c r="B20" s="25" t="s">
        <v>17</v>
      </c>
      <c r="C20" s="26">
        <f>IF(ISBLANK(B20),0,IF(ISERROR(VALUE(B20)),VLOOKUP(B20,dagsoorttabel1,2,FALSE)*dagenperjaar1,VALUE(B20)))</f>
        <v>4</v>
      </c>
      <c r="D20" s="25" t="s">
        <v>359</v>
      </c>
      <c r="E20" s="25" t="s">
        <v>572</v>
      </c>
      <c r="F20" s="25" t="s">
        <v>462</v>
      </c>
      <c r="G20" s="100">
        <v>50</v>
      </c>
      <c r="H20" s="119">
        <f>Glas!G8</f>
        <v>0</v>
      </c>
      <c r="I20" s="116"/>
      <c r="J20" s="119">
        <f>Glas!I8</f>
        <v>0</v>
      </c>
      <c r="K20" s="38">
        <f>IF(ISBLANK(G20),0,G20)*ROUND(J20,2)</f>
        <v>0</v>
      </c>
      <c r="L20" s="38">
        <f>C20*K20</f>
        <v>0</v>
      </c>
      <c r="M20" s="38">
        <f>L20/12</f>
        <v>0</v>
      </c>
    </row>
    <row r="21" spans="1:13" x14ac:dyDescent="0.2">
      <c r="A21" s="97" t="s">
        <v>400</v>
      </c>
      <c r="B21" s="41"/>
      <c r="C21" s="41"/>
      <c r="D21" s="41"/>
      <c r="E21" s="41"/>
      <c r="F21" s="41"/>
      <c r="G21" s="41"/>
      <c r="H21" s="41"/>
      <c r="I21" s="41"/>
      <c r="J21" s="41"/>
      <c r="K21" s="43">
        <f>SUM(K18:K20)</f>
        <v>0</v>
      </c>
      <c r="L21" s="43">
        <f>SUM(L18:L20)</f>
        <v>0</v>
      </c>
      <c r="M21" s="112">
        <f>L21/12</f>
        <v>0</v>
      </c>
    </row>
  </sheetData>
  <sheetProtection algorithmName="SHA-512" hashValue="Geo5vVE7cJqGWStsDVqAL4TNBWDpodrP1/eLyexuFcaouD8Fgn8L/BmMgOLpL51CTfP4IVzTO10TpMv282lLMQ==" saltValue="YIiEg9MZJ3WdeoxC5ZRYoA==" spinCount="100000" sheet="1" objects="1" scenarios="1" autoFilter="0"/>
  <pageMargins left="0.7" right="0.7" top="0.75" bottom="0.75" header="0.3" footer="0.3"/>
  <pageSetup scale="65" orientation="landscape" r:id="rId1"/>
  <headerFooter>
    <oddFooter>&amp;LGGD Noord- en Oost Gelderland                               &amp;ROpmaakdatum: 19-08-2024
Intexso - Plantageweg 23E - Leusden
+31 (33) 2778485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30750-D1BD-4CF7-9EE4-1F6DA1E8FB90}">
  <dimension ref="A1:E19"/>
  <sheetViews>
    <sheetView zoomScale="110" zoomScaleNormal="110" workbookViewId="0">
      <selection activeCell="M22" sqref="M22"/>
    </sheetView>
  </sheetViews>
  <sheetFormatPr defaultRowHeight="12.75" x14ac:dyDescent="0.2"/>
  <cols>
    <col min="1" max="1" width="30.625" customWidth="1"/>
    <col min="2" max="5" width="20.625" customWidth="1"/>
  </cols>
  <sheetData>
    <row r="1" spans="1:5" x14ac:dyDescent="0.2">
      <c r="A1" s="1" t="str">
        <f>CONCATENATE("Bijlage D.13: ",tabeltype," totaalblad schoonmaakwerk")</f>
        <v>Bijlage D.13: Invultabel totaalblad schoonmaakwerk</v>
      </c>
    </row>
    <row r="3" spans="1:5" ht="25.5" x14ac:dyDescent="0.2">
      <c r="A3" s="8" t="s">
        <v>574</v>
      </c>
      <c r="B3" s="8" t="s">
        <v>575</v>
      </c>
      <c r="C3" s="8" t="s">
        <v>576</v>
      </c>
      <c r="D3" s="8" t="s">
        <v>577</v>
      </c>
      <c r="E3" s="8" t="s">
        <v>578</v>
      </c>
    </row>
    <row r="4" spans="1:5" x14ac:dyDescent="0.2">
      <c r="A4" s="120" t="s">
        <v>579</v>
      </c>
      <c r="B4" s="30">
        <f>urenjaartotaaloverzicht</f>
        <v>0</v>
      </c>
      <c r="C4" s="89"/>
      <c r="D4" s="32">
        <f>prijsjaartotaaloverzicht</f>
        <v>0</v>
      </c>
      <c r="E4" s="32">
        <f>D4*1.21</f>
        <v>0</v>
      </c>
    </row>
    <row r="5" spans="1:5" x14ac:dyDescent="0.2">
      <c r="A5" s="121" t="s">
        <v>580</v>
      </c>
      <c r="B5" s="92"/>
      <c r="C5" s="33">
        <f>urenjaarnietmeewerkend</f>
        <v>0</v>
      </c>
      <c r="D5" s="35">
        <f>prijsjaarnietmeewerkend</f>
        <v>0</v>
      </c>
      <c r="E5" s="35">
        <f>D5*1.21</f>
        <v>0</v>
      </c>
    </row>
    <row r="6" spans="1:5" x14ac:dyDescent="0.2">
      <c r="A6" s="121" t="s">
        <v>581</v>
      </c>
      <c r="B6" s="33">
        <f>urenjaaradditioneel</f>
        <v>0</v>
      </c>
      <c r="C6" s="92"/>
      <c r="D6" s="35">
        <f>prijsjaaradditioneel</f>
        <v>0</v>
      </c>
      <c r="E6" s="35">
        <f>D6*1.21</f>
        <v>0</v>
      </c>
    </row>
    <row r="7" spans="1:5" ht="25.5" x14ac:dyDescent="0.2">
      <c r="A7" s="121" t="s">
        <v>582</v>
      </c>
      <c r="B7" s="33">
        <f>urenjaarafroep</f>
        <v>0</v>
      </c>
      <c r="C7" s="92"/>
      <c r="D7" s="35">
        <f>prijsjaarafroep</f>
        <v>0</v>
      </c>
      <c r="E7" s="35">
        <f>D7*1.21</f>
        <v>0</v>
      </c>
    </row>
    <row r="8" spans="1:5" x14ac:dyDescent="0.2">
      <c r="A8" s="122" t="s">
        <v>583</v>
      </c>
      <c r="B8" s="36">
        <f>urenjaarglas</f>
        <v>0</v>
      </c>
      <c r="C8" s="123"/>
      <c r="D8" s="38">
        <f>prijsjaarglas</f>
        <v>0</v>
      </c>
      <c r="E8" s="38">
        <f>D8*1.21</f>
        <v>0</v>
      </c>
    </row>
    <row r="10" spans="1:5" x14ac:dyDescent="0.2">
      <c r="A10" s="8" t="s">
        <v>584</v>
      </c>
      <c r="B10" s="42">
        <f>SUM(B4:B8)</f>
        <v>0</v>
      </c>
      <c r="C10" s="42">
        <f>SUM(C4:C8)</f>
        <v>0</v>
      </c>
      <c r="D10" s="43">
        <f>SUM(D4:D8)</f>
        <v>0</v>
      </c>
      <c r="E10" s="43">
        <f>D10*1.21</f>
        <v>0</v>
      </c>
    </row>
    <row r="12" spans="1:5" x14ac:dyDescent="0.2">
      <c r="A12" s="8" t="s">
        <v>585</v>
      </c>
      <c r="B12" s="124">
        <f>IF(B10&gt;0,C10/B10,0)</f>
        <v>0</v>
      </c>
    </row>
    <row r="17" spans="1:5" ht="15" x14ac:dyDescent="0.25">
      <c r="A17" s="158" t="s">
        <v>600</v>
      </c>
      <c r="B17" s="159"/>
      <c r="C17" s="159"/>
      <c r="D17" s="159"/>
      <c r="E17" s="160">
        <f>D4+D5</f>
        <v>0</v>
      </c>
    </row>
    <row r="18" spans="1:5" ht="15" x14ac:dyDescent="0.25">
      <c r="A18" s="159"/>
      <c r="B18" s="159"/>
      <c r="C18" s="159"/>
      <c r="D18" s="159"/>
      <c r="E18" s="159"/>
    </row>
    <row r="19" spans="1:5" ht="15" x14ac:dyDescent="0.25">
      <c r="A19" s="158" t="s">
        <v>599</v>
      </c>
      <c r="B19" s="159"/>
      <c r="C19" s="159"/>
      <c r="D19" s="159"/>
      <c r="E19" s="160">
        <f>D6+D7+D8</f>
        <v>0</v>
      </c>
    </row>
  </sheetData>
  <sheetProtection algorithmName="SHA-512" hashValue="uoU5CAHDGjrzJjABN9tYZNdjafZfR8JQ6VvYDtZLmZ0I4Bc+/dtIT9n1H7uW5I9JRroo9c59BOXzd12alwoKPA==" saltValue="PYHc5VUjhBI8UvD5FQ9qjA==" spinCount="100000" sheet="1" objects="1" scenarios="1" autoFilter="0"/>
  <pageMargins left="0.7" right="0.7" top="0.75" bottom="0.75" header="0.3" footer="0.3"/>
  <pageSetup scale="70" orientation="landscape" r:id="rId1"/>
  <headerFooter>
    <oddFooter>&amp;LGGD Noord- en Oost Gelderland                               &amp;ROpmaakdatum: 19-08-2024
Intexso - Plantageweg 23E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BAA8A-73E3-4756-8BF2-80F77D4AEA12}">
  <dimension ref="A1:B24"/>
  <sheetViews>
    <sheetView workbookViewId="0"/>
  </sheetViews>
  <sheetFormatPr defaultRowHeight="12.75" x14ac:dyDescent="0.2"/>
  <sheetData>
    <row r="1" spans="1:2" x14ac:dyDescent="0.2">
      <c r="A1" s="1" t="s">
        <v>0</v>
      </c>
    </row>
    <row r="3" spans="1:2" x14ac:dyDescent="0.2">
      <c r="A3" t="s">
        <v>1</v>
      </c>
    </row>
    <row r="5" spans="1:2" x14ac:dyDescent="0.2">
      <c r="A5" t="s">
        <v>2</v>
      </c>
      <c r="B5" t="s">
        <v>3</v>
      </c>
    </row>
    <row r="7" spans="1:2" x14ac:dyDescent="0.2">
      <c r="A7" s="4" t="s">
        <v>4</v>
      </c>
      <c r="B7" s="5"/>
    </row>
    <row r="8" spans="1:2" x14ac:dyDescent="0.2">
      <c r="A8" s="2"/>
      <c r="B8" s="3"/>
    </row>
    <row r="9" spans="1:2" x14ac:dyDescent="0.2">
      <c r="A9" s="2" t="s">
        <v>5</v>
      </c>
      <c r="B9" s="3">
        <v>260</v>
      </c>
    </row>
    <row r="10" spans="1:2" x14ac:dyDescent="0.2">
      <c r="A10" s="2" t="s">
        <v>6</v>
      </c>
      <c r="B10" s="3">
        <v>5</v>
      </c>
    </row>
    <row r="11" spans="1:2" x14ac:dyDescent="0.2">
      <c r="A11" s="2"/>
      <c r="B11" s="3"/>
    </row>
    <row r="12" spans="1:2" x14ac:dyDescent="0.2">
      <c r="A12" s="2" t="s">
        <v>7</v>
      </c>
      <c r="B12" s="3" t="s">
        <v>8</v>
      </c>
    </row>
    <row r="13" spans="1:2" x14ac:dyDescent="0.2">
      <c r="A13" s="2" t="s">
        <v>9</v>
      </c>
      <c r="B13" s="3">
        <f t="shared" ref="B13:B24" si="0">IF(A13="2½W",2.5/dagenperweek1,IF(RIGHT(A13,1)="W",VALUE(LEFT(A13,LEN(A13)-1))/dagenperweek1,IF(RIGHT(A13,1)="J",VALUE(LEFT(A13,LEN(A13)-1))/dagenperjaar1,"handmatig!")))</f>
        <v>1</v>
      </c>
    </row>
    <row r="14" spans="1:2" x14ac:dyDescent="0.2">
      <c r="A14" s="2" t="s">
        <v>10</v>
      </c>
      <c r="B14" s="3">
        <f t="shared" si="0"/>
        <v>0.8</v>
      </c>
    </row>
    <row r="15" spans="1:2" x14ac:dyDescent="0.2">
      <c r="A15" s="2" t="s">
        <v>11</v>
      </c>
      <c r="B15" s="3">
        <f t="shared" si="0"/>
        <v>0.6</v>
      </c>
    </row>
    <row r="16" spans="1:2" x14ac:dyDescent="0.2">
      <c r="A16" s="2" t="s">
        <v>12</v>
      </c>
      <c r="B16" s="3">
        <f t="shared" si="0"/>
        <v>0.4</v>
      </c>
    </row>
    <row r="17" spans="1:2" x14ac:dyDescent="0.2">
      <c r="A17" s="2" t="s">
        <v>13</v>
      </c>
      <c r="B17" s="3">
        <f t="shared" si="0"/>
        <v>0.2</v>
      </c>
    </row>
    <row r="18" spans="1:2" x14ac:dyDescent="0.2">
      <c r="A18" s="2" t="s">
        <v>14</v>
      </c>
      <c r="B18" s="3">
        <f t="shared" si="0"/>
        <v>0.1</v>
      </c>
    </row>
    <row r="19" spans="1:2" x14ac:dyDescent="0.2">
      <c r="A19" s="2" t="s">
        <v>15</v>
      </c>
      <c r="B19" s="3">
        <f t="shared" si="0"/>
        <v>4.6153846153846156E-2</v>
      </c>
    </row>
    <row r="20" spans="1:2" x14ac:dyDescent="0.2">
      <c r="A20" s="2" t="s">
        <v>16</v>
      </c>
      <c r="B20" s="3">
        <f t="shared" si="0"/>
        <v>2.3076923076923078E-2</v>
      </c>
    </row>
    <row r="21" spans="1:2" x14ac:dyDescent="0.2">
      <c r="A21" s="2" t="s">
        <v>17</v>
      </c>
      <c r="B21" s="3">
        <f t="shared" si="0"/>
        <v>1.5384615384615385E-2</v>
      </c>
    </row>
    <row r="22" spans="1:2" x14ac:dyDescent="0.2">
      <c r="A22" s="2" t="s">
        <v>18</v>
      </c>
      <c r="B22" s="3">
        <f t="shared" si="0"/>
        <v>1.1538461538461539E-2</v>
      </c>
    </row>
    <row r="23" spans="1:2" x14ac:dyDescent="0.2">
      <c r="A23" s="2" t="s">
        <v>19</v>
      </c>
      <c r="B23" s="3">
        <f t="shared" si="0"/>
        <v>7.6923076923076927E-3</v>
      </c>
    </row>
    <row r="24" spans="1:2" x14ac:dyDescent="0.2">
      <c r="A24" s="6" t="s">
        <v>20</v>
      </c>
      <c r="B24" s="7">
        <f t="shared" si="0"/>
        <v>3.8461538461538464E-3</v>
      </c>
    </row>
  </sheetData>
  <sheetProtection algorithmName="SHA-512" hashValue="ySBywYZWEu6b31PHUfX2LO9FcZfWxW4LmWgfHxPujKeTcLlZPETyV2T7KVg/4quG4p42DUPZ4xTPfUuQZnl7QA==" saltValue="rFQN+zsrwUf2FcIe/8ov9A==" spinCount="100000" sheet="1" objects="1" scenarios="1" autoFilter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9CF95-87F3-4AE0-9771-1FA338A11422}">
  <dimension ref="A1:H39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4.625" customWidth="1"/>
    <col min="4" max="4" width="50.625" customWidth="1"/>
    <col min="5" max="6" width="11.625" customWidth="1"/>
    <col min="7" max="7" width="9.625" customWidth="1"/>
    <col min="8" max="8" width="11.625" customWidth="1"/>
  </cols>
  <sheetData>
    <row r="1" spans="1:8" x14ac:dyDescent="0.2">
      <c r="A1" s="1" t="str">
        <f>CONCATENATE("Bijlage D.1: ",tabeltype," categorienormen")</f>
        <v>Bijlage D.1: Invultabel categorienormen</v>
      </c>
    </row>
    <row r="3" spans="1:8" ht="38.25" x14ac:dyDescent="0.2">
      <c r="A3" s="8" t="s">
        <v>21</v>
      </c>
      <c r="B3" s="8" t="s">
        <v>22</v>
      </c>
      <c r="C3" s="8" t="s">
        <v>23</v>
      </c>
      <c r="D3" s="8" t="s">
        <v>24</v>
      </c>
      <c r="E3" s="8" t="s">
        <v>25</v>
      </c>
      <c r="F3" s="8" t="s">
        <v>26</v>
      </c>
      <c r="G3" s="8" t="s">
        <v>27</v>
      </c>
      <c r="H3" s="8" t="s">
        <v>28</v>
      </c>
    </row>
    <row r="4" spans="1:8" x14ac:dyDescent="0.2">
      <c r="A4" s="9"/>
      <c r="B4" s="10"/>
      <c r="C4" s="10"/>
      <c r="D4" s="10"/>
      <c r="E4" s="10"/>
      <c r="F4" s="10"/>
      <c r="G4" s="10"/>
      <c r="H4" s="11"/>
    </row>
    <row r="5" spans="1:8" x14ac:dyDescent="0.2">
      <c r="A5" s="12" t="s">
        <v>29</v>
      </c>
      <c r="B5" s="13"/>
      <c r="C5" s="13"/>
      <c r="D5" s="13"/>
      <c r="E5" s="13"/>
      <c r="F5" s="13"/>
      <c r="G5" s="13"/>
      <c r="H5" s="14"/>
    </row>
    <row r="6" spans="1:8" x14ac:dyDescent="0.2">
      <c r="A6" s="15" t="s">
        <v>30</v>
      </c>
      <c r="B6" s="16" t="s">
        <v>31</v>
      </c>
      <c r="C6" s="15">
        <v>1</v>
      </c>
      <c r="D6" s="15" t="s">
        <v>32</v>
      </c>
      <c r="E6" s="17"/>
      <c r="F6" s="18"/>
      <c r="G6" s="15" t="s">
        <v>33</v>
      </c>
      <c r="H6" s="19"/>
    </row>
    <row r="7" spans="1:8" x14ac:dyDescent="0.2">
      <c r="A7" s="20" t="s">
        <v>34</v>
      </c>
      <c r="B7" s="21" t="s">
        <v>31</v>
      </c>
      <c r="C7" s="20">
        <v>51</v>
      </c>
      <c r="D7" s="20" t="s">
        <v>35</v>
      </c>
      <c r="E7" s="22"/>
      <c r="F7" s="23"/>
      <c r="G7" s="20" t="s">
        <v>33</v>
      </c>
      <c r="H7" s="24"/>
    </row>
    <row r="8" spans="1:8" x14ac:dyDescent="0.2">
      <c r="A8" s="20" t="s">
        <v>36</v>
      </c>
      <c r="B8" s="21" t="s">
        <v>31</v>
      </c>
      <c r="C8" s="20">
        <v>1</v>
      </c>
      <c r="D8" s="20" t="s">
        <v>37</v>
      </c>
      <c r="E8" s="22"/>
      <c r="F8" s="23"/>
      <c r="G8" s="20" t="s">
        <v>33</v>
      </c>
      <c r="H8" s="24"/>
    </row>
    <row r="9" spans="1:8" x14ac:dyDescent="0.2">
      <c r="A9" s="20" t="s">
        <v>38</v>
      </c>
      <c r="B9" s="21" t="s">
        <v>31</v>
      </c>
      <c r="C9" s="20">
        <v>51</v>
      </c>
      <c r="D9" s="20" t="s">
        <v>39</v>
      </c>
      <c r="E9" s="22"/>
      <c r="F9" s="23"/>
      <c r="G9" s="20" t="s">
        <v>33</v>
      </c>
      <c r="H9" s="24"/>
    </row>
    <row r="10" spans="1:8" x14ac:dyDescent="0.2">
      <c r="A10" s="20" t="s">
        <v>40</v>
      </c>
      <c r="B10" s="21" t="s">
        <v>31</v>
      </c>
      <c r="C10" s="20">
        <v>1</v>
      </c>
      <c r="D10" s="20" t="s">
        <v>41</v>
      </c>
      <c r="E10" s="22"/>
      <c r="F10" s="23"/>
      <c r="G10" s="20" t="s">
        <v>33</v>
      </c>
      <c r="H10" s="24"/>
    </row>
    <row r="11" spans="1:8" x14ac:dyDescent="0.2">
      <c r="A11" s="20" t="s">
        <v>42</v>
      </c>
      <c r="B11" s="21" t="s">
        <v>31</v>
      </c>
      <c r="C11" s="20">
        <v>51</v>
      </c>
      <c r="D11" s="20" t="s">
        <v>43</v>
      </c>
      <c r="E11" s="22"/>
      <c r="F11" s="23"/>
      <c r="G11" s="20" t="s">
        <v>33</v>
      </c>
      <c r="H11" s="24"/>
    </row>
    <row r="12" spans="1:8" x14ac:dyDescent="0.2">
      <c r="A12" s="20" t="s">
        <v>44</v>
      </c>
      <c r="B12" s="21" t="s">
        <v>31</v>
      </c>
      <c r="C12" s="20">
        <v>1</v>
      </c>
      <c r="D12" s="20" t="s">
        <v>45</v>
      </c>
      <c r="E12" s="22"/>
      <c r="F12" s="23"/>
      <c r="G12" s="20" t="s">
        <v>33</v>
      </c>
      <c r="H12" s="24"/>
    </row>
    <row r="13" spans="1:8" x14ac:dyDescent="0.2">
      <c r="A13" s="20" t="s">
        <v>46</v>
      </c>
      <c r="B13" s="21" t="s">
        <v>31</v>
      </c>
      <c r="C13" s="20">
        <v>51</v>
      </c>
      <c r="D13" s="20" t="s">
        <v>47</v>
      </c>
      <c r="E13" s="22"/>
      <c r="F13" s="23"/>
      <c r="G13" s="20" t="s">
        <v>33</v>
      </c>
      <c r="H13" s="24"/>
    </row>
    <row r="14" spans="1:8" x14ac:dyDescent="0.2">
      <c r="A14" s="20" t="s">
        <v>48</v>
      </c>
      <c r="B14" s="21" t="s">
        <v>31</v>
      </c>
      <c r="C14" s="20">
        <v>1</v>
      </c>
      <c r="D14" s="20" t="s">
        <v>49</v>
      </c>
      <c r="E14" s="22"/>
      <c r="F14" s="23"/>
      <c r="G14" s="20" t="s">
        <v>33</v>
      </c>
      <c r="H14" s="24"/>
    </row>
    <row r="15" spans="1:8" x14ac:dyDescent="0.2">
      <c r="A15" s="20" t="s">
        <v>50</v>
      </c>
      <c r="B15" s="21" t="s">
        <v>31</v>
      </c>
      <c r="C15" s="20">
        <v>51</v>
      </c>
      <c r="D15" s="20" t="s">
        <v>51</v>
      </c>
      <c r="E15" s="22"/>
      <c r="F15" s="23"/>
      <c r="G15" s="20" t="s">
        <v>33</v>
      </c>
      <c r="H15" s="24"/>
    </row>
    <row r="16" spans="1:8" x14ac:dyDescent="0.2">
      <c r="A16" s="20" t="s">
        <v>52</v>
      </c>
      <c r="B16" s="21" t="s">
        <v>53</v>
      </c>
      <c r="C16" s="20">
        <v>1</v>
      </c>
      <c r="D16" s="20" t="s">
        <v>54</v>
      </c>
      <c r="E16" s="22"/>
      <c r="F16" s="23"/>
      <c r="G16" s="20" t="s">
        <v>33</v>
      </c>
      <c r="H16" s="24"/>
    </row>
    <row r="17" spans="1:8" x14ac:dyDescent="0.2">
      <c r="A17" s="20" t="s">
        <v>55</v>
      </c>
      <c r="B17" s="21" t="s">
        <v>53</v>
      </c>
      <c r="C17" s="20">
        <v>51</v>
      </c>
      <c r="D17" s="20" t="s">
        <v>56</v>
      </c>
      <c r="E17" s="22"/>
      <c r="F17" s="23"/>
      <c r="G17" s="20" t="s">
        <v>33</v>
      </c>
      <c r="H17" s="24"/>
    </row>
    <row r="18" spans="1:8" x14ac:dyDescent="0.2">
      <c r="A18" s="20" t="s">
        <v>57</v>
      </c>
      <c r="B18" s="21" t="s">
        <v>53</v>
      </c>
      <c r="C18" s="20">
        <v>1</v>
      </c>
      <c r="D18" s="20" t="s">
        <v>58</v>
      </c>
      <c r="E18" s="22"/>
      <c r="F18" s="23"/>
      <c r="G18" s="20" t="s">
        <v>33</v>
      </c>
      <c r="H18" s="24"/>
    </row>
    <row r="19" spans="1:8" x14ac:dyDescent="0.2">
      <c r="A19" s="20" t="s">
        <v>59</v>
      </c>
      <c r="B19" s="21" t="s">
        <v>53</v>
      </c>
      <c r="C19" s="20">
        <v>51</v>
      </c>
      <c r="D19" s="20" t="s">
        <v>60</v>
      </c>
      <c r="E19" s="22"/>
      <c r="F19" s="23"/>
      <c r="G19" s="20" t="s">
        <v>33</v>
      </c>
      <c r="H19" s="24"/>
    </row>
    <row r="20" spans="1:8" x14ac:dyDescent="0.2">
      <c r="A20" s="20" t="s">
        <v>61</v>
      </c>
      <c r="B20" s="21" t="s">
        <v>62</v>
      </c>
      <c r="C20" s="20">
        <v>1</v>
      </c>
      <c r="D20" s="20" t="s">
        <v>63</v>
      </c>
      <c r="E20" s="22"/>
      <c r="F20" s="23"/>
      <c r="G20" s="20" t="s">
        <v>33</v>
      </c>
      <c r="H20" s="24"/>
    </row>
    <row r="21" spans="1:8" x14ac:dyDescent="0.2">
      <c r="A21" s="20" t="s">
        <v>64</v>
      </c>
      <c r="B21" s="21" t="s">
        <v>62</v>
      </c>
      <c r="C21" s="20">
        <v>12</v>
      </c>
      <c r="D21" s="20" t="s">
        <v>65</v>
      </c>
      <c r="E21" s="22"/>
      <c r="F21" s="23"/>
      <c r="G21" s="20" t="s">
        <v>33</v>
      </c>
      <c r="H21" s="24"/>
    </row>
    <row r="22" spans="1:8" x14ac:dyDescent="0.2">
      <c r="A22" s="20" t="s">
        <v>66</v>
      </c>
      <c r="B22" s="21" t="s">
        <v>62</v>
      </c>
      <c r="C22" s="20">
        <v>1</v>
      </c>
      <c r="D22" s="20" t="s">
        <v>67</v>
      </c>
      <c r="E22" s="22"/>
      <c r="F22" s="23"/>
      <c r="G22" s="20" t="s">
        <v>33</v>
      </c>
      <c r="H22" s="24"/>
    </row>
    <row r="23" spans="1:8" x14ac:dyDescent="0.2">
      <c r="A23" s="20" t="s">
        <v>68</v>
      </c>
      <c r="B23" s="21" t="s">
        <v>62</v>
      </c>
      <c r="C23" s="20">
        <v>51</v>
      </c>
      <c r="D23" s="20" t="s">
        <v>69</v>
      </c>
      <c r="E23" s="22"/>
      <c r="F23" s="23"/>
      <c r="G23" s="20" t="s">
        <v>33</v>
      </c>
      <c r="H23" s="24"/>
    </row>
    <row r="24" spans="1:8" x14ac:dyDescent="0.2">
      <c r="A24" s="20" t="s">
        <v>70</v>
      </c>
      <c r="B24" s="21" t="s">
        <v>62</v>
      </c>
      <c r="C24" s="20">
        <v>1</v>
      </c>
      <c r="D24" s="20" t="s">
        <v>71</v>
      </c>
      <c r="E24" s="22"/>
      <c r="F24" s="23"/>
      <c r="G24" s="20" t="s">
        <v>33</v>
      </c>
      <c r="H24" s="24"/>
    </row>
    <row r="25" spans="1:8" x14ac:dyDescent="0.2">
      <c r="A25" s="20" t="s">
        <v>72</v>
      </c>
      <c r="B25" s="21" t="s">
        <v>62</v>
      </c>
      <c r="C25" s="20">
        <v>51</v>
      </c>
      <c r="D25" s="20" t="s">
        <v>73</v>
      </c>
      <c r="E25" s="22"/>
      <c r="F25" s="23"/>
      <c r="G25" s="20" t="s">
        <v>33</v>
      </c>
      <c r="H25" s="24"/>
    </row>
    <row r="26" spans="1:8" x14ac:dyDescent="0.2">
      <c r="A26" s="20" t="s">
        <v>74</v>
      </c>
      <c r="B26" s="21" t="s">
        <v>62</v>
      </c>
      <c r="C26" s="20">
        <v>1</v>
      </c>
      <c r="D26" s="20" t="s">
        <v>75</v>
      </c>
      <c r="E26" s="22"/>
      <c r="F26" s="23"/>
      <c r="G26" s="20" t="s">
        <v>33</v>
      </c>
      <c r="H26" s="24"/>
    </row>
    <row r="27" spans="1:8" x14ac:dyDescent="0.2">
      <c r="A27" s="20" t="s">
        <v>76</v>
      </c>
      <c r="B27" s="21" t="s">
        <v>62</v>
      </c>
      <c r="C27" s="20">
        <v>51</v>
      </c>
      <c r="D27" s="20" t="s">
        <v>77</v>
      </c>
      <c r="E27" s="22"/>
      <c r="F27" s="23"/>
      <c r="G27" s="20" t="s">
        <v>33</v>
      </c>
      <c r="H27" s="24"/>
    </row>
    <row r="28" spans="1:8" x14ac:dyDescent="0.2">
      <c r="A28" s="20" t="s">
        <v>78</v>
      </c>
      <c r="B28" s="21" t="s">
        <v>62</v>
      </c>
      <c r="C28" s="20">
        <v>1</v>
      </c>
      <c r="D28" s="20" t="s">
        <v>79</v>
      </c>
      <c r="E28" s="22"/>
      <c r="F28" s="23"/>
      <c r="G28" s="20" t="s">
        <v>33</v>
      </c>
      <c r="H28" s="24"/>
    </row>
    <row r="29" spans="1:8" x14ac:dyDescent="0.2">
      <c r="A29" s="20" t="s">
        <v>80</v>
      </c>
      <c r="B29" s="21" t="s">
        <v>62</v>
      </c>
      <c r="C29" s="20">
        <v>51</v>
      </c>
      <c r="D29" s="20" t="s">
        <v>81</v>
      </c>
      <c r="E29" s="22"/>
      <c r="F29" s="23"/>
      <c r="G29" s="20" t="s">
        <v>33</v>
      </c>
      <c r="H29" s="24"/>
    </row>
    <row r="30" spans="1:8" x14ac:dyDescent="0.2">
      <c r="A30" s="20" t="s">
        <v>82</v>
      </c>
      <c r="B30" s="21" t="s">
        <v>62</v>
      </c>
      <c r="C30" s="20">
        <v>1</v>
      </c>
      <c r="D30" s="20" t="s">
        <v>83</v>
      </c>
      <c r="E30" s="22"/>
      <c r="F30" s="23"/>
      <c r="G30" s="20" t="s">
        <v>33</v>
      </c>
      <c r="H30" s="24"/>
    </row>
    <row r="31" spans="1:8" x14ac:dyDescent="0.2">
      <c r="A31" s="20" t="s">
        <v>84</v>
      </c>
      <c r="B31" s="21" t="s">
        <v>62</v>
      </c>
      <c r="C31" s="20">
        <v>51</v>
      </c>
      <c r="D31" s="20" t="s">
        <v>85</v>
      </c>
      <c r="E31" s="22"/>
      <c r="F31" s="23"/>
      <c r="G31" s="20" t="s">
        <v>33</v>
      </c>
      <c r="H31" s="24"/>
    </row>
    <row r="32" spans="1:8" x14ac:dyDescent="0.2">
      <c r="A32" s="20" t="s">
        <v>86</v>
      </c>
      <c r="B32" s="21" t="s">
        <v>62</v>
      </c>
      <c r="C32" s="20">
        <v>1</v>
      </c>
      <c r="D32" s="20" t="s">
        <v>87</v>
      </c>
      <c r="E32" s="22"/>
      <c r="F32" s="23"/>
      <c r="G32" s="20" t="s">
        <v>33</v>
      </c>
      <c r="H32" s="24"/>
    </row>
    <row r="33" spans="1:8" x14ac:dyDescent="0.2">
      <c r="A33" s="20" t="s">
        <v>88</v>
      </c>
      <c r="B33" s="21" t="s">
        <v>62</v>
      </c>
      <c r="C33" s="20">
        <v>51</v>
      </c>
      <c r="D33" s="20" t="s">
        <v>89</v>
      </c>
      <c r="E33" s="22"/>
      <c r="F33" s="23"/>
      <c r="G33" s="20" t="s">
        <v>33</v>
      </c>
      <c r="H33" s="24"/>
    </row>
    <row r="34" spans="1:8" x14ac:dyDescent="0.2">
      <c r="A34" s="20" t="s">
        <v>90</v>
      </c>
      <c r="B34" s="21" t="s">
        <v>62</v>
      </c>
      <c r="C34" s="20">
        <v>1</v>
      </c>
      <c r="D34" s="20" t="s">
        <v>91</v>
      </c>
      <c r="E34" s="22"/>
      <c r="F34" s="23"/>
      <c r="G34" s="20" t="s">
        <v>33</v>
      </c>
      <c r="H34" s="24"/>
    </row>
    <row r="35" spans="1:8" x14ac:dyDescent="0.2">
      <c r="A35" s="20" t="s">
        <v>92</v>
      </c>
      <c r="B35" s="21" t="s">
        <v>62</v>
      </c>
      <c r="C35" s="20">
        <v>51</v>
      </c>
      <c r="D35" s="20" t="s">
        <v>93</v>
      </c>
      <c r="E35" s="22"/>
      <c r="F35" s="23"/>
      <c r="G35" s="20" t="s">
        <v>33</v>
      </c>
      <c r="H35" s="24"/>
    </row>
    <row r="36" spans="1:8" x14ac:dyDescent="0.2">
      <c r="A36" s="20" t="s">
        <v>94</v>
      </c>
      <c r="B36" s="21" t="s">
        <v>62</v>
      </c>
      <c r="C36" s="20">
        <v>1</v>
      </c>
      <c r="D36" s="20" t="s">
        <v>95</v>
      </c>
      <c r="E36" s="22"/>
      <c r="F36" s="23"/>
      <c r="G36" s="20" t="s">
        <v>33</v>
      </c>
      <c r="H36" s="24"/>
    </row>
    <row r="37" spans="1:8" x14ac:dyDescent="0.2">
      <c r="A37" s="20" t="s">
        <v>96</v>
      </c>
      <c r="B37" s="21" t="s">
        <v>62</v>
      </c>
      <c r="C37" s="20">
        <v>51</v>
      </c>
      <c r="D37" s="20" t="s">
        <v>97</v>
      </c>
      <c r="E37" s="22"/>
      <c r="F37" s="23"/>
      <c r="G37" s="20" t="s">
        <v>33</v>
      </c>
      <c r="H37" s="24"/>
    </row>
    <row r="38" spans="1:8" x14ac:dyDescent="0.2">
      <c r="A38" s="20" t="s">
        <v>98</v>
      </c>
      <c r="B38" s="21" t="s">
        <v>62</v>
      </c>
      <c r="C38" s="20">
        <v>1</v>
      </c>
      <c r="D38" s="20" t="s">
        <v>99</v>
      </c>
      <c r="E38" s="22"/>
      <c r="F38" s="23"/>
      <c r="G38" s="20" t="s">
        <v>33</v>
      </c>
      <c r="H38" s="24"/>
    </row>
    <row r="39" spans="1:8" x14ac:dyDescent="0.2">
      <c r="A39" s="25" t="s">
        <v>100</v>
      </c>
      <c r="B39" s="26" t="s">
        <v>62</v>
      </c>
      <c r="C39" s="25">
        <v>51</v>
      </c>
      <c r="D39" s="25" t="s">
        <v>101</v>
      </c>
      <c r="E39" s="27"/>
      <c r="F39" s="28"/>
      <c r="G39" s="25" t="s">
        <v>33</v>
      </c>
      <c r="H39" s="29"/>
    </row>
  </sheetData>
  <sheetProtection algorithmName="SHA-512" hashValue="Pl6BRKnaLFtRHv85WgZ03dAqwAgZsVTGJCPsEBKmOkGOWf+quaSCfNhZJyxfLwPzcTSdbb3OBLbTakmynSP49w==" saltValue="yiRukkfx9RYRNtOvqyFv1w==" spinCount="100000" sheet="1" objects="1" scenarios="1" autoFilter="0"/>
  <pageMargins left="0.7" right="0.7" top="0.75" bottom="0.75" header="0.3" footer="0.3"/>
  <pageSetup scale="70" orientation="landscape" r:id="rId1"/>
  <headerFooter>
    <oddFooter>&amp;LGGD Noord- en Oost Gelderland                               &amp;ROpmaakdatum: 19-08-2024
Intexso - Plantageweg 23E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9B7F4-D303-46D5-9D14-33832A6FECB9}">
  <dimension ref="A1:M39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12.625" customWidth="1"/>
    <col min="4" max="4" width="35.625" customWidth="1"/>
    <col min="5" max="5" width="12.625" customWidth="1"/>
    <col min="6" max="7" width="11.625" customWidth="1"/>
    <col min="8" max="8" width="9.625" customWidth="1"/>
    <col min="9" max="11" width="11.625" customWidth="1"/>
    <col min="12" max="12" width="12.625" customWidth="1"/>
    <col min="13" max="13" width="14.625" customWidth="1"/>
  </cols>
  <sheetData>
    <row r="1" spans="1:13" x14ac:dyDescent="0.2">
      <c r="A1" s="1" t="str">
        <f>CONCATENATE("Bijlage D.2: ",tabeltype," regulier werk")</f>
        <v>Bijlage D.2: Invultabel regulier werk</v>
      </c>
    </row>
    <row r="3" spans="1:13" ht="38.25" x14ac:dyDescent="0.2">
      <c r="A3" s="8" t="s">
        <v>102</v>
      </c>
      <c r="B3" s="8" t="s">
        <v>7</v>
      </c>
      <c r="C3" s="8" t="s">
        <v>103</v>
      </c>
      <c r="D3" s="8" t="s">
        <v>24</v>
      </c>
      <c r="E3" s="8" t="s">
        <v>104</v>
      </c>
      <c r="F3" s="8" t="s">
        <v>105</v>
      </c>
      <c r="G3" s="8" t="s">
        <v>25</v>
      </c>
      <c r="H3" s="8" t="s">
        <v>27</v>
      </c>
      <c r="I3" s="8" t="s">
        <v>28</v>
      </c>
      <c r="J3" s="8" t="s">
        <v>106</v>
      </c>
      <c r="K3" s="8" t="s">
        <v>107</v>
      </c>
      <c r="L3" s="8" t="s">
        <v>108</v>
      </c>
      <c r="M3" s="8" t="s">
        <v>109</v>
      </c>
    </row>
    <row r="4" spans="1:13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</row>
    <row r="5" spans="1:13" x14ac:dyDescent="0.2">
      <c r="A5" s="12" t="s">
        <v>29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4"/>
    </row>
    <row r="6" spans="1:13" x14ac:dyDescent="0.2">
      <c r="A6" s="15" t="s">
        <v>110</v>
      </c>
      <c r="B6" s="15" t="s">
        <v>15</v>
      </c>
      <c r="C6" s="15" t="s">
        <v>111</v>
      </c>
      <c r="D6" s="15" t="s">
        <v>112</v>
      </c>
      <c r="E6" s="30">
        <v>35.599999999999994</v>
      </c>
      <c r="F6" s="30">
        <f t="shared" ref="F6:F33" si="0">E6*VLOOKUP(B6,dagsoorttabel1,2,FALSE)</f>
        <v>1.6430769230769229</v>
      </c>
      <c r="G6" s="31">
        <f>IF(AND(catpn_1_AHB_1&gt;0,catpn_1_AHV_12&gt;0),(dagenperjaar1*VLOOKUP(B6,dagsoorttabel1,2,FALSE))/(((dagenperjaar1*VLOOKUP(B6,dagsoorttabel1,2,FALSE))-catfd_1_AHV_12)/catpn_1_AHB_1+catfd_1_AHV_12/catpn_1_AHV_12),0)</f>
        <v>0</v>
      </c>
      <c r="H6" s="15" t="s">
        <v>33</v>
      </c>
      <c r="I6" s="32">
        <f>IF(AND(catpn_1_AHB_1&gt;0,catpn_1_AHV_12&gt;0),(cattf_1_AHB_1*((dagenperjaar1*VLOOKUP(B6,dagsoorttabel1,2,FALSE))-catfd_1_AHV_12)/catpn_1_AHB_1+cattf_1_AHV_12*catfd_1_AHV_12/catpn_1_AHV_12)/(((dagenperjaar1*VLOOKUP(B6,dagsoorttabel1,2,FALSE))-catfd_1_AHV_12)/catpn_1_AHB_1+catfd_1_AHV_12/catpn_1_AHV_12),0)</f>
        <v>0</v>
      </c>
      <c r="J6" s="30">
        <f t="shared" ref="J6:J32" si="1">IF(OR(ISBLANK(G6),G6=0),0,F6/ROUND(G6,4))</f>
        <v>0</v>
      </c>
      <c r="K6" s="32">
        <f t="shared" ref="K6:K33" si="2">ROUND(I6,2)*J6</f>
        <v>0</v>
      </c>
      <c r="L6" s="30">
        <f t="shared" ref="L6:L33" si="3">J6*dagenperjaar1</f>
        <v>0</v>
      </c>
      <c r="M6" s="32">
        <f t="shared" ref="M6:M33" si="4">L6*ROUND(I6,2)</f>
        <v>0</v>
      </c>
    </row>
    <row r="7" spans="1:13" x14ac:dyDescent="0.2">
      <c r="A7" s="20" t="s">
        <v>113</v>
      </c>
      <c r="B7" s="20" t="s">
        <v>9</v>
      </c>
      <c r="C7" s="20" t="s">
        <v>111</v>
      </c>
      <c r="D7" s="20" t="s">
        <v>114</v>
      </c>
      <c r="E7" s="33">
        <v>52.3</v>
      </c>
      <c r="F7" s="33">
        <f t="shared" si="0"/>
        <v>52.3</v>
      </c>
      <c r="G7" s="34">
        <f>IF(AND(catpn_1_BHB_1&gt;0,catpn_1_BHV_51&gt;0),(dagenperjaar1*VLOOKUP(B7,dagsoorttabel1,2,FALSE))/(((dagenperjaar1*VLOOKUP(B7,dagsoorttabel1,2,FALSE))-catfd_1_BHV_51)/catpn_1_BHB_1+catfd_1_BHV_51/catpn_1_BHV_51),0)</f>
        <v>0</v>
      </c>
      <c r="H7" s="20" t="s">
        <v>33</v>
      </c>
      <c r="I7" s="35">
        <f>IF(AND(catpn_1_BHB_1&gt;0,catpn_1_BHV_51&gt;0),(cattf_1_BHB_1*((dagenperjaar1*VLOOKUP(B7,dagsoorttabel1,2,FALSE))-catfd_1_BHV_51)/catpn_1_BHB_1+cattf_1_BHV_51*catfd_1_BHV_51/catpn_1_BHV_51)/(((dagenperjaar1*VLOOKUP(B7,dagsoorttabel1,2,FALSE))-catfd_1_BHV_51)/catpn_1_BHB_1+catfd_1_BHV_51/catpn_1_BHV_51),0)</f>
        <v>0</v>
      </c>
      <c r="J7" s="33">
        <f t="shared" si="1"/>
        <v>0</v>
      </c>
      <c r="K7" s="35">
        <f t="shared" si="2"/>
        <v>0</v>
      </c>
      <c r="L7" s="33">
        <f t="shared" si="3"/>
        <v>0</v>
      </c>
      <c r="M7" s="35">
        <f t="shared" si="4"/>
        <v>0</v>
      </c>
    </row>
    <row r="8" spans="1:13" x14ac:dyDescent="0.2">
      <c r="A8" s="20" t="s">
        <v>115</v>
      </c>
      <c r="B8" s="20" t="s">
        <v>11</v>
      </c>
      <c r="C8" s="20" t="s">
        <v>111</v>
      </c>
      <c r="D8" s="20" t="s">
        <v>116</v>
      </c>
      <c r="E8" s="33">
        <v>152.5</v>
      </c>
      <c r="F8" s="33">
        <f t="shared" si="0"/>
        <v>91.5</v>
      </c>
      <c r="G8" s="34">
        <f>IF(AND(catpn_1_BZB_1&gt;0,catpn_1_BZV_51&gt;0),(dagenperjaar1*VLOOKUP(B8,dagsoorttabel1,2,FALSE))/(((dagenperjaar1*VLOOKUP(B8,dagsoorttabel1,2,FALSE))-catfd_1_BZV_51)/catpn_1_BZB_1+catfd_1_BZV_51/catpn_1_BZV_51),0)</f>
        <v>0</v>
      </c>
      <c r="H8" s="20" t="s">
        <v>33</v>
      </c>
      <c r="I8" s="35">
        <f>IF(AND(catpn_1_BZB_1&gt;0,catpn_1_BZV_51&gt;0),(cattf_1_BZB_1*((dagenperjaar1*VLOOKUP(B8,dagsoorttabel1,2,FALSE))-catfd_1_BZV_51)/catpn_1_BZB_1+cattf_1_BZV_51*catfd_1_BZV_51/catpn_1_BZV_51)/(((dagenperjaar1*VLOOKUP(B8,dagsoorttabel1,2,FALSE))-catfd_1_BZV_51)/catpn_1_BZB_1+catfd_1_BZV_51/catpn_1_BZV_51),0)</f>
        <v>0</v>
      </c>
      <c r="J8" s="33">
        <f t="shared" si="1"/>
        <v>0</v>
      </c>
      <c r="K8" s="35">
        <f t="shared" si="2"/>
        <v>0</v>
      </c>
      <c r="L8" s="33">
        <f t="shared" si="3"/>
        <v>0</v>
      </c>
      <c r="M8" s="35">
        <f t="shared" si="4"/>
        <v>0</v>
      </c>
    </row>
    <row r="9" spans="1:13" x14ac:dyDescent="0.2">
      <c r="A9" s="20" t="s">
        <v>115</v>
      </c>
      <c r="B9" s="20" t="s">
        <v>9</v>
      </c>
      <c r="C9" s="20" t="s">
        <v>111</v>
      </c>
      <c r="D9" s="20" t="s">
        <v>116</v>
      </c>
      <c r="E9" s="33">
        <v>684.5</v>
      </c>
      <c r="F9" s="33">
        <f t="shared" si="0"/>
        <v>684.5</v>
      </c>
      <c r="G9" s="34">
        <f>IF(AND(catpn_1_BZB_1&gt;0,catpn_1_BZV_51&gt;0),(dagenperjaar1*VLOOKUP(B9,dagsoorttabel1,2,FALSE))/(((dagenperjaar1*VLOOKUP(B9,dagsoorttabel1,2,FALSE))-catfd_1_BZV_51)/catpn_1_BZB_1+catfd_1_BZV_51/catpn_1_BZV_51),0)</f>
        <v>0</v>
      </c>
      <c r="H9" s="20" t="s">
        <v>33</v>
      </c>
      <c r="I9" s="35">
        <f>IF(AND(catpn_1_BZB_1&gt;0,catpn_1_BZV_51&gt;0),(cattf_1_BZB_1*((dagenperjaar1*VLOOKUP(B9,dagsoorttabel1,2,FALSE))-catfd_1_BZV_51)/catpn_1_BZB_1+cattf_1_BZV_51*catfd_1_BZV_51/catpn_1_BZV_51)/(((dagenperjaar1*VLOOKUP(B9,dagsoorttabel1,2,FALSE))-catfd_1_BZV_51)/catpn_1_BZB_1+catfd_1_BZV_51/catpn_1_BZV_51),0)</f>
        <v>0</v>
      </c>
      <c r="J9" s="33">
        <f t="shared" si="1"/>
        <v>0</v>
      </c>
      <c r="K9" s="35">
        <f t="shared" si="2"/>
        <v>0</v>
      </c>
      <c r="L9" s="33">
        <f t="shared" si="3"/>
        <v>0</v>
      </c>
      <c r="M9" s="35">
        <f t="shared" si="4"/>
        <v>0</v>
      </c>
    </row>
    <row r="10" spans="1:13" x14ac:dyDescent="0.2">
      <c r="A10" s="20" t="s">
        <v>117</v>
      </c>
      <c r="B10" s="20" t="s">
        <v>9</v>
      </c>
      <c r="C10" s="20" t="s">
        <v>111</v>
      </c>
      <c r="D10" s="20" t="s">
        <v>118</v>
      </c>
      <c r="E10" s="33">
        <v>8.3000000000000007</v>
      </c>
      <c r="F10" s="33">
        <f t="shared" si="0"/>
        <v>8.3000000000000007</v>
      </c>
      <c r="G10" s="34">
        <f>IF(AND(catpn_1_DHB_1&gt;0,catpn_1_DHV_51&gt;0),(dagenperjaar1*VLOOKUP(B10,dagsoorttabel1,2,FALSE))/(((dagenperjaar1*VLOOKUP(B10,dagsoorttabel1,2,FALSE))-catfd_1_DHV_51)/catpn_1_DHB_1+catfd_1_DHV_51/catpn_1_DHV_51),0)</f>
        <v>0</v>
      </c>
      <c r="H10" s="20" t="s">
        <v>33</v>
      </c>
      <c r="I10" s="35">
        <f>IF(AND(catpn_1_DHB_1&gt;0,catpn_1_DHV_51&gt;0),(cattf_1_DHB_1*((dagenperjaar1*VLOOKUP(B10,dagsoorttabel1,2,FALSE))-catfd_1_DHV_51)/catpn_1_DHB_1+cattf_1_DHV_51*catfd_1_DHV_51/catpn_1_DHV_51)/(((dagenperjaar1*VLOOKUP(B10,dagsoorttabel1,2,FALSE))-catfd_1_DHV_51)/catpn_1_DHB_1+catfd_1_DHV_51/catpn_1_DHV_51),0)</f>
        <v>0</v>
      </c>
      <c r="J10" s="33">
        <f t="shared" si="1"/>
        <v>0</v>
      </c>
      <c r="K10" s="35">
        <f t="shared" si="2"/>
        <v>0</v>
      </c>
      <c r="L10" s="33">
        <f t="shared" si="3"/>
        <v>0</v>
      </c>
      <c r="M10" s="35">
        <f t="shared" si="4"/>
        <v>0</v>
      </c>
    </row>
    <row r="11" spans="1:13" x14ac:dyDescent="0.2">
      <c r="A11" s="20" t="s">
        <v>119</v>
      </c>
      <c r="B11" s="20" t="s">
        <v>11</v>
      </c>
      <c r="C11" s="20" t="s">
        <v>111</v>
      </c>
      <c r="D11" s="20" t="s">
        <v>120</v>
      </c>
      <c r="E11" s="33">
        <v>5</v>
      </c>
      <c r="F11" s="33">
        <f t="shared" si="0"/>
        <v>3</v>
      </c>
      <c r="G11" s="34">
        <f>IF(AND(catpn_1_EZB_1&gt;0,catpn_1_EZV_51&gt;0),(dagenperjaar1*VLOOKUP(B11,dagsoorttabel1,2,FALSE))/(((dagenperjaar1*VLOOKUP(B11,dagsoorttabel1,2,FALSE))-catfd_1_EZV_51)/catpn_1_EZB_1+catfd_1_EZV_51/catpn_1_EZV_51),0)</f>
        <v>0</v>
      </c>
      <c r="H11" s="20" t="s">
        <v>33</v>
      </c>
      <c r="I11" s="35">
        <f>IF(AND(catpn_1_EZB_1&gt;0,catpn_1_EZV_51&gt;0),(cattf_1_EZB_1*((dagenperjaar1*VLOOKUP(B11,dagsoorttabel1,2,FALSE))-catfd_1_EZV_51)/catpn_1_EZB_1+cattf_1_EZV_51*catfd_1_EZV_51/catpn_1_EZV_51)/(((dagenperjaar1*VLOOKUP(B11,dagsoorttabel1,2,FALSE))-catfd_1_EZV_51)/catpn_1_EZB_1+catfd_1_EZV_51/catpn_1_EZV_51),0)</f>
        <v>0</v>
      </c>
      <c r="J11" s="33">
        <f t="shared" si="1"/>
        <v>0</v>
      </c>
      <c r="K11" s="35">
        <f t="shared" si="2"/>
        <v>0</v>
      </c>
      <c r="L11" s="33">
        <f t="shared" si="3"/>
        <v>0</v>
      </c>
      <c r="M11" s="35">
        <f t="shared" si="4"/>
        <v>0</v>
      </c>
    </row>
    <row r="12" spans="1:13" x14ac:dyDescent="0.2">
      <c r="A12" s="20" t="s">
        <v>119</v>
      </c>
      <c r="B12" s="20" t="s">
        <v>9</v>
      </c>
      <c r="C12" s="20" t="s">
        <v>111</v>
      </c>
      <c r="D12" s="20" t="s">
        <v>120</v>
      </c>
      <c r="E12" s="33">
        <v>16.399999999999999</v>
      </c>
      <c r="F12" s="33">
        <f t="shared" si="0"/>
        <v>16.399999999999999</v>
      </c>
      <c r="G12" s="34">
        <f>IF(AND(catpn_1_EZB_1&gt;0,catpn_1_EZV_51&gt;0),(dagenperjaar1*VLOOKUP(B12,dagsoorttabel1,2,FALSE))/(((dagenperjaar1*VLOOKUP(B12,dagsoorttabel1,2,FALSE))-catfd_1_EZV_51)/catpn_1_EZB_1+catfd_1_EZV_51/catpn_1_EZV_51),0)</f>
        <v>0</v>
      </c>
      <c r="H12" s="20" t="s">
        <v>33</v>
      </c>
      <c r="I12" s="35">
        <f>IF(AND(catpn_1_EZB_1&gt;0,catpn_1_EZV_51&gt;0),(cattf_1_EZB_1*((dagenperjaar1*VLOOKUP(B12,dagsoorttabel1,2,FALSE))-catfd_1_EZV_51)/catpn_1_EZB_1+cattf_1_EZV_51*catfd_1_EZV_51/catpn_1_EZV_51)/(((dagenperjaar1*VLOOKUP(B12,dagsoorttabel1,2,FALSE))-catfd_1_EZV_51)/catpn_1_EZB_1+catfd_1_EZV_51/catpn_1_EZV_51),0)</f>
        <v>0</v>
      </c>
      <c r="J12" s="33">
        <f t="shared" si="1"/>
        <v>0</v>
      </c>
      <c r="K12" s="35">
        <f t="shared" si="2"/>
        <v>0</v>
      </c>
      <c r="L12" s="33">
        <f t="shared" si="3"/>
        <v>0</v>
      </c>
      <c r="M12" s="35">
        <f t="shared" si="4"/>
        <v>0</v>
      </c>
    </row>
    <row r="13" spans="1:13" x14ac:dyDescent="0.2">
      <c r="A13" s="20" t="s">
        <v>121</v>
      </c>
      <c r="B13" s="20" t="s">
        <v>9</v>
      </c>
      <c r="C13" s="20" t="s">
        <v>111</v>
      </c>
      <c r="D13" s="20" t="s">
        <v>122</v>
      </c>
      <c r="E13" s="33">
        <v>3.5</v>
      </c>
      <c r="F13" s="33">
        <f t="shared" si="0"/>
        <v>3.5</v>
      </c>
      <c r="G13" s="34">
        <f>IF(AND(catpn_1_FHB_1&gt;0,catpn_1_FHV_51&gt;0),(dagenperjaar1*VLOOKUP(B13,dagsoorttabel1,2,FALSE))/(((dagenperjaar1*VLOOKUP(B13,dagsoorttabel1,2,FALSE))-catfd_1_FHV_51)/catpn_1_FHB_1+catfd_1_FHV_51/catpn_1_FHV_51),0)</f>
        <v>0</v>
      </c>
      <c r="H13" s="20" t="s">
        <v>33</v>
      </c>
      <c r="I13" s="35">
        <f>IF(AND(catpn_1_FHB_1&gt;0,catpn_1_FHV_51&gt;0),(cattf_1_FHB_1*((dagenperjaar1*VLOOKUP(B13,dagsoorttabel1,2,FALSE))-catfd_1_FHV_51)/catpn_1_FHB_1+cattf_1_FHV_51*catfd_1_FHV_51/catpn_1_FHV_51)/(((dagenperjaar1*VLOOKUP(B13,dagsoorttabel1,2,FALSE))-catfd_1_FHV_51)/catpn_1_FHB_1+catfd_1_FHV_51/catpn_1_FHV_51),0)</f>
        <v>0</v>
      </c>
      <c r="J13" s="33">
        <f t="shared" si="1"/>
        <v>0</v>
      </c>
      <c r="K13" s="35">
        <f t="shared" si="2"/>
        <v>0</v>
      </c>
      <c r="L13" s="33">
        <f t="shared" si="3"/>
        <v>0</v>
      </c>
      <c r="M13" s="35">
        <f t="shared" si="4"/>
        <v>0</v>
      </c>
    </row>
    <row r="14" spans="1:13" x14ac:dyDescent="0.2">
      <c r="A14" s="20" t="s">
        <v>123</v>
      </c>
      <c r="B14" s="20" t="s">
        <v>11</v>
      </c>
      <c r="C14" s="20" t="s">
        <v>111</v>
      </c>
      <c r="D14" s="20" t="s">
        <v>124</v>
      </c>
      <c r="E14" s="33">
        <v>15.5</v>
      </c>
      <c r="F14" s="33">
        <f t="shared" si="0"/>
        <v>9.2999999999999989</v>
      </c>
      <c r="G14" s="34">
        <f>IF(AND(catpn_1_HHB_1&gt;0,catpn_1_HHV_51&gt;0),(dagenperjaar1*VLOOKUP(B14,dagsoorttabel1,2,FALSE))/(((dagenperjaar1*VLOOKUP(B14,dagsoorttabel1,2,FALSE))-catfd_1_HHV_51)/catpn_1_HHB_1+catfd_1_HHV_51/catpn_1_HHV_51),0)</f>
        <v>0</v>
      </c>
      <c r="H14" s="20" t="s">
        <v>33</v>
      </c>
      <c r="I14" s="35">
        <f>IF(AND(catpn_1_HHB_1&gt;0,catpn_1_HHV_51&gt;0),(cattf_1_HHB_1*((dagenperjaar1*VLOOKUP(B14,dagsoorttabel1,2,FALSE))-catfd_1_HHV_51)/catpn_1_HHB_1+cattf_1_HHV_51*catfd_1_HHV_51/catpn_1_HHV_51)/(((dagenperjaar1*VLOOKUP(B14,dagsoorttabel1,2,FALSE))-catfd_1_HHV_51)/catpn_1_HHB_1+catfd_1_HHV_51/catpn_1_HHV_51),0)</f>
        <v>0</v>
      </c>
      <c r="J14" s="33">
        <f t="shared" si="1"/>
        <v>0</v>
      </c>
      <c r="K14" s="35">
        <f t="shared" si="2"/>
        <v>0</v>
      </c>
      <c r="L14" s="33">
        <f t="shared" si="3"/>
        <v>0</v>
      </c>
      <c r="M14" s="35">
        <f t="shared" si="4"/>
        <v>0</v>
      </c>
    </row>
    <row r="15" spans="1:13" x14ac:dyDescent="0.2">
      <c r="A15" s="20" t="s">
        <v>123</v>
      </c>
      <c r="B15" s="20" t="s">
        <v>9</v>
      </c>
      <c r="C15" s="20" t="s">
        <v>111</v>
      </c>
      <c r="D15" s="20" t="s">
        <v>124</v>
      </c>
      <c r="E15" s="33">
        <v>214.1</v>
      </c>
      <c r="F15" s="33">
        <f t="shared" si="0"/>
        <v>214.1</v>
      </c>
      <c r="G15" s="34">
        <f>IF(AND(catpn_1_HHB_1&gt;0,catpn_1_HHV_51&gt;0),(dagenperjaar1*VLOOKUP(B15,dagsoorttabel1,2,FALSE))/(((dagenperjaar1*VLOOKUP(B15,dagsoorttabel1,2,FALSE))-catfd_1_HHV_51)/catpn_1_HHB_1+catfd_1_HHV_51/catpn_1_HHV_51),0)</f>
        <v>0</v>
      </c>
      <c r="H15" s="20" t="s">
        <v>33</v>
      </c>
      <c r="I15" s="35">
        <f>IF(AND(catpn_1_HHB_1&gt;0,catpn_1_HHV_51&gt;0),(cattf_1_HHB_1*((dagenperjaar1*VLOOKUP(B15,dagsoorttabel1,2,FALSE))-catfd_1_HHV_51)/catpn_1_HHB_1+cattf_1_HHV_51*catfd_1_HHV_51/catpn_1_HHV_51)/(((dagenperjaar1*VLOOKUP(B15,dagsoorttabel1,2,FALSE))-catfd_1_HHV_51)/catpn_1_HHB_1+catfd_1_HHV_51/catpn_1_HHV_51),0)</f>
        <v>0</v>
      </c>
      <c r="J15" s="33">
        <f t="shared" si="1"/>
        <v>0</v>
      </c>
      <c r="K15" s="35">
        <f t="shared" si="2"/>
        <v>0</v>
      </c>
      <c r="L15" s="33">
        <f t="shared" si="3"/>
        <v>0</v>
      </c>
      <c r="M15" s="35">
        <f t="shared" si="4"/>
        <v>0</v>
      </c>
    </row>
    <row r="16" spans="1:13" x14ac:dyDescent="0.2">
      <c r="A16" s="20" t="s">
        <v>125</v>
      </c>
      <c r="B16" s="20" t="s">
        <v>11</v>
      </c>
      <c r="C16" s="20" t="s">
        <v>111</v>
      </c>
      <c r="D16" s="20" t="s">
        <v>126</v>
      </c>
      <c r="E16" s="33">
        <v>12.4</v>
      </c>
      <c r="F16" s="33">
        <f t="shared" si="0"/>
        <v>7.4399999999999995</v>
      </c>
      <c r="G16" s="34">
        <f>IF(AND(catpn_1_KPHB_1&gt;0,catpn_1_KPHV_51&gt;0),(dagenperjaar1*VLOOKUP(B16,dagsoorttabel1,2,FALSE))/(((dagenperjaar1*VLOOKUP(B16,dagsoorttabel1,2,FALSE))-catfd_1_KPHV_51)/catpn_1_KPHB_1+catfd_1_KPHV_51/catpn_1_KPHV_51),0)</f>
        <v>0</v>
      </c>
      <c r="H16" s="20" t="s">
        <v>33</v>
      </c>
      <c r="I16" s="35">
        <f>IF(AND(catpn_1_KPHB_1&gt;0,catpn_1_KPHV_51&gt;0),(cattf_1_KPHB_1*((dagenperjaar1*VLOOKUP(B16,dagsoorttabel1,2,FALSE))-catfd_1_KPHV_51)/catpn_1_KPHB_1+cattf_1_KPHV_51*catfd_1_KPHV_51/catpn_1_KPHV_51)/(((dagenperjaar1*VLOOKUP(B16,dagsoorttabel1,2,FALSE))-catfd_1_KPHV_51)/catpn_1_KPHB_1+catfd_1_KPHV_51/catpn_1_KPHV_51),0)</f>
        <v>0</v>
      </c>
      <c r="J16" s="33">
        <f t="shared" si="1"/>
        <v>0</v>
      </c>
      <c r="K16" s="35">
        <f t="shared" si="2"/>
        <v>0</v>
      </c>
      <c r="L16" s="33">
        <f t="shared" si="3"/>
        <v>0</v>
      </c>
      <c r="M16" s="35">
        <f t="shared" si="4"/>
        <v>0</v>
      </c>
    </row>
    <row r="17" spans="1:13" x14ac:dyDescent="0.2">
      <c r="A17" s="20" t="s">
        <v>125</v>
      </c>
      <c r="B17" s="20" t="s">
        <v>9</v>
      </c>
      <c r="C17" s="20" t="s">
        <v>111</v>
      </c>
      <c r="D17" s="20" t="s">
        <v>126</v>
      </c>
      <c r="E17" s="33">
        <v>58</v>
      </c>
      <c r="F17" s="33">
        <f t="shared" si="0"/>
        <v>58</v>
      </c>
      <c r="G17" s="34">
        <f>IF(AND(catpn_1_KPHB_1&gt;0,catpn_1_KPHV_51&gt;0),(dagenperjaar1*VLOOKUP(B17,dagsoorttabel1,2,FALSE))/(((dagenperjaar1*VLOOKUP(B17,dagsoorttabel1,2,FALSE))-catfd_1_KPHV_51)/catpn_1_KPHB_1+catfd_1_KPHV_51/catpn_1_KPHV_51),0)</f>
        <v>0</v>
      </c>
      <c r="H17" s="20" t="s">
        <v>33</v>
      </c>
      <c r="I17" s="35">
        <f>IF(AND(catpn_1_KPHB_1&gt;0,catpn_1_KPHV_51&gt;0),(cattf_1_KPHB_1*((dagenperjaar1*VLOOKUP(B17,dagsoorttabel1,2,FALSE))-catfd_1_KPHV_51)/catpn_1_KPHB_1+cattf_1_KPHV_51*catfd_1_KPHV_51/catpn_1_KPHV_51)/(((dagenperjaar1*VLOOKUP(B17,dagsoorttabel1,2,FALSE))-catfd_1_KPHV_51)/catpn_1_KPHB_1+catfd_1_KPHV_51/catpn_1_KPHV_51),0)</f>
        <v>0</v>
      </c>
      <c r="J17" s="33">
        <f t="shared" si="1"/>
        <v>0</v>
      </c>
      <c r="K17" s="35">
        <f t="shared" si="2"/>
        <v>0</v>
      </c>
      <c r="L17" s="33">
        <f t="shared" si="3"/>
        <v>0</v>
      </c>
      <c r="M17" s="35">
        <f t="shared" si="4"/>
        <v>0</v>
      </c>
    </row>
    <row r="18" spans="1:13" x14ac:dyDescent="0.2">
      <c r="A18" s="20" t="s">
        <v>127</v>
      </c>
      <c r="B18" s="20" t="s">
        <v>11</v>
      </c>
      <c r="C18" s="20" t="s">
        <v>111</v>
      </c>
      <c r="D18" s="20" t="s">
        <v>128</v>
      </c>
      <c r="E18" s="33">
        <v>52</v>
      </c>
      <c r="F18" s="33">
        <f t="shared" si="0"/>
        <v>31.2</v>
      </c>
      <c r="G18" s="34">
        <f>IF(AND(catpn_1_OHB_1&gt;0,catpn_1_OHV_51&gt;0),(dagenperjaar1*VLOOKUP(B18,dagsoorttabel1,2,FALSE))/(((dagenperjaar1*VLOOKUP(B18,dagsoorttabel1,2,FALSE))-catfd_1_OHV_51)/catpn_1_OHB_1+catfd_1_OHV_51/catpn_1_OHV_51),0)</f>
        <v>0</v>
      </c>
      <c r="H18" s="20" t="s">
        <v>33</v>
      </c>
      <c r="I18" s="35">
        <f>IF(AND(catpn_1_OHB_1&gt;0,catpn_1_OHV_51&gt;0),(cattf_1_OHB_1*((dagenperjaar1*VLOOKUP(B18,dagsoorttabel1,2,FALSE))-catfd_1_OHV_51)/catpn_1_OHB_1+cattf_1_OHV_51*catfd_1_OHV_51/catpn_1_OHV_51)/(((dagenperjaar1*VLOOKUP(B18,dagsoorttabel1,2,FALSE))-catfd_1_OHV_51)/catpn_1_OHB_1+catfd_1_OHV_51/catpn_1_OHV_51),0)</f>
        <v>0</v>
      </c>
      <c r="J18" s="33">
        <f t="shared" si="1"/>
        <v>0</v>
      </c>
      <c r="K18" s="35">
        <f t="shared" si="2"/>
        <v>0</v>
      </c>
      <c r="L18" s="33">
        <f t="shared" si="3"/>
        <v>0</v>
      </c>
      <c r="M18" s="35">
        <f t="shared" si="4"/>
        <v>0</v>
      </c>
    </row>
    <row r="19" spans="1:13" x14ac:dyDescent="0.2">
      <c r="A19" s="20" t="s">
        <v>127</v>
      </c>
      <c r="B19" s="20" t="s">
        <v>9</v>
      </c>
      <c r="C19" s="20" t="s">
        <v>111</v>
      </c>
      <c r="D19" s="20" t="s">
        <v>128</v>
      </c>
      <c r="E19" s="33">
        <v>204</v>
      </c>
      <c r="F19" s="33">
        <f t="shared" si="0"/>
        <v>204</v>
      </c>
      <c r="G19" s="34">
        <f>IF(AND(catpn_1_OHB_1&gt;0,catpn_1_OHV_51&gt;0),(dagenperjaar1*VLOOKUP(B19,dagsoorttabel1,2,FALSE))/(((dagenperjaar1*VLOOKUP(B19,dagsoorttabel1,2,FALSE))-catfd_1_OHV_51)/catpn_1_OHB_1+catfd_1_OHV_51/catpn_1_OHV_51),0)</f>
        <v>0</v>
      </c>
      <c r="H19" s="20" t="s">
        <v>33</v>
      </c>
      <c r="I19" s="35">
        <f>IF(AND(catpn_1_OHB_1&gt;0,catpn_1_OHV_51&gt;0),(cattf_1_OHB_1*((dagenperjaar1*VLOOKUP(B19,dagsoorttabel1,2,FALSE))-catfd_1_OHV_51)/catpn_1_OHB_1+cattf_1_OHV_51*catfd_1_OHV_51/catpn_1_OHV_51)/(((dagenperjaar1*VLOOKUP(B19,dagsoorttabel1,2,FALSE))-catfd_1_OHV_51)/catpn_1_OHB_1+catfd_1_OHV_51/catpn_1_OHV_51),0)</f>
        <v>0</v>
      </c>
      <c r="J19" s="33">
        <f t="shared" si="1"/>
        <v>0</v>
      </c>
      <c r="K19" s="35">
        <f t="shared" si="2"/>
        <v>0</v>
      </c>
      <c r="L19" s="33">
        <f t="shared" si="3"/>
        <v>0</v>
      </c>
      <c r="M19" s="35">
        <f t="shared" si="4"/>
        <v>0</v>
      </c>
    </row>
    <row r="20" spans="1:13" x14ac:dyDescent="0.2">
      <c r="A20" s="20" t="s">
        <v>129</v>
      </c>
      <c r="B20" s="20" t="s">
        <v>11</v>
      </c>
      <c r="C20" s="20" t="s">
        <v>111</v>
      </c>
      <c r="D20" s="20" t="s">
        <v>130</v>
      </c>
      <c r="E20" s="33">
        <v>29</v>
      </c>
      <c r="F20" s="33">
        <f t="shared" si="0"/>
        <v>17.399999999999999</v>
      </c>
      <c r="G20" s="34">
        <f>IF(AND(catpn_1_OZB_1&gt;0,catpn_1_OZV_51&gt;0),(dagenperjaar1*VLOOKUP(B20,dagsoorttabel1,2,FALSE))/(((dagenperjaar1*VLOOKUP(B20,dagsoorttabel1,2,FALSE))-catfd_1_OZV_51)/catpn_1_OZB_1+catfd_1_OZV_51/catpn_1_OZV_51),0)</f>
        <v>0</v>
      </c>
      <c r="H20" s="20" t="s">
        <v>33</v>
      </c>
      <c r="I20" s="35">
        <f>IF(AND(catpn_1_OZB_1&gt;0,catpn_1_OZV_51&gt;0),(cattf_1_OZB_1*((dagenperjaar1*VLOOKUP(B20,dagsoorttabel1,2,FALSE))-catfd_1_OZV_51)/catpn_1_OZB_1+cattf_1_OZV_51*catfd_1_OZV_51/catpn_1_OZV_51)/(((dagenperjaar1*VLOOKUP(B20,dagsoorttabel1,2,FALSE))-catfd_1_OZV_51)/catpn_1_OZB_1+catfd_1_OZV_51/catpn_1_OZV_51),0)</f>
        <v>0</v>
      </c>
      <c r="J20" s="33">
        <f t="shared" si="1"/>
        <v>0</v>
      </c>
      <c r="K20" s="35">
        <f t="shared" si="2"/>
        <v>0</v>
      </c>
      <c r="L20" s="33">
        <f t="shared" si="3"/>
        <v>0</v>
      </c>
      <c r="M20" s="35">
        <f t="shared" si="4"/>
        <v>0</v>
      </c>
    </row>
    <row r="21" spans="1:13" x14ac:dyDescent="0.2">
      <c r="A21" s="20" t="s">
        <v>129</v>
      </c>
      <c r="B21" s="20" t="s">
        <v>9</v>
      </c>
      <c r="C21" s="20" t="s">
        <v>111</v>
      </c>
      <c r="D21" s="20" t="s">
        <v>130</v>
      </c>
      <c r="E21" s="33">
        <v>327</v>
      </c>
      <c r="F21" s="33">
        <f t="shared" si="0"/>
        <v>327</v>
      </c>
      <c r="G21" s="34">
        <f>IF(AND(catpn_1_OZB_1&gt;0,catpn_1_OZV_51&gt;0),(dagenperjaar1*VLOOKUP(B21,dagsoorttabel1,2,FALSE))/(((dagenperjaar1*VLOOKUP(B21,dagsoorttabel1,2,FALSE))-catfd_1_OZV_51)/catpn_1_OZB_1+catfd_1_OZV_51/catpn_1_OZV_51),0)</f>
        <v>0</v>
      </c>
      <c r="H21" s="20" t="s">
        <v>33</v>
      </c>
      <c r="I21" s="35">
        <f>IF(AND(catpn_1_OZB_1&gt;0,catpn_1_OZV_51&gt;0),(cattf_1_OZB_1*((dagenperjaar1*VLOOKUP(B21,dagsoorttabel1,2,FALSE))-catfd_1_OZV_51)/catpn_1_OZB_1+cattf_1_OZV_51*catfd_1_OZV_51/catpn_1_OZV_51)/(((dagenperjaar1*VLOOKUP(B21,dagsoorttabel1,2,FALSE))-catfd_1_OZV_51)/catpn_1_OZB_1+catfd_1_OZV_51/catpn_1_OZV_51),0)</f>
        <v>0</v>
      </c>
      <c r="J21" s="33">
        <f t="shared" si="1"/>
        <v>0</v>
      </c>
      <c r="K21" s="35">
        <f t="shared" si="2"/>
        <v>0</v>
      </c>
      <c r="L21" s="33">
        <f t="shared" si="3"/>
        <v>0</v>
      </c>
      <c r="M21" s="35">
        <f t="shared" si="4"/>
        <v>0</v>
      </c>
    </row>
    <row r="22" spans="1:13" x14ac:dyDescent="0.2">
      <c r="A22" s="20" t="s">
        <v>131</v>
      </c>
      <c r="B22" s="20" t="s">
        <v>11</v>
      </c>
      <c r="C22" s="20" t="s">
        <v>111</v>
      </c>
      <c r="D22" s="20" t="s">
        <v>132</v>
      </c>
      <c r="E22" s="33">
        <v>3.9</v>
      </c>
      <c r="F22" s="33">
        <f t="shared" si="0"/>
        <v>2.34</v>
      </c>
      <c r="G22" s="34">
        <f>IF(AND(catpn_1_SHB_1&gt;0,catpn_1_SHV_51&gt;0),(dagenperjaar1*VLOOKUP(B22,dagsoorttabel1,2,FALSE))/(((dagenperjaar1*VLOOKUP(B22,dagsoorttabel1,2,FALSE))-catfd_1_SHV_51)/catpn_1_SHB_1+catfd_1_SHV_51/catpn_1_SHV_51),0)</f>
        <v>0</v>
      </c>
      <c r="H22" s="20" t="s">
        <v>33</v>
      </c>
      <c r="I22" s="35">
        <f>IF(AND(catpn_1_SHB_1&gt;0,catpn_1_SHV_51&gt;0),(cattf_1_SHB_1*((dagenperjaar1*VLOOKUP(B22,dagsoorttabel1,2,FALSE))-catfd_1_SHV_51)/catpn_1_SHB_1+cattf_1_SHV_51*catfd_1_SHV_51/catpn_1_SHV_51)/(((dagenperjaar1*VLOOKUP(B22,dagsoorttabel1,2,FALSE))-catfd_1_SHV_51)/catpn_1_SHB_1+catfd_1_SHV_51/catpn_1_SHV_51),0)</f>
        <v>0</v>
      </c>
      <c r="J22" s="33">
        <f t="shared" si="1"/>
        <v>0</v>
      </c>
      <c r="K22" s="35">
        <f t="shared" si="2"/>
        <v>0</v>
      </c>
      <c r="L22" s="33">
        <f t="shared" si="3"/>
        <v>0</v>
      </c>
      <c r="M22" s="35">
        <f t="shared" si="4"/>
        <v>0</v>
      </c>
    </row>
    <row r="23" spans="1:13" x14ac:dyDescent="0.2">
      <c r="A23" s="20" t="s">
        <v>131</v>
      </c>
      <c r="B23" s="20" t="s">
        <v>9</v>
      </c>
      <c r="C23" s="20" t="s">
        <v>111</v>
      </c>
      <c r="D23" s="20" t="s">
        <v>132</v>
      </c>
      <c r="E23" s="33">
        <v>108.14999999999999</v>
      </c>
      <c r="F23" s="33">
        <f t="shared" si="0"/>
        <v>108.14999999999999</v>
      </c>
      <c r="G23" s="34">
        <f>IF(AND(catpn_1_SHB_1&gt;0,catpn_1_SHV_51&gt;0),(dagenperjaar1*VLOOKUP(B23,dagsoorttabel1,2,FALSE))/(((dagenperjaar1*VLOOKUP(B23,dagsoorttabel1,2,FALSE))-catfd_1_SHV_51)/catpn_1_SHB_1+catfd_1_SHV_51/catpn_1_SHV_51),0)</f>
        <v>0</v>
      </c>
      <c r="H23" s="20" t="s">
        <v>33</v>
      </c>
      <c r="I23" s="35">
        <f>IF(AND(catpn_1_SHB_1&gt;0,catpn_1_SHV_51&gt;0),(cattf_1_SHB_1*((dagenperjaar1*VLOOKUP(B23,dagsoorttabel1,2,FALSE))-catfd_1_SHV_51)/catpn_1_SHB_1+cattf_1_SHV_51*catfd_1_SHV_51/catpn_1_SHV_51)/(((dagenperjaar1*VLOOKUP(B23,dagsoorttabel1,2,FALSE))-catfd_1_SHV_51)/catpn_1_SHB_1+catfd_1_SHV_51/catpn_1_SHV_51),0)</f>
        <v>0</v>
      </c>
      <c r="J23" s="33">
        <f t="shared" si="1"/>
        <v>0</v>
      </c>
      <c r="K23" s="35">
        <f t="shared" si="2"/>
        <v>0</v>
      </c>
      <c r="L23" s="33">
        <f t="shared" si="3"/>
        <v>0</v>
      </c>
      <c r="M23" s="35">
        <f t="shared" si="4"/>
        <v>0</v>
      </c>
    </row>
    <row r="24" spans="1:13" x14ac:dyDescent="0.2">
      <c r="A24" s="20" t="s">
        <v>133</v>
      </c>
      <c r="B24" s="20" t="s">
        <v>11</v>
      </c>
      <c r="C24" s="20" t="s">
        <v>111</v>
      </c>
      <c r="D24" s="20" t="s">
        <v>134</v>
      </c>
      <c r="E24" s="33">
        <v>19.2</v>
      </c>
      <c r="F24" s="33">
        <f t="shared" si="0"/>
        <v>11.52</v>
      </c>
      <c r="G24" s="34">
        <f>IF(AND(catpn_1_THB_1&gt;0,catpn_1_THV_51&gt;0),(dagenperjaar1*VLOOKUP(B24,dagsoorttabel1,2,FALSE))/(((dagenperjaar1*VLOOKUP(B24,dagsoorttabel1,2,FALSE))-catfd_1_THV_51)/catpn_1_THB_1+catfd_1_THV_51/catpn_1_THV_51),0)</f>
        <v>0</v>
      </c>
      <c r="H24" s="20" t="s">
        <v>33</v>
      </c>
      <c r="I24" s="35">
        <f>IF(AND(catpn_1_THB_1&gt;0,catpn_1_THV_51&gt;0),(cattf_1_THB_1*((dagenperjaar1*VLOOKUP(B24,dagsoorttabel1,2,FALSE))-catfd_1_THV_51)/catpn_1_THB_1+cattf_1_THV_51*catfd_1_THV_51/catpn_1_THV_51)/(((dagenperjaar1*VLOOKUP(B24,dagsoorttabel1,2,FALSE))-catfd_1_THV_51)/catpn_1_THB_1+catfd_1_THV_51/catpn_1_THV_51),0)</f>
        <v>0</v>
      </c>
      <c r="J24" s="33">
        <f t="shared" si="1"/>
        <v>0</v>
      </c>
      <c r="K24" s="35">
        <f t="shared" si="2"/>
        <v>0</v>
      </c>
      <c r="L24" s="33">
        <f t="shared" si="3"/>
        <v>0</v>
      </c>
      <c r="M24" s="35">
        <f t="shared" si="4"/>
        <v>0</v>
      </c>
    </row>
    <row r="25" spans="1:13" x14ac:dyDescent="0.2">
      <c r="A25" s="20" t="s">
        <v>133</v>
      </c>
      <c r="B25" s="20" t="s">
        <v>9</v>
      </c>
      <c r="C25" s="20" t="s">
        <v>111</v>
      </c>
      <c r="D25" s="20" t="s">
        <v>134</v>
      </c>
      <c r="E25" s="33">
        <v>42.5</v>
      </c>
      <c r="F25" s="33">
        <f t="shared" si="0"/>
        <v>42.5</v>
      </c>
      <c r="G25" s="34">
        <f>IF(AND(catpn_1_THB_1&gt;0,catpn_1_THV_51&gt;0),(dagenperjaar1*VLOOKUP(B25,dagsoorttabel1,2,FALSE))/(((dagenperjaar1*VLOOKUP(B25,dagsoorttabel1,2,FALSE))-catfd_1_THV_51)/catpn_1_THB_1+catfd_1_THV_51/catpn_1_THV_51),0)</f>
        <v>0</v>
      </c>
      <c r="H25" s="20" t="s">
        <v>33</v>
      </c>
      <c r="I25" s="35">
        <f>IF(AND(catpn_1_THB_1&gt;0,catpn_1_THV_51&gt;0),(cattf_1_THB_1*((dagenperjaar1*VLOOKUP(B25,dagsoorttabel1,2,FALSE))-catfd_1_THV_51)/catpn_1_THB_1+cattf_1_THV_51*catfd_1_THV_51/catpn_1_THV_51)/(((dagenperjaar1*VLOOKUP(B25,dagsoorttabel1,2,FALSE))-catfd_1_THV_51)/catpn_1_THB_1+catfd_1_THV_51/catpn_1_THV_51),0)</f>
        <v>0</v>
      </c>
      <c r="J25" s="33">
        <f t="shared" si="1"/>
        <v>0</v>
      </c>
      <c r="K25" s="35">
        <f t="shared" si="2"/>
        <v>0</v>
      </c>
      <c r="L25" s="33">
        <f t="shared" si="3"/>
        <v>0</v>
      </c>
      <c r="M25" s="35">
        <f t="shared" si="4"/>
        <v>0</v>
      </c>
    </row>
    <row r="26" spans="1:13" x14ac:dyDescent="0.2">
      <c r="A26" s="20" t="s">
        <v>135</v>
      </c>
      <c r="B26" s="20" t="s">
        <v>9</v>
      </c>
      <c r="C26" s="20" t="s">
        <v>111</v>
      </c>
      <c r="D26" s="20" t="s">
        <v>136</v>
      </c>
      <c r="E26" s="33">
        <v>19.5</v>
      </c>
      <c r="F26" s="33">
        <f t="shared" si="0"/>
        <v>19.5</v>
      </c>
      <c r="G26" s="34">
        <f>IF(AND(catpn_1_TZB_1&gt;0,catpn_1_TZV_51&gt;0),(dagenperjaar1*VLOOKUP(B26,dagsoorttabel1,2,FALSE))/(((dagenperjaar1*VLOOKUP(B26,dagsoorttabel1,2,FALSE))-catfd_1_TZV_51)/catpn_1_TZB_1+catfd_1_TZV_51/catpn_1_TZV_51),0)</f>
        <v>0</v>
      </c>
      <c r="H26" s="20" t="s">
        <v>33</v>
      </c>
      <c r="I26" s="35">
        <f>IF(AND(catpn_1_TZB_1&gt;0,catpn_1_TZV_51&gt;0),(cattf_1_TZB_1*((dagenperjaar1*VLOOKUP(B26,dagsoorttabel1,2,FALSE))-catfd_1_TZV_51)/catpn_1_TZB_1+cattf_1_TZV_51*catfd_1_TZV_51/catpn_1_TZV_51)/(((dagenperjaar1*VLOOKUP(B26,dagsoorttabel1,2,FALSE))-catfd_1_TZV_51)/catpn_1_TZB_1+catfd_1_TZV_51/catpn_1_TZV_51),0)</f>
        <v>0</v>
      </c>
      <c r="J26" s="33">
        <f t="shared" si="1"/>
        <v>0</v>
      </c>
      <c r="K26" s="35">
        <f t="shared" si="2"/>
        <v>0</v>
      </c>
      <c r="L26" s="33">
        <f t="shared" si="3"/>
        <v>0</v>
      </c>
      <c r="M26" s="35">
        <f t="shared" si="4"/>
        <v>0</v>
      </c>
    </row>
    <row r="27" spans="1:13" x14ac:dyDescent="0.2">
      <c r="A27" s="20" t="s">
        <v>137</v>
      </c>
      <c r="B27" s="20" t="s">
        <v>11</v>
      </c>
      <c r="C27" s="20" t="s">
        <v>111</v>
      </c>
      <c r="D27" s="20" t="s">
        <v>138</v>
      </c>
      <c r="E27" s="33">
        <v>59.5</v>
      </c>
      <c r="F27" s="33">
        <f t="shared" si="0"/>
        <v>35.699999999999996</v>
      </c>
      <c r="G27" s="34">
        <f>IF(AND(catpn_1_VHB_1&gt;0,catpn_1_VHV_51&gt;0),(dagenperjaar1*VLOOKUP(B27,dagsoorttabel1,2,FALSE))/(((dagenperjaar1*VLOOKUP(B27,dagsoorttabel1,2,FALSE))-catfd_1_VHV_51)/catpn_1_VHB_1+catfd_1_VHV_51/catpn_1_VHV_51),0)</f>
        <v>0</v>
      </c>
      <c r="H27" s="20" t="s">
        <v>33</v>
      </c>
      <c r="I27" s="35">
        <f>IF(AND(catpn_1_VHB_1&gt;0,catpn_1_VHV_51&gt;0),(cattf_1_VHB_1*((dagenperjaar1*VLOOKUP(B27,dagsoorttabel1,2,FALSE))-catfd_1_VHV_51)/catpn_1_VHB_1+cattf_1_VHV_51*catfd_1_VHV_51/catpn_1_VHV_51)/(((dagenperjaar1*VLOOKUP(B27,dagsoorttabel1,2,FALSE))-catfd_1_VHV_51)/catpn_1_VHB_1+catfd_1_VHV_51/catpn_1_VHV_51),0)</f>
        <v>0</v>
      </c>
      <c r="J27" s="33">
        <f t="shared" si="1"/>
        <v>0</v>
      </c>
      <c r="K27" s="35">
        <f t="shared" si="2"/>
        <v>0</v>
      </c>
      <c r="L27" s="33">
        <f t="shared" si="3"/>
        <v>0</v>
      </c>
      <c r="M27" s="35">
        <f t="shared" si="4"/>
        <v>0</v>
      </c>
    </row>
    <row r="28" spans="1:13" x14ac:dyDescent="0.2">
      <c r="A28" s="20" t="s">
        <v>137</v>
      </c>
      <c r="B28" s="20" t="s">
        <v>9</v>
      </c>
      <c r="C28" s="20" t="s">
        <v>111</v>
      </c>
      <c r="D28" s="20" t="s">
        <v>139</v>
      </c>
      <c r="E28" s="33">
        <v>580.80000000000007</v>
      </c>
      <c r="F28" s="33">
        <f t="shared" si="0"/>
        <v>580.80000000000007</v>
      </c>
      <c r="G28" s="34">
        <f>IF(AND(catpn_1_VHB_1&gt;0,catpn_1_VHV_51&gt;0),(dagenperjaar1*VLOOKUP(B28,dagsoorttabel1,2,FALSE))/(((dagenperjaar1*VLOOKUP(B28,dagsoorttabel1,2,FALSE))-catfd_1_VHV_51)/catpn_1_VHB_1+catfd_1_VHV_51/catpn_1_VHV_51),0)</f>
        <v>0</v>
      </c>
      <c r="H28" s="20" t="s">
        <v>33</v>
      </c>
      <c r="I28" s="35">
        <f>IF(AND(catpn_1_VHB_1&gt;0,catpn_1_VHV_51&gt;0),(cattf_1_VHB_1*((dagenperjaar1*VLOOKUP(B28,dagsoorttabel1,2,FALSE))-catfd_1_VHV_51)/catpn_1_VHB_1+cattf_1_VHV_51*catfd_1_VHV_51/catpn_1_VHV_51)/(((dagenperjaar1*VLOOKUP(B28,dagsoorttabel1,2,FALSE))-catfd_1_VHV_51)/catpn_1_VHB_1+catfd_1_VHV_51/catpn_1_VHV_51),0)</f>
        <v>0</v>
      </c>
      <c r="J28" s="33">
        <f t="shared" si="1"/>
        <v>0</v>
      </c>
      <c r="K28" s="35">
        <f t="shared" si="2"/>
        <v>0</v>
      </c>
      <c r="L28" s="33">
        <f t="shared" si="3"/>
        <v>0</v>
      </c>
      <c r="M28" s="35">
        <f t="shared" si="4"/>
        <v>0</v>
      </c>
    </row>
    <row r="29" spans="1:13" x14ac:dyDescent="0.2">
      <c r="A29" s="20" t="s">
        <v>140</v>
      </c>
      <c r="B29" s="20" t="s">
        <v>11</v>
      </c>
      <c r="C29" s="20" t="s">
        <v>111</v>
      </c>
      <c r="D29" s="20" t="s">
        <v>141</v>
      </c>
      <c r="E29" s="33">
        <v>13.2</v>
      </c>
      <c r="F29" s="33">
        <f t="shared" si="0"/>
        <v>7.919999999999999</v>
      </c>
      <c r="G29" s="34">
        <f>IF(AND(catpn_1_VZB_1&gt;0,catpn_1_VZV_51&gt;0),(dagenperjaar1*VLOOKUP(B29,dagsoorttabel1,2,FALSE))/(((dagenperjaar1*VLOOKUP(B29,dagsoorttabel1,2,FALSE))-catfd_1_VZV_51)/catpn_1_VZB_1+catfd_1_VZV_51/catpn_1_VZV_51),0)</f>
        <v>0</v>
      </c>
      <c r="H29" s="20" t="s">
        <v>33</v>
      </c>
      <c r="I29" s="35">
        <f>IF(AND(catpn_1_VZB_1&gt;0,catpn_1_VZV_51&gt;0),(cattf_1_VZB_1*((dagenperjaar1*VLOOKUP(B29,dagsoorttabel1,2,FALSE))-catfd_1_VZV_51)/catpn_1_VZB_1+cattf_1_VZV_51*catfd_1_VZV_51/catpn_1_VZV_51)/(((dagenperjaar1*VLOOKUP(B29,dagsoorttabel1,2,FALSE))-catfd_1_VZV_51)/catpn_1_VZB_1+catfd_1_VZV_51/catpn_1_VZV_51),0)</f>
        <v>0</v>
      </c>
      <c r="J29" s="33">
        <f t="shared" si="1"/>
        <v>0</v>
      </c>
      <c r="K29" s="35">
        <f t="shared" si="2"/>
        <v>0</v>
      </c>
      <c r="L29" s="33">
        <f t="shared" si="3"/>
        <v>0</v>
      </c>
      <c r="M29" s="35">
        <f t="shared" si="4"/>
        <v>0</v>
      </c>
    </row>
    <row r="30" spans="1:13" x14ac:dyDescent="0.2">
      <c r="A30" s="20" t="s">
        <v>140</v>
      </c>
      <c r="B30" s="20" t="s">
        <v>9</v>
      </c>
      <c r="C30" s="20" t="s">
        <v>111</v>
      </c>
      <c r="D30" s="20" t="s">
        <v>141</v>
      </c>
      <c r="E30" s="33">
        <v>519.70000000000005</v>
      </c>
      <c r="F30" s="33">
        <f t="shared" si="0"/>
        <v>519.70000000000005</v>
      </c>
      <c r="G30" s="34">
        <f>IF(AND(catpn_1_VZB_1&gt;0,catpn_1_VZV_51&gt;0),(dagenperjaar1*VLOOKUP(B30,dagsoorttabel1,2,FALSE))/(((dagenperjaar1*VLOOKUP(B30,dagsoorttabel1,2,FALSE))-catfd_1_VZV_51)/catpn_1_VZB_1+catfd_1_VZV_51/catpn_1_VZV_51),0)</f>
        <v>0</v>
      </c>
      <c r="H30" s="20" t="s">
        <v>33</v>
      </c>
      <c r="I30" s="35">
        <f>IF(AND(catpn_1_VZB_1&gt;0,catpn_1_VZV_51&gt;0),(cattf_1_VZB_1*((dagenperjaar1*VLOOKUP(B30,dagsoorttabel1,2,FALSE))-catfd_1_VZV_51)/catpn_1_VZB_1+cattf_1_VZV_51*catfd_1_VZV_51/catpn_1_VZV_51)/(((dagenperjaar1*VLOOKUP(B30,dagsoorttabel1,2,FALSE))-catfd_1_VZV_51)/catpn_1_VZB_1+catfd_1_VZV_51/catpn_1_VZV_51),0)</f>
        <v>0</v>
      </c>
      <c r="J30" s="33">
        <f t="shared" si="1"/>
        <v>0</v>
      </c>
      <c r="K30" s="35">
        <f t="shared" si="2"/>
        <v>0</v>
      </c>
      <c r="L30" s="33">
        <f t="shared" si="3"/>
        <v>0</v>
      </c>
      <c r="M30" s="35">
        <f t="shared" si="4"/>
        <v>0</v>
      </c>
    </row>
    <row r="31" spans="1:13" x14ac:dyDescent="0.2">
      <c r="A31" s="20" t="s">
        <v>142</v>
      </c>
      <c r="B31" s="20" t="s">
        <v>9</v>
      </c>
      <c r="C31" s="20" t="s">
        <v>111</v>
      </c>
      <c r="D31" s="20" t="s">
        <v>143</v>
      </c>
      <c r="E31" s="33">
        <v>89.6</v>
      </c>
      <c r="F31" s="33">
        <f t="shared" si="0"/>
        <v>89.6</v>
      </c>
      <c r="G31" s="34">
        <f>IF(AND(catpn_1_WHB_1&gt;0,catpn_1_WHV_51&gt;0),(dagenperjaar1*VLOOKUP(B31,dagsoorttabel1,2,FALSE))/(((dagenperjaar1*VLOOKUP(B31,dagsoorttabel1,2,FALSE))-catfd_1_WHV_51)/catpn_1_WHB_1+catfd_1_WHV_51/catpn_1_WHV_51),0)</f>
        <v>0</v>
      </c>
      <c r="H31" s="20" t="s">
        <v>33</v>
      </c>
      <c r="I31" s="35">
        <f>IF(AND(catpn_1_WHB_1&gt;0,catpn_1_WHV_51&gt;0),(cattf_1_WHB_1*((dagenperjaar1*VLOOKUP(B31,dagsoorttabel1,2,FALSE))-catfd_1_WHV_51)/catpn_1_WHB_1+cattf_1_WHV_51*catfd_1_WHV_51/catpn_1_WHV_51)/(((dagenperjaar1*VLOOKUP(B31,dagsoorttabel1,2,FALSE))-catfd_1_WHV_51)/catpn_1_WHB_1+catfd_1_WHV_51/catpn_1_WHV_51),0)</f>
        <v>0</v>
      </c>
      <c r="J31" s="33">
        <f t="shared" si="1"/>
        <v>0</v>
      </c>
      <c r="K31" s="35">
        <f t="shared" si="2"/>
        <v>0</v>
      </c>
      <c r="L31" s="33">
        <f t="shared" si="3"/>
        <v>0</v>
      </c>
      <c r="M31" s="35">
        <f t="shared" si="4"/>
        <v>0</v>
      </c>
    </row>
    <row r="32" spans="1:13" x14ac:dyDescent="0.2">
      <c r="A32" s="20" t="s">
        <v>144</v>
      </c>
      <c r="B32" s="20" t="s">
        <v>9</v>
      </c>
      <c r="C32" s="20" t="s">
        <v>111</v>
      </c>
      <c r="D32" s="20" t="s">
        <v>145</v>
      </c>
      <c r="E32" s="33">
        <v>13</v>
      </c>
      <c r="F32" s="33">
        <f t="shared" si="0"/>
        <v>13</v>
      </c>
      <c r="G32" s="34">
        <f>IF(AND(catpn_1_WZB_1&gt;0,catpn_1_WZV_51&gt;0),(dagenperjaar1*VLOOKUP(B32,dagsoorttabel1,2,FALSE))/(((dagenperjaar1*VLOOKUP(B32,dagsoorttabel1,2,FALSE))-catfd_1_WZV_51)/catpn_1_WZB_1+catfd_1_WZV_51/catpn_1_WZV_51),0)</f>
        <v>0</v>
      </c>
      <c r="H32" s="20" t="s">
        <v>33</v>
      </c>
      <c r="I32" s="35">
        <f>IF(AND(catpn_1_WZB_1&gt;0,catpn_1_WZV_51&gt;0),(cattf_1_WZB_1*((dagenperjaar1*VLOOKUP(B32,dagsoorttabel1,2,FALSE))-catfd_1_WZV_51)/catpn_1_WZB_1+cattf_1_WZV_51*catfd_1_WZV_51/catpn_1_WZV_51)/(((dagenperjaar1*VLOOKUP(B32,dagsoorttabel1,2,FALSE))-catfd_1_WZV_51)/catpn_1_WZB_1+catfd_1_WZV_51/catpn_1_WZV_51),0)</f>
        <v>0</v>
      </c>
      <c r="J32" s="33">
        <f t="shared" si="1"/>
        <v>0</v>
      </c>
      <c r="K32" s="35">
        <f t="shared" si="2"/>
        <v>0</v>
      </c>
      <c r="L32" s="33">
        <f t="shared" si="3"/>
        <v>0</v>
      </c>
      <c r="M32" s="35">
        <f t="shared" si="4"/>
        <v>0</v>
      </c>
    </row>
    <row r="33" spans="1:13" x14ac:dyDescent="0.2">
      <c r="A33" s="25" t="s">
        <v>146</v>
      </c>
      <c r="B33" s="25" t="s">
        <v>9</v>
      </c>
      <c r="C33" s="25" t="s">
        <v>147</v>
      </c>
      <c r="D33" s="25" t="s">
        <v>148</v>
      </c>
      <c r="E33" s="36">
        <v>3</v>
      </c>
      <c r="F33" s="36">
        <f t="shared" si="0"/>
        <v>3</v>
      </c>
      <c r="G33" s="37"/>
      <c r="H33" s="25" t="s">
        <v>149</v>
      </c>
      <c r="I33" s="29"/>
      <c r="J33" s="36">
        <f>F33*ROUND(G33,4)/60</f>
        <v>0</v>
      </c>
      <c r="K33" s="38">
        <f t="shared" si="2"/>
        <v>0</v>
      </c>
      <c r="L33" s="36">
        <f t="shared" si="3"/>
        <v>0</v>
      </c>
      <c r="M33" s="38">
        <f t="shared" si="4"/>
        <v>0</v>
      </c>
    </row>
    <row r="34" spans="1:13" x14ac:dyDescent="0.2">
      <c r="A34" s="40" t="s">
        <v>150</v>
      </c>
      <c r="B34" s="41"/>
      <c r="C34" s="41"/>
      <c r="D34" s="41"/>
      <c r="E34" s="41"/>
      <c r="F34" s="41"/>
      <c r="G34" s="41"/>
      <c r="H34" s="41"/>
      <c r="I34" s="41"/>
      <c r="J34" s="42">
        <f>SUM(J6:J33)</f>
        <v>0</v>
      </c>
      <c r="K34" s="43">
        <f>SUM(K6:K33)</f>
        <v>0</v>
      </c>
      <c r="L34" s="42">
        <f>SUM(L6:L33)</f>
        <v>0</v>
      </c>
      <c r="M34" s="44">
        <f>SUM(M6:M33)</f>
        <v>0</v>
      </c>
    </row>
    <row r="35" spans="1:13" x14ac:dyDescent="0.2">
      <c r="A35" s="45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6"/>
    </row>
    <row r="36" spans="1:13" x14ac:dyDescent="0.2">
      <c r="A36" s="40" t="s">
        <v>151</v>
      </c>
      <c r="B36" s="41"/>
      <c r="C36" s="41"/>
      <c r="D36" s="41"/>
      <c r="E36" s="41"/>
      <c r="F36" s="41"/>
      <c r="G36" s="41"/>
      <c r="H36" s="41"/>
      <c r="I36" s="43">
        <f>IF(urenjaar1&gt;0,SUMIF(L6:L33,"&gt;0",M6:M33)/urenjaar1,0)</f>
        <v>0</v>
      </c>
      <c r="J36" s="41"/>
      <c r="K36" s="41"/>
      <c r="L36" s="41"/>
      <c r="M36" s="46"/>
    </row>
    <row r="37" spans="1:13" x14ac:dyDescent="0.2">
      <c r="A37" s="45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6"/>
    </row>
    <row r="39" spans="1:13" x14ac:dyDescent="0.2">
      <c r="A39" s="40" t="s">
        <v>152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2">
        <f>urenjaar1</f>
        <v>0</v>
      </c>
      <c r="M39" s="43">
        <f>prijsjaar1</f>
        <v>0</v>
      </c>
    </row>
  </sheetData>
  <sheetProtection algorithmName="SHA-512" hashValue="HDpX6BJX/xEOkEwwPCtarvDGma4pHQGXyJG31/vyN5QsfoXp+qDjmlF6dP5yNE3RXFtiM0+nG702WkzhtqxElA==" saltValue="KgHe3+a1owd9XiOqa0X4Sg==" spinCount="100000" sheet="1" objects="1" scenarios="1" autoFilter="0"/>
  <pageMargins left="0.7" right="0.7" top="0.75" bottom="0.75" header="0.3" footer="0.3"/>
  <pageSetup scale="70" orientation="landscape" r:id="rId1"/>
  <headerFooter>
    <oddFooter>&amp;LGGD Noord- en Oost Gelderland                               &amp;ROpmaakdatum: 19-08-2024
Intexso - Plantageweg 23E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B0DA0-83AE-4DF6-982C-1C28813EFB0F}">
  <dimension ref="A1:R201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2.75" x14ac:dyDescent="0.2"/>
  <cols>
    <col min="1" max="1" width="8.625" customWidth="1"/>
    <col min="2" max="3" width="7.625" customWidth="1"/>
    <col min="4" max="4" width="10.625" customWidth="1"/>
    <col min="5" max="5" width="25.625" customWidth="1"/>
    <col min="6" max="6" width="11.625" customWidth="1"/>
    <col min="7" max="7" width="7.625" customWidth="1"/>
    <col min="8" max="8" width="6.625" customWidth="1"/>
    <col min="9" max="9" width="8.625" customWidth="1"/>
    <col min="10" max="11" width="10.625" customWidth="1"/>
    <col min="12" max="12" width="11.625" customWidth="1"/>
    <col min="13" max="13" width="9.625" customWidth="1"/>
    <col min="14" max="16" width="11.625" customWidth="1"/>
    <col min="17" max="17" width="12.625" customWidth="1"/>
    <col min="18" max="18" width="14.625" customWidth="1"/>
  </cols>
  <sheetData>
    <row r="1" spans="1:18" x14ac:dyDescent="0.2">
      <c r="A1" s="1" t="str">
        <f>CONCATENATE("Bijlage D.3: ",tabeltype," ruimten werkdag")</f>
        <v>Bijlage D.3: Invultabel ruimten werkdag</v>
      </c>
    </row>
    <row r="3" spans="1:18" ht="38.25" x14ac:dyDescent="0.2">
      <c r="A3" s="47" t="s">
        <v>153</v>
      </c>
      <c r="B3" s="8" t="s">
        <v>154</v>
      </c>
      <c r="C3" s="8" t="s">
        <v>155</v>
      </c>
      <c r="D3" s="8" t="s">
        <v>156</v>
      </c>
      <c r="E3" s="8" t="s">
        <v>157</v>
      </c>
      <c r="F3" s="8" t="s">
        <v>158</v>
      </c>
      <c r="G3" s="8" t="s">
        <v>102</v>
      </c>
      <c r="H3" s="8" t="s">
        <v>7</v>
      </c>
      <c r="I3" s="8" t="s">
        <v>159</v>
      </c>
      <c r="J3" s="8" t="s">
        <v>104</v>
      </c>
      <c r="K3" s="8" t="s">
        <v>105</v>
      </c>
      <c r="L3" s="8" t="s">
        <v>25</v>
      </c>
      <c r="M3" s="8" t="s">
        <v>27</v>
      </c>
      <c r="N3" s="8" t="s">
        <v>28</v>
      </c>
      <c r="O3" s="8" t="s">
        <v>106</v>
      </c>
      <c r="P3" s="8" t="s">
        <v>107</v>
      </c>
      <c r="Q3" s="8" t="s">
        <v>108</v>
      </c>
      <c r="R3" s="48" t="s">
        <v>109</v>
      </c>
    </row>
    <row r="4" spans="1:18" x14ac:dyDescent="0.2">
      <c r="A4" s="49" t="s">
        <v>160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39"/>
    </row>
    <row r="5" spans="1:18" x14ac:dyDescent="0.2">
      <c r="A5" s="50" t="s">
        <v>161</v>
      </c>
      <c r="B5" s="51" t="s">
        <v>162</v>
      </c>
      <c r="C5" s="51" t="s">
        <v>163</v>
      </c>
      <c r="D5" s="51" t="s">
        <v>164</v>
      </c>
      <c r="E5" s="52" t="s">
        <v>165</v>
      </c>
      <c r="F5" s="51" t="s">
        <v>166</v>
      </c>
      <c r="G5" s="51" t="s">
        <v>119</v>
      </c>
      <c r="H5" s="51" t="s">
        <v>9</v>
      </c>
      <c r="I5" s="51" t="s">
        <v>111</v>
      </c>
      <c r="J5" s="53">
        <v>3.4</v>
      </c>
      <c r="K5" s="53">
        <f t="shared" ref="K5:K23" si="0">J5*VLOOKUP(H5,dagsoorttabel1,2,FALSE)</f>
        <v>3.4</v>
      </c>
      <c r="L5" s="54">
        <f>prodnorm14</f>
        <v>0</v>
      </c>
      <c r="M5" s="51" t="s">
        <v>33</v>
      </c>
      <c r="N5" s="55">
        <f>uurtarief14</f>
        <v>0</v>
      </c>
      <c r="O5" s="53" t="e">
        <f t="shared" ref="O5:O22" si="1">IF(ISBLANK(L5),0,K5/ROUND(L5,4))</f>
        <v>#DIV/0!</v>
      </c>
      <c r="P5" s="55" t="e">
        <f t="shared" ref="P5:P23" si="2">ROUND(N5,2)*O5</f>
        <v>#DIV/0!</v>
      </c>
      <c r="Q5" s="53" t="e">
        <f t="shared" ref="Q5:Q23" si="3">O5*dagenperjaar1</f>
        <v>#DIV/0!</v>
      </c>
      <c r="R5" s="56" t="e">
        <f t="shared" ref="R5:R23" si="4">Q5*ROUND(N5,2)</f>
        <v>#DIV/0!</v>
      </c>
    </row>
    <row r="6" spans="1:18" x14ac:dyDescent="0.2">
      <c r="A6" s="57" t="s">
        <v>161</v>
      </c>
      <c r="B6" s="58" t="s">
        <v>162</v>
      </c>
      <c r="C6" s="58" t="s">
        <v>163</v>
      </c>
      <c r="D6" s="58" t="s">
        <v>167</v>
      </c>
      <c r="E6" s="59" t="s">
        <v>168</v>
      </c>
      <c r="F6" s="58" t="s">
        <v>169</v>
      </c>
      <c r="G6" s="58" t="s">
        <v>142</v>
      </c>
      <c r="H6" s="58" t="s">
        <v>9</v>
      </c>
      <c r="I6" s="58" t="s">
        <v>111</v>
      </c>
      <c r="J6" s="60">
        <v>12.5</v>
      </c>
      <c r="K6" s="60">
        <f t="shared" si="0"/>
        <v>12.5</v>
      </c>
      <c r="L6" s="61">
        <f>prodnorm33</f>
        <v>0</v>
      </c>
      <c r="M6" s="58" t="s">
        <v>33</v>
      </c>
      <c r="N6" s="62">
        <f>uurtarief33</f>
        <v>0</v>
      </c>
      <c r="O6" s="60" t="e">
        <f t="shared" si="1"/>
        <v>#DIV/0!</v>
      </c>
      <c r="P6" s="62" t="e">
        <f t="shared" si="2"/>
        <v>#DIV/0!</v>
      </c>
      <c r="Q6" s="60" t="e">
        <f t="shared" si="3"/>
        <v>#DIV/0!</v>
      </c>
      <c r="R6" s="63" t="e">
        <f t="shared" si="4"/>
        <v>#DIV/0!</v>
      </c>
    </row>
    <row r="7" spans="1:18" x14ac:dyDescent="0.2">
      <c r="A7" s="57" t="s">
        <v>161</v>
      </c>
      <c r="B7" s="58" t="s">
        <v>162</v>
      </c>
      <c r="C7" s="58" t="s">
        <v>163</v>
      </c>
      <c r="D7" s="58" t="s">
        <v>170</v>
      </c>
      <c r="E7" s="59" t="s">
        <v>168</v>
      </c>
      <c r="F7" s="58" t="s">
        <v>169</v>
      </c>
      <c r="G7" s="58" t="s">
        <v>142</v>
      </c>
      <c r="H7" s="58" t="s">
        <v>9</v>
      </c>
      <c r="I7" s="58" t="s">
        <v>111</v>
      </c>
      <c r="J7" s="60">
        <v>6.4</v>
      </c>
      <c r="K7" s="60">
        <f t="shared" si="0"/>
        <v>6.4</v>
      </c>
      <c r="L7" s="61">
        <f>prodnorm33</f>
        <v>0</v>
      </c>
      <c r="M7" s="58" t="s">
        <v>33</v>
      </c>
      <c r="N7" s="62">
        <f>uurtarief33</f>
        <v>0</v>
      </c>
      <c r="O7" s="60" t="e">
        <f t="shared" si="1"/>
        <v>#DIV/0!</v>
      </c>
      <c r="P7" s="62" t="e">
        <f t="shared" si="2"/>
        <v>#DIV/0!</v>
      </c>
      <c r="Q7" s="60" t="e">
        <f t="shared" si="3"/>
        <v>#DIV/0!</v>
      </c>
      <c r="R7" s="63" t="e">
        <f t="shared" si="4"/>
        <v>#DIV/0!</v>
      </c>
    </row>
    <row r="8" spans="1:18" x14ac:dyDescent="0.2">
      <c r="A8" s="57" t="s">
        <v>161</v>
      </c>
      <c r="B8" s="58" t="s">
        <v>162</v>
      </c>
      <c r="C8" s="58" t="s">
        <v>163</v>
      </c>
      <c r="D8" s="58" t="s">
        <v>171</v>
      </c>
      <c r="E8" s="59" t="s">
        <v>172</v>
      </c>
      <c r="F8" s="58" t="s">
        <v>169</v>
      </c>
      <c r="G8" s="58" t="s">
        <v>137</v>
      </c>
      <c r="H8" s="58" t="s">
        <v>9</v>
      </c>
      <c r="I8" s="58" t="s">
        <v>111</v>
      </c>
      <c r="J8" s="60">
        <v>5.4</v>
      </c>
      <c r="K8" s="60">
        <f t="shared" si="0"/>
        <v>5.4</v>
      </c>
      <c r="L8" s="61">
        <f>prodnorm30</f>
        <v>0</v>
      </c>
      <c r="M8" s="58" t="s">
        <v>33</v>
      </c>
      <c r="N8" s="62">
        <f>uurtarief30</f>
        <v>0</v>
      </c>
      <c r="O8" s="60" t="e">
        <f t="shared" si="1"/>
        <v>#DIV/0!</v>
      </c>
      <c r="P8" s="62" t="e">
        <f t="shared" si="2"/>
        <v>#DIV/0!</v>
      </c>
      <c r="Q8" s="60" t="e">
        <f t="shared" si="3"/>
        <v>#DIV/0!</v>
      </c>
      <c r="R8" s="63" t="e">
        <f t="shared" si="4"/>
        <v>#DIV/0!</v>
      </c>
    </row>
    <row r="9" spans="1:18" x14ac:dyDescent="0.2">
      <c r="A9" s="57" t="s">
        <v>161</v>
      </c>
      <c r="B9" s="58" t="s">
        <v>162</v>
      </c>
      <c r="C9" s="58" t="s">
        <v>163</v>
      </c>
      <c r="D9" s="58" t="s">
        <v>173</v>
      </c>
      <c r="E9" s="59" t="s">
        <v>174</v>
      </c>
      <c r="F9" s="58" t="s">
        <v>175</v>
      </c>
      <c r="G9" s="58" t="s">
        <v>131</v>
      </c>
      <c r="H9" s="58" t="s">
        <v>9</v>
      </c>
      <c r="I9" s="58" t="s">
        <v>111</v>
      </c>
      <c r="J9" s="60">
        <v>1.5</v>
      </c>
      <c r="K9" s="60">
        <f t="shared" si="0"/>
        <v>1.5</v>
      </c>
      <c r="L9" s="61">
        <f>prodnorm25</f>
        <v>0</v>
      </c>
      <c r="M9" s="58" t="s">
        <v>33</v>
      </c>
      <c r="N9" s="62">
        <f>uurtarief25</f>
        <v>0</v>
      </c>
      <c r="O9" s="60" t="e">
        <f t="shared" si="1"/>
        <v>#DIV/0!</v>
      </c>
      <c r="P9" s="62" t="e">
        <f t="shared" si="2"/>
        <v>#DIV/0!</v>
      </c>
      <c r="Q9" s="60" t="e">
        <f t="shared" si="3"/>
        <v>#DIV/0!</v>
      </c>
      <c r="R9" s="63" t="e">
        <f t="shared" si="4"/>
        <v>#DIV/0!</v>
      </c>
    </row>
    <row r="10" spans="1:18" x14ac:dyDescent="0.2">
      <c r="A10" s="57" t="s">
        <v>161</v>
      </c>
      <c r="B10" s="58" t="s">
        <v>162</v>
      </c>
      <c r="C10" s="58" t="s">
        <v>163</v>
      </c>
      <c r="D10" s="58" t="s">
        <v>176</v>
      </c>
      <c r="E10" s="59" t="s">
        <v>177</v>
      </c>
      <c r="F10" s="58" t="s">
        <v>175</v>
      </c>
      <c r="G10" s="58" t="s">
        <v>131</v>
      </c>
      <c r="H10" s="58" t="s">
        <v>9</v>
      </c>
      <c r="I10" s="58" t="s">
        <v>111</v>
      </c>
      <c r="J10" s="60">
        <v>1.5</v>
      </c>
      <c r="K10" s="60">
        <f t="shared" si="0"/>
        <v>1.5</v>
      </c>
      <c r="L10" s="61">
        <f>prodnorm25</f>
        <v>0</v>
      </c>
      <c r="M10" s="58" t="s">
        <v>33</v>
      </c>
      <c r="N10" s="62">
        <f>uurtarief25</f>
        <v>0</v>
      </c>
      <c r="O10" s="60" t="e">
        <f t="shared" si="1"/>
        <v>#DIV/0!</v>
      </c>
      <c r="P10" s="62" t="e">
        <f t="shared" si="2"/>
        <v>#DIV/0!</v>
      </c>
      <c r="Q10" s="60" t="e">
        <f t="shared" si="3"/>
        <v>#DIV/0!</v>
      </c>
      <c r="R10" s="63" t="e">
        <f t="shared" si="4"/>
        <v>#DIV/0!</v>
      </c>
    </row>
    <row r="11" spans="1:18" x14ac:dyDescent="0.2">
      <c r="A11" s="57" t="s">
        <v>161</v>
      </c>
      <c r="B11" s="58" t="s">
        <v>162</v>
      </c>
      <c r="C11" s="58" t="s">
        <v>163</v>
      </c>
      <c r="D11" s="58" t="s">
        <v>178</v>
      </c>
      <c r="E11" s="59" t="s">
        <v>179</v>
      </c>
      <c r="F11" s="58" t="s">
        <v>169</v>
      </c>
      <c r="G11" s="58" t="s">
        <v>125</v>
      </c>
      <c r="H11" s="58" t="s">
        <v>9</v>
      </c>
      <c r="I11" s="58" t="s">
        <v>111</v>
      </c>
      <c r="J11" s="60">
        <v>8.3000000000000007</v>
      </c>
      <c r="K11" s="60">
        <f t="shared" si="0"/>
        <v>8.3000000000000007</v>
      </c>
      <c r="L11" s="61">
        <f>prodnorm19</f>
        <v>0</v>
      </c>
      <c r="M11" s="58" t="s">
        <v>33</v>
      </c>
      <c r="N11" s="62">
        <f>uurtarief19</f>
        <v>0</v>
      </c>
      <c r="O11" s="60" t="e">
        <f t="shared" si="1"/>
        <v>#DIV/0!</v>
      </c>
      <c r="P11" s="62" t="e">
        <f t="shared" si="2"/>
        <v>#DIV/0!</v>
      </c>
      <c r="Q11" s="60" t="e">
        <f t="shared" si="3"/>
        <v>#DIV/0!</v>
      </c>
      <c r="R11" s="63" t="e">
        <f t="shared" si="4"/>
        <v>#DIV/0!</v>
      </c>
    </row>
    <row r="12" spans="1:18" x14ac:dyDescent="0.2">
      <c r="A12" s="57" t="s">
        <v>161</v>
      </c>
      <c r="B12" s="58" t="s">
        <v>162</v>
      </c>
      <c r="C12" s="58" t="s">
        <v>163</v>
      </c>
      <c r="D12" s="58" t="s">
        <v>180</v>
      </c>
      <c r="E12" s="59" t="s">
        <v>172</v>
      </c>
      <c r="F12" s="58" t="s">
        <v>169</v>
      </c>
      <c r="G12" s="58" t="s">
        <v>137</v>
      </c>
      <c r="H12" s="58" t="s">
        <v>9</v>
      </c>
      <c r="I12" s="58" t="s">
        <v>111</v>
      </c>
      <c r="J12" s="60">
        <v>2.8</v>
      </c>
      <c r="K12" s="60">
        <f t="shared" si="0"/>
        <v>2.8</v>
      </c>
      <c r="L12" s="61">
        <f>prodnorm30</f>
        <v>0</v>
      </c>
      <c r="M12" s="58" t="s">
        <v>33</v>
      </c>
      <c r="N12" s="62">
        <f>uurtarief30</f>
        <v>0</v>
      </c>
      <c r="O12" s="60" t="e">
        <f t="shared" si="1"/>
        <v>#DIV/0!</v>
      </c>
      <c r="P12" s="62" t="e">
        <f t="shared" si="2"/>
        <v>#DIV/0!</v>
      </c>
      <c r="Q12" s="60" t="e">
        <f t="shared" si="3"/>
        <v>#DIV/0!</v>
      </c>
      <c r="R12" s="63" t="e">
        <f t="shared" si="4"/>
        <v>#DIV/0!</v>
      </c>
    </row>
    <row r="13" spans="1:18" x14ac:dyDescent="0.2">
      <c r="A13" s="57" t="s">
        <v>161</v>
      </c>
      <c r="B13" s="58" t="s">
        <v>162</v>
      </c>
      <c r="C13" s="58" t="s">
        <v>163</v>
      </c>
      <c r="D13" s="58" t="s">
        <v>181</v>
      </c>
      <c r="E13" s="59" t="s">
        <v>182</v>
      </c>
      <c r="F13" s="58" t="s">
        <v>169</v>
      </c>
      <c r="G13" s="58" t="s">
        <v>123</v>
      </c>
      <c r="H13" s="58" t="s">
        <v>9</v>
      </c>
      <c r="I13" s="58" t="s">
        <v>111</v>
      </c>
      <c r="J13" s="60">
        <v>10.199999999999999</v>
      </c>
      <c r="K13" s="60">
        <f t="shared" si="0"/>
        <v>10.199999999999999</v>
      </c>
      <c r="L13" s="61">
        <f>prodnorm17</f>
        <v>0</v>
      </c>
      <c r="M13" s="58" t="s">
        <v>33</v>
      </c>
      <c r="N13" s="62">
        <f>uurtarief17</f>
        <v>0</v>
      </c>
      <c r="O13" s="60" t="e">
        <f t="shared" si="1"/>
        <v>#DIV/0!</v>
      </c>
      <c r="P13" s="62" t="e">
        <f t="shared" si="2"/>
        <v>#DIV/0!</v>
      </c>
      <c r="Q13" s="60" t="e">
        <f t="shared" si="3"/>
        <v>#DIV/0!</v>
      </c>
      <c r="R13" s="63" t="e">
        <f t="shared" si="4"/>
        <v>#DIV/0!</v>
      </c>
    </row>
    <row r="14" spans="1:18" x14ac:dyDescent="0.2">
      <c r="A14" s="57" t="s">
        <v>161</v>
      </c>
      <c r="B14" s="58" t="s">
        <v>162</v>
      </c>
      <c r="C14" s="58" t="s">
        <v>163</v>
      </c>
      <c r="D14" s="58" t="s">
        <v>183</v>
      </c>
      <c r="E14" s="59" t="s">
        <v>182</v>
      </c>
      <c r="F14" s="58" t="s">
        <v>169</v>
      </c>
      <c r="G14" s="58" t="s">
        <v>123</v>
      </c>
      <c r="H14" s="58" t="s">
        <v>9</v>
      </c>
      <c r="I14" s="58" t="s">
        <v>111</v>
      </c>
      <c r="J14" s="60">
        <v>19.600000000000001</v>
      </c>
      <c r="K14" s="60">
        <f t="shared" si="0"/>
        <v>19.600000000000001</v>
      </c>
      <c r="L14" s="61">
        <f>prodnorm17</f>
        <v>0</v>
      </c>
      <c r="M14" s="58" t="s">
        <v>33</v>
      </c>
      <c r="N14" s="62">
        <f>uurtarief17</f>
        <v>0</v>
      </c>
      <c r="O14" s="60" t="e">
        <f t="shared" si="1"/>
        <v>#DIV/0!</v>
      </c>
      <c r="P14" s="62" t="e">
        <f t="shared" si="2"/>
        <v>#DIV/0!</v>
      </c>
      <c r="Q14" s="60" t="e">
        <f t="shared" si="3"/>
        <v>#DIV/0!</v>
      </c>
      <c r="R14" s="63" t="e">
        <f t="shared" si="4"/>
        <v>#DIV/0!</v>
      </c>
    </row>
    <row r="15" spans="1:18" x14ac:dyDescent="0.2">
      <c r="A15" s="57" t="s">
        <v>161</v>
      </c>
      <c r="B15" s="58" t="s">
        <v>162</v>
      </c>
      <c r="C15" s="58" t="s">
        <v>163</v>
      </c>
      <c r="D15" s="58" t="s">
        <v>184</v>
      </c>
      <c r="E15" s="59" t="s">
        <v>182</v>
      </c>
      <c r="F15" s="58" t="s">
        <v>169</v>
      </c>
      <c r="G15" s="58" t="s">
        <v>123</v>
      </c>
      <c r="H15" s="58" t="s">
        <v>9</v>
      </c>
      <c r="I15" s="58" t="s">
        <v>111</v>
      </c>
      <c r="J15" s="60">
        <v>11.2</v>
      </c>
      <c r="K15" s="60">
        <f t="shared" si="0"/>
        <v>11.2</v>
      </c>
      <c r="L15" s="61">
        <f>prodnorm17</f>
        <v>0</v>
      </c>
      <c r="M15" s="58" t="s">
        <v>33</v>
      </c>
      <c r="N15" s="62">
        <f>uurtarief17</f>
        <v>0</v>
      </c>
      <c r="O15" s="60" t="e">
        <f t="shared" si="1"/>
        <v>#DIV/0!</v>
      </c>
      <c r="P15" s="62" t="e">
        <f t="shared" si="2"/>
        <v>#DIV/0!</v>
      </c>
      <c r="Q15" s="60" t="e">
        <f t="shared" si="3"/>
        <v>#DIV/0!</v>
      </c>
      <c r="R15" s="63" t="e">
        <f t="shared" si="4"/>
        <v>#DIV/0!</v>
      </c>
    </row>
    <row r="16" spans="1:18" x14ac:dyDescent="0.2">
      <c r="A16" s="57" t="s">
        <v>161</v>
      </c>
      <c r="B16" s="58" t="s">
        <v>162</v>
      </c>
      <c r="C16" s="58" t="s">
        <v>163</v>
      </c>
      <c r="D16" s="58" t="s">
        <v>185</v>
      </c>
      <c r="E16" s="59" t="s">
        <v>186</v>
      </c>
      <c r="F16" s="58" t="s">
        <v>187</v>
      </c>
      <c r="G16" s="58" t="s">
        <v>133</v>
      </c>
      <c r="H16" s="58" t="s">
        <v>9</v>
      </c>
      <c r="I16" s="58" t="s">
        <v>111</v>
      </c>
      <c r="J16" s="60">
        <v>7</v>
      </c>
      <c r="K16" s="60">
        <f t="shared" si="0"/>
        <v>7</v>
      </c>
      <c r="L16" s="61">
        <f>prodnorm27</f>
        <v>0</v>
      </c>
      <c r="M16" s="58" t="s">
        <v>33</v>
      </c>
      <c r="N16" s="62">
        <f>uurtarief27</f>
        <v>0</v>
      </c>
      <c r="O16" s="60" t="e">
        <f t="shared" si="1"/>
        <v>#DIV/0!</v>
      </c>
      <c r="P16" s="62" t="e">
        <f t="shared" si="2"/>
        <v>#DIV/0!</v>
      </c>
      <c r="Q16" s="60" t="e">
        <f t="shared" si="3"/>
        <v>#DIV/0!</v>
      </c>
      <c r="R16" s="63" t="e">
        <f t="shared" si="4"/>
        <v>#DIV/0!</v>
      </c>
    </row>
    <row r="17" spans="1:18" x14ac:dyDescent="0.2">
      <c r="A17" s="57" t="s">
        <v>161</v>
      </c>
      <c r="B17" s="58" t="s">
        <v>162</v>
      </c>
      <c r="C17" s="58" t="s">
        <v>188</v>
      </c>
      <c r="D17" s="58" t="s">
        <v>189</v>
      </c>
      <c r="E17" s="59" t="s">
        <v>172</v>
      </c>
      <c r="F17" s="58" t="s">
        <v>187</v>
      </c>
      <c r="G17" s="58" t="s">
        <v>140</v>
      </c>
      <c r="H17" s="58" t="s">
        <v>9</v>
      </c>
      <c r="I17" s="58" t="s">
        <v>111</v>
      </c>
      <c r="J17" s="60">
        <v>3</v>
      </c>
      <c r="K17" s="60">
        <f t="shared" si="0"/>
        <v>3</v>
      </c>
      <c r="L17" s="61">
        <f>prodnorm32</f>
        <v>0</v>
      </c>
      <c r="M17" s="58" t="s">
        <v>33</v>
      </c>
      <c r="N17" s="62">
        <f>uurtarief32</f>
        <v>0</v>
      </c>
      <c r="O17" s="60" t="e">
        <f t="shared" si="1"/>
        <v>#DIV/0!</v>
      </c>
      <c r="P17" s="62" t="e">
        <f t="shared" si="2"/>
        <v>#DIV/0!</v>
      </c>
      <c r="Q17" s="60" t="e">
        <f t="shared" si="3"/>
        <v>#DIV/0!</v>
      </c>
      <c r="R17" s="63" t="e">
        <f t="shared" si="4"/>
        <v>#DIV/0!</v>
      </c>
    </row>
    <row r="18" spans="1:18" x14ac:dyDescent="0.2">
      <c r="A18" s="57" t="s">
        <v>161</v>
      </c>
      <c r="B18" s="58" t="s">
        <v>162</v>
      </c>
      <c r="C18" s="58" t="s">
        <v>188</v>
      </c>
      <c r="D18" s="58" t="s">
        <v>190</v>
      </c>
      <c r="E18" s="59" t="s">
        <v>191</v>
      </c>
      <c r="F18" s="58" t="s">
        <v>187</v>
      </c>
      <c r="G18" s="58" t="s">
        <v>115</v>
      </c>
      <c r="H18" s="58" t="s">
        <v>9</v>
      </c>
      <c r="I18" s="58" t="s">
        <v>111</v>
      </c>
      <c r="J18" s="60">
        <v>8.1999999999999993</v>
      </c>
      <c r="K18" s="60">
        <f t="shared" si="0"/>
        <v>8.1999999999999993</v>
      </c>
      <c r="L18" s="61">
        <f>prodnorm11</f>
        <v>0</v>
      </c>
      <c r="M18" s="58" t="s">
        <v>33</v>
      </c>
      <c r="N18" s="62">
        <f>uurtarief11</f>
        <v>0</v>
      </c>
      <c r="O18" s="60" t="e">
        <f t="shared" si="1"/>
        <v>#DIV/0!</v>
      </c>
      <c r="P18" s="62" t="e">
        <f t="shared" si="2"/>
        <v>#DIV/0!</v>
      </c>
      <c r="Q18" s="60" t="e">
        <f t="shared" si="3"/>
        <v>#DIV/0!</v>
      </c>
      <c r="R18" s="63" t="e">
        <f t="shared" si="4"/>
        <v>#DIV/0!</v>
      </c>
    </row>
    <row r="19" spans="1:18" x14ac:dyDescent="0.2">
      <c r="A19" s="57" t="s">
        <v>161</v>
      </c>
      <c r="B19" s="58" t="s">
        <v>162</v>
      </c>
      <c r="C19" s="58" t="s">
        <v>188</v>
      </c>
      <c r="D19" s="58" t="s">
        <v>192</v>
      </c>
      <c r="E19" s="59" t="s">
        <v>191</v>
      </c>
      <c r="F19" s="58" t="s">
        <v>187</v>
      </c>
      <c r="G19" s="58" t="s">
        <v>115</v>
      </c>
      <c r="H19" s="58" t="s">
        <v>9</v>
      </c>
      <c r="I19" s="58" t="s">
        <v>111</v>
      </c>
      <c r="J19" s="60">
        <v>12.9</v>
      </c>
      <c r="K19" s="60">
        <f t="shared" si="0"/>
        <v>12.9</v>
      </c>
      <c r="L19" s="61">
        <f>prodnorm11</f>
        <v>0</v>
      </c>
      <c r="M19" s="58" t="s">
        <v>33</v>
      </c>
      <c r="N19" s="62">
        <f>uurtarief11</f>
        <v>0</v>
      </c>
      <c r="O19" s="60" t="e">
        <f t="shared" si="1"/>
        <v>#DIV/0!</v>
      </c>
      <c r="P19" s="62" t="e">
        <f t="shared" si="2"/>
        <v>#DIV/0!</v>
      </c>
      <c r="Q19" s="60" t="e">
        <f t="shared" si="3"/>
        <v>#DIV/0!</v>
      </c>
      <c r="R19" s="63" t="e">
        <f t="shared" si="4"/>
        <v>#DIV/0!</v>
      </c>
    </row>
    <row r="20" spans="1:18" x14ac:dyDescent="0.2">
      <c r="A20" s="57" t="s">
        <v>161</v>
      </c>
      <c r="B20" s="58" t="s">
        <v>162</v>
      </c>
      <c r="C20" s="58" t="s">
        <v>188</v>
      </c>
      <c r="D20" s="58" t="s">
        <v>193</v>
      </c>
      <c r="E20" s="59" t="s">
        <v>191</v>
      </c>
      <c r="F20" s="58" t="s">
        <v>187</v>
      </c>
      <c r="G20" s="58" t="s">
        <v>115</v>
      </c>
      <c r="H20" s="58" t="s">
        <v>9</v>
      </c>
      <c r="I20" s="58" t="s">
        <v>111</v>
      </c>
      <c r="J20" s="60">
        <v>15</v>
      </c>
      <c r="K20" s="60">
        <f t="shared" si="0"/>
        <v>15</v>
      </c>
      <c r="L20" s="61">
        <f>prodnorm11</f>
        <v>0</v>
      </c>
      <c r="M20" s="58" t="s">
        <v>33</v>
      </c>
      <c r="N20" s="62">
        <f>uurtarief11</f>
        <v>0</v>
      </c>
      <c r="O20" s="60" t="e">
        <f t="shared" si="1"/>
        <v>#DIV/0!</v>
      </c>
      <c r="P20" s="62" t="e">
        <f t="shared" si="2"/>
        <v>#DIV/0!</v>
      </c>
      <c r="Q20" s="60" t="e">
        <f t="shared" si="3"/>
        <v>#DIV/0!</v>
      </c>
      <c r="R20" s="63" t="e">
        <f t="shared" si="4"/>
        <v>#DIV/0!</v>
      </c>
    </row>
    <row r="21" spans="1:18" x14ac:dyDescent="0.2">
      <c r="A21" s="57" t="s">
        <v>161</v>
      </c>
      <c r="B21" s="58" t="s">
        <v>162</v>
      </c>
      <c r="C21" s="58" t="s">
        <v>188</v>
      </c>
      <c r="D21" s="58" t="s">
        <v>194</v>
      </c>
      <c r="E21" s="59" t="s">
        <v>191</v>
      </c>
      <c r="F21" s="58" t="s">
        <v>187</v>
      </c>
      <c r="G21" s="58" t="s">
        <v>115</v>
      </c>
      <c r="H21" s="58" t="s">
        <v>9</v>
      </c>
      <c r="I21" s="58" t="s">
        <v>111</v>
      </c>
      <c r="J21" s="60">
        <v>11.4</v>
      </c>
      <c r="K21" s="60">
        <f t="shared" si="0"/>
        <v>11.4</v>
      </c>
      <c r="L21" s="61">
        <f>prodnorm11</f>
        <v>0</v>
      </c>
      <c r="M21" s="58" t="s">
        <v>33</v>
      </c>
      <c r="N21" s="62">
        <f>uurtarief11</f>
        <v>0</v>
      </c>
      <c r="O21" s="60" t="e">
        <f t="shared" si="1"/>
        <v>#DIV/0!</v>
      </c>
      <c r="P21" s="62" t="e">
        <f t="shared" si="2"/>
        <v>#DIV/0!</v>
      </c>
      <c r="Q21" s="60" t="e">
        <f t="shared" si="3"/>
        <v>#DIV/0!</v>
      </c>
      <c r="R21" s="63" t="e">
        <f t="shared" si="4"/>
        <v>#DIV/0!</v>
      </c>
    </row>
    <row r="22" spans="1:18" x14ac:dyDescent="0.2">
      <c r="A22" s="57" t="s">
        <v>161</v>
      </c>
      <c r="B22" s="58" t="s">
        <v>162</v>
      </c>
      <c r="C22" s="58" t="s">
        <v>188</v>
      </c>
      <c r="D22" s="58" t="s">
        <v>195</v>
      </c>
      <c r="E22" s="59" t="s">
        <v>196</v>
      </c>
      <c r="F22" s="58" t="s">
        <v>197</v>
      </c>
      <c r="G22" s="58" t="s">
        <v>110</v>
      </c>
      <c r="H22" s="58" t="s">
        <v>15</v>
      </c>
      <c r="I22" s="58" t="s">
        <v>111</v>
      </c>
      <c r="J22" s="60">
        <v>2.2999999999999998</v>
      </c>
      <c r="K22" s="60">
        <f t="shared" si="0"/>
        <v>0.10615384615384615</v>
      </c>
      <c r="L22" s="61">
        <f>prodnorm8</f>
        <v>0</v>
      </c>
      <c r="M22" s="58" t="s">
        <v>33</v>
      </c>
      <c r="N22" s="62">
        <f>uurtarief8</f>
        <v>0</v>
      </c>
      <c r="O22" s="60" t="e">
        <f t="shared" si="1"/>
        <v>#DIV/0!</v>
      </c>
      <c r="P22" s="62" t="e">
        <f t="shared" si="2"/>
        <v>#DIV/0!</v>
      </c>
      <c r="Q22" s="60" t="e">
        <f t="shared" si="3"/>
        <v>#DIV/0!</v>
      </c>
      <c r="R22" s="63" t="e">
        <f t="shared" si="4"/>
        <v>#DIV/0!</v>
      </c>
    </row>
    <row r="23" spans="1:18" x14ac:dyDescent="0.2">
      <c r="A23" s="64" t="s">
        <v>161</v>
      </c>
      <c r="B23" s="65" t="s">
        <v>162</v>
      </c>
      <c r="C23" s="65" t="s">
        <v>198</v>
      </c>
      <c r="D23" s="65" t="s">
        <v>162</v>
      </c>
      <c r="E23" s="66" t="s">
        <v>199</v>
      </c>
      <c r="F23" s="65" t="s">
        <v>162</v>
      </c>
      <c r="G23" s="65" t="s">
        <v>146</v>
      </c>
      <c r="H23" s="65" t="s">
        <v>9</v>
      </c>
      <c r="I23" s="65" t="s">
        <v>147</v>
      </c>
      <c r="J23" s="67">
        <v>1</v>
      </c>
      <c r="K23" s="67">
        <f t="shared" si="0"/>
        <v>1</v>
      </c>
      <c r="L23" s="68">
        <f>prodnorm7</f>
        <v>0</v>
      </c>
      <c r="M23" s="65" t="s">
        <v>149</v>
      </c>
      <c r="N23" s="69">
        <f>uurtarief7</f>
        <v>0</v>
      </c>
      <c r="O23" s="67">
        <f>K23*ROUND(L23,4)/60</f>
        <v>0</v>
      </c>
      <c r="P23" s="69">
        <f t="shared" si="2"/>
        <v>0</v>
      </c>
      <c r="Q23" s="67">
        <f t="shared" si="3"/>
        <v>0</v>
      </c>
      <c r="R23" s="70">
        <f t="shared" si="4"/>
        <v>0</v>
      </c>
    </row>
    <row r="24" spans="1:18" x14ac:dyDescent="0.2">
      <c r="A24" s="71" t="s">
        <v>200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3" t="e">
        <f>IF(_xlfn.SINGLE(object1_urenjaar1)&gt;0,_xlfn.SINGLE(object1_prijsjaar1)/_xlfn.SINGLE(object1_urenjaar1),0)</f>
        <v>#DIV/0!</v>
      </c>
      <c r="O24" s="42" t="e">
        <f>SUM(O5:O23)</f>
        <v>#DIV/0!</v>
      </c>
      <c r="P24" s="43" t="e">
        <f>SUM(P5:P23)</f>
        <v>#DIV/0!</v>
      </c>
      <c r="Q24" s="42" t="e">
        <f>SUM(Q5:Q23)</f>
        <v>#DIV/0!</v>
      </c>
      <c r="R24" s="44" t="e">
        <f>SUM(R5:R23)</f>
        <v>#DIV/0!</v>
      </c>
    </row>
    <row r="25" spans="1:18" x14ac:dyDescent="0.2">
      <c r="A25" s="49" t="s">
        <v>201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39"/>
    </row>
    <row r="26" spans="1:18" x14ac:dyDescent="0.2">
      <c r="A26" s="50" t="s">
        <v>202</v>
      </c>
      <c r="B26" s="51" t="s">
        <v>162</v>
      </c>
      <c r="C26" s="51" t="s">
        <v>163</v>
      </c>
      <c r="D26" s="51" t="s">
        <v>164</v>
      </c>
      <c r="E26" s="52" t="s">
        <v>172</v>
      </c>
      <c r="F26" s="51" t="s">
        <v>197</v>
      </c>
      <c r="G26" s="51" t="s">
        <v>137</v>
      </c>
      <c r="H26" s="51" t="s">
        <v>9</v>
      </c>
      <c r="I26" s="51" t="s">
        <v>111</v>
      </c>
      <c r="J26" s="53">
        <v>4</v>
      </c>
      <c r="K26" s="53">
        <f t="shared" ref="K26:K42" si="5">J26*VLOOKUP(H26,dagsoorttabel1,2,FALSE)</f>
        <v>4</v>
      </c>
      <c r="L26" s="54">
        <f>prodnorm30</f>
        <v>0</v>
      </c>
      <c r="M26" s="51" t="s">
        <v>33</v>
      </c>
      <c r="N26" s="55">
        <f>uurtarief30</f>
        <v>0</v>
      </c>
      <c r="O26" s="53" t="e">
        <f t="shared" ref="O26:O41" si="6">IF(ISBLANK(L26),0,K26/ROUND(L26,4))</f>
        <v>#DIV/0!</v>
      </c>
      <c r="P26" s="55" t="e">
        <f t="shared" ref="P26:P42" si="7">ROUND(N26,2)*O26</f>
        <v>#DIV/0!</v>
      </c>
      <c r="Q26" s="53" t="e">
        <f t="shared" ref="Q26:Q42" si="8">O26*dagenperjaar1</f>
        <v>#DIV/0!</v>
      </c>
      <c r="R26" s="56" t="e">
        <f t="shared" ref="R26:R42" si="9">Q26*ROUND(N26,2)</f>
        <v>#DIV/0!</v>
      </c>
    </row>
    <row r="27" spans="1:18" x14ac:dyDescent="0.2">
      <c r="A27" s="57" t="s">
        <v>202</v>
      </c>
      <c r="B27" s="58" t="s">
        <v>162</v>
      </c>
      <c r="C27" s="58" t="s">
        <v>163</v>
      </c>
      <c r="D27" s="58" t="s">
        <v>167</v>
      </c>
      <c r="E27" s="59" t="s">
        <v>203</v>
      </c>
      <c r="F27" s="58" t="s">
        <v>197</v>
      </c>
      <c r="G27" s="58" t="s">
        <v>131</v>
      </c>
      <c r="H27" s="58" t="s">
        <v>9</v>
      </c>
      <c r="I27" s="58" t="s">
        <v>111</v>
      </c>
      <c r="J27" s="60">
        <v>5.45</v>
      </c>
      <c r="K27" s="60">
        <f t="shared" si="5"/>
        <v>5.45</v>
      </c>
      <c r="L27" s="61">
        <f>prodnorm25</f>
        <v>0</v>
      </c>
      <c r="M27" s="58" t="s">
        <v>33</v>
      </c>
      <c r="N27" s="62">
        <f>uurtarief25</f>
        <v>0</v>
      </c>
      <c r="O27" s="60" t="e">
        <f t="shared" si="6"/>
        <v>#DIV/0!</v>
      </c>
      <c r="P27" s="62" t="e">
        <f t="shared" si="7"/>
        <v>#DIV/0!</v>
      </c>
      <c r="Q27" s="60" t="e">
        <f t="shared" si="8"/>
        <v>#DIV/0!</v>
      </c>
      <c r="R27" s="63" t="e">
        <f t="shared" si="9"/>
        <v>#DIV/0!</v>
      </c>
    </row>
    <row r="28" spans="1:18" x14ac:dyDescent="0.2">
      <c r="A28" s="57" t="s">
        <v>202</v>
      </c>
      <c r="B28" s="58" t="s">
        <v>162</v>
      </c>
      <c r="C28" s="58" t="s">
        <v>163</v>
      </c>
      <c r="D28" s="58" t="s">
        <v>171</v>
      </c>
      <c r="E28" s="59" t="s">
        <v>204</v>
      </c>
      <c r="F28" s="58" t="s">
        <v>197</v>
      </c>
      <c r="G28" s="58" t="s">
        <v>131</v>
      </c>
      <c r="H28" s="58" t="s">
        <v>9</v>
      </c>
      <c r="I28" s="58" t="s">
        <v>111</v>
      </c>
      <c r="J28" s="60">
        <v>2.7</v>
      </c>
      <c r="K28" s="60">
        <f t="shared" si="5"/>
        <v>2.7</v>
      </c>
      <c r="L28" s="61">
        <f>prodnorm25</f>
        <v>0</v>
      </c>
      <c r="M28" s="58" t="s">
        <v>33</v>
      </c>
      <c r="N28" s="62">
        <f>uurtarief25</f>
        <v>0</v>
      </c>
      <c r="O28" s="60" t="e">
        <f t="shared" si="6"/>
        <v>#DIV/0!</v>
      </c>
      <c r="P28" s="62" t="e">
        <f t="shared" si="7"/>
        <v>#DIV/0!</v>
      </c>
      <c r="Q28" s="60" t="e">
        <f t="shared" si="8"/>
        <v>#DIV/0!</v>
      </c>
      <c r="R28" s="63" t="e">
        <f t="shared" si="9"/>
        <v>#DIV/0!</v>
      </c>
    </row>
    <row r="29" spans="1:18" x14ac:dyDescent="0.2">
      <c r="A29" s="57" t="s">
        <v>202</v>
      </c>
      <c r="B29" s="58" t="s">
        <v>162</v>
      </c>
      <c r="C29" s="58" t="s">
        <v>163</v>
      </c>
      <c r="D29" s="58" t="s">
        <v>173</v>
      </c>
      <c r="E29" s="59" t="s">
        <v>205</v>
      </c>
      <c r="F29" s="58" t="s">
        <v>197</v>
      </c>
      <c r="G29" s="58" t="s">
        <v>131</v>
      </c>
      <c r="H29" s="58" t="s">
        <v>9</v>
      </c>
      <c r="I29" s="58" t="s">
        <v>111</v>
      </c>
      <c r="J29" s="60">
        <v>0.70000000000000007</v>
      </c>
      <c r="K29" s="60">
        <f t="shared" si="5"/>
        <v>0.70000000000000007</v>
      </c>
      <c r="L29" s="61">
        <f>prodnorm25</f>
        <v>0</v>
      </c>
      <c r="M29" s="58" t="s">
        <v>33</v>
      </c>
      <c r="N29" s="62">
        <f>uurtarief25</f>
        <v>0</v>
      </c>
      <c r="O29" s="60" t="e">
        <f t="shared" si="6"/>
        <v>#DIV/0!</v>
      </c>
      <c r="P29" s="62" t="e">
        <f t="shared" si="7"/>
        <v>#DIV/0!</v>
      </c>
      <c r="Q29" s="60" t="e">
        <f t="shared" si="8"/>
        <v>#DIV/0!</v>
      </c>
      <c r="R29" s="63" t="e">
        <f t="shared" si="9"/>
        <v>#DIV/0!</v>
      </c>
    </row>
    <row r="30" spans="1:18" x14ac:dyDescent="0.2">
      <c r="A30" s="57" t="s">
        <v>202</v>
      </c>
      <c r="B30" s="58" t="s">
        <v>162</v>
      </c>
      <c r="C30" s="58" t="s">
        <v>163</v>
      </c>
      <c r="D30" s="58" t="s">
        <v>176</v>
      </c>
      <c r="E30" s="59" t="s">
        <v>206</v>
      </c>
      <c r="F30" s="58" t="s">
        <v>197</v>
      </c>
      <c r="G30" s="58" t="s">
        <v>131</v>
      </c>
      <c r="H30" s="58" t="s">
        <v>9</v>
      </c>
      <c r="I30" s="58" t="s">
        <v>111</v>
      </c>
      <c r="J30" s="60">
        <v>2.8</v>
      </c>
      <c r="K30" s="60">
        <f t="shared" si="5"/>
        <v>2.8</v>
      </c>
      <c r="L30" s="61">
        <f>prodnorm25</f>
        <v>0</v>
      </c>
      <c r="M30" s="58" t="s">
        <v>33</v>
      </c>
      <c r="N30" s="62">
        <f>uurtarief25</f>
        <v>0</v>
      </c>
      <c r="O30" s="60" t="e">
        <f t="shared" si="6"/>
        <v>#DIV/0!</v>
      </c>
      <c r="P30" s="62" t="e">
        <f t="shared" si="7"/>
        <v>#DIV/0!</v>
      </c>
      <c r="Q30" s="60" t="e">
        <f t="shared" si="8"/>
        <v>#DIV/0!</v>
      </c>
      <c r="R30" s="63" t="e">
        <f t="shared" si="9"/>
        <v>#DIV/0!</v>
      </c>
    </row>
    <row r="31" spans="1:18" x14ac:dyDescent="0.2">
      <c r="A31" s="57" t="s">
        <v>202</v>
      </c>
      <c r="B31" s="58" t="s">
        <v>162</v>
      </c>
      <c r="C31" s="58" t="s">
        <v>163</v>
      </c>
      <c r="D31" s="58" t="s">
        <v>178</v>
      </c>
      <c r="E31" s="59" t="s">
        <v>172</v>
      </c>
      <c r="F31" s="58" t="s">
        <v>197</v>
      </c>
      <c r="G31" s="58" t="s">
        <v>137</v>
      </c>
      <c r="H31" s="58" t="s">
        <v>9</v>
      </c>
      <c r="I31" s="58" t="s">
        <v>111</v>
      </c>
      <c r="J31" s="60">
        <v>10</v>
      </c>
      <c r="K31" s="60">
        <f t="shared" si="5"/>
        <v>10</v>
      </c>
      <c r="L31" s="61">
        <f>prodnorm30</f>
        <v>0</v>
      </c>
      <c r="M31" s="58" t="s">
        <v>33</v>
      </c>
      <c r="N31" s="62">
        <f>uurtarief30</f>
        <v>0</v>
      </c>
      <c r="O31" s="60" t="e">
        <f t="shared" si="6"/>
        <v>#DIV/0!</v>
      </c>
      <c r="P31" s="62" t="e">
        <f t="shared" si="7"/>
        <v>#DIV/0!</v>
      </c>
      <c r="Q31" s="60" t="e">
        <f t="shared" si="8"/>
        <v>#DIV/0!</v>
      </c>
      <c r="R31" s="63" t="e">
        <f t="shared" si="9"/>
        <v>#DIV/0!</v>
      </c>
    </row>
    <row r="32" spans="1:18" x14ac:dyDescent="0.2">
      <c r="A32" s="57" t="s">
        <v>202</v>
      </c>
      <c r="B32" s="58" t="s">
        <v>162</v>
      </c>
      <c r="C32" s="58" t="s">
        <v>163</v>
      </c>
      <c r="D32" s="58" t="s">
        <v>180</v>
      </c>
      <c r="E32" s="59" t="s">
        <v>182</v>
      </c>
      <c r="F32" s="58" t="s">
        <v>197</v>
      </c>
      <c r="G32" s="58" t="s">
        <v>123</v>
      </c>
      <c r="H32" s="58" t="s">
        <v>9</v>
      </c>
      <c r="I32" s="58" t="s">
        <v>111</v>
      </c>
      <c r="J32" s="60">
        <v>20</v>
      </c>
      <c r="K32" s="60">
        <f t="shared" si="5"/>
        <v>20</v>
      </c>
      <c r="L32" s="61">
        <f>prodnorm17</f>
        <v>0</v>
      </c>
      <c r="M32" s="58" t="s">
        <v>33</v>
      </c>
      <c r="N32" s="62">
        <f>uurtarief17</f>
        <v>0</v>
      </c>
      <c r="O32" s="60" t="e">
        <f t="shared" si="6"/>
        <v>#DIV/0!</v>
      </c>
      <c r="P32" s="62" t="e">
        <f t="shared" si="7"/>
        <v>#DIV/0!</v>
      </c>
      <c r="Q32" s="60" t="e">
        <f t="shared" si="8"/>
        <v>#DIV/0!</v>
      </c>
      <c r="R32" s="63" t="e">
        <f t="shared" si="9"/>
        <v>#DIV/0!</v>
      </c>
    </row>
    <row r="33" spans="1:18" x14ac:dyDescent="0.2">
      <c r="A33" s="57" t="s">
        <v>202</v>
      </c>
      <c r="B33" s="58" t="s">
        <v>162</v>
      </c>
      <c r="C33" s="58" t="s">
        <v>163</v>
      </c>
      <c r="D33" s="58" t="s">
        <v>181</v>
      </c>
      <c r="E33" s="59" t="s">
        <v>182</v>
      </c>
      <c r="F33" s="58" t="s">
        <v>197</v>
      </c>
      <c r="G33" s="58" t="s">
        <v>123</v>
      </c>
      <c r="H33" s="58" t="s">
        <v>9</v>
      </c>
      <c r="I33" s="58" t="s">
        <v>111</v>
      </c>
      <c r="J33" s="60">
        <v>20</v>
      </c>
      <c r="K33" s="60">
        <f t="shared" si="5"/>
        <v>20</v>
      </c>
      <c r="L33" s="61">
        <f>prodnorm17</f>
        <v>0</v>
      </c>
      <c r="M33" s="58" t="s">
        <v>33</v>
      </c>
      <c r="N33" s="62">
        <f>uurtarief17</f>
        <v>0</v>
      </c>
      <c r="O33" s="60" t="e">
        <f t="shared" si="6"/>
        <v>#DIV/0!</v>
      </c>
      <c r="P33" s="62" t="e">
        <f t="shared" si="7"/>
        <v>#DIV/0!</v>
      </c>
      <c r="Q33" s="60" t="e">
        <f t="shared" si="8"/>
        <v>#DIV/0!</v>
      </c>
      <c r="R33" s="63" t="e">
        <f t="shared" si="9"/>
        <v>#DIV/0!</v>
      </c>
    </row>
    <row r="34" spans="1:18" x14ac:dyDescent="0.2">
      <c r="A34" s="57" t="s">
        <v>202</v>
      </c>
      <c r="B34" s="58" t="s">
        <v>162</v>
      </c>
      <c r="C34" s="58" t="s">
        <v>163</v>
      </c>
      <c r="D34" s="58" t="s">
        <v>183</v>
      </c>
      <c r="E34" s="59" t="s">
        <v>191</v>
      </c>
      <c r="F34" s="58" t="s">
        <v>187</v>
      </c>
      <c r="G34" s="58" t="s">
        <v>115</v>
      </c>
      <c r="H34" s="58" t="s">
        <v>9</v>
      </c>
      <c r="I34" s="58" t="s">
        <v>111</v>
      </c>
      <c r="J34" s="60">
        <v>14.4</v>
      </c>
      <c r="K34" s="60">
        <f t="shared" si="5"/>
        <v>14.4</v>
      </c>
      <c r="L34" s="61">
        <f>prodnorm11</f>
        <v>0</v>
      </c>
      <c r="M34" s="58" t="s">
        <v>33</v>
      </c>
      <c r="N34" s="62">
        <f>uurtarief11</f>
        <v>0</v>
      </c>
      <c r="O34" s="60" t="e">
        <f t="shared" si="6"/>
        <v>#DIV/0!</v>
      </c>
      <c r="P34" s="62" t="e">
        <f t="shared" si="7"/>
        <v>#DIV/0!</v>
      </c>
      <c r="Q34" s="60" t="e">
        <f t="shared" si="8"/>
        <v>#DIV/0!</v>
      </c>
      <c r="R34" s="63" t="e">
        <f t="shared" si="9"/>
        <v>#DIV/0!</v>
      </c>
    </row>
    <row r="35" spans="1:18" x14ac:dyDescent="0.2">
      <c r="A35" s="57" t="s">
        <v>202</v>
      </c>
      <c r="B35" s="58" t="s">
        <v>162</v>
      </c>
      <c r="C35" s="58" t="s">
        <v>163</v>
      </c>
      <c r="D35" s="58" t="s">
        <v>184</v>
      </c>
      <c r="E35" s="59" t="s">
        <v>207</v>
      </c>
      <c r="F35" s="58" t="s">
        <v>187</v>
      </c>
      <c r="G35" s="58" t="s">
        <v>129</v>
      </c>
      <c r="H35" s="58" t="s">
        <v>9</v>
      </c>
      <c r="I35" s="58" t="s">
        <v>111</v>
      </c>
      <c r="J35" s="60">
        <v>19</v>
      </c>
      <c r="K35" s="60">
        <f t="shared" si="5"/>
        <v>19</v>
      </c>
      <c r="L35" s="61">
        <f>prodnorm23</f>
        <v>0</v>
      </c>
      <c r="M35" s="58" t="s">
        <v>33</v>
      </c>
      <c r="N35" s="62">
        <f>uurtarief23</f>
        <v>0</v>
      </c>
      <c r="O35" s="60" t="e">
        <f t="shared" si="6"/>
        <v>#DIV/0!</v>
      </c>
      <c r="P35" s="62" t="e">
        <f t="shared" si="7"/>
        <v>#DIV/0!</v>
      </c>
      <c r="Q35" s="60" t="e">
        <f t="shared" si="8"/>
        <v>#DIV/0!</v>
      </c>
      <c r="R35" s="63" t="e">
        <f t="shared" si="9"/>
        <v>#DIV/0!</v>
      </c>
    </row>
    <row r="36" spans="1:18" x14ac:dyDescent="0.2">
      <c r="A36" s="57" t="s">
        <v>202</v>
      </c>
      <c r="B36" s="58" t="s">
        <v>162</v>
      </c>
      <c r="C36" s="58" t="s">
        <v>163</v>
      </c>
      <c r="D36" s="58" t="s">
        <v>185</v>
      </c>
      <c r="E36" s="59" t="s">
        <v>179</v>
      </c>
      <c r="F36" s="58" t="s">
        <v>197</v>
      </c>
      <c r="G36" s="58" t="s">
        <v>125</v>
      </c>
      <c r="H36" s="58" t="s">
        <v>9</v>
      </c>
      <c r="I36" s="58" t="s">
        <v>111</v>
      </c>
      <c r="J36" s="60">
        <v>7.7</v>
      </c>
      <c r="K36" s="60">
        <f t="shared" si="5"/>
        <v>7.7</v>
      </c>
      <c r="L36" s="61">
        <f>prodnorm19</f>
        <v>0</v>
      </c>
      <c r="M36" s="58" t="s">
        <v>33</v>
      </c>
      <c r="N36" s="62">
        <f>uurtarief19</f>
        <v>0</v>
      </c>
      <c r="O36" s="60" t="e">
        <f t="shared" si="6"/>
        <v>#DIV/0!</v>
      </c>
      <c r="P36" s="62" t="e">
        <f t="shared" si="7"/>
        <v>#DIV/0!</v>
      </c>
      <c r="Q36" s="60" t="e">
        <f t="shared" si="8"/>
        <v>#DIV/0!</v>
      </c>
      <c r="R36" s="63" t="e">
        <f t="shared" si="9"/>
        <v>#DIV/0!</v>
      </c>
    </row>
    <row r="37" spans="1:18" x14ac:dyDescent="0.2">
      <c r="A37" s="57" t="s">
        <v>202</v>
      </c>
      <c r="B37" s="58" t="s">
        <v>162</v>
      </c>
      <c r="C37" s="58" t="s">
        <v>163</v>
      </c>
      <c r="D37" s="58" t="s">
        <v>208</v>
      </c>
      <c r="E37" s="59" t="s">
        <v>209</v>
      </c>
      <c r="F37" s="58" t="s">
        <v>197</v>
      </c>
      <c r="G37" s="58" t="s">
        <v>137</v>
      </c>
      <c r="H37" s="58" t="s">
        <v>9</v>
      </c>
      <c r="I37" s="58" t="s">
        <v>111</v>
      </c>
      <c r="J37" s="60">
        <v>8.6999999999999993</v>
      </c>
      <c r="K37" s="60">
        <f t="shared" si="5"/>
        <v>8.6999999999999993</v>
      </c>
      <c r="L37" s="61">
        <f>prodnorm30</f>
        <v>0</v>
      </c>
      <c r="M37" s="58" t="s">
        <v>33</v>
      </c>
      <c r="N37" s="62">
        <f>uurtarief30</f>
        <v>0</v>
      </c>
      <c r="O37" s="60" t="e">
        <f t="shared" si="6"/>
        <v>#DIV/0!</v>
      </c>
      <c r="P37" s="62" t="e">
        <f t="shared" si="7"/>
        <v>#DIV/0!</v>
      </c>
      <c r="Q37" s="60" t="e">
        <f t="shared" si="8"/>
        <v>#DIV/0!</v>
      </c>
      <c r="R37" s="63" t="e">
        <f t="shared" si="9"/>
        <v>#DIV/0!</v>
      </c>
    </row>
    <row r="38" spans="1:18" x14ac:dyDescent="0.2">
      <c r="A38" s="57" t="s">
        <v>202</v>
      </c>
      <c r="B38" s="58" t="s">
        <v>162</v>
      </c>
      <c r="C38" s="58" t="s">
        <v>163</v>
      </c>
      <c r="D38" s="58" t="s">
        <v>210</v>
      </c>
      <c r="E38" s="59" t="s">
        <v>191</v>
      </c>
      <c r="F38" s="58" t="s">
        <v>187</v>
      </c>
      <c r="G38" s="58" t="s">
        <v>115</v>
      </c>
      <c r="H38" s="58" t="s">
        <v>9</v>
      </c>
      <c r="I38" s="58" t="s">
        <v>111</v>
      </c>
      <c r="J38" s="60">
        <v>18</v>
      </c>
      <c r="K38" s="60">
        <f t="shared" si="5"/>
        <v>18</v>
      </c>
      <c r="L38" s="61">
        <f>prodnorm11</f>
        <v>0</v>
      </c>
      <c r="M38" s="58" t="s">
        <v>33</v>
      </c>
      <c r="N38" s="62">
        <f>uurtarief11</f>
        <v>0</v>
      </c>
      <c r="O38" s="60" t="e">
        <f t="shared" si="6"/>
        <v>#DIV/0!</v>
      </c>
      <c r="P38" s="62" t="e">
        <f t="shared" si="7"/>
        <v>#DIV/0!</v>
      </c>
      <c r="Q38" s="60" t="e">
        <f t="shared" si="8"/>
        <v>#DIV/0!</v>
      </c>
      <c r="R38" s="63" t="e">
        <f t="shared" si="9"/>
        <v>#DIV/0!</v>
      </c>
    </row>
    <row r="39" spans="1:18" x14ac:dyDescent="0.2">
      <c r="A39" s="57" t="s">
        <v>202</v>
      </c>
      <c r="B39" s="58" t="s">
        <v>162</v>
      </c>
      <c r="C39" s="58" t="s">
        <v>163</v>
      </c>
      <c r="D39" s="58" t="s">
        <v>211</v>
      </c>
      <c r="E39" s="59" t="s">
        <v>172</v>
      </c>
      <c r="F39" s="58" t="s">
        <v>197</v>
      </c>
      <c r="G39" s="58" t="s">
        <v>137</v>
      </c>
      <c r="H39" s="58" t="s">
        <v>9</v>
      </c>
      <c r="I39" s="58" t="s">
        <v>111</v>
      </c>
      <c r="J39" s="60">
        <v>30</v>
      </c>
      <c r="K39" s="60">
        <f t="shared" si="5"/>
        <v>30</v>
      </c>
      <c r="L39" s="61">
        <f>prodnorm30</f>
        <v>0</v>
      </c>
      <c r="M39" s="58" t="s">
        <v>33</v>
      </c>
      <c r="N39" s="62">
        <f>uurtarief30</f>
        <v>0</v>
      </c>
      <c r="O39" s="60" t="e">
        <f t="shared" si="6"/>
        <v>#DIV/0!</v>
      </c>
      <c r="P39" s="62" t="e">
        <f t="shared" si="7"/>
        <v>#DIV/0!</v>
      </c>
      <c r="Q39" s="60" t="e">
        <f t="shared" si="8"/>
        <v>#DIV/0!</v>
      </c>
      <c r="R39" s="63" t="e">
        <f t="shared" si="9"/>
        <v>#DIV/0!</v>
      </c>
    </row>
    <row r="40" spans="1:18" x14ac:dyDescent="0.2">
      <c r="A40" s="57" t="s">
        <v>202</v>
      </c>
      <c r="B40" s="58" t="s">
        <v>162</v>
      </c>
      <c r="C40" s="58" t="s">
        <v>163</v>
      </c>
      <c r="D40" s="58" t="s">
        <v>212</v>
      </c>
      <c r="E40" s="59" t="s">
        <v>182</v>
      </c>
      <c r="F40" s="58" t="s">
        <v>197</v>
      </c>
      <c r="G40" s="58" t="s">
        <v>123</v>
      </c>
      <c r="H40" s="58" t="s">
        <v>9</v>
      </c>
      <c r="I40" s="58" t="s">
        <v>111</v>
      </c>
      <c r="J40" s="60">
        <v>15</v>
      </c>
      <c r="K40" s="60">
        <f t="shared" si="5"/>
        <v>15</v>
      </c>
      <c r="L40" s="61">
        <f>prodnorm17</f>
        <v>0</v>
      </c>
      <c r="M40" s="58" t="s">
        <v>33</v>
      </c>
      <c r="N40" s="62">
        <f>uurtarief17</f>
        <v>0</v>
      </c>
      <c r="O40" s="60" t="e">
        <f t="shared" si="6"/>
        <v>#DIV/0!</v>
      </c>
      <c r="P40" s="62" t="e">
        <f t="shared" si="7"/>
        <v>#DIV/0!</v>
      </c>
      <c r="Q40" s="60" t="e">
        <f t="shared" si="8"/>
        <v>#DIV/0!</v>
      </c>
      <c r="R40" s="63" t="e">
        <f t="shared" si="9"/>
        <v>#DIV/0!</v>
      </c>
    </row>
    <row r="41" spans="1:18" x14ac:dyDescent="0.2">
      <c r="A41" s="57" t="s">
        <v>202</v>
      </c>
      <c r="B41" s="58" t="s">
        <v>162</v>
      </c>
      <c r="C41" s="58" t="s">
        <v>163</v>
      </c>
      <c r="D41" s="58" t="s">
        <v>213</v>
      </c>
      <c r="E41" s="59" t="s">
        <v>182</v>
      </c>
      <c r="F41" s="58" t="s">
        <v>197</v>
      </c>
      <c r="G41" s="58" t="s">
        <v>123</v>
      </c>
      <c r="H41" s="58" t="s">
        <v>9</v>
      </c>
      <c r="I41" s="58" t="s">
        <v>111</v>
      </c>
      <c r="J41" s="60">
        <v>20</v>
      </c>
      <c r="K41" s="60">
        <f t="shared" si="5"/>
        <v>20</v>
      </c>
      <c r="L41" s="61">
        <f>prodnorm17</f>
        <v>0</v>
      </c>
      <c r="M41" s="58" t="s">
        <v>33</v>
      </c>
      <c r="N41" s="62">
        <f>uurtarief17</f>
        <v>0</v>
      </c>
      <c r="O41" s="60" t="e">
        <f t="shared" si="6"/>
        <v>#DIV/0!</v>
      </c>
      <c r="P41" s="62" t="e">
        <f t="shared" si="7"/>
        <v>#DIV/0!</v>
      </c>
      <c r="Q41" s="60" t="e">
        <f t="shared" si="8"/>
        <v>#DIV/0!</v>
      </c>
      <c r="R41" s="63" t="e">
        <f t="shared" si="9"/>
        <v>#DIV/0!</v>
      </c>
    </row>
    <row r="42" spans="1:18" x14ac:dyDescent="0.2">
      <c r="A42" s="64" t="s">
        <v>202</v>
      </c>
      <c r="B42" s="65" t="s">
        <v>162</v>
      </c>
      <c r="C42" s="65" t="s">
        <v>198</v>
      </c>
      <c r="D42" s="65" t="s">
        <v>162</v>
      </c>
      <c r="E42" s="66" t="s">
        <v>199</v>
      </c>
      <c r="F42" s="65" t="s">
        <v>162</v>
      </c>
      <c r="G42" s="65" t="s">
        <v>146</v>
      </c>
      <c r="H42" s="65" t="s">
        <v>9</v>
      </c>
      <c r="I42" s="65" t="s">
        <v>147</v>
      </c>
      <c r="J42" s="67">
        <v>1</v>
      </c>
      <c r="K42" s="67">
        <f t="shared" si="5"/>
        <v>1</v>
      </c>
      <c r="L42" s="68">
        <f>prodnorm7</f>
        <v>0</v>
      </c>
      <c r="M42" s="65" t="s">
        <v>149</v>
      </c>
      <c r="N42" s="69">
        <f>uurtarief7</f>
        <v>0</v>
      </c>
      <c r="O42" s="67">
        <f>K42*ROUND(L42,4)/60</f>
        <v>0</v>
      </c>
      <c r="P42" s="69">
        <f t="shared" si="7"/>
        <v>0</v>
      </c>
      <c r="Q42" s="67">
        <f t="shared" si="8"/>
        <v>0</v>
      </c>
      <c r="R42" s="70">
        <f t="shared" si="9"/>
        <v>0</v>
      </c>
    </row>
    <row r="43" spans="1:18" x14ac:dyDescent="0.2">
      <c r="A43" s="71" t="s">
        <v>200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3" t="e">
        <f>IF(_xlfn.SINGLE(object2_urenjaar1)&gt;0,_xlfn.SINGLE(object2_prijsjaar1)/_xlfn.SINGLE(object2_urenjaar1),0)</f>
        <v>#DIV/0!</v>
      </c>
      <c r="O43" s="42" t="e">
        <f>SUM(O26:O42)</f>
        <v>#DIV/0!</v>
      </c>
      <c r="P43" s="43" t="e">
        <f>SUM(P26:P42)</f>
        <v>#DIV/0!</v>
      </c>
      <c r="Q43" s="42" t="e">
        <f>SUM(Q26:Q42)</f>
        <v>#DIV/0!</v>
      </c>
      <c r="R43" s="44" t="e">
        <f>SUM(R26:R42)</f>
        <v>#DIV/0!</v>
      </c>
    </row>
    <row r="44" spans="1:18" x14ac:dyDescent="0.2">
      <c r="A44" s="49" t="s">
        <v>214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39"/>
    </row>
    <row r="45" spans="1:18" x14ac:dyDescent="0.2">
      <c r="A45" s="50" t="s">
        <v>215</v>
      </c>
      <c r="B45" s="51" t="s">
        <v>162</v>
      </c>
      <c r="C45" s="51" t="s">
        <v>163</v>
      </c>
      <c r="D45" s="51" t="s">
        <v>164</v>
      </c>
      <c r="E45" s="52" t="s">
        <v>165</v>
      </c>
      <c r="F45" s="51" t="s">
        <v>166</v>
      </c>
      <c r="G45" s="51" t="s">
        <v>119</v>
      </c>
      <c r="H45" s="51" t="s">
        <v>9</v>
      </c>
      <c r="I45" s="51" t="s">
        <v>111</v>
      </c>
      <c r="J45" s="53">
        <v>13</v>
      </c>
      <c r="K45" s="53">
        <f t="shared" ref="K45:K76" si="10">J45*VLOOKUP(H45,dagsoorttabel1,2,FALSE)</f>
        <v>13</v>
      </c>
      <c r="L45" s="54">
        <f>prodnorm14</f>
        <v>0</v>
      </c>
      <c r="M45" s="51" t="s">
        <v>33</v>
      </c>
      <c r="N45" s="55">
        <f>uurtarief14</f>
        <v>0</v>
      </c>
      <c r="O45" s="53" t="e">
        <f t="shared" ref="O45:O76" si="11">IF(ISBLANK(L45),0,K45/ROUND(L45,4))</f>
        <v>#DIV/0!</v>
      </c>
      <c r="P45" s="55" t="e">
        <f t="shared" ref="P45:P76" si="12">ROUND(N45,2)*O45</f>
        <v>#DIV/0!</v>
      </c>
      <c r="Q45" s="53" t="e">
        <f t="shared" ref="Q45:Q76" si="13">O45*dagenperjaar1</f>
        <v>#DIV/0!</v>
      </c>
      <c r="R45" s="56" t="e">
        <f t="shared" ref="R45:R76" si="14">Q45*ROUND(N45,2)</f>
        <v>#DIV/0!</v>
      </c>
    </row>
    <row r="46" spans="1:18" x14ac:dyDescent="0.2">
      <c r="A46" s="57" t="s">
        <v>215</v>
      </c>
      <c r="B46" s="58" t="s">
        <v>162</v>
      </c>
      <c r="C46" s="58" t="s">
        <v>163</v>
      </c>
      <c r="D46" s="58" t="s">
        <v>167</v>
      </c>
      <c r="E46" s="59" t="s">
        <v>216</v>
      </c>
      <c r="F46" s="58" t="s">
        <v>217</v>
      </c>
      <c r="G46" s="58" t="s">
        <v>137</v>
      </c>
      <c r="H46" s="58" t="s">
        <v>9</v>
      </c>
      <c r="I46" s="58" t="s">
        <v>111</v>
      </c>
      <c r="J46" s="60">
        <v>308</v>
      </c>
      <c r="K46" s="60">
        <f t="shared" si="10"/>
        <v>308</v>
      </c>
      <c r="L46" s="61">
        <f>prodnorm30</f>
        <v>0</v>
      </c>
      <c r="M46" s="58" t="s">
        <v>33</v>
      </c>
      <c r="N46" s="62">
        <f>uurtarief30</f>
        <v>0</v>
      </c>
      <c r="O46" s="60" t="e">
        <f t="shared" si="11"/>
        <v>#DIV/0!</v>
      </c>
      <c r="P46" s="62" t="e">
        <f t="shared" si="12"/>
        <v>#DIV/0!</v>
      </c>
      <c r="Q46" s="60" t="e">
        <f t="shared" si="13"/>
        <v>#DIV/0!</v>
      </c>
      <c r="R46" s="63" t="e">
        <f t="shared" si="14"/>
        <v>#DIV/0!</v>
      </c>
    </row>
    <row r="47" spans="1:18" x14ac:dyDescent="0.2">
      <c r="A47" s="57" t="s">
        <v>215</v>
      </c>
      <c r="B47" s="58" t="s">
        <v>162</v>
      </c>
      <c r="C47" s="58" t="s">
        <v>163</v>
      </c>
      <c r="D47" s="58" t="s">
        <v>218</v>
      </c>
      <c r="E47" s="59" t="s">
        <v>186</v>
      </c>
      <c r="F47" s="58" t="s">
        <v>219</v>
      </c>
      <c r="G47" s="58" t="s">
        <v>133</v>
      </c>
      <c r="H47" s="58" t="s">
        <v>9</v>
      </c>
      <c r="I47" s="58" t="s">
        <v>111</v>
      </c>
      <c r="J47" s="60">
        <v>20</v>
      </c>
      <c r="K47" s="60">
        <f t="shared" si="10"/>
        <v>20</v>
      </c>
      <c r="L47" s="61">
        <f>prodnorm27</f>
        <v>0</v>
      </c>
      <c r="M47" s="58" t="s">
        <v>33</v>
      </c>
      <c r="N47" s="62">
        <f>uurtarief27</f>
        <v>0</v>
      </c>
      <c r="O47" s="60" t="e">
        <f t="shared" si="11"/>
        <v>#DIV/0!</v>
      </c>
      <c r="P47" s="62" t="e">
        <f t="shared" si="12"/>
        <v>#DIV/0!</v>
      </c>
      <c r="Q47" s="60" t="e">
        <f t="shared" si="13"/>
        <v>#DIV/0!</v>
      </c>
      <c r="R47" s="63" t="e">
        <f t="shared" si="14"/>
        <v>#DIV/0!</v>
      </c>
    </row>
    <row r="48" spans="1:18" x14ac:dyDescent="0.2">
      <c r="A48" s="57" t="s">
        <v>215</v>
      </c>
      <c r="B48" s="58" t="s">
        <v>162</v>
      </c>
      <c r="C48" s="58" t="s">
        <v>163</v>
      </c>
      <c r="D48" s="58" t="s">
        <v>170</v>
      </c>
      <c r="E48" s="59" t="s">
        <v>220</v>
      </c>
      <c r="F48" s="58" t="s">
        <v>187</v>
      </c>
      <c r="G48" s="58" t="s">
        <v>144</v>
      </c>
      <c r="H48" s="58" t="s">
        <v>9</v>
      </c>
      <c r="I48" s="58" t="s">
        <v>111</v>
      </c>
      <c r="J48" s="60">
        <v>13</v>
      </c>
      <c r="K48" s="60">
        <f t="shared" si="10"/>
        <v>13</v>
      </c>
      <c r="L48" s="61">
        <f>prodnorm34</f>
        <v>0</v>
      </c>
      <c r="M48" s="58" t="s">
        <v>33</v>
      </c>
      <c r="N48" s="62">
        <f>uurtarief34</f>
        <v>0</v>
      </c>
      <c r="O48" s="60" t="e">
        <f t="shared" si="11"/>
        <v>#DIV/0!</v>
      </c>
      <c r="P48" s="62" t="e">
        <f t="shared" si="12"/>
        <v>#DIV/0!</v>
      </c>
      <c r="Q48" s="60" t="e">
        <f t="shared" si="13"/>
        <v>#DIV/0!</v>
      </c>
      <c r="R48" s="63" t="e">
        <f t="shared" si="14"/>
        <v>#DIV/0!</v>
      </c>
    </row>
    <row r="49" spans="1:18" x14ac:dyDescent="0.2">
      <c r="A49" s="57" t="s">
        <v>215</v>
      </c>
      <c r="B49" s="58" t="s">
        <v>162</v>
      </c>
      <c r="C49" s="58" t="s">
        <v>163</v>
      </c>
      <c r="D49" s="58" t="s">
        <v>171</v>
      </c>
      <c r="E49" s="59" t="s">
        <v>221</v>
      </c>
      <c r="F49" s="58" t="s">
        <v>217</v>
      </c>
      <c r="G49" s="58" t="s">
        <v>137</v>
      </c>
      <c r="H49" s="58" t="s">
        <v>9</v>
      </c>
      <c r="I49" s="58" t="s">
        <v>111</v>
      </c>
      <c r="J49" s="60">
        <v>6.5</v>
      </c>
      <c r="K49" s="60">
        <f t="shared" si="10"/>
        <v>6.5</v>
      </c>
      <c r="L49" s="61">
        <f>prodnorm30</f>
        <v>0</v>
      </c>
      <c r="M49" s="58" t="s">
        <v>33</v>
      </c>
      <c r="N49" s="62">
        <f>uurtarief30</f>
        <v>0</v>
      </c>
      <c r="O49" s="60" t="e">
        <f t="shared" si="11"/>
        <v>#DIV/0!</v>
      </c>
      <c r="P49" s="62" t="e">
        <f t="shared" si="12"/>
        <v>#DIV/0!</v>
      </c>
      <c r="Q49" s="60" t="e">
        <f t="shared" si="13"/>
        <v>#DIV/0!</v>
      </c>
      <c r="R49" s="63" t="e">
        <f t="shared" si="14"/>
        <v>#DIV/0!</v>
      </c>
    </row>
    <row r="50" spans="1:18" x14ac:dyDescent="0.2">
      <c r="A50" s="57" t="s">
        <v>215</v>
      </c>
      <c r="B50" s="58" t="s">
        <v>162</v>
      </c>
      <c r="C50" s="58" t="s">
        <v>163</v>
      </c>
      <c r="D50" s="58" t="s">
        <v>173</v>
      </c>
      <c r="E50" s="59" t="s">
        <v>222</v>
      </c>
      <c r="F50" s="58" t="s">
        <v>187</v>
      </c>
      <c r="G50" s="58" t="s">
        <v>140</v>
      </c>
      <c r="H50" s="58" t="s">
        <v>9</v>
      </c>
      <c r="I50" s="58" t="s">
        <v>111</v>
      </c>
      <c r="J50" s="60">
        <v>12.2</v>
      </c>
      <c r="K50" s="60">
        <f t="shared" si="10"/>
        <v>12.2</v>
      </c>
      <c r="L50" s="61">
        <f>prodnorm32</f>
        <v>0</v>
      </c>
      <c r="M50" s="58" t="s">
        <v>33</v>
      </c>
      <c r="N50" s="62">
        <f>uurtarief32</f>
        <v>0</v>
      </c>
      <c r="O50" s="60" t="e">
        <f t="shared" si="11"/>
        <v>#DIV/0!</v>
      </c>
      <c r="P50" s="62" t="e">
        <f t="shared" si="12"/>
        <v>#DIV/0!</v>
      </c>
      <c r="Q50" s="60" t="e">
        <f t="shared" si="13"/>
        <v>#DIV/0!</v>
      </c>
      <c r="R50" s="63" t="e">
        <f t="shared" si="14"/>
        <v>#DIV/0!</v>
      </c>
    </row>
    <row r="51" spans="1:18" x14ac:dyDescent="0.2">
      <c r="A51" s="57" t="s">
        <v>215</v>
      </c>
      <c r="B51" s="58" t="s">
        <v>162</v>
      </c>
      <c r="C51" s="58" t="s">
        <v>163</v>
      </c>
      <c r="D51" s="58" t="s">
        <v>176</v>
      </c>
      <c r="E51" s="59" t="s">
        <v>168</v>
      </c>
      <c r="F51" s="58" t="s">
        <v>217</v>
      </c>
      <c r="G51" s="58" t="s">
        <v>142</v>
      </c>
      <c r="H51" s="58" t="s">
        <v>9</v>
      </c>
      <c r="I51" s="58" t="s">
        <v>111</v>
      </c>
      <c r="J51" s="60">
        <v>20</v>
      </c>
      <c r="K51" s="60">
        <f t="shared" si="10"/>
        <v>20</v>
      </c>
      <c r="L51" s="61">
        <f>prodnorm33</f>
        <v>0</v>
      </c>
      <c r="M51" s="58" t="s">
        <v>33</v>
      </c>
      <c r="N51" s="62">
        <f>uurtarief33</f>
        <v>0</v>
      </c>
      <c r="O51" s="60" t="e">
        <f t="shared" si="11"/>
        <v>#DIV/0!</v>
      </c>
      <c r="P51" s="62" t="e">
        <f t="shared" si="12"/>
        <v>#DIV/0!</v>
      </c>
      <c r="Q51" s="60" t="e">
        <f t="shared" si="13"/>
        <v>#DIV/0!</v>
      </c>
      <c r="R51" s="63" t="e">
        <f t="shared" si="14"/>
        <v>#DIV/0!</v>
      </c>
    </row>
    <row r="52" spans="1:18" x14ac:dyDescent="0.2">
      <c r="A52" s="57" t="s">
        <v>215</v>
      </c>
      <c r="B52" s="58" t="s">
        <v>162</v>
      </c>
      <c r="C52" s="58" t="s">
        <v>163</v>
      </c>
      <c r="D52" s="58" t="s">
        <v>178</v>
      </c>
      <c r="E52" s="59" t="s">
        <v>223</v>
      </c>
      <c r="F52" s="58" t="s">
        <v>217</v>
      </c>
      <c r="G52" s="58" t="s">
        <v>123</v>
      </c>
      <c r="H52" s="58" t="s">
        <v>9</v>
      </c>
      <c r="I52" s="58" t="s">
        <v>111</v>
      </c>
      <c r="J52" s="60">
        <v>23</v>
      </c>
      <c r="K52" s="60">
        <f t="shared" si="10"/>
        <v>23</v>
      </c>
      <c r="L52" s="61">
        <f>prodnorm17</f>
        <v>0</v>
      </c>
      <c r="M52" s="58" t="s">
        <v>33</v>
      </c>
      <c r="N52" s="62">
        <f>uurtarief17</f>
        <v>0</v>
      </c>
      <c r="O52" s="60" t="e">
        <f t="shared" si="11"/>
        <v>#DIV/0!</v>
      </c>
      <c r="P52" s="62" t="e">
        <f t="shared" si="12"/>
        <v>#DIV/0!</v>
      </c>
      <c r="Q52" s="60" t="e">
        <f t="shared" si="13"/>
        <v>#DIV/0!</v>
      </c>
      <c r="R52" s="63" t="e">
        <f t="shared" si="14"/>
        <v>#DIV/0!</v>
      </c>
    </row>
    <row r="53" spans="1:18" x14ac:dyDescent="0.2">
      <c r="A53" s="57" t="s">
        <v>215</v>
      </c>
      <c r="B53" s="58" t="s">
        <v>162</v>
      </c>
      <c r="C53" s="58" t="s">
        <v>163</v>
      </c>
      <c r="D53" s="58" t="s">
        <v>180</v>
      </c>
      <c r="E53" s="59" t="s">
        <v>223</v>
      </c>
      <c r="F53" s="58" t="s">
        <v>217</v>
      </c>
      <c r="G53" s="58" t="s">
        <v>123</v>
      </c>
      <c r="H53" s="58" t="s">
        <v>9</v>
      </c>
      <c r="I53" s="58" t="s">
        <v>111</v>
      </c>
      <c r="J53" s="60">
        <v>19</v>
      </c>
      <c r="K53" s="60">
        <f t="shared" si="10"/>
        <v>19</v>
      </c>
      <c r="L53" s="61">
        <f>prodnorm17</f>
        <v>0</v>
      </c>
      <c r="M53" s="58" t="s">
        <v>33</v>
      </c>
      <c r="N53" s="62">
        <f>uurtarief17</f>
        <v>0</v>
      </c>
      <c r="O53" s="60" t="e">
        <f t="shared" si="11"/>
        <v>#DIV/0!</v>
      </c>
      <c r="P53" s="62" t="e">
        <f t="shared" si="12"/>
        <v>#DIV/0!</v>
      </c>
      <c r="Q53" s="60" t="e">
        <f t="shared" si="13"/>
        <v>#DIV/0!</v>
      </c>
      <c r="R53" s="63" t="e">
        <f t="shared" si="14"/>
        <v>#DIV/0!</v>
      </c>
    </row>
    <row r="54" spans="1:18" x14ac:dyDescent="0.2">
      <c r="A54" s="57" t="s">
        <v>215</v>
      </c>
      <c r="B54" s="58" t="s">
        <v>162</v>
      </c>
      <c r="C54" s="58" t="s">
        <v>163</v>
      </c>
      <c r="D54" s="58" t="s">
        <v>181</v>
      </c>
      <c r="E54" s="59" t="s">
        <v>177</v>
      </c>
      <c r="F54" s="58" t="s">
        <v>175</v>
      </c>
      <c r="G54" s="58" t="s">
        <v>131</v>
      </c>
      <c r="H54" s="58" t="s">
        <v>9</v>
      </c>
      <c r="I54" s="58" t="s">
        <v>111</v>
      </c>
      <c r="J54" s="60">
        <v>3.4</v>
      </c>
      <c r="K54" s="60">
        <f t="shared" si="10"/>
        <v>3.4</v>
      </c>
      <c r="L54" s="61">
        <f>prodnorm25</f>
        <v>0</v>
      </c>
      <c r="M54" s="58" t="s">
        <v>33</v>
      </c>
      <c r="N54" s="62">
        <f>uurtarief25</f>
        <v>0</v>
      </c>
      <c r="O54" s="60" t="e">
        <f t="shared" si="11"/>
        <v>#DIV/0!</v>
      </c>
      <c r="P54" s="62" t="e">
        <f t="shared" si="12"/>
        <v>#DIV/0!</v>
      </c>
      <c r="Q54" s="60" t="e">
        <f t="shared" si="13"/>
        <v>#DIV/0!</v>
      </c>
      <c r="R54" s="63" t="e">
        <f t="shared" si="14"/>
        <v>#DIV/0!</v>
      </c>
    </row>
    <row r="55" spans="1:18" x14ac:dyDescent="0.2">
      <c r="A55" s="57" t="s">
        <v>215</v>
      </c>
      <c r="B55" s="58" t="s">
        <v>162</v>
      </c>
      <c r="C55" s="58" t="s">
        <v>163</v>
      </c>
      <c r="D55" s="58" t="s">
        <v>183</v>
      </c>
      <c r="E55" s="59" t="s">
        <v>224</v>
      </c>
      <c r="F55" s="58" t="s">
        <v>187</v>
      </c>
      <c r="G55" s="58" t="s">
        <v>129</v>
      </c>
      <c r="H55" s="58" t="s">
        <v>9</v>
      </c>
      <c r="I55" s="58" t="s">
        <v>111</v>
      </c>
      <c r="J55" s="60">
        <v>26</v>
      </c>
      <c r="K55" s="60">
        <f t="shared" si="10"/>
        <v>26</v>
      </c>
      <c r="L55" s="61">
        <f>prodnorm23</f>
        <v>0</v>
      </c>
      <c r="M55" s="58" t="s">
        <v>33</v>
      </c>
      <c r="N55" s="62">
        <f>uurtarief23</f>
        <v>0</v>
      </c>
      <c r="O55" s="60" t="e">
        <f t="shared" si="11"/>
        <v>#DIV/0!</v>
      </c>
      <c r="P55" s="62" t="e">
        <f t="shared" si="12"/>
        <v>#DIV/0!</v>
      </c>
      <c r="Q55" s="60" t="e">
        <f t="shared" si="13"/>
        <v>#DIV/0!</v>
      </c>
      <c r="R55" s="63" t="e">
        <f t="shared" si="14"/>
        <v>#DIV/0!</v>
      </c>
    </row>
    <row r="56" spans="1:18" ht="25.5" x14ac:dyDescent="0.2">
      <c r="A56" s="57" t="s">
        <v>215</v>
      </c>
      <c r="B56" s="58" t="s">
        <v>162</v>
      </c>
      <c r="C56" s="58" t="s">
        <v>163</v>
      </c>
      <c r="D56" s="58" t="s">
        <v>184</v>
      </c>
      <c r="E56" s="59" t="s">
        <v>225</v>
      </c>
      <c r="F56" s="58" t="s">
        <v>187</v>
      </c>
      <c r="G56" s="58" t="s">
        <v>129</v>
      </c>
      <c r="H56" s="58" t="s">
        <v>9</v>
      </c>
      <c r="I56" s="58" t="s">
        <v>111</v>
      </c>
      <c r="J56" s="60">
        <v>40</v>
      </c>
      <c r="K56" s="60">
        <f t="shared" si="10"/>
        <v>40</v>
      </c>
      <c r="L56" s="61">
        <f>prodnorm23</f>
        <v>0</v>
      </c>
      <c r="M56" s="58" t="s">
        <v>33</v>
      </c>
      <c r="N56" s="62">
        <f>uurtarief23</f>
        <v>0</v>
      </c>
      <c r="O56" s="60" t="e">
        <f t="shared" si="11"/>
        <v>#DIV/0!</v>
      </c>
      <c r="P56" s="62" t="e">
        <f t="shared" si="12"/>
        <v>#DIV/0!</v>
      </c>
      <c r="Q56" s="60" t="e">
        <f t="shared" si="13"/>
        <v>#DIV/0!</v>
      </c>
      <c r="R56" s="63" t="e">
        <f t="shared" si="14"/>
        <v>#DIV/0!</v>
      </c>
    </row>
    <row r="57" spans="1:18" x14ac:dyDescent="0.2">
      <c r="A57" s="57" t="s">
        <v>215</v>
      </c>
      <c r="B57" s="58" t="s">
        <v>162</v>
      </c>
      <c r="C57" s="58" t="s">
        <v>163</v>
      </c>
      <c r="D57" s="58" t="s">
        <v>185</v>
      </c>
      <c r="E57" s="59" t="s">
        <v>226</v>
      </c>
      <c r="F57" s="58" t="s">
        <v>187</v>
      </c>
      <c r="G57" s="58" t="s">
        <v>129</v>
      </c>
      <c r="H57" s="58" t="s">
        <v>9</v>
      </c>
      <c r="I57" s="58" t="s">
        <v>111</v>
      </c>
      <c r="J57" s="60">
        <v>45</v>
      </c>
      <c r="K57" s="60">
        <f t="shared" si="10"/>
        <v>45</v>
      </c>
      <c r="L57" s="61">
        <f>prodnorm23</f>
        <v>0</v>
      </c>
      <c r="M57" s="58" t="s">
        <v>33</v>
      </c>
      <c r="N57" s="62">
        <f>uurtarief23</f>
        <v>0</v>
      </c>
      <c r="O57" s="60" t="e">
        <f t="shared" si="11"/>
        <v>#DIV/0!</v>
      </c>
      <c r="P57" s="62" t="e">
        <f t="shared" si="12"/>
        <v>#DIV/0!</v>
      </c>
      <c r="Q57" s="60" t="e">
        <f t="shared" si="13"/>
        <v>#DIV/0!</v>
      </c>
      <c r="R57" s="63" t="e">
        <f t="shared" si="14"/>
        <v>#DIV/0!</v>
      </c>
    </row>
    <row r="58" spans="1:18" x14ac:dyDescent="0.2">
      <c r="A58" s="57" t="s">
        <v>215</v>
      </c>
      <c r="B58" s="58" t="s">
        <v>162</v>
      </c>
      <c r="C58" s="58" t="s">
        <v>163</v>
      </c>
      <c r="D58" s="58" t="s">
        <v>208</v>
      </c>
      <c r="E58" s="59" t="s">
        <v>227</v>
      </c>
      <c r="F58" s="58" t="s">
        <v>187</v>
      </c>
      <c r="G58" s="58" t="s">
        <v>140</v>
      </c>
      <c r="H58" s="58" t="s">
        <v>9</v>
      </c>
      <c r="I58" s="58" t="s">
        <v>111</v>
      </c>
      <c r="J58" s="60">
        <v>72</v>
      </c>
      <c r="K58" s="60">
        <f t="shared" si="10"/>
        <v>72</v>
      </c>
      <c r="L58" s="61">
        <f>prodnorm32</f>
        <v>0</v>
      </c>
      <c r="M58" s="58" t="s">
        <v>33</v>
      </c>
      <c r="N58" s="62">
        <f>uurtarief32</f>
        <v>0</v>
      </c>
      <c r="O58" s="60" t="e">
        <f t="shared" si="11"/>
        <v>#DIV/0!</v>
      </c>
      <c r="P58" s="62" t="e">
        <f t="shared" si="12"/>
        <v>#DIV/0!</v>
      </c>
      <c r="Q58" s="60" t="e">
        <f t="shared" si="13"/>
        <v>#DIV/0!</v>
      </c>
      <c r="R58" s="63" t="e">
        <f t="shared" si="14"/>
        <v>#DIV/0!</v>
      </c>
    </row>
    <row r="59" spans="1:18" x14ac:dyDescent="0.2">
      <c r="A59" s="57" t="s">
        <v>215</v>
      </c>
      <c r="B59" s="58" t="s">
        <v>162</v>
      </c>
      <c r="C59" s="58" t="s">
        <v>163</v>
      </c>
      <c r="D59" s="58" t="s">
        <v>210</v>
      </c>
      <c r="E59" s="59" t="s">
        <v>191</v>
      </c>
      <c r="F59" s="58" t="s">
        <v>187</v>
      </c>
      <c r="G59" s="58" t="s">
        <v>115</v>
      </c>
      <c r="H59" s="58" t="s">
        <v>9</v>
      </c>
      <c r="I59" s="58" t="s">
        <v>111</v>
      </c>
      <c r="J59" s="60">
        <v>18</v>
      </c>
      <c r="K59" s="60">
        <f t="shared" si="10"/>
        <v>18</v>
      </c>
      <c r="L59" s="61">
        <f>prodnorm11</f>
        <v>0</v>
      </c>
      <c r="M59" s="58" t="s">
        <v>33</v>
      </c>
      <c r="N59" s="62">
        <f>uurtarief11</f>
        <v>0</v>
      </c>
      <c r="O59" s="60" t="e">
        <f t="shared" si="11"/>
        <v>#DIV/0!</v>
      </c>
      <c r="P59" s="62" t="e">
        <f t="shared" si="12"/>
        <v>#DIV/0!</v>
      </c>
      <c r="Q59" s="60" t="e">
        <f t="shared" si="13"/>
        <v>#DIV/0!</v>
      </c>
      <c r="R59" s="63" t="e">
        <f t="shared" si="14"/>
        <v>#DIV/0!</v>
      </c>
    </row>
    <row r="60" spans="1:18" x14ac:dyDescent="0.2">
      <c r="A60" s="57" t="s">
        <v>215</v>
      </c>
      <c r="B60" s="58" t="s">
        <v>162</v>
      </c>
      <c r="C60" s="58" t="s">
        <v>163</v>
      </c>
      <c r="D60" s="58" t="s">
        <v>211</v>
      </c>
      <c r="E60" s="59" t="s">
        <v>228</v>
      </c>
      <c r="F60" s="58" t="s">
        <v>187</v>
      </c>
      <c r="G60" s="58" t="s">
        <v>115</v>
      </c>
      <c r="H60" s="58" t="s">
        <v>9</v>
      </c>
      <c r="I60" s="58" t="s">
        <v>111</v>
      </c>
      <c r="J60" s="60">
        <v>6</v>
      </c>
      <c r="K60" s="60">
        <f t="shared" si="10"/>
        <v>6</v>
      </c>
      <c r="L60" s="61">
        <f>prodnorm11</f>
        <v>0</v>
      </c>
      <c r="M60" s="58" t="s">
        <v>33</v>
      </c>
      <c r="N60" s="62">
        <f>uurtarief11</f>
        <v>0</v>
      </c>
      <c r="O60" s="60" t="e">
        <f t="shared" si="11"/>
        <v>#DIV/0!</v>
      </c>
      <c r="P60" s="62" t="e">
        <f t="shared" si="12"/>
        <v>#DIV/0!</v>
      </c>
      <c r="Q60" s="60" t="e">
        <f t="shared" si="13"/>
        <v>#DIV/0!</v>
      </c>
      <c r="R60" s="63" t="e">
        <f t="shared" si="14"/>
        <v>#DIV/0!</v>
      </c>
    </row>
    <row r="61" spans="1:18" x14ac:dyDescent="0.2">
      <c r="A61" s="57" t="s">
        <v>215</v>
      </c>
      <c r="B61" s="58" t="s">
        <v>162</v>
      </c>
      <c r="C61" s="58" t="s">
        <v>163</v>
      </c>
      <c r="D61" s="58" t="s">
        <v>212</v>
      </c>
      <c r="E61" s="59" t="s">
        <v>229</v>
      </c>
      <c r="F61" s="58" t="s">
        <v>187</v>
      </c>
      <c r="G61" s="58" t="s">
        <v>129</v>
      </c>
      <c r="H61" s="58" t="s">
        <v>9</v>
      </c>
      <c r="I61" s="58" t="s">
        <v>111</v>
      </c>
      <c r="J61" s="60">
        <v>12</v>
      </c>
      <c r="K61" s="60">
        <f t="shared" si="10"/>
        <v>12</v>
      </c>
      <c r="L61" s="61">
        <f>prodnorm23</f>
        <v>0</v>
      </c>
      <c r="M61" s="58" t="s">
        <v>33</v>
      </c>
      <c r="N61" s="62">
        <f>uurtarief23</f>
        <v>0</v>
      </c>
      <c r="O61" s="60" t="e">
        <f t="shared" si="11"/>
        <v>#DIV/0!</v>
      </c>
      <c r="P61" s="62" t="e">
        <f t="shared" si="12"/>
        <v>#DIV/0!</v>
      </c>
      <c r="Q61" s="60" t="e">
        <f t="shared" si="13"/>
        <v>#DIV/0!</v>
      </c>
      <c r="R61" s="63" t="e">
        <f t="shared" si="14"/>
        <v>#DIV/0!</v>
      </c>
    </row>
    <row r="62" spans="1:18" x14ac:dyDescent="0.2">
      <c r="A62" s="57" t="s">
        <v>215</v>
      </c>
      <c r="B62" s="58" t="s">
        <v>162</v>
      </c>
      <c r="C62" s="58" t="s">
        <v>163</v>
      </c>
      <c r="D62" s="58" t="s">
        <v>213</v>
      </c>
      <c r="E62" s="59" t="s">
        <v>191</v>
      </c>
      <c r="F62" s="58" t="s">
        <v>187</v>
      </c>
      <c r="G62" s="58" t="s">
        <v>115</v>
      </c>
      <c r="H62" s="58" t="s">
        <v>9</v>
      </c>
      <c r="I62" s="58" t="s">
        <v>111</v>
      </c>
      <c r="J62" s="60">
        <v>18</v>
      </c>
      <c r="K62" s="60">
        <f t="shared" si="10"/>
        <v>18</v>
      </c>
      <c r="L62" s="61">
        <f>prodnorm11</f>
        <v>0</v>
      </c>
      <c r="M62" s="58" t="s">
        <v>33</v>
      </c>
      <c r="N62" s="62">
        <f>uurtarief11</f>
        <v>0</v>
      </c>
      <c r="O62" s="60" t="e">
        <f t="shared" si="11"/>
        <v>#DIV/0!</v>
      </c>
      <c r="P62" s="62" t="e">
        <f t="shared" si="12"/>
        <v>#DIV/0!</v>
      </c>
      <c r="Q62" s="60" t="e">
        <f t="shared" si="13"/>
        <v>#DIV/0!</v>
      </c>
      <c r="R62" s="63" t="e">
        <f t="shared" si="14"/>
        <v>#DIV/0!</v>
      </c>
    </row>
    <row r="63" spans="1:18" x14ac:dyDescent="0.2">
      <c r="A63" s="57" t="s">
        <v>215</v>
      </c>
      <c r="B63" s="58" t="s">
        <v>162</v>
      </c>
      <c r="C63" s="58" t="s">
        <v>163</v>
      </c>
      <c r="D63" s="58" t="s">
        <v>230</v>
      </c>
      <c r="E63" s="59" t="s">
        <v>191</v>
      </c>
      <c r="F63" s="58" t="s">
        <v>187</v>
      </c>
      <c r="G63" s="58" t="s">
        <v>115</v>
      </c>
      <c r="H63" s="58" t="s">
        <v>9</v>
      </c>
      <c r="I63" s="58" t="s">
        <v>111</v>
      </c>
      <c r="J63" s="60">
        <v>30</v>
      </c>
      <c r="K63" s="60">
        <f t="shared" si="10"/>
        <v>30</v>
      </c>
      <c r="L63" s="61">
        <f>prodnorm11</f>
        <v>0</v>
      </c>
      <c r="M63" s="58" t="s">
        <v>33</v>
      </c>
      <c r="N63" s="62">
        <f>uurtarief11</f>
        <v>0</v>
      </c>
      <c r="O63" s="60" t="e">
        <f t="shared" si="11"/>
        <v>#DIV/0!</v>
      </c>
      <c r="P63" s="62" t="e">
        <f t="shared" si="12"/>
        <v>#DIV/0!</v>
      </c>
      <c r="Q63" s="60" t="e">
        <f t="shared" si="13"/>
        <v>#DIV/0!</v>
      </c>
      <c r="R63" s="63" t="e">
        <f t="shared" si="14"/>
        <v>#DIV/0!</v>
      </c>
    </row>
    <row r="64" spans="1:18" x14ac:dyDescent="0.2">
      <c r="A64" s="57" t="s">
        <v>215</v>
      </c>
      <c r="B64" s="58" t="s">
        <v>162</v>
      </c>
      <c r="C64" s="58" t="s">
        <v>163</v>
      </c>
      <c r="D64" s="58" t="s">
        <v>231</v>
      </c>
      <c r="E64" s="59" t="s">
        <v>191</v>
      </c>
      <c r="F64" s="58" t="s">
        <v>187</v>
      </c>
      <c r="G64" s="58" t="s">
        <v>115</v>
      </c>
      <c r="H64" s="58" t="s">
        <v>9</v>
      </c>
      <c r="I64" s="58" t="s">
        <v>111</v>
      </c>
      <c r="J64" s="60">
        <v>20</v>
      </c>
      <c r="K64" s="60">
        <f t="shared" si="10"/>
        <v>20</v>
      </c>
      <c r="L64" s="61">
        <f>prodnorm11</f>
        <v>0</v>
      </c>
      <c r="M64" s="58" t="s">
        <v>33</v>
      </c>
      <c r="N64" s="62">
        <f>uurtarief11</f>
        <v>0</v>
      </c>
      <c r="O64" s="60" t="e">
        <f t="shared" si="11"/>
        <v>#DIV/0!</v>
      </c>
      <c r="P64" s="62" t="e">
        <f t="shared" si="12"/>
        <v>#DIV/0!</v>
      </c>
      <c r="Q64" s="60" t="e">
        <f t="shared" si="13"/>
        <v>#DIV/0!</v>
      </c>
      <c r="R64" s="63" t="e">
        <f t="shared" si="14"/>
        <v>#DIV/0!</v>
      </c>
    </row>
    <row r="65" spans="1:18" x14ac:dyDescent="0.2">
      <c r="A65" s="57" t="s">
        <v>215</v>
      </c>
      <c r="B65" s="58" t="s">
        <v>162</v>
      </c>
      <c r="C65" s="58" t="s">
        <v>163</v>
      </c>
      <c r="D65" s="58" t="s">
        <v>232</v>
      </c>
      <c r="E65" s="59" t="s">
        <v>233</v>
      </c>
      <c r="F65" s="58" t="s">
        <v>187</v>
      </c>
      <c r="G65" s="58" t="s">
        <v>129</v>
      </c>
      <c r="H65" s="58" t="s">
        <v>9</v>
      </c>
      <c r="I65" s="58" t="s">
        <v>111</v>
      </c>
      <c r="J65" s="60">
        <v>20</v>
      </c>
      <c r="K65" s="60">
        <f t="shared" si="10"/>
        <v>20</v>
      </c>
      <c r="L65" s="61">
        <f>prodnorm23</f>
        <v>0</v>
      </c>
      <c r="M65" s="58" t="s">
        <v>33</v>
      </c>
      <c r="N65" s="62">
        <f>uurtarief23</f>
        <v>0</v>
      </c>
      <c r="O65" s="60" t="e">
        <f t="shared" si="11"/>
        <v>#DIV/0!</v>
      </c>
      <c r="P65" s="62" t="e">
        <f t="shared" si="12"/>
        <v>#DIV/0!</v>
      </c>
      <c r="Q65" s="60" t="e">
        <f t="shared" si="13"/>
        <v>#DIV/0!</v>
      </c>
      <c r="R65" s="63" t="e">
        <f t="shared" si="14"/>
        <v>#DIV/0!</v>
      </c>
    </row>
    <row r="66" spans="1:18" x14ac:dyDescent="0.2">
      <c r="A66" s="57" t="s">
        <v>215</v>
      </c>
      <c r="B66" s="58" t="s">
        <v>162</v>
      </c>
      <c r="C66" s="58" t="s">
        <v>163</v>
      </c>
      <c r="D66" s="58" t="s">
        <v>234</v>
      </c>
      <c r="E66" s="59" t="s">
        <v>191</v>
      </c>
      <c r="F66" s="58" t="s">
        <v>187</v>
      </c>
      <c r="G66" s="58" t="s">
        <v>115</v>
      </c>
      <c r="H66" s="58" t="s">
        <v>9</v>
      </c>
      <c r="I66" s="58" t="s">
        <v>111</v>
      </c>
      <c r="J66" s="60">
        <v>13</v>
      </c>
      <c r="K66" s="60">
        <f t="shared" si="10"/>
        <v>13</v>
      </c>
      <c r="L66" s="61">
        <f>prodnorm11</f>
        <v>0</v>
      </c>
      <c r="M66" s="58" t="s">
        <v>33</v>
      </c>
      <c r="N66" s="62">
        <f>uurtarief11</f>
        <v>0</v>
      </c>
      <c r="O66" s="60" t="e">
        <f t="shared" si="11"/>
        <v>#DIV/0!</v>
      </c>
      <c r="P66" s="62" t="e">
        <f t="shared" si="12"/>
        <v>#DIV/0!</v>
      </c>
      <c r="Q66" s="60" t="e">
        <f t="shared" si="13"/>
        <v>#DIV/0!</v>
      </c>
      <c r="R66" s="63" t="e">
        <f t="shared" si="14"/>
        <v>#DIV/0!</v>
      </c>
    </row>
    <row r="67" spans="1:18" x14ac:dyDescent="0.2">
      <c r="A67" s="57" t="s">
        <v>215</v>
      </c>
      <c r="B67" s="58" t="s">
        <v>162</v>
      </c>
      <c r="C67" s="58" t="s">
        <v>163</v>
      </c>
      <c r="D67" s="58" t="s">
        <v>235</v>
      </c>
      <c r="E67" s="59" t="s">
        <v>236</v>
      </c>
      <c r="F67" s="58" t="s">
        <v>187</v>
      </c>
      <c r="G67" s="58" t="s">
        <v>135</v>
      </c>
      <c r="H67" s="58" t="s">
        <v>9</v>
      </c>
      <c r="I67" s="58" t="s">
        <v>111</v>
      </c>
      <c r="J67" s="60">
        <v>13</v>
      </c>
      <c r="K67" s="60">
        <f t="shared" si="10"/>
        <v>13</v>
      </c>
      <c r="L67" s="61">
        <f>prodnorm28</f>
        <v>0</v>
      </c>
      <c r="M67" s="58" t="s">
        <v>33</v>
      </c>
      <c r="N67" s="62">
        <f>uurtarief28</f>
        <v>0</v>
      </c>
      <c r="O67" s="60" t="e">
        <f t="shared" si="11"/>
        <v>#DIV/0!</v>
      </c>
      <c r="P67" s="62" t="e">
        <f t="shared" si="12"/>
        <v>#DIV/0!</v>
      </c>
      <c r="Q67" s="60" t="e">
        <f t="shared" si="13"/>
        <v>#DIV/0!</v>
      </c>
      <c r="R67" s="63" t="e">
        <f t="shared" si="14"/>
        <v>#DIV/0!</v>
      </c>
    </row>
    <row r="68" spans="1:18" x14ac:dyDescent="0.2">
      <c r="A68" s="57" t="s">
        <v>215</v>
      </c>
      <c r="B68" s="58" t="s">
        <v>162</v>
      </c>
      <c r="C68" s="58" t="s">
        <v>163</v>
      </c>
      <c r="D68" s="58" t="s">
        <v>237</v>
      </c>
      <c r="E68" s="59" t="s">
        <v>186</v>
      </c>
      <c r="F68" s="58" t="s">
        <v>238</v>
      </c>
      <c r="G68" s="58" t="s">
        <v>133</v>
      </c>
      <c r="H68" s="58" t="s">
        <v>9</v>
      </c>
      <c r="I68" s="58" t="s">
        <v>111</v>
      </c>
      <c r="J68" s="60">
        <v>6.5</v>
      </c>
      <c r="K68" s="60">
        <f t="shared" si="10"/>
        <v>6.5</v>
      </c>
      <c r="L68" s="61">
        <f>prodnorm27</f>
        <v>0</v>
      </c>
      <c r="M68" s="58" t="s">
        <v>33</v>
      </c>
      <c r="N68" s="62">
        <f>uurtarief27</f>
        <v>0</v>
      </c>
      <c r="O68" s="60" t="e">
        <f t="shared" si="11"/>
        <v>#DIV/0!</v>
      </c>
      <c r="P68" s="62" t="e">
        <f t="shared" si="12"/>
        <v>#DIV/0!</v>
      </c>
      <c r="Q68" s="60" t="e">
        <f t="shared" si="13"/>
        <v>#DIV/0!</v>
      </c>
      <c r="R68" s="63" t="e">
        <f t="shared" si="14"/>
        <v>#DIV/0!</v>
      </c>
    </row>
    <row r="69" spans="1:18" x14ac:dyDescent="0.2">
      <c r="A69" s="57" t="s">
        <v>215</v>
      </c>
      <c r="B69" s="58" t="s">
        <v>162</v>
      </c>
      <c r="C69" s="58" t="s">
        <v>163</v>
      </c>
      <c r="D69" s="58" t="s">
        <v>239</v>
      </c>
      <c r="E69" s="59" t="s">
        <v>191</v>
      </c>
      <c r="F69" s="58" t="s">
        <v>187</v>
      </c>
      <c r="G69" s="58" t="s">
        <v>115</v>
      </c>
      <c r="H69" s="58" t="s">
        <v>9</v>
      </c>
      <c r="I69" s="58" t="s">
        <v>111</v>
      </c>
      <c r="J69" s="60">
        <v>30</v>
      </c>
      <c r="K69" s="60">
        <f t="shared" si="10"/>
        <v>30</v>
      </c>
      <c r="L69" s="61">
        <f>prodnorm11</f>
        <v>0</v>
      </c>
      <c r="M69" s="58" t="s">
        <v>33</v>
      </c>
      <c r="N69" s="62">
        <f>uurtarief11</f>
        <v>0</v>
      </c>
      <c r="O69" s="60" t="e">
        <f t="shared" si="11"/>
        <v>#DIV/0!</v>
      </c>
      <c r="P69" s="62" t="e">
        <f t="shared" si="12"/>
        <v>#DIV/0!</v>
      </c>
      <c r="Q69" s="60" t="e">
        <f t="shared" si="13"/>
        <v>#DIV/0!</v>
      </c>
      <c r="R69" s="63" t="e">
        <f t="shared" si="14"/>
        <v>#DIV/0!</v>
      </c>
    </row>
    <row r="70" spans="1:18" x14ac:dyDescent="0.2">
      <c r="A70" s="57" t="s">
        <v>215</v>
      </c>
      <c r="B70" s="58" t="s">
        <v>162</v>
      </c>
      <c r="C70" s="58" t="s">
        <v>163</v>
      </c>
      <c r="D70" s="58" t="s">
        <v>240</v>
      </c>
      <c r="E70" s="59" t="s">
        <v>191</v>
      </c>
      <c r="F70" s="58" t="s">
        <v>187</v>
      </c>
      <c r="G70" s="58" t="s">
        <v>115</v>
      </c>
      <c r="H70" s="58" t="s">
        <v>9</v>
      </c>
      <c r="I70" s="58" t="s">
        <v>111</v>
      </c>
      <c r="J70" s="60">
        <v>18</v>
      </c>
      <c r="K70" s="60">
        <f t="shared" si="10"/>
        <v>18</v>
      </c>
      <c r="L70" s="61">
        <f>prodnorm11</f>
        <v>0</v>
      </c>
      <c r="M70" s="58" t="s">
        <v>33</v>
      </c>
      <c r="N70" s="62">
        <f>uurtarief11</f>
        <v>0</v>
      </c>
      <c r="O70" s="60" t="e">
        <f t="shared" si="11"/>
        <v>#DIV/0!</v>
      </c>
      <c r="P70" s="62" t="e">
        <f t="shared" si="12"/>
        <v>#DIV/0!</v>
      </c>
      <c r="Q70" s="60" t="e">
        <f t="shared" si="13"/>
        <v>#DIV/0!</v>
      </c>
      <c r="R70" s="63" t="e">
        <f t="shared" si="14"/>
        <v>#DIV/0!</v>
      </c>
    </row>
    <row r="71" spans="1:18" x14ac:dyDescent="0.2">
      <c r="A71" s="57" t="s">
        <v>215</v>
      </c>
      <c r="B71" s="58" t="s">
        <v>162</v>
      </c>
      <c r="C71" s="58" t="s">
        <v>163</v>
      </c>
      <c r="D71" s="58" t="s">
        <v>241</v>
      </c>
      <c r="E71" s="59" t="s">
        <v>242</v>
      </c>
      <c r="F71" s="58" t="s">
        <v>187</v>
      </c>
      <c r="G71" s="58" t="s">
        <v>129</v>
      </c>
      <c r="H71" s="58" t="s">
        <v>9</v>
      </c>
      <c r="I71" s="58" t="s">
        <v>111</v>
      </c>
      <c r="J71" s="60">
        <v>12</v>
      </c>
      <c r="K71" s="60">
        <f t="shared" si="10"/>
        <v>12</v>
      </c>
      <c r="L71" s="61">
        <f>prodnorm23</f>
        <v>0</v>
      </c>
      <c r="M71" s="58" t="s">
        <v>33</v>
      </c>
      <c r="N71" s="62">
        <f>uurtarief23</f>
        <v>0</v>
      </c>
      <c r="O71" s="60" t="e">
        <f t="shared" si="11"/>
        <v>#DIV/0!</v>
      </c>
      <c r="P71" s="62" t="e">
        <f t="shared" si="12"/>
        <v>#DIV/0!</v>
      </c>
      <c r="Q71" s="60" t="e">
        <f t="shared" si="13"/>
        <v>#DIV/0!</v>
      </c>
      <c r="R71" s="63" t="e">
        <f t="shared" si="14"/>
        <v>#DIV/0!</v>
      </c>
    </row>
    <row r="72" spans="1:18" x14ac:dyDescent="0.2">
      <c r="A72" s="57" t="s">
        <v>215</v>
      </c>
      <c r="B72" s="58" t="s">
        <v>162</v>
      </c>
      <c r="C72" s="58" t="s">
        <v>163</v>
      </c>
      <c r="D72" s="58" t="s">
        <v>243</v>
      </c>
      <c r="E72" s="59" t="s">
        <v>228</v>
      </c>
      <c r="F72" s="58" t="s">
        <v>187</v>
      </c>
      <c r="G72" s="58" t="s">
        <v>115</v>
      </c>
      <c r="H72" s="58" t="s">
        <v>9</v>
      </c>
      <c r="I72" s="58" t="s">
        <v>111</v>
      </c>
      <c r="J72" s="60">
        <v>6</v>
      </c>
      <c r="K72" s="60">
        <f t="shared" si="10"/>
        <v>6</v>
      </c>
      <c r="L72" s="61">
        <f>prodnorm11</f>
        <v>0</v>
      </c>
      <c r="M72" s="58" t="s">
        <v>33</v>
      </c>
      <c r="N72" s="62">
        <f>uurtarief11</f>
        <v>0</v>
      </c>
      <c r="O72" s="60" t="e">
        <f t="shared" si="11"/>
        <v>#DIV/0!</v>
      </c>
      <c r="P72" s="62" t="e">
        <f t="shared" si="12"/>
        <v>#DIV/0!</v>
      </c>
      <c r="Q72" s="60" t="e">
        <f t="shared" si="13"/>
        <v>#DIV/0!</v>
      </c>
      <c r="R72" s="63" t="e">
        <f t="shared" si="14"/>
        <v>#DIV/0!</v>
      </c>
    </row>
    <row r="73" spans="1:18" x14ac:dyDescent="0.2">
      <c r="A73" s="57" t="s">
        <v>215</v>
      </c>
      <c r="B73" s="58" t="s">
        <v>162</v>
      </c>
      <c r="C73" s="58" t="s">
        <v>163</v>
      </c>
      <c r="D73" s="58" t="s">
        <v>244</v>
      </c>
      <c r="E73" s="59" t="s">
        <v>228</v>
      </c>
      <c r="F73" s="58" t="s">
        <v>187</v>
      </c>
      <c r="G73" s="58" t="s">
        <v>115</v>
      </c>
      <c r="H73" s="58" t="s">
        <v>9</v>
      </c>
      <c r="I73" s="58" t="s">
        <v>111</v>
      </c>
      <c r="J73" s="60">
        <v>6</v>
      </c>
      <c r="K73" s="60">
        <f t="shared" si="10"/>
        <v>6</v>
      </c>
      <c r="L73" s="61">
        <f>prodnorm11</f>
        <v>0</v>
      </c>
      <c r="M73" s="58" t="s">
        <v>33</v>
      </c>
      <c r="N73" s="62">
        <f>uurtarief11</f>
        <v>0</v>
      </c>
      <c r="O73" s="60" t="e">
        <f t="shared" si="11"/>
        <v>#DIV/0!</v>
      </c>
      <c r="P73" s="62" t="e">
        <f t="shared" si="12"/>
        <v>#DIV/0!</v>
      </c>
      <c r="Q73" s="60" t="e">
        <f t="shared" si="13"/>
        <v>#DIV/0!</v>
      </c>
      <c r="R73" s="63" t="e">
        <f t="shared" si="14"/>
        <v>#DIV/0!</v>
      </c>
    </row>
    <row r="74" spans="1:18" x14ac:dyDescent="0.2">
      <c r="A74" s="57" t="s">
        <v>215</v>
      </c>
      <c r="B74" s="58" t="s">
        <v>162</v>
      </c>
      <c r="C74" s="58" t="s">
        <v>163</v>
      </c>
      <c r="D74" s="58" t="s">
        <v>245</v>
      </c>
      <c r="E74" s="59" t="s">
        <v>191</v>
      </c>
      <c r="F74" s="58" t="s">
        <v>187</v>
      </c>
      <c r="G74" s="58" t="s">
        <v>115</v>
      </c>
      <c r="H74" s="58" t="s">
        <v>9</v>
      </c>
      <c r="I74" s="58" t="s">
        <v>111</v>
      </c>
      <c r="J74" s="60">
        <v>18</v>
      </c>
      <c r="K74" s="60">
        <f t="shared" si="10"/>
        <v>18</v>
      </c>
      <c r="L74" s="61">
        <f>prodnorm11</f>
        <v>0</v>
      </c>
      <c r="M74" s="58" t="s">
        <v>33</v>
      </c>
      <c r="N74" s="62">
        <f>uurtarief11</f>
        <v>0</v>
      </c>
      <c r="O74" s="60" t="e">
        <f t="shared" si="11"/>
        <v>#DIV/0!</v>
      </c>
      <c r="P74" s="62" t="e">
        <f t="shared" si="12"/>
        <v>#DIV/0!</v>
      </c>
      <c r="Q74" s="60" t="e">
        <f t="shared" si="13"/>
        <v>#DIV/0!</v>
      </c>
      <c r="R74" s="63" t="e">
        <f t="shared" si="14"/>
        <v>#DIV/0!</v>
      </c>
    </row>
    <row r="75" spans="1:18" x14ac:dyDescent="0.2">
      <c r="A75" s="57" t="s">
        <v>215</v>
      </c>
      <c r="B75" s="58" t="s">
        <v>162</v>
      </c>
      <c r="C75" s="58" t="s">
        <v>163</v>
      </c>
      <c r="D75" s="58" t="s">
        <v>246</v>
      </c>
      <c r="E75" s="59" t="s">
        <v>227</v>
      </c>
      <c r="F75" s="58" t="s">
        <v>187</v>
      </c>
      <c r="G75" s="58" t="s">
        <v>140</v>
      </c>
      <c r="H75" s="58" t="s">
        <v>9</v>
      </c>
      <c r="I75" s="58" t="s">
        <v>111</v>
      </c>
      <c r="J75" s="60">
        <v>72</v>
      </c>
      <c r="K75" s="60">
        <f t="shared" si="10"/>
        <v>72</v>
      </c>
      <c r="L75" s="61">
        <f>prodnorm32</f>
        <v>0</v>
      </c>
      <c r="M75" s="58" t="s">
        <v>33</v>
      </c>
      <c r="N75" s="62">
        <f>uurtarief32</f>
        <v>0</v>
      </c>
      <c r="O75" s="60" t="e">
        <f t="shared" si="11"/>
        <v>#DIV/0!</v>
      </c>
      <c r="P75" s="62" t="e">
        <f t="shared" si="12"/>
        <v>#DIV/0!</v>
      </c>
      <c r="Q75" s="60" t="e">
        <f t="shared" si="13"/>
        <v>#DIV/0!</v>
      </c>
      <c r="R75" s="63" t="e">
        <f t="shared" si="14"/>
        <v>#DIV/0!</v>
      </c>
    </row>
    <row r="76" spans="1:18" x14ac:dyDescent="0.2">
      <c r="A76" s="57" t="s">
        <v>215</v>
      </c>
      <c r="B76" s="58" t="s">
        <v>162</v>
      </c>
      <c r="C76" s="58" t="s">
        <v>163</v>
      </c>
      <c r="D76" s="58" t="s">
        <v>247</v>
      </c>
      <c r="E76" s="59" t="s">
        <v>227</v>
      </c>
      <c r="F76" s="58" t="s">
        <v>187</v>
      </c>
      <c r="G76" s="58" t="s">
        <v>140</v>
      </c>
      <c r="H76" s="58" t="s">
        <v>9</v>
      </c>
      <c r="I76" s="58" t="s">
        <v>111</v>
      </c>
      <c r="J76" s="60">
        <v>19</v>
      </c>
      <c r="K76" s="60">
        <f t="shared" si="10"/>
        <v>19</v>
      </c>
      <c r="L76" s="61">
        <f>prodnorm32</f>
        <v>0</v>
      </c>
      <c r="M76" s="58" t="s">
        <v>33</v>
      </c>
      <c r="N76" s="62">
        <f>uurtarief32</f>
        <v>0</v>
      </c>
      <c r="O76" s="60" t="e">
        <f t="shared" si="11"/>
        <v>#DIV/0!</v>
      </c>
      <c r="P76" s="62" t="e">
        <f t="shared" si="12"/>
        <v>#DIV/0!</v>
      </c>
      <c r="Q76" s="60" t="e">
        <f t="shared" si="13"/>
        <v>#DIV/0!</v>
      </c>
      <c r="R76" s="63" t="e">
        <f t="shared" si="14"/>
        <v>#DIV/0!</v>
      </c>
    </row>
    <row r="77" spans="1:18" x14ac:dyDescent="0.2">
      <c r="A77" s="57" t="s">
        <v>215</v>
      </c>
      <c r="B77" s="58" t="s">
        <v>162</v>
      </c>
      <c r="C77" s="58" t="s">
        <v>163</v>
      </c>
      <c r="D77" s="58" t="s">
        <v>248</v>
      </c>
      <c r="E77" s="59" t="s">
        <v>209</v>
      </c>
      <c r="F77" s="58" t="s">
        <v>249</v>
      </c>
      <c r="G77" s="58" t="s">
        <v>137</v>
      </c>
      <c r="H77" s="58" t="s">
        <v>9</v>
      </c>
      <c r="I77" s="58" t="s">
        <v>111</v>
      </c>
      <c r="J77" s="60">
        <v>4</v>
      </c>
      <c r="K77" s="60">
        <f t="shared" ref="K77:K108" si="15">J77*VLOOKUP(H77,dagsoorttabel1,2,FALSE)</f>
        <v>4</v>
      </c>
      <c r="L77" s="61">
        <f>prodnorm30</f>
        <v>0</v>
      </c>
      <c r="M77" s="58" t="s">
        <v>33</v>
      </c>
      <c r="N77" s="62">
        <f>uurtarief30</f>
        <v>0</v>
      </c>
      <c r="O77" s="60" t="e">
        <f t="shared" ref="O77:O108" si="16">IF(ISBLANK(L77),0,K77/ROUND(L77,4))</f>
        <v>#DIV/0!</v>
      </c>
      <c r="P77" s="62" t="e">
        <f t="shared" ref="P77:P108" si="17">ROUND(N77,2)*O77</f>
        <v>#DIV/0!</v>
      </c>
      <c r="Q77" s="60" t="e">
        <f t="shared" ref="Q77:Q108" si="18">O77*dagenperjaar1</f>
        <v>#DIV/0!</v>
      </c>
      <c r="R77" s="63" t="e">
        <f t="shared" ref="R77:R108" si="19">Q77*ROUND(N77,2)</f>
        <v>#DIV/0!</v>
      </c>
    </row>
    <row r="78" spans="1:18" x14ac:dyDescent="0.2">
      <c r="A78" s="57" t="s">
        <v>215</v>
      </c>
      <c r="B78" s="58" t="s">
        <v>162</v>
      </c>
      <c r="C78" s="58" t="s">
        <v>163</v>
      </c>
      <c r="D78" s="58" t="s">
        <v>250</v>
      </c>
      <c r="E78" s="59" t="s">
        <v>179</v>
      </c>
      <c r="F78" s="58" t="s">
        <v>249</v>
      </c>
      <c r="G78" s="58" t="s">
        <v>125</v>
      </c>
      <c r="H78" s="58" t="s">
        <v>9</v>
      </c>
      <c r="I78" s="58" t="s">
        <v>111</v>
      </c>
      <c r="J78" s="60">
        <v>4</v>
      </c>
      <c r="K78" s="60">
        <f t="shared" si="15"/>
        <v>4</v>
      </c>
      <c r="L78" s="61">
        <f>prodnorm19</f>
        <v>0</v>
      </c>
      <c r="M78" s="58" t="s">
        <v>33</v>
      </c>
      <c r="N78" s="62">
        <f>uurtarief19</f>
        <v>0</v>
      </c>
      <c r="O78" s="60" t="e">
        <f t="shared" si="16"/>
        <v>#DIV/0!</v>
      </c>
      <c r="P78" s="62" t="e">
        <f t="shared" si="17"/>
        <v>#DIV/0!</v>
      </c>
      <c r="Q78" s="60" t="e">
        <f t="shared" si="18"/>
        <v>#DIV/0!</v>
      </c>
      <c r="R78" s="63" t="e">
        <f t="shared" si="19"/>
        <v>#DIV/0!</v>
      </c>
    </row>
    <row r="79" spans="1:18" x14ac:dyDescent="0.2">
      <c r="A79" s="57" t="s">
        <v>215</v>
      </c>
      <c r="B79" s="58" t="s">
        <v>162</v>
      </c>
      <c r="C79" s="58" t="s">
        <v>163</v>
      </c>
      <c r="D79" s="58" t="s">
        <v>251</v>
      </c>
      <c r="E79" s="59" t="s">
        <v>252</v>
      </c>
      <c r="F79" s="58" t="s">
        <v>175</v>
      </c>
      <c r="G79" s="58" t="s">
        <v>131</v>
      </c>
      <c r="H79" s="58" t="s">
        <v>9</v>
      </c>
      <c r="I79" s="58" t="s">
        <v>111</v>
      </c>
      <c r="J79" s="60">
        <v>8.1999999999999993</v>
      </c>
      <c r="K79" s="60">
        <f t="shared" si="15"/>
        <v>8.1999999999999993</v>
      </c>
      <c r="L79" s="61">
        <f>prodnorm25</f>
        <v>0</v>
      </c>
      <c r="M79" s="58" t="s">
        <v>33</v>
      </c>
      <c r="N79" s="62">
        <f>uurtarief25</f>
        <v>0</v>
      </c>
      <c r="O79" s="60" t="e">
        <f t="shared" si="16"/>
        <v>#DIV/0!</v>
      </c>
      <c r="P79" s="62" t="e">
        <f t="shared" si="17"/>
        <v>#DIV/0!</v>
      </c>
      <c r="Q79" s="60" t="e">
        <f t="shared" si="18"/>
        <v>#DIV/0!</v>
      </c>
      <c r="R79" s="63" t="e">
        <f t="shared" si="19"/>
        <v>#DIV/0!</v>
      </c>
    </row>
    <row r="80" spans="1:18" x14ac:dyDescent="0.2">
      <c r="A80" s="57" t="s">
        <v>215</v>
      </c>
      <c r="B80" s="58" t="s">
        <v>162</v>
      </c>
      <c r="C80" s="58" t="s">
        <v>163</v>
      </c>
      <c r="D80" s="58" t="s">
        <v>253</v>
      </c>
      <c r="E80" s="59" t="s">
        <v>254</v>
      </c>
      <c r="F80" s="58" t="s">
        <v>175</v>
      </c>
      <c r="G80" s="58" t="s">
        <v>131</v>
      </c>
      <c r="H80" s="58" t="s">
        <v>9</v>
      </c>
      <c r="I80" s="58" t="s">
        <v>111</v>
      </c>
      <c r="J80" s="60">
        <v>8.1999999999999993</v>
      </c>
      <c r="K80" s="60">
        <f t="shared" si="15"/>
        <v>8.1999999999999993</v>
      </c>
      <c r="L80" s="61">
        <f>prodnorm25</f>
        <v>0</v>
      </c>
      <c r="M80" s="58" t="s">
        <v>33</v>
      </c>
      <c r="N80" s="62">
        <f>uurtarief25</f>
        <v>0</v>
      </c>
      <c r="O80" s="60" t="e">
        <f t="shared" si="16"/>
        <v>#DIV/0!</v>
      </c>
      <c r="P80" s="62" t="e">
        <f t="shared" si="17"/>
        <v>#DIV/0!</v>
      </c>
      <c r="Q80" s="60" t="e">
        <f t="shared" si="18"/>
        <v>#DIV/0!</v>
      </c>
      <c r="R80" s="63" t="e">
        <f t="shared" si="19"/>
        <v>#DIV/0!</v>
      </c>
    </row>
    <row r="81" spans="1:18" x14ac:dyDescent="0.2">
      <c r="A81" s="57" t="s">
        <v>215</v>
      </c>
      <c r="B81" s="58" t="s">
        <v>162</v>
      </c>
      <c r="C81" s="58" t="s">
        <v>163</v>
      </c>
      <c r="D81" s="58" t="s">
        <v>255</v>
      </c>
      <c r="E81" s="59" t="s">
        <v>196</v>
      </c>
      <c r="F81" s="58" t="s">
        <v>217</v>
      </c>
      <c r="G81" s="58" t="s">
        <v>110</v>
      </c>
      <c r="H81" s="58" t="s">
        <v>15</v>
      </c>
      <c r="I81" s="58" t="s">
        <v>111</v>
      </c>
      <c r="J81" s="60">
        <v>5</v>
      </c>
      <c r="K81" s="60">
        <f t="shared" si="15"/>
        <v>0.23076923076923078</v>
      </c>
      <c r="L81" s="61">
        <f>prodnorm8</f>
        <v>0</v>
      </c>
      <c r="M81" s="58" t="s">
        <v>33</v>
      </c>
      <c r="N81" s="62">
        <f>uurtarief8</f>
        <v>0</v>
      </c>
      <c r="O81" s="60" t="e">
        <f t="shared" si="16"/>
        <v>#DIV/0!</v>
      </c>
      <c r="P81" s="62" t="e">
        <f t="shared" si="17"/>
        <v>#DIV/0!</v>
      </c>
      <c r="Q81" s="60" t="e">
        <f t="shared" si="18"/>
        <v>#DIV/0!</v>
      </c>
      <c r="R81" s="63" t="e">
        <f t="shared" si="19"/>
        <v>#DIV/0!</v>
      </c>
    </row>
    <row r="82" spans="1:18" x14ac:dyDescent="0.2">
      <c r="A82" s="57" t="s">
        <v>215</v>
      </c>
      <c r="B82" s="58" t="s">
        <v>162</v>
      </c>
      <c r="C82" s="58" t="s">
        <v>163</v>
      </c>
      <c r="D82" s="58" t="s">
        <v>256</v>
      </c>
      <c r="E82" s="59" t="s">
        <v>257</v>
      </c>
      <c r="F82" s="58" t="s">
        <v>197</v>
      </c>
      <c r="G82" s="58" t="s">
        <v>121</v>
      </c>
      <c r="H82" s="58" t="s">
        <v>9</v>
      </c>
      <c r="I82" s="58" t="s">
        <v>111</v>
      </c>
      <c r="J82" s="60">
        <v>1.7</v>
      </c>
      <c r="K82" s="60">
        <f t="shared" si="15"/>
        <v>1.7</v>
      </c>
      <c r="L82" s="61">
        <f>prodnorm15</f>
        <v>0</v>
      </c>
      <c r="M82" s="58" t="s">
        <v>33</v>
      </c>
      <c r="N82" s="62">
        <f>uurtarief15</f>
        <v>0</v>
      </c>
      <c r="O82" s="60" t="e">
        <f t="shared" si="16"/>
        <v>#DIV/0!</v>
      </c>
      <c r="P82" s="62" t="e">
        <f t="shared" si="17"/>
        <v>#DIV/0!</v>
      </c>
      <c r="Q82" s="60" t="e">
        <f t="shared" si="18"/>
        <v>#DIV/0!</v>
      </c>
      <c r="R82" s="63" t="e">
        <f t="shared" si="19"/>
        <v>#DIV/0!</v>
      </c>
    </row>
    <row r="83" spans="1:18" x14ac:dyDescent="0.2">
      <c r="A83" s="57" t="s">
        <v>215</v>
      </c>
      <c r="B83" s="58" t="s">
        <v>162</v>
      </c>
      <c r="C83" s="58" t="s">
        <v>163</v>
      </c>
      <c r="D83" s="58" t="s">
        <v>258</v>
      </c>
      <c r="E83" s="59" t="s">
        <v>196</v>
      </c>
      <c r="F83" s="58" t="s">
        <v>249</v>
      </c>
      <c r="G83" s="58" t="s">
        <v>110</v>
      </c>
      <c r="H83" s="58" t="s">
        <v>15</v>
      </c>
      <c r="I83" s="58" t="s">
        <v>111</v>
      </c>
      <c r="J83" s="60">
        <v>3.5</v>
      </c>
      <c r="K83" s="60">
        <f t="shared" si="15"/>
        <v>0.16153846153846155</v>
      </c>
      <c r="L83" s="61">
        <f>prodnorm8</f>
        <v>0</v>
      </c>
      <c r="M83" s="58" t="s">
        <v>33</v>
      </c>
      <c r="N83" s="62">
        <f>uurtarief8</f>
        <v>0</v>
      </c>
      <c r="O83" s="60" t="e">
        <f t="shared" si="16"/>
        <v>#DIV/0!</v>
      </c>
      <c r="P83" s="62" t="e">
        <f t="shared" si="17"/>
        <v>#DIV/0!</v>
      </c>
      <c r="Q83" s="60" t="e">
        <f t="shared" si="18"/>
        <v>#DIV/0!</v>
      </c>
      <c r="R83" s="63" t="e">
        <f t="shared" si="19"/>
        <v>#DIV/0!</v>
      </c>
    </row>
    <row r="84" spans="1:18" x14ac:dyDescent="0.2">
      <c r="A84" s="57" t="s">
        <v>215</v>
      </c>
      <c r="B84" s="58" t="s">
        <v>162</v>
      </c>
      <c r="C84" s="58" t="s">
        <v>163</v>
      </c>
      <c r="D84" s="58" t="s">
        <v>259</v>
      </c>
      <c r="E84" s="59" t="s">
        <v>260</v>
      </c>
      <c r="F84" s="58" t="s">
        <v>217</v>
      </c>
      <c r="G84" s="58" t="s">
        <v>127</v>
      </c>
      <c r="H84" s="58" t="s">
        <v>9</v>
      </c>
      <c r="I84" s="58" t="s">
        <v>111</v>
      </c>
      <c r="J84" s="60">
        <v>96</v>
      </c>
      <c r="K84" s="60">
        <f t="shared" si="15"/>
        <v>96</v>
      </c>
      <c r="L84" s="61">
        <f>prodnorm21</f>
        <v>0</v>
      </c>
      <c r="M84" s="58" t="s">
        <v>33</v>
      </c>
      <c r="N84" s="62">
        <f>uurtarief21</f>
        <v>0</v>
      </c>
      <c r="O84" s="60" t="e">
        <f t="shared" si="16"/>
        <v>#DIV/0!</v>
      </c>
      <c r="P84" s="62" t="e">
        <f t="shared" si="17"/>
        <v>#DIV/0!</v>
      </c>
      <c r="Q84" s="60" t="e">
        <f t="shared" si="18"/>
        <v>#DIV/0!</v>
      </c>
      <c r="R84" s="63" t="e">
        <f t="shared" si="19"/>
        <v>#DIV/0!</v>
      </c>
    </row>
    <row r="85" spans="1:18" x14ac:dyDescent="0.2">
      <c r="A85" s="57" t="s">
        <v>215</v>
      </c>
      <c r="B85" s="58" t="s">
        <v>162</v>
      </c>
      <c r="C85" s="58" t="s">
        <v>163</v>
      </c>
      <c r="D85" s="58" t="s">
        <v>261</v>
      </c>
      <c r="E85" s="59" t="s">
        <v>260</v>
      </c>
      <c r="F85" s="58" t="s">
        <v>187</v>
      </c>
      <c r="G85" s="58" t="s">
        <v>129</v>
      </c>
      <c r="H85" s="58" t="s">
        <v>9</v>
      </c>
      <c r="I85" s="58" t="s">
        <v>111</v>
      </c>
      <c r="J85" s="60">
        <v>48</v>
      </c>
      <c r="K85" s="60">
        <f t="shared" si="15"/>
        <v>48</v>
      </c>
      <c r="L85" s="61">
        <f>prodnorm23</f>
        <v>0</v>
      </c>
      <c r="M85" s="58" t="s">
        <v>33</v>
      </c>
      <c r="N85" s="62">
        <f>uurtarief23</f>
        <v>0</v>
      </c>
      <c r="O85" s="60" t="e">
        <f t="shared" si="16"/>
        <v>#DIV/0!</v>
      </c>
      <c r="P85" s="62" t="e">
        <f t="shared" si="17"/>
        <v>#DIV/0!</v>
      </c>
      <c r="Q85" s="60" t="e">
        <f t="shared" si="18"/>
        <v>#DIV/0!</v>
      </c>
      <c r="R85" s="63" t="e">
        <f t="shared" si="19"/>
        <v>#DIV/0!</v>
      </c>
    </row>
    <row r="86" spans="1:18" x14ac:dyDescent="0.2">
      <c r="A86" s="57" t="s">
        <v>215</v>
      </c>
      <c r="B86" s="58" t="s">
        <v>162</v>
      </c>
      <c r="C86" s="58" t="s">
        <v>163</v>
      </c>
      <c r="D86" s="58" t="s">
        <v>262</v>
      </c>
      <c r="E86" s="59" t="s">
        <v>263</v>
      </c>
      <c r="F86" s="58" t="s">
        <v>217</v>
      </c>
      <c r="G86" s="58" t="s">
        <v>127</v>
      </c>
      <c r="H86" s="58" t="s">
        <v>9</v>
      </c>
      <c r="I86" s="58" t="s">
        <v>111</v>
      </c>
      <c r="J86" s="60">
        <v>50</v>
      </c>
      <c r="K86" s="60">
        <f t="shared" si="15"/>
        <v>50</v>
      </c>
      <c r="L86" s="61">
        <f>prodnorm21</f>
        <v>0</v>
      </c>
      <c r="M86" s="58" t="s">
        <v>33</v>
      </c>
      <c r="N86" s="62">
        <f>uurtarief21</f>
        <v>0</v>
      </c>
      <c r="O86" s="60" t="e">
        <f t="shared" si="16"/>
        <v>#DIV/0!</v>
      </c>
      <c r="P86" s="62" t="e">
        <f t="shared" si="17"/>
        <v>#DIV/0!</v>
      </c>
      <c r="Q86" s="60" t="e">
        <f t="shared" si="18"/>
        <v>#DIV/0!</v>
      </c>
      <c r="R86" s="63" t="e">
        <f t="shared" si="19"/>
        <v>#DIV/0!</v>
      </c>
    </row>
    <row r="87" spans="1:18" x14ac:dyDescent="0.2">
      <c r="A87" s="57" t="s">
        <v>215</v>
      </c>
      <c r="B87" s="58" t="s">
        <v>162</v>
      </c>
      <c r="C87" s="58" t="s">
        <v>163</v>
      </c>
      <c r="D87" s="58" t="s">
        <v>264</v>
      </c>
      <c r="E87" s="59" t="s">
        <v>263</v>
      </c>
      <c r="F87" s="58" t="s">
        <v>187</v>
      </c>
      <c r="G87" s="58" t="s">
        <v>127</v>
      </c>
      <c r="H87" s="58" t="s">
        <v>9</v>
      </c>
      <c r="I87" s="58" t="s">
        <v>111</v>
      </c>
      <c r="J87" s="60">
        <v>14</v>
      </c>
      <c r="K87" s="60">
        <f t="shared" si="15"/>
        <v>14</v>
      </c>
      <c r="L87" s="61">
        <f>prodnorm21</f>
        <v>0</v>
      </c>
      <c r="M87" s="58" t="s">
        <v>33</v>
      </c>
      <c r="N87" s="62">
        <f>uurtarief21</f>
        <v>0</v>
      </c>
      <c r="O87" s="60" t="e">
        <f t="shared" si="16"/>
        <v>#DIV/0!</v>
      </c>
      <c r="P87" s="62" t="e">
        <f t="shared" si="17"/>
        <v>#DIV/0!</v>
      </c>
      <c r="Q87" s="60" t="e">
        <f t="shared" si="18"/>
        <v>#DIV/0!</v>
      </c>
      <c r="R87" s="63" t="e">
        <f t="shared" si="19"/>
        <v>#DIV/0!</v>
      </c>
    </row>
    <row r="88" spans="1:18" x14ac:dyDescent="0.2">
      <c r="A88" s="57" t="s">
        <v>215</v>
      </c>
      <c r="B88" s="58" t="s">
        <v>162</v>
      </c>
      <c r="C88" s="58" t="s">
        <v>163</v>
      </c>
      <c r="D88" s="58" t="s">
        <v>265</v>
      </c>
      <c r="E88" s="59" t="s">
        <v>266</v>
      </c>
      <c r="F88" s="58" t="s">
        <v>217</v>
      </c>
      <c r="G88" s="58" t="s">
        <v>113</v>
      </c>
      <c r="H88" s="58" t="s">
        <v>9</v>
      </c>
      <c r="I88" s="58" t="s">
        <v>111</v>
      </c>
      <c r="J88" s="60">
        <v>42</v>
      </c>
      <c r="K88" s="60">
        <f t="shared" si="15"/>
        <v>42</v>
      </c>
      <c r="L88" s="61">
        <f>prodnorm9</f>
        <v>0</v>
      </c>
      <c r="M88" s="58" t="s">
        <v>33</v>
      </c>
      <c r="N88" s="62">
        <f>uurtarief9</f>
        <v>0</v>
      </c>
      <c r="O88" s="60" t="e">
        <f t="shared" si="16"/>
        <v>#DIV/0!</v>
      </c>
      <c r="P88" s="62" t="e">
        <f t="shared" si="17"/>
        <v>#DIV/0!</v>
      </c>
      <c r="Q88" s="60" t="e">
        <f t="shared" si="18"/>
        <v>#DIV/0!</v>
      </c>
      <c r="R88" s="63" t="e">
        <f t="shared" si="19"/>
        <v>#DIV/0!</v>
      </c>
    </row>
    <row r="89" spans="1:18" x14ac:dyDescent="0.2">
      <c r="A89" s="57" t="s">
        <v>215</v>
      </c>
      <c r="B89" s="58" t="s">
        <v>162</v>
      </c>
      <c r="C89" s="58" t="s">
        <v>163</v>
      </c>
      <c r="D89" s="58" t="s">
        <v>267</v>
      </c>
      <c r="E89" s="59" t="s">
        <v>172</v>
      </c>
      <c r="F89" s="58" t="s">
        <v>217</v>
      </c>
      <c r="G89" s="58" t="s">
        <v>137</v>
      </c>
      <c r="H89" s="58" t="s">
        <v>9</v>
      </c>
      <c r="I89" s="58" t="s">
        <v>111</v>
      </c>
      <c r="J89" s="60">
        <v>20</v>
      </c>
      <c r="K89" s="60">
        <f t="shared" si="15"/>
        <v>20</v>
      </c>
      <c r="L89" s="61">
        <f>prodnorm30</f>
        <v>0</v>
      </c>
      <c r="M89" s="58" t="s">
        <v>33</v>
      </c>
      <c r="N89" s="62">
        <f>uurtarief30</f>
        <v>0</v>
      </c>
      <c r="O89" s="60" t="e">
        <f t="shared" si="16"/>
        <v>#DIV/0!</v>
      </c>
      <c r="P89" s="62" t="e">
        <f t="shared" si="17"/>
        <v>#DIV/0!</v>
      </c>
      <c r="Q89" s="60" t="e">
        <f t="shared" si="18"/>
        <v>#DIV/0!</v>
      </c>
      <c r="R89" s="63" t="e">
        <f t="shared" si="19"/>
        <v>#DIV/0!</v>
      </c>
    </row>
    <row r="90" spans="1:18" x14ac:dyDescent="0.2">
      <c r="A90" s="57" t="s">
        <v>215</v>
      </c>
      <c r="B90" s="58" t="s">
        <v>162</v>
      </c>
      <c r="C90" s="58" t="s">
        <v>163</v>
      </c>
      <c r="D90" s="58" t="s">
        <v>268</v>
      </c>
      <c r="E90" s="59" t="s">
        <v>269</v>
      </c>
      <c r="F90" s="58" t="s">
        <v>217</v>
      </c>
      <c r="G90" s="58" t="s">
        <v>125</v>
      </c>
      <c r="H90" s="58" t="s">
        <v>9</v>
      </c>
      <c r="I90" s="58" t="s">
        <v>111</v>
      </c>
      <c r="J90" s="60">
        <v>16</v>
      </c>
      <c r="K90" s="60">
        <f t="shared" si="15"/>
        <v>16</v>
      </c>
      <c r="L90" s="61">
        <f>prodnorm19</f>
        <v>0</v>
      </c>
      <c r="M90" s="58" t="s">
        <v>33</v>
      </c>
      <c r="N90" s="62">
        <f>uurtarief19</f>
        <v>0</v>
      </c>
      <c r="O90" s="60" t="e">
        <f t="shared" si="16"/>
        <v>#DIV/0!</v>
      </c>
      <c r="P90" s="62" t="e">
        <f t="shared" si="17"/>
        <v>#DIV/0!</v>
      </c>
      <c r="Q90" s="60" t="e">
        <f t="shared" si="18"/>
        <v>#DIV/0!</v>
      </c>
      <c r="R90" s="63" t="e">
        <f t="shared" si="19"/>
        <v>#DIV/0!</v>
      </c>
    </row>
    <row r="91" spans="1:18" x14ac:dyDescent="0.2">
      <c r="A91" s="57" t="s">
        <v>215</v>
      </c>
      <c r="B91" s="58" t="s">
        <v>162</v>
      </c>
      <c r="C91" s="58" t="s">
        <v>163</v>
      </c>
      <c r="D91" s="58" t="s">
        <v>270</v>
      </c>
      <c r="E91" s="59" t="s">
        <v>196</v>
      </c>
      <c r="F91" s="58" t="s">
        <v>217</v>
      </c>
      <c r="G91" s="58" t="s">
        <v>110</v>
      </c>
      <c r="H91" s="58" t="s">
        <v>15</v>
      </c>
      <c r="I91" s="58" t="s">
        <v>111</v>
      </c>
      <c r="J91" s="60">
        <v>4.8</v>
      </c>
      <c r="K91" s="60">
        <f t="shared" si="15"/>
        <v>0.22153846153846155</v>
      </c>
      <c r="L91" s="61">
        <f>prodnorm8</f>
        <v>0</v>
      </c>
      <c r="M91" s="58" t="s">
        <v>33</v>
      </c>
      <c r="N91" s="62">
        <f>uurtarief8</f>
        <v>0</v>
      </c>
      <c r="O91" s="60" t="e">
        <f t="shared" si="16"/>
        <v>#DIV/0!</v>
      </c>
      <c r="P91" s="62" t="e">
        <f t="shared" si="17"/>
        <v>#DIV/0!</v>
      </c>
      <c r="Q91" s="60" t="e">
        <f t="shared" si="18"/>
        <v>#DIV/0!</v>
      </c>
      <c r="R91" s="63" t="e">
        <f t="shared" si="19"/>
        <v>#DIV/0!</v>
      </c>
    </row>
    <row r="92" spans="1:18" x14ac:dyDescent="0.2">
      <c r="A92" s="57" t="s">
        <v>215</v>
      </c>
      <c r="B92" s="58" t="s">
        <v>162</v>
      </c>
      <c r="C92" s="58" t="s">
        <v>163</v>
      </c>
      <c r="D92" s="58" t="s">
        <v>271</v>
      </c>
      <c r="E92" s="59" t="s">
        <v>252</v>
      </c>
      <c r="F92" s="58" t="s">
        <v>175</v>
      </c>
      <c r="G92" s="58" t="s">
        <v>131</v>
      </c>
      <c r="H92" s="58" t="s">
        <v>9</v>
      </c>
      <c r="I92" s="58" t="s">
        <v>111</v>
      </c>
      <c r="J92" s="60">
        <v>7</v>
      </c>
      <c r="K92" s="60">
        <f t="shared" si="15"/>
        <v>7</v>
      </c>
      <c r="L92" s="61">
        <f>prodnorm25</f>
        <v>0</v>
      </c>
      <c r="M92" s="58" t="s">
        <v>33</v>
      </c>
      <c r="N92" s="62">
        <f>uurtarief25</f>
        <v>0</v>
      </c>
      <c r="O92" s="60" t="e">
        <f t="shared" si="16"/>
        <v>#DIV/0!</v>
      </c>
      <c r="P92" s="62" t="e">
        <f t="shared" si="17"/>
        <v>#DIV/0!</v>
      </c>
      <c r="Q92" s="60" t="e">
        <f t="shared" si="18"/>
        <v>#DIV/0!</v>
      </c>
      <c r="R92" s="63" t="e">
        <f t="shared" si="19"/>
        <v>#DIV/0!</v>
      </c>
    </row>
    <row r="93" spans="1:18" x14ac:dyDescent="0.2">
      <c r="A93" s="57" t="s">
        <v>215</v>
      </c>
      <c r="B93" s="58" t="s">
        <v>162</v>
      </c>
      <c r="C93" s="58" t="s">
        <v>163</v>
      </c>
      <c r="D93" s="58" t="s">
        <v>272</v>
      </c>
      <c r="E93" s="59" t="s">
        <v>254</v>
      </c>
      <c r="F93" s="58" t="s">
        <v>175</v>
      </c>
      <c r="G93" s="58" t="s">
        <v>131</v>
      </c>
      <c r="H93" s="58" t="s">
        <v>9</v>
      </c>
      <c r="I93" s="58" t="s">
        <v>111</v>
      </c>
      <c r="J93" s="60">
        <v>7</v>
      </c>
      <c r="K93" s="60">
        <f t="shared" si="15"/>
        <v>7</v>
      </c>
      <c r="L93" s="61">
        <f>prodnorm25</f>
        <v>0</v>
      </c>
      <c r="M93" s="58" t="s">
        <v>33</v>
      </c>
      <c r="N93" s="62">
        <f>uurtarief25</f>
        <v>0</v>
      </c>
      <c r="O93" s="60" t="e">
        <f t="shared" si="16"/>
        <v>#DIV/0!</v>
      </c>
      <c r="P93" s="62" t="e">
        <f t="shared" si="17"/>
        <v>#DIV/0!</v>
      </c>
      <c r="Q93" s="60" t="e">
        <f t="shared" si="18"/>
        <v>#DIV/0!</v>
      </c>
      <c r="R93" s="63" t="e">
        <f t="shared" si="19"/>
        <v>#DIV/0!</v>
      </c>
    </row>
    <row r="94" spans="1:18" x14ac:dyDescent="0.2">
      <c r="A94" s="57" t="s">
        <v>215</v>
      </c>
      <c r="B94" s="58" t="s">
        <v>162</v>
      </c>
      <c r="C94" s="58" t="s">
        <v>163</v>
      </c>
      <c r="D94" s="58" t="s">
        <v>273</v>
      </c>
      <c r="E94" s="59" t="s">
        <v>274</v>
      </c>
      <c r="F94" s="58" t="s">
        <v>175</v>
      </c>
      <c r="G94" s="58" t="s">
        <v>131</v>
      </c>
      <c r="H94" s="58" t="s">
        <v>9</v>
      </c>
      <c r="I94" s="58" t="s">
        <v>111</v>
      </c>
      <c r="J94" s="60">
        <v>3.5</v>
      </c>
      <c r="K94" s="60">
        <f t="shared" si="15"/>
        <v>3.5</v>
      </c>
      <c r="L94" s="61">
        <f>prodnorm25</f>
        <v>0</v>
      </c>
      <c r="M94" s="58" t="s">
        <v>33</v>
      </c>
      <c r="N94" s="62">
        <f>uurtarief25</f>
        <v>0</v>
      </c>
      <c r="O94" s="60" t="e">
        <f t="shared" si="16"/>
        <v>#DIV/0!</v>
      </c>
      <c r="P94" s="62" t="e">
        <f t="shared" si="17"/>
        <v>#DIV/0!</v>
      </c>
      <c r="Q94" s="60" t="e">
        <f t="shared" si="18"/>
        <v>#DIV/0!</v>
      </c>
      <c r="R94" s="63" t="e">
        <f t="shared" si="19"/>
        <v>#DIV/0!</v>
      </c>
    </row>
    <row r="95" spans="1:18" x14ac:dyDescent="0.2">
      <c r="A95" s="57" t="s">
        <v>215</v>
      </c>
      <c r="B95" s="58" t="s">
        <v>162</v>
      </c>
      <c r="C95" s="58" t="s">
        <v>163</v>
      </c>
      <c r="D95" s="58" t="s">
        <v>275</v>
      </c>
      <c r="E95" s="59" t="s">
        <v>196</v>
      </c>
      <c r="F95" s="58" t="s">
        <v>249</v>
      </c>
      <c r="G95" s="58" t="s">
        <v>110</v>
      </c>
      <c r="H95" s="58" t="s">
        <v>15</v>
      </c>
      <c r="I95" s="58" t="s">
        <v>111</v>
      </c>
      <c r="J95" s="60">
        <v>14</v>
      </c>
      <c r="K95" s="60">
        <f t="shared" si="15"/>
        <v>0.64615384615384619</v>
      </c>
      <c r="L95" s="61">
        <f>prodnorm8</f>
        <v>0</v>
      </c>
      <c r="M95" s="58" t="s">
        <v>33</v>
      </c>
      <c r="N95" s="62">
        <f>uurtarief8</f>
        <v>0</v>
      </c>
      <c r="O95" s="60" t="e">
        <f t="shared" si="16"/>
        <v>#DIV/0!</v>
      </c>
      <c r="P95" s="62" t="e">
        <f t="shared" si="17"/>
        <v>#DIV/0!</v>
      </c>
      <c r="Q95" s="60" t="e">
        <f t="shared" si="18"/>
        <v>#DIV/0!</v>
      </c>
      <c r="R95" s="63" t="e">
        <f t="shared" si="19"/>
        <v>#DIV/0!</v>
      </c>
    </row>
    <row r="96" spans="1:18" x14ac:dyDescent="0.2">
      <c r="A96" s="57" t="s">
        <v>215</v>
      </c>
      <c r="B96" s="58" t="s">
        <v>162</v>
      </c>
      <c r="C96" s="58" t="s">
        <v>163</v>
      </c>
      <c r="D96" s="58" t="s">
        <v>276</v>
      </c>
      <c r="E96" s="59" t="s">
        <v>220</v>
      </c>
      <c r="F96" s="58" t="s">
        <v>217</v>
      </c>
      <c r="G96" s="58" t="s">
        <v>142</v>
      </c>
      <c r="H96" s="58" t="s">
        <v>9</v>
      </c>
      <c r="I96" s="58" t="s">
        <v>111</v>
      </c>
      <c r="J96" s="60">
        <v>7.5</v>
      </c>
      <c r="K96" s="60">
        <f t="shared" si="15"/>
        <v>7.5</v>
      </c>
      <c r="L96" s="61">
        <f>prodnorm33</f>
        <v>0</v>
      </c>
      <c r="M96" s="58" t="s">
        <v>33</v>
      </c>
      <c r="N96" s="62">
        <f>uurtarief33</f>
        <v>0</v>
      </c>
      <c r="O96" s="60" t="e">
        <f t="shared" si="16"/>
        <v>#DIV/0!</v>
      </c>
      <c r="P96" s="62" t="e">
        <f t="shared" si="17"/>
        <v>#DIV/0!</v>
      </c>
      <c r="Q96" s="60" t="e">
        <f t="shared" si="18"/>
        <v>#DIV/0!</v>
      </c>
      <c r="R96" s="63" t="e">
        <f t="shared" si="19"/>
        <v>#DIV/0!</v>
      </c>
    </row>
    <row r="97" spans="1:18" x14ac:dyDescent="0.2">
      <c r="A97" s="57" t="s">
        <v>215</v>
      </c>
      <c r="B97" s="58" t="s">
        <v>162</v>
      </c>
      <c r="C97" s="58" t="s">
        <v>163</v>
      </c>
      <c r="D97" s="58" t="s">
        <v>277</v>
      </c>
      <c r="E97" s="59" t="s">
        <v>227</v>
      </c>
      <c r="F97" s="58" t="s">
        <v>217</v>
      </c>
      <c r="G97" s="58" t="s">
        <v>137</v>
      </c>
      <c r="H97" s="58" t="s">
        <v>9</v>
      </c>
      <c r="I97" s="58" t="s">
        <v>111</v>
      </c>
      <c r="J97" s="60">
        <v>51</v>
      </c>
      <c r="K97" s="60">
        <f t="shared" si="15"/>
        <v>51</v>
      </c>
      <c r="L97" s="61">
        <f>prodnorm30</f>
        <v>0</v>
      </c>
      <c r="M97" s="58" t="s">
        <v>33</v>
      </c>
      <c r="N97" s="62">
        <f>uurtarief30</f>
        <v>0</v>
      </c>
      <c r="O97" s="60" t="e">
        <f t="shared" si="16"/>
        <v>#DIV/0!</v>
      </c>
      <c r="P97" s="62" t="e">
        <f t="shared" si="17"/>
        <v>#DIV/0!</v>
      </c>
      <c r="Q97" s="60" t="e">
        <f t="shared" si="18"/>
        <v>#DIV/0!</v>
      </c>
      <c r="R97" s="63" t="e">
        <f t="shared" si="19"/>
        <v>#DIV/0!</v>
      </c>
    </row>
    <row r="98" spans="1:18" x14ac:dyDescent="0.2">
      <c r="A98" s="57" t="s">
        <v>215</v>
      </c>
      <c r="B98" s="58" t="s">
        <v>162</v>
      </c>
      <c r="C98" s="58" t="s">
        <v>163</v>
      </c>
      <c r="D98" s="58" t="s">
        <v>278</v>
      </c>
      <c r="E98" s="59" t="s">
        <v>279</v>
      </c>
      <c r="F98" s="58" t="s">
        <v>217</v>
      </c>
      <c r="G98" s="58" t="s">
        <v>127</v>
      </c>
      <c r="H98" s="58" t="s">
        <v>9</v>
      </c>
      <c r="I98" s="58" t="s">
        <v>111</v>
      </c>
      <c r="J98" s="60">
        <v>30</v>
      </c>
      <c r="K98" s="60">
        <f t="shared" si="15"/>
        <v>30</v>
      </c>
      <c r="L98" s="61">
        <f>prodnorm21</f>
        <v>0</v>
      </c>
      <c r="M98" s="58" t="s">
        <v>33</v>
      </c>
      <c r="N98" s="62">
        <f>uurtarief21</f>
        <v>0</v>
      </c>
      <c r="O98" s="60" t="e">
        <f t="shared" si="16"/>
        <v>#DIV/0!</v>
      </c>
      <c r="P98" s="62" t="e">
        <f t="shared" si="17"/>
        <v>#DIV/0!</v>
      </c>
      <c r="Q98" s="60" t="e">
        <f t="shared" si="18"/>
        <v>#DIV/0!</v>
      </c>
      <c r="R98" s="63" t="e">
        <f t="shared" si="19"/>
        <v>#DIV/0!</v>
      </c>
    </row>
    <row r="99" spans="1:18" x14ac:dyDescent="0.2">
      <c r="A99" s="57" t="s">
        <v>215</v>
      </c>
      <c r="B99" s="58" t="s">
        <v>162</v>
      </c>
      <c r="C99" s="58" t="s">
        <v>163</v>
      </c>
      <c r="D99" s="58" t="s">
        <v>280</v>
      </c>
      <c r="E99" s="59" t="s">
        <v>281</v>
      </c>
      <c r="F99" s="58" t="s">
        <v>187</v>
      </c>
      <c r="G99" s="58" t="s">
        <v>129</v>
      </c>
      <c r="H99" s="58" t="s">
        <v>9</v>
      </c>
      <c r="I99" s="58" t="s">
        <v>111</v>
      </c>
      <c r="J99" s="60">
        <v>24</v>
      </c>
      <c r="K99" s="60">
        <f t="shared" si="15"/>
        <v>24</v>
      </c>
      <c r="L99" s="61">
        <f>prodnorm23</f>
        <v>0</v>
      </c>
      <c r="M99" s="58" t="s">
        <v>33</v>
      </c>
      <c r="N99" s="62">
        <f>uurtarief23</f>
        <v>0</v>
      </c>
      <c r="O99" s="60" t="e">
        <f t="shared" si="16"/>
        <v>#DIV/0!</v>
      </c>
      <c r="P99" s="62" t="e">
        <f t="shared" si="17"/>
        <v>#DIV/0!</v>
      </c>
      <c r="Q99" s="60" t="e">
        <f t="shared" si="18"/>
        <v>#DIV/0!</v>
      </c>
      <c r="R99" s="63" t="e">
        <f t="shared" si="19"/>
        <v>#DIV/0!</v>
      </c>
    </row>
    <row r="100" spans="1:18" x14ac:dyDescent="0.2">
      <c r="A100" s="57" t="s">
        <v>215</v>
      </c>
      <c r="B100" s="58" t="s">
        <v>162</v>
      </c>
      <c r="C100" s="58" t="s">
        <v>163</v>
      </c>
      <c r="D100" s="58" t="s">
        <v>282</v>
      </c>
      <c r="E100" s="59" t="s">
        <v>283</v>
      </c>
      <c r="F100" s="58" t="s">
        <v>187</v>
      </c>
      <c r="G100" s="58" t="s">
        <v>140</v>
      </c>
      <c r="H100" s="58" t="s">
        <v>9</v>
      </c>
      <c r="I100" s="58" t="s">
        <v>111</v>
      </c>
      <c r="J100" s="60">
        <v>16.899999999999999</v>
      </c>
      <c r="K100" s="60">
        <f t="shared" si="15"/>
        <v>16.899999999999999</v>
      </c>
      <c r="L100" s="61">
        <f>prodnorm32</f>
        <v>0</v>
      </c>
      <c r="M100" s="58" t="s">
        <v>33</v>
      </c>
      <c r="N100" s="62">
        <f>uurtarief32</f>
        <v>0</v>
      </c>
      <c r="O100" s="60" t="e">
        <f t="shared" si="16"/>
        <v>#DIV/0!</v>
      </c>
      <c r="P100" s="62" t="e">
        <f t="shared" si="17"/>
        <v>#DIV/0!</v>
      </c>
      <c r="Q100" s="60" t="e">
        <f t="shared" si="18"/>
        <v>#DIV/0!</v>
      </c>
      <c r="R100" s="63" t="e">
        <f t="shared" si="19"/>
        <v>#DIV/0!</v>
      </c>
    </row>
    <row r="101" spans="1:18" x14ac:dyDescent="0.2">
      <c r="A101" s="57" t="s">
        <v>215</v>
      </c>
      <c r="B101" s="58" t="s">
        <v>162</v>
      </c>
      <c r="C101" s="58" t="s">
        <v>163</v>
      </c>
      <c r="D101" s="58" t="s">
        <v>284</v>
      </c>
      <c r="E101" s="59" t="s">
        <v>283</v>
      </c>
      <c r="F101" s="58" t="s">
        <v>197</v>
      </c>
      <c r="G101" s="58" t="s">
        <v>137</v>
      </c>
      <c r="H101" s="58" t="s">
        <v>9</v>
      </c>
      <c r="I101" s="58" t="s">
        <v>111</v>
      </c>
      <c r="J101" s="60">
        <v>18</v>
      </c>
      <c r="K101" s="60">
        <f t="shared" si="15"/>
        <v>18</v>
      </c>
      <c r="L101" s="61">
        <f>prodnorm30</f>
        <v>0</v>
      </c>
      <c r="M101" s="58" t="s">
        <v>33</v>
      </c>
      <c r="N101" s="62">
        <f>uurtarief30</f>
        <v>0</v>
      </c>
      <c r="O101" s="60" t="e">
        <f t="shared" si="16"/>
        <v>#DIV/0!</v>
      </c>
      <c r="P101" s="62" t="e">
        <f t="shared" si="17"/>
        <v>#DIV/0!</v>
      </c>
      <c r="Q101" s="60" t="e">
        <f t="shared" si="18"/>
        <v>#DIV/0!</v>
      </c>
      <c r="R101" s="63" t="e">
        <f t="shared" si="19"/>
        <v>#DIV/0!</v>
      </c>
    </row>
    <row r="102" spans="1:18" x14ac:dyDescent="0.2">
      <c r="A102" s="57" t="s">
        <v>215</v>
      </c>
      <c r="B102" s="58" t="s">
        <v>162</v>
      </c>
      <c r="C102" s="58" t="s">
        <v>188</v>
      </c>
      <c r="D102" s="58" t="s">
        <v>189</v>
      </c>
      <c r="E102" s="59" t="s">
        <v>227</v>
      </c>
      <c r="F102" s="58" t="s">
        <v>187</v>
      </c>
      <c r="G102" s="58" t="s">
        <v>137</v>
      </c>
      <c r="H102" s="58" t="s">
        <v>9</v>
      </c>
      <c r="I102" s="58" t="s">
        <v>111</v>
      </c>
      <c r="J102" s="60">
        <v>30</v>
      </c>
      <c r="K102" s="60">
        <f t="shared" si="15"/>
        <v>30</v>
      </c>
      <c r="L102" s="61">
        <f>prodnorm30</f>
        <v>0</v>
      </c>
      <c r="M102" s="58" t="s">
        <v>33</v>
      </c>
      <c r="N102" s="62">
        <f>uurtarief30</f>
        <v>0</v>
      </c>
      <c r="O102" s="60" t="e">
        <f t="shared" si="16"/>
        <v>#DIV/0!</v>
      </c>
      <c r="P102" s="62" t="e">
        <f t="shared" si="17"/>
        <v>#DIV/0!</v>
      </c>
      <c r="Q102" s="60" t="e">
        <f t="shared" si="18"/>
        <v>#DIV/0!</v>
      </c>
      <c r="R102" s="63" t="e">
        <f t="shared" si="19"/>
        <v>#DIV/0!</v>
      </c>
    </row>
    <row r="103" spans="1:18" x14ac:dyDescent="0.2">
      <c r="A103" s="57" t="s">
        <v>215</v>
      </c>
      <c r="B103" s="58" t="s">
        <v>162</v>
      </c>
      <c r="C103" s="58" t="s">
        <v>188</v>
      </c>
      <c r="D103" s="58" t="s">
        <v>190</v>
      </c>
      <c r="E103" s="59" t="s">
        <v>285</v>
      </c>
      <c r="F103" s="58" t="s">
        <v>187</v>
      </c>
      <c r="G103" s="58" t="s">
        <v>129</v>
      </c>
      <c r="H103" s="58" t="s">
        <v>9</v>
      </c>
      <c r="I103" s="58" t="s">
        <v>111</v>
      </c>
      <c r="J103" s="60">
        <v>15</v>
      </c>
      <c r="K103" s="60">
        <f t="shared" si="15"/>
        <v>15</v>
      </c>
      <c r="L103" s="61">
        <f>prodnorm23</f>
        <v>0</v>
      </c>
      <c r="M103" s="58" t="s">
        <v>33</v>
      </c>
      <c r="N103" s="62">
        <f>uurtarief23</f>
        <v>0</v>
      </c>
      <c r="O103" s="60" t="e">
        <f t="shared" si="16"/>
        <v>#DIV/0!</v>
      </c>
      <c r="P103" s="62" t="e">
        <f t="shared" si="17"/>
        <v>#DIV/0!</v>
      </c>
      <c r="Q103" s="60" t="e">
        <f t="shared" si="18"/>
        <v>#DIV/0!</v>
      </c>
      <c r="R103" s="63" t="e">
        <f t="shared" si="19"/>
        <v>#DIV/0!</v>
      </c>
    </row>
    <row r="104" spans="1:18" x14ac:dyDescent="0.2">
      <c r="A104" s="57" t="s">
        <v>215</v>
      </c>
      <c r="B104" s="58" t="s">
        <v>162</v>
      </c>
      <c r="C104" s="58" t="s">
        <v>188</v>
      </c>
      <c r="D104" s="58" t="s">
        <v>192</v>
      </c>
      <c r="E104" s="59" t="s">
        <v>286</v>
      </c>
      <c r="F104" s="58" t="s">
        <v>187</v>
      </c>
      <c r="G104" s="58" t="s">
        <v>129</v>
      </c>
      <c r="H104" s="58" t="s">
        <v>9</v>
      </c>
      <c r="I104" s="58" t="s">
        <v>111</v>
      </c>
      <c r="J104" s="60">
        <v>15</v>
      </c>
      <c r="K104" s="60">
        <f t="shared" si="15"/>
        <v>15</v>
      </c>
      <c r="L104" s="61">
        <f>prodnorm23</f>
        <v>0</v>
      </c>
      <c r="M104" s="58" t="s">
        <v>33</v>
      </c>
      <c r="N104" s="62">
        <f>uurtarief23</f>
        <v>0</v>
      </c>
      <c r="O104" s="60" t="e">
        <f t="shared" si="16"/>
        <v>#DIV/0!</v>
      </c>
      <c r="P104" s="62" t="e">
        <f t="shared" si="17"/>
        <v>#DIV/0!</v>
      </c>
      <c r="Q104" s="60" t="e">
        <f t="shared" si="18"/>
        <v>#DIV/0!</v>
      </c>
      <c r="R104" s="63" t="e">
        <f t="shared" si="19"/>
        <v>#DIV/0!</v>
      </c>
    </row>
    <row r="105" spans="1:18" x14ac:dyDescent="0.2">
      <c r="A105" s="57" t="s">
        <v>215</v>
      </c>
      <c r="B105" s="58" t="s">
        <v>162</v>
      </c>
      <c r="C105" s="58" t="s">
        <v>188</v>
      </c>
      <c r="D105" s="58" t="s">
        <v>193</v>
      </c>
      <c r="E105" s="59" t="s">
        <v>254</v>
      </c>
      <c r="F105" s="58" t="s">
        <v>175</v>
      </c>
      <c r="G105" s="58" t="s">
        <v>131</v>
      </c>
      <c r="H105" s="58" t="s">
        <v>9</v>
      </c>
      <c r="I105" s="58" t="s">
        <v>111</v>
      </c>
      <c r="J105" s="60">
        <v>6</v>
      </c>
      <c r="K105" s="60">
        <f t="shared" si="15"/>
        <v>6</v>
      </c>
      <c r="L105" s="61">
        <f>prodnorm25</f>
        <v>0</v>
      </c>
      <c r="M105" s="58" t="s">
        <v>33</v>
      </c>
      <c r="N105" s="62">
        <f>uurtarief25</f>
        <v>0</v>
      </c>
      <c r="O105" s="60" t="e">
        <f t="shared" si="16"/>
        <v>#DIV/0!</v>
      </c>
      <c r="P105" s="62" t="e">
        <f t="shared" si="17"/>
        <v>#DIV/0!</v>
      </c>
      <c r="Q105" s="60" t="e">
        <f t="shared" si="18"/>
        <v>#DIV/0!</v>
      </c>
      <c r="R105" s="63" t="e">
        <f t="shared" si="19"/>
        <v>#DIV/0!</v>
      </c>
    </row>
    <row r="106" spans="1:18" x14ac:dyDescent="0.2">
      <c r="A106" s="57" t="s">
        <v>215</v>
      </c>
      <c r="B106" s="58" t="s">
        <v>162</v>
      </c>
      <c r="C106" s="58" t="s">
        <v>188</v>
      </c>
      <c r="D106" s="58" t="s">
        <v>194</v>
      </c>
      <c r="E106" s="59" t="s">
        <v>252</v>
      </c>
      <c r="F106" s="58" t="s">
        <v>175</v>
      </c>
      <c r="G106" s="58" t="s">
        <v>131</v>
      </c>
      <c r="H106" s="58" t="s">
        <v>9</v>
      </c>
      <c r="I106" s="58" t="s">
        <v>111</v>
      </c>
      <c r="J106" s="60">
        <v>6</v>
      </c>
      <c r="K106" s="60">
        <f t="shared" si="15"/>
        <v>6</v>
      </c>
      <c r="L106" s="61">
        <f>prodnorm25</f>
        <v>0</v>
      </c>
      <c r="M106" s="58" t="s">
        <v>33</v>
      </c>
      <c r="N106" s="62">
        <f>uurtarief25</f>
        <v>0</v>
      </c>
      <c r="O106" s="60" t="e">
        <f t="shared" si="16"/>
        <v>#DIV/0!</v>
      </c>
      <c r="P106" s="62" t="e">
        <f t="shared" si="17"/>
        <v>#DIV/0!</v>
      </c>
      <c r="Q106" s="60" t="e">
        <f t="shared" si="18"/>
        <v>#DIV/0!</v>
      </c>
      <c r="R106" s="63" t="e">
        <f t="shared" si="19"/>
        <v>#DIV/0!</v>
      </c>
    </row>
    <row r="107" spans="1:18" x14ac:dyDescent="0.2">
      <c r="A107" s="57" t="s">
        <v>215</v>
      </c>
      <c r="B107" s="58" t="s">
        <v>162</v>
      </c>
      <c r="C107" s="58" t="s">
        <v>188</v>
      </c>
      <c r="D107" s="58" t="s">
        <v>195</v>
      </c>
      <c r="E107" s="59" t="s">
        <v>287</v>
      </c>
      <c r="F107" s="58" t="s">
        <v>175</v>
      </c>
      <c r="G107" s="58" t="s">
        <v>117</v>
      </c>
      <c r="H107" s="58" t="s">
        <v>9</v>
      </c>
      <c r="I107" s="58" t="s">
        <v>111</v>
      </c>
      <c r="J107" s="60">
        <v>8.3000000000000007</v>
      </c>
      <c r="K107" s="60">
        <f t="shared" si="15"/>
        <v>8.3000000000000007</v>
      </c>
      <c r="L107" s="61">
        <f>prodnorm12</f>
        <v>0</v>
      </c>
      <c r="M107" s="58" t="s">
        <v>33</v>
      </c>
      <c r="N107" s="62">
        <f>uurtarief12</f>
        <v>0</v>
      </c>
      <c r="O107" s="60" t="e">
        <f t="shared" si="16"/>
        <v>#DIV/0!</v>
      </c>
      <c r="P107" s="62" t="e">
        <f t="shared" si="17"/>
        <v>#DIV/0!</v>
      </c>
      <c r="Q107" s="60" t="e">
        <f t="shared" si="18"/>
        <v>#DIV/0!</v>
      </c>
      <c r="R107" s="63" t="e">
        <f t="shared" si="19"/>
        <v>#DIV/0!</v>
      </c>
    </row>
    <row r="108" spans="1:18" x14ac:dyDescent="0.2">
      <c r="A108" s="57" t="s">
        <v>215</v>
      </c>
      <c r="B108" s="58" t="s">
        <v>162</v>
      </c>
      <c r="C108" s="58" t="s">
        <v>188</v>
      </c>
      <c r="D108" s="58" t="s">
        <v>288</v>
      </c>
      <c r="E108" s="59" t="s">
        <v>289</v>
      </c>
      <c r="F108" s="58" t="s">
        <v>187</v>
      </c>
      <c r="G108" s="58" t="s">
        <v>140</v>
      </c>
      <c r="H108" s="58" t="s">
        <v>9</v>
      </c>
      <c r="I108" s="58" t="s">
        <v>111</v>
      </c>
      <c r="J108" s="60">
        <v>1.5</v>
      </c>
      <c r="K108" s="60">
        <f t="shared" si="15"/>
        <v>1.5</v>
      </c>
      <c r="L108" s="61">
        <f>prodnorm32</f>
        <v>0</v>
      </c>
      <c r="M108" s="58" t="s">
        <v>33</v>
      </c>
      <c r="N108" s="62">
        <f>uurtarief32</f>
        <v>0</v>
      </c>
      <c r="O108" s="60" t="e">
        <f t="shared" si="16"/>
        <v>#DIV/0!</v>
      </c>
      <c r="P108" s="62" t="e">
        <f t="shared" si="17"/>
        <v>#DIV/0!</v>
      </c>
      <c r="Q108" s="60" t="e">
        <f t="shared" si="18"/>
        <v>#DIV/0!</v>
      </c>
      <c r="R108" s="63" t="e">
        <f t="shared" si="19"/>
        <v>#DIV/0!</v>
      </c>
    </row>
    <row r="109" spans="1:18" x14ac:dyDescent="0.2">
      <c r="A109" s="57" t="s">
        <v>215</v>
      </c>
      <c r="B109" s="58" t="s">
        <v>162</v>
      </c>
      <c r="C109" s="58" t="s">
        <v>188</v>
      </c>
      <c r="D109" s="58" t="s">
        <v>290</v>
      </c>
      <c r="E109" s="59" t="s">
        <v>228</v>
      </c>
      <c r="F109" s="58" t="s">
        <v>187</v>
      </c>
      <c r="G109" s="58" t="s">
        <v>115</v>
      </c>
      <c r="H109" s="58" t="s">
        <v>9</v>
      </c>
      <c r="I109" s="58" t="s">
        <v>111</v>
      </c>
      <c r="J109" s="60">
        <v>6.4</v>
      </c>
      <c r="K109" s="60">
        <f t="shared" ref="K109:K140" si="20">J109*VLOOKUP(H109,dagsoorttabel1,2,FALSE)</f>
        <v>6.4</v>
      </c>
      <c r="L109" s="61">
        <f>prodnorm11</f>
        <v>0</v>
      </c>
      <c r="M109" s="58" t="s">
        <v>33</v>
      </c>
      <c r="N109" s="62">
        <f>uurtarief11</f>
        <v>0</v>
      </c>
      <c r="O109" s="60" t="e">
        <f t="shared" ref="O109:O140" si="21">IF(ISBLANK(L109),0,K109/ROUND(L109,4))</f>
        <v>#DIV/0!</v>
      </c>
      <c r="P109" s="62" t="e">
        <f t="shared" ref="P109:P140" si="22">ROUND(N109,2)*O109</f>
        <v>#DIV/0!</v>
      </c>
      <c r="Q109" s="60" t="e">
        <f t="shared" ref="Q109:Q140" si="23">O109*dagenperjaar1</f>
        <v>#DIV/0!</v>
      </c>
      <c r="R109" s="63" t="e">
        <f t="shared" ref="R109:R140" si="24">Q109*ROUND(N109,2)</f>
        <v>#DIV/0!</v>
      </c>
    </row>
    <row r="110" spans="1:18" x14ac:dyDescent="0.2">
      <c r="A110" s="57" t="s">
        <v>215</v>
      </c>
      <c r="B110" s="58" t="s">
        <v>162</v>
      </c>
      <c r="C110" s="58" t="s">
        <v>188</v>
      </c>
      <c r="D110" s="58" t="s">
        <v>291</v>
      </c>
      <c r="E110" s="59" t="s">
        <v>228</v>
      </c>
      <c r="F110" s="58" t="s">
        <v>187</v>
      </c>
      <c r="G110" s="58" t="s">
        <v>115</v>
      </c>
      <c r="H110" s="58" t="s">
        <v>9</v>
      </c>
      <c r="I110" s="58" t="s">
        <v>111</v>
      </c>
      <c r="J110" s="60">
        <v>6.4</v>
      </c>
      <c r="K110" s="60">
        <f t="shared" si="20"/>
        <v>6.4</v>
      </c>
      <c r="L110" s="61">
        <f>prodnorm11</f>
        <v>0</v>
      </c>
      <c r="M110" s="58" t="s">
        <v>33</v>
      </c>
      <c r="N110" s="62">
        <f>uurtarief11</f>
        <v>0</v>
      </c>
      <c r="O110" s="60" t="e">
        <f t="shared" si="21"/>
        <v>#DIV/0!</v>
      </c>
      <c r="P110" s="62" t="e">
        <f t="shared" si="22"/>
        <v>#DIV/0!</v>
      </c>
      <c r="Q110" s="60" t="e">
        <f t="shared" si="23"/>
        <v>#DIV/0!</v>
      </c>
      <c r="R110" s="63" t="e">
        <f t="shared" si="24"/>
        <v>#DIV/0!</v>
      </c>
    </row>
    <row r="111" spans="1:18" x14ac:dyDescent="0.2">
      <c r="A111" s="57" t="s">
        <v>215</v>
      </c>
      <c r="B111" s="58" t="s">
        <v>162</v>
      </c>
      <c r="C111" s="58" t="s">
        <v>188</v>
      </c>
      <c r="D111" s="58" t="s">
        <v>292</v>
      </c>
      <c r="E111" s="59" t="s">
        <v>228</v>
      </c>
      <c r="F111" s="58" t="s">
        <v>187</v>
      </c>
      <c r="G111" s="58" t="s">
        <v>115</v>
      </c>
      <c r="H111" s="58" t="s">
        <v>9</v>
      </c>
      <c r="I111" s="58" t="s">
        <v>111</v>
      </c>
      <c r="J111" s="60">
        <v>6.4</v>
      </c>
      <c r="K111" s="60">
        <f t="shared" si="20"/>
        <v>6.4</v>
      </c>
      <c r="L111" s="61">
        <f>prodnorm11</f>
        <v>0</v>
      </c>
      <c r="M111" s="58" t="s">
        <v>33</v>
      </c>
      <c r="N111" s="62">
        <f>uurtarief11</f>
        <v>0</v>
      </c>
      <c r="O111" s="60" t="e">
        <f t="shared" si="21"/>
        <v>#DIV/0!</v>
      </c>
      <c r="P111" s="62" t="e">
        <f t="shared" si="22"/>
        <v>#DIV/0!</v>
      </c>
      <c r="Q111" s="60" t="e">
        <f t="shared" si="23"/>
        <v>#DIV/0!</v>
      </c>
      <c r="R111" s="63" t="e">
        <f t="shared" si="24"/>
        <v>#DIV/0!</v>
      </c>
    </row>
    <row r="112" spans="1:18" x14ac:dyDescent="0.2">
      <c r="A112" s="57" t="s">
        <v>215</v>
      </c>
      <c r="B112" s="58" t="s">
        <v>162</v>
      </c>
      <c r="C112" s="58" t="s">
        <v>188</v>
      </c>
      <c r="D112" s="58" t="s">
        <v>293</v>
      </c>
      <c r="E112" s="59" t="s">
        <v>228</v>
      </c>
      <c r="F112" s="58" t="s">
        <v>187</v>
      </c>
      <c r="G112" s="58" t="s">
        <v>115</v>
      </c>
      <c r="H112" s="58" t="s">
        <v>9</v>
      </c>
      <c r="I112" s="58" t="s">
        <v>111</v>
      </c>
      <c r="J112" s="60">
        <v>6.4</v>
      </c>
      <c r="K112" s="60">
        <f t="shared" si="20"/>
        <v>6.4</v>
      </c>
      <c r="L112" s="61">
        <f>prodnorm11</f>
        <v>0</v>
      </c>
      <c r="M112" s="58" t="s">
        <v>33</v>
      </c>
      <c r="N112" s="62">
        <f>uurtarief11</f>
        <v>0</v>
      </c>
      <c r="O112" s="60" t="e">
        <f t="shared" si="21"/>
        <v>#DIV/0!</v>
      </c>
      <c r="P112" s="62" t="e">
        <f t="shared" si="22"/>
        <v>#DIV/0!</v>
      </c>
      <c r="Q112" s="60" t="e">
        <f t="shared" si="23"/>
        <v>#DIV/0!</v>
      </c>
      <c r="R112" s="63" t="e">
        <f t="shared" si="24"/>
        <v>#DIV/0!</v>
      </c>
    </row>
    <row r="113" spans="1:18" x14ac:dyDescent="0.2">
      <c r="A113" s="57" t="s">
        <v>215</v>
      </c>
      <c r="B113" s="58" t="s">
        <v>162</v>
      </c>
      <c r="C113" s="58" t="s">
        <v>188</v>
      </c>
      <c r="D113" s="58" t="s">
        <v>294</v>
      </c>
      <c r="E113" s="59" t="s">
        <v>266</v>
      </c>
      <c r="F113" s="58" t="s">
        <v>187</v>
      </c>
      <c r="G113" s="58" t="s">
        <v>115</v>
      </c>
      <c r="H113" s="58" t="s">
        <v>9</v>
      </c>
      <c r="I113" s="58" t="s">
        <v>111</v>
      </c>
      <c r="J113" s="60">
        <v>32.6</v>
      </c>
      <c r="K113" s="60">
        <f t="shared" si="20"/>
        <v>32.6</v>
      </c>
      <c r="L113" s="61">
        <f>prodnorm11</f>
        <v>0</v>
      </c>
      <c r="M113" s="58" t="s">
        <v>33</v>
      </c>
      <c r="N113" s="62">
        <f>uurtarief11</f>
        <v>0</v>
      </c>
      <c r="O113" s="60" t="e">
        <f t="shared" si="21"/>
        <v>#DIV/0!</v>
      </c>
      <c r="P113" s="62" t="e">
        <f t="shared" si="22"/>
        <v>#DIV/0!</v>
      </c>
      <c r="Q113" s="60" t="e">
        <f t="shared" si="23"/>
        <v>#DIV/0!</v>
      </c>
      <c r="R113" s="63" t="e">
        <f t="shared" si="24"/>
        <v>#DIV/0!</v>
      </c>
    </row>
    <row r="114" spans="1:18" x14ac:dyDescent="0.2">
      <c r="A114" s="57" t="s">
        <v>215</v>
      </c>
      <c r="B114" s="58" t="s">
        <v>162</v>
      </c>
      <c r="C114" s="58" t="s">
        <v>188</v>
      </c>
      <c r="D114" s="58" t="s">
        <v>295</v>
      </c>
      <c r="E114" s="59" t="s">
        <v>289</v>
      </c>
      <c r="F114" s="58" t="s">
        <v>187</v>
      </c>
      <c r="G114" s="58" t="s">
        <v>140</v>
      </c>
      <c r="H114" s="58" t="s">
        <v>9</v>
      </c>
      <c r="I114" s="58" t="s">
        <v>111</v>
      </c>
      <c r="J114" s="60">
        <v>1.5</v>
      </c>
      <c r="K114" s="60">
        <f t="shared" si="20"/>
        <v>1.5</v>
      </c>
      <c r="L114" s="61">
        <f>prodnorm32</f>
        <v>0</v>
      </c>
      <c r="M114" s="58" t="s">
        <v>33</v>
      </c>
      <c r="N114" s="62">
        <f>uurtarief32</f>
        <v>0</v>
      </c>
      <c r="O114" s="60" t="e">
        <f t="shared" si="21"/>
        <v>#DIV/0!</v>
      </c>
      <c r="P114" s="62" t="e">
        <f t="shared" si="22"/>
        <v>#DIV/0!</v>
      </c>
      <c r="Q114" s="60" t="e">
        <f t="shared" si="23"/>
        <v>#DIV/0!</v>
      </c>
      <c r="R114" s="63" t="e">
        <f t="shared" si="24"/>
        <v>#DIV/0!</v>
      </c>
    </row>
    <row r="115" spans="1:18" x14ac:dyDescent="0.2">
      <c r="A115" s="57" t="s">
        <v>215</v>
      </c>
      <c r="B115" s="58" t="s">
        <v>162</v>
      </c>
      <c r="C115" s="58" t="s">
        <v>188</v>
      </c>
      <c r="D115" s="58" t="s">
        <v>296</v>
      </c>
      <c r="E115" s="59" t="s">
        <v>266</v>
      </c>
      <c r="F115" s="58" t="s">
        <v>187</v>
      </c>
      <c r="G115" s="58" t="s">
        <v>115</v>
      </c>
      <c r="H115" s="58" t="s">
        <v>9</v>
      </c>
      <c r="I115" s="58" t="s">
        <v>111</v>
      </c>
      <c r="J115" s="60">
        <v>32.6</v>
      </c>
      <c r="K115" s="60">
        <f t="shared" si="20"/>
        <v>32.6</v>
      </c>
      <c r="L115" s="61">
        <f>prodnorm11</f>
        <v>0</v>
      </c>
      <c r="M115" s="58" t="s">
        <v>33</v>
      </c>
      <c r="N115" s="62">
        <f>uurtarief11</f>
        <v>0</v>
      </c>
      <c r="O115" s="60" t="e">
        <f t="shared" si="21"/>
        <v>#DIV/0!</v>
      </c>
      <c r="P115" s="62" t="e">
        <f t="shared" si="22"/>
        <v>#DIV/0!</v>
      </c>
      <c r="Q115" s="60" t="e">
        <f t="shared" si="23"/>
        <v>#DIV/0!</v>
      </c>
      <c r="R115" s="63" t="e">
        <f t="shared" si="24"/>
        <v>#DIV/0!</v>
      </c>
    </row>
    <row r="116" spans="1:18" x14ac:dyDescent="0.2">
      <c r="A116" s="57" t="s">
        <v>215</v>
      </c>
      <c r="B116" s="58" t="s">
        <v>162</v>
      </c>
      <c r="C116" s="58" t="s">
        <v>188</v>
      </c>
      <c r="D116" s="58" t="s">
        <v>297</v>
      </c>
      <c r="E116" s="59" t="s">
        <v>266</v>
      </c>
      <c r="F116" s="58" t="s">
        <v>187</v>
      </c>
      <c r="G116" s="58" t="s">
        <v>115</v>
      </c>
      <c r="H116" s="58" t="s">
        <v>9</v>
      </c>
      <c r="I116" s="58" t="s">
        <v>111</v>
      </c>
      <c r="J116" s="60">
        <v>32.6</v>
      </c>
      <c r="K116" s="60">
        <f t="shared" si="20"/>
        <v>32.6</v>
      </c>
      <c r="L116" s="61">
        <f>prodnorm11</f>
        <v>0</v>
      </c>
      <c r="M116" s="58" t="s">
        <v>33</v>
      </c>
      <c r="N116" s="62">
        <f>uurtarief11</f>
        <v>0</v>
      </c>
      <c r="O116" s="60" t="e">
        <f t="shared" si="21"/>
        <v>#DIV/0!</v>
      </c>
      <c r="P116" s="62" t="e">
        <f t="shared" si="22"/>
        <v>#DIV/0!</v>
      </c>
      <c r="Q116" s="60" t="e">
        <f t="shared" si="23"/>
        <v>#DIV/0!</v>
      </c>
      <c r="R116" s="63" t="e">
        <f t="shared" si="24"/>
        <v>#DIV/0!</v>
      </c>
    </row>
    <row r="117" spans="1:18" x14ac:dyDescent="0.2">
      <c r="A117" s="57" t="s">
        <v>215</v>
      </c>
      <c r="B117" s="58" t="s">
        <v>162</v>
      </c>
      <c r="C117" s="58" t="s">
        <v>188</v>
      </c>
      <c r="D117" s="58" t="s">
        <v>298</v>
      </c>
      <c r="E117" s="59" t="s">
        <v>227</v>
      </c>
      <c r="F117" s="58" t="s">
        <v>187</v>
      </c>
      <c r="G117" s="58" t="s">
        <v>140</v>
      </c>
      <c r="H117" s="58" t="s">
        <v>9</v>
      </c>
      <c r="I117" s="58" t="s">
        <v>111</v>
      </c>
      <c r="J117" s="60">
        <v>43</v>
      </c>
      <c r="K117" s="60">
        <f t="shared" si="20"/>
        <v>43</v>
      </c>
      <c r="L117" s="61">
        <f>prodnorm32</f>
        <v>0</v>
      </c>
      <c r="M117" s="58" t="s">
        <v>33</v>
      </c>
      <c r="N117" s="62">
        <f>uurtarief32</f>
        <v>0</v>
      </c>
      <c r="O117" s="60" t="e">
        <f t="shared" si="21"/>
        <v>#DIV/0!</v>
      </c>
      <c r="P117" s="62" t="e">
        <f t="shared" si="22"/>
        <v>#DIV/0!</v>
      </c>
      <c r="Q117" s="60" t="e">
        <f t="shared" si="23"/>
        <v>#DIV/0!</v>
      </c>
      <c r="R117" s="63" t="e">
        <f t="shared" si="24"/>
        <v>#DIV/0!</v>
      </c>
    </row>
    <row r="118" spans="1:18" x14ac:dyDescent="0.2">
      <c r="A118" s="57" t="s">
        <v>215</v>
      </c>
      <c r="B118" s="58" t="s">
        <v>162</v>
      </c>
      <c r="C118" s="58" t="s">
        <v>188</v>
      </c>
      <c r="D118" s="58" t="s">
        <v>299</v>
      </c>
      <c r="E118" s="59" t="s">
        <v>227</v>
      </c>
      <c r="F118" s="58" t="s">
        <v>187</v>
      </c>
      <c r="G118" s="58" t="s">
        <v>140</v>
      </c>
      <c r="H118" s="58" t="s">
        <v>9</v>
      </c>
      <c r="I118" s="58" t="s">
        <v>111</v>
      </c>
      <c r="J118" s="60">
        <v>104</v>
      </c>
      <c r="K118" s="60">
        <f t="shared" si="20"/>
        <v>104</v>
      </c>
      <c r="L118" s="61">
        <f>prodnorm32</f>
        <v>0</v>
      </c>
      <c r="M118" s="58" t="s">
        <v>33</v>
      </c>
      <c r="N118" s="62">
        <f>uurtarief32</f>
        <v>0</v>
      </c>
      <c r="O118" s="60" t="e">
        <f t="shared" si="21"/>
        <v>#DIV/0!</v>
      </c>
      <c r="P118" s="62" t="e">
        <f t="shared" si="22"/>
        <v>#DIV/0!</v>
      </c>
      <c r="Q118" s="60" t="e">
        <f t="shared" si="23"/>
        <v>#DIV/0!</v>
      </c>
      <c r="R118" s="63" t="e">
        <f t="shared" si="24"/>
        <v>#DIV/0!</v>
      </c>
    </row>
    <row r="119" spans="1:18" x14ac:dyDescent="0.2">
      <c r="A119" s="57" t="s">
        <v>215</v>
      </c>
      <c r="B119" s="58" t="s">
        <v>162</v>
      </c>
      <c r="C119" s="58" t="s">
        <v>188</v>
      </c>
      <c r="D119" s="58" t="s">
        <v>300</v>
      </c>
      <c r="E119" s="59" t="s">
        <v>227</v>
      </c>
      <c r="F119" s="58" t="s">
        <v>187</v>
      </c>
      <c r="G119" s="58" t="s">
        <v>140</v>
      </c>
      <c r="H119" s="58" t="s">
        <v>9</v>
      </c>
      <c r="I119" s="58" t="s">
        <v>111</v>
      </c>
      <c r="J119" s="60">
        <v>72</v>
      </c>
      <c r="K119" s="60">
        <f t="shared" si="20"/>
        <v>72</v>
      </c>
      <c r="L119" s="61">
        <f>prodnorm32</f>
        <v>0</v>
      </c>
      <c r="M119" s="58" t="s">
        <v>33</v>
      </c>
      <c r="N119" s="62">
        <f>uurtarief32</f>
        <v>0</v>
      </c>
      <c r="O119" s="60" t="e">
        <f t="shared" si="21"/>
        <v>#DIV/0!</v>
      </c>
      <c r="P119" s="62" t="e">
        <f t="shared" si="22"/>
        <v>#DIV/0!</v>
      </c>
      <c r="Q119" s="60" t="e">
        <f t="shared" si="23"/>
        <v>#DIV/0!</v>
      </c>
      <c r="R119" s="63" t="e">
        <f t="shared" si="24"/>
        <v>#DIV/0!</v>
      </c>
    </row>
    <row r="120" spans="1:18" x14ac:dyDescent="0.2">
      <c r="A120" s="57" t="s">
        <v>215</v>
      </c>
      <c r="B120" s="58" t="s">
        <v>162</v>
      </c>
      <c r="C120" s="58" t="s">
        <v>188</v>
      </c>
      <c r="D120" s="58" t="s">
        <v>301</v>
      </c>
      <c r="E120" s="59" t="s">
        <v>191</v>
      </c>
      <c r="F120" s="58" t="s">
        <v>187</v>
      </c>
      <c r="G120" s="58" t="s">
        <v>115</v>
      </c>
      <c r="H120" s="58" t="s">
        <v>9</v>
      </c>
      <c r="I120" s="58" t="s">
        <v>111</v>
      </c>
      <c r="J120" s="60">
        <v>18</v>
      </c>
      <c r="K120" s="60">
        <f t="shared" si="20"/>
        <v>18</v>
      </c>
      <c r="L120" s="61">
        <f t="shared" ref="L120:L127" si="25">prodnorm11</f>
        <v>0</v>
      </c>
      <c r="M120" s="58" t="s">
        <v>33</v>
      </c>
      <c r="N120" s="62">
        <f t="shared" ref="N120:N127" si="26">uurtarief11</f>
        <v>0</v>
      </c>
      <c r="O120" s="60" t="e">
        <f t="shared" si="21"/>
        <v>#DIV/0!</v>
      </c>
      <c r="P120" s="62" t="e">
        <f t="shared" si="22"/>
        <v>#DIV/0!</v>
      </c>
      <c r="Q120" s="60" t="e">
        <f t="shared" si="23"/>
        <v>#DIV/0!</v>
      </c>
      <c r="R120" s="63" t="e">
        <f t="shared" si="24"/>
        <v>#DIV/0!</v>
      </c>
    </row>
    <row r="121" spans="1:18" x14ac:dyDescent="0.2">
      <c r="A121" s="57" t="s">
        <v>215</v>
      </c>
      <c r="B121" s="58" t="s">
        <v>162</v>
      </c>
      <c r="C121" s="58" t="s">
        <v>188</v>
      </c>
      <c r="D121" s="58" t="s">
        <v>302</v>
      </c>
      <c r="E121" s="59" t="s">
        <v>228</v>
      </c>
      <c r="F121" s="58" t="s">
        <v>187</v>
      </c>
      <c r="G121" s="58" t="s">
        <v>115</v>
      </c>
      <c r="H121" s="58" t="s">
        <v>9</v>
      </c>
      <c r="I121" s="58" t="s">
        <v>111</v>
      </c>
      <c r="J121" s="60">
        <v>6</v>
      </c>
      <c r="K121" s="60">
        <f t="shared" si="20"/>
        <v>6</v>
      </c>
      <c r="L121" s="61">
        <f t="shared" si="25"/>
        <v>0</v>
      </c>
      <c r="M121" s="58" t="s">
        <v>33</v>
      </c>
      <c r="N121" s="62">
        <f t="shared" si="26"/>
        <v>0</v>
      </c>
      <c r="O121" s="60" t="e">
        <f t="shared" si="21"/>
        <v>#DIV/0!</v>
      </c>
      <c r="P121" s="62" t="e">
        <f t="shared" si="22"/>
        <v>#DIV/0!</v>
      </c>
      <c r="Q121" s="60" t="e">
        <f t="shared" si="23"/>
        <v>#DIV/0!</v>
      </c>
      <c r="R121" s="63" t="e">
        <f t="shared" si="24"/>
        <v>#DIV/0!</v>
      </c>
    </row>
    <row r="122" spans="1:18" x14ac:dyDescent="0.2">
      <c r="A122" s="57" t="s">
        <v>215</v>
      </c>
      <c r="B122" s="58" t="s">
        <v>162</v>
      </c>
      <c r="C122" s="58" t="s">
        <v>188</v>
      </c>
      <c r="D122" s="58" t="s">
        <v>303</v>
      </c>
      <c r="E122" s="59" t="s">
        <v>228</v>
      </c>
      <c r="F122" s="58" t="s">
        <v>187</v>
      </c>
      <c r="G122" s="58" t="s">
        <v>115</v>
      </c>
      <c r="H122" s="58" t="s">
        <v>9</v>
      </c>
      <c r="I122" s="58" t="s">
        <v>111</v>
      </c>
      <c r="J122" s="60">
        <v>6</v>
      </c>
      <c r="K122" s="60">
        <f t="shared" si="20"/>
        <v>6</v>
      </c>
      <c r="L122" s="61">
        <f t="shared" si="25"/>
        <v>0</v>
      </c>
      <c r="M122" s="58" t="s">
        <v>33</v>
      </c>
      <c r="N122" s="62">
        <f t="shared" si="26"/>
        <v>0</v>
      </c>
      <c r="O122" s="60" t="e">
        <f t="shared" si="21"/>
        <v>#DIV/0!</v>
      </c>
      <c r="P122" s="62" t="e">
        <f t="shared" si="22"/>
        <v>#DIV/0!</v>
      </c>
      <c r="Q122" s="60" t="e">
        <f t="shared" si="23"/>
        <v>#DIV/0!</v>
      </c>
      <c r="R122" s="63" t="e">
        <f t="shared" si="24"/>
        <v>#DIV/0!</v>
      </c>
    </row>
    <row r="123" spans="1:18" x14ac:dyDescent="0.2">
      <c r="A123" s="57" t="s">
        <v>215</v>
      </c>
      <c r="B123" s="58" t="s">
        <v>162</v>
      </c>
      <c r="C123" s="58" t="s">
        <v>188</v>
      </c>
      <c r="D123" s="58" t="s">
        <v>304</v>
      </c>
      <c r="E123" s="59" t="s">
        <v>228</v>
      </c>
      <c r="F123" s="58" t="s">
        <v>187</v>
      </c>
      <c r="G123" s="58" t="s">
        <v>115</v>
      </c>
      <c r="H123" s="58" t="s">
        <v>9</v>
      </c>
      <c r="I123" s="58" t="s">
        <v>111</v>
      </c>
      <c r="J123" s="60">
        <v>6</v>
      </c>
      <c r="K123" s="60">
        <f t="shared" si="20"/>
        <v>6</v>
      </c>
      <c r="L123" s="61">
        <f t="shared" si="25"/>
        <v>0</v>
      </c>
      <c r="M123" s="58" t="s">
        <v>33</v>
      </c>
      <c r="N123" s="62">
        <f t="shared" si="26"/>
        <v>0</v>
      </c>
      <c r="O123" s="60" t="e">
        <f t="shared" si="21"/>
        <v>#DIV/0!</v>
      </c>
      <c r="P123" s="62" t="e">
        <f t="shared" si="22"/>
        <v>#DIV/0!</v>
      </c>
      <c r="Q123" s="60" t="e">
        <f t="shared" si="23"/>
        <v>#DIV/0!</v>
      </c>
      <c r="R123" s="63" t="e">
        <f t="shared" si="24"/>
        <v>#DIV/0!</v>
      </c>
    </row>
    <row r="124" spans="1:18" x14ac:dyDescent="0.2">
      <c r="A124" s="57" t="s">
        <v>215</v>
      </c>
      <c r="B124" s="58" t="s">
        <v>162</v>
      </c>
      <c r="C124" s="58" t="s">
        <v>188</v>
      </c>
      <c r="D124" s="58" t="s">
        <v>305</v>
      </c>
      <c r="E124" s="59" t="s">
        <v>191</v>
      </c>
      <c r="F124" s="58" t="s">
        <v>187</v>
      </c>
      <c r="G124" s="58" t="s">
        <v>115</v>
      </c>
      <c r="H124" s="58" t="s">
        <v>9</v>
      </c>
      <c r="I124" s="58" t="s">
        <v>111</v>
      </c>
      <c r="J124" s="60">
        <v>18</v>
      </c>
      <c r="K124" s="60">
        <f t="shared" si="20"/>
        <v>18</v>
      </c>
      <c r="L124" s="61">
        <f t="shared" si="25"/>
        <v>0</v>
      </c>
      <c r="M124" s="58" t="s">
        <v>33</v>
      </c>
      <c r="N124" s="62">
        <f t="shared" si="26"/>
        <v>0</v>
      </c>
      <c r="O124" s="60" t="e">
        <f t="shared" si="21"/>
        <v>#DIV/0!</v>
      </c>
      <c r="P124" s="62" t="e">
        <f t="shared" si="22"/>
        <v>#DIV/0!</v>
      </c>
      <c r="Q124" s="60" t="e">
        <f t="shared" si="23"/>
        <v>#DIV/0!</v>
      </c>
      <c r="R124" s="63" t="e">
        <f t="shared" si="24"/>
        <v>#DIV/0!</v>
      </c>
    </row>
    <row r="125" spans="1:18" x14ac:dyDescent="0.2">
      <c r="A125" s="57" t="s">
        <v>215</v>
      </c>
      <c r="B125" s="58" t="s">
        <v>162</v>
      </c>
      <c r="C125" s="58" t="s">
        <v>188</v>
      </c>
      <c r="D125" s="58" t="s">
        <v>306</v>
      </c>
      <c r="E125" s="59" t="s">
        <v>191</v>
      </c>
      <c r="F125" s="58" t="s">
        <v>187</v>
      </c>
      <c r="G125" s="58" t="s">
        <v>115</v>
      </c>
      <c r="H125" s="58" t="s">
        <v>9</v>
      </c>
      <c r="I125" s="58" t="s">
        <v>111</v>
      </c>
      <c r="J125" s="60">
        <v>30</v>
      </c>
      <c r="K125" s="60">
        <f t="shared" si="20"/>
        <v>30</v>
      </c>
      <c r="L125" s="61">
        <f t="shared" si="25"/>
        <v>0</v>
      </c>
      <c r="M125" s="58" t="s">
        <v>33</v>
      </c>
      <c r="N125" s="62">
        <f t="shared" si="26"/>
        <v>0</v>
      </c>
      <c r="O125" s="60" t="e">
        <f t="shared" si="21"/>
        <v>#DIV/0!</v>
      </c>
      <c r="P125" s="62" t="e">
        <f t="shared" si="22"/>
        <v>#DIV/0!</v>
      </c>
      <c r="Q125" s="60" t="e">
        <f t="shared" si="23"/>
        <v>#DIV/0!</v>
      </c>
      <c r="R125" s="63" t="e">
        <f t="shared" si="24"/>
        <v>#DIV/0!</v>
      </c>
    </row>
    <row r="126" spans="1:18" x14ac:dyDescent="0.2">
      <c r="A126" s="57" t="s">
        <v>215</v>
      </c>
      <c r="B126" s="58" t="s">
        <v>162</v>
      </c>
      <c r="C126" s="58" t="s">
        <v>188</v>
      </c>
      <c r="D126" s="58" t="s">
        <v>307</v>
      </c>
      <c r="E126" s="59" t="s">
        <v>266</v>
      </c>
      <c r="F126" s="58" t="s">
        <v>187</v>
      </c>
      <c r="G126" s="58" t="s">
        <v>115</v>
      </c>
      <c r="H126" s="58" t="s">
        <v>9</v>
      </c>
      <c r="I126" s="58" t="s">
        <v>111</v>
      </c>
      <c r="J126" s="60">
        <v>40</v>
      </c>
      <c r="K126" s="60">
        <f t="shared" si="20"/>
        <v>40</v>
      </c>
      <c r="L126" s="61">
        <f t="shared" si="25"/>
        <v>0</v>
      </c>
      <c r="M126" s="58" t="s">
        <v>33</v>
      </c>
      <c r="N126" s="62">
        <f t="shared" si="26"/>
        <v>0</v>
      </c>
      <c r="O126" s="60" t="e">
        <f t="shared" si="21"/>
        <v>#DIV/0!</v>
      </c>
      <c r="P126" s="62" t="e">
        <f t="shared" si="22"/>
        <v>#DIV/0!</v>
      </c>
      <c r="Q126" s="60" t="e">
        <f t="shared" si="23"/>
        <v>#DIV/0!</v>
      </c>
      <c r="R126" s="63" t="e">
        <f t="shared" si="24"/>
        <v>#DIV/0!</v>
      </c>
    </row>
    <row r="127" spans="1:18" x14ac:dyDescent="0.2">
      <c r="A127" s="57" t="s">
        <v>215</v>
      </c>
      <c r="B127" s="58" t="s">
        <v>162</v>
      </c>
      <c r="C127" s="58" t="s">
        <v>188</v>
      </c>
      <c r="D127" s="58" t="s">
        <v>308</v>
      </c>
      <c r="E127" s="59" t="s">
        <v>191</v>
      </c>
      <c r="F127" s="58" t="s">
        <v>187</v>
      </c>
      <c r="G127" s="58" t="s">
        <v>115</v>
      </c>
      <c r="H127" s="58" t="s">
        <v>9</v>
      </c>
      <c r="I127" s="58" t="s">
        <v>111</v>
      </c>
      <c r="J127" s="60">
        <v>13</v>
      </c>
      <c r="K127" s="60">
        <f t="shared" si="20"/>
        <v>13</v>
      </c>
      <c r="L127" s="61">
        <f t="shared" si="25"/>
        <v>0</v>
      </c>
      <c r="M127" s="58" t="s">
        <v>33</v>
      </c>
      <c r="N127" s="62">
        <f t="shared" si="26"/>
        <v>0</v>
      </c>
      <c r="O127" s="60" t="e">
        <f t="shared" si="21"/>
        <v>#DIV/0!</v>
      </c>
      <c r="P127" s="62" t="e">
        <f t="shared" si="22"/>
        <v>#DIV/0!</v>
      </c>
      <c r="Q127" s="60" t="e">
        <f t="shared" si="23"/>
        <v>#DIV/0!</v>
      </c>
      <c r="R127" s="63" t="e">
        <f t="shared" si="24"/>
        <v>#DIV/0!</v>
      </c>
    </row>
    <row r="128" spans="1:18" x14ac:dyDescent="0.2">
      <c r="A128" s="57" t="s">
        <v>215</v>
      </c>
      <c r="B128" s="58" t="s">
        <v>162</v>
      </c>
      <c r="C128" s="58" t="s">
        <v>188</v>
      </c>
      <c r="D128" s="58" t="s">
        <v>309</v>
      </c>
      <c r="E128" s="59" t="s">
        <v>236</v>
      </c>
      <c r="F128" s="58" t="s">
        <v>187</v>
      </c>
      <c r="G128" s="58" t="s">
        <v>135</v>
      </c>
      <c r="H128" s="58" t="s">
        <v>9</v>
      </c>
      <c r="I128" s="58" t="s">
        <v>111</v>
      </c>
      <c r="J128" s="60">
        <v>6.5</v>
      </c>
      <c r="K128" s="60">
        <f t="shared" si="20"/>
        <v>6.5</v>
      </c>
      <c r="L128" s="61">
        <f>prodnorm28</f>
        <v>0</v>
      </c>
      <c r="M128" s="58" t="s">
        <v>33</v>
      </c>
      <c r="N128" s="62">
        <f>uurtarief28</f>
        <v>0</v>
      </c>
      <c r="O128" s="60" t="e">
        <f t="shared" si="21"/>
        <v>#DIV/0!</v>
      </c>
      <c r="P128" s="62" t="e">
        <f t="shared" si="22"/>
        <v>#DIV/0!</v>
      </c>
      <c r="Q128" s="60" t="e">
        <f t="shared" si="23"/>
        <v>#DIV/0!</v>
      </c>
      <c r="R128" s="63" t="e">
        <f t="shared" si="24"/>
        <v>#DIV/0!</v>
      </c>
    </row>
    <row r="129" spans="1:18" x14ac:dyDescent="0.2">
      <c r="A129" s="57" t="s">
        <v>215</v>
      </c>
      <c r="B129" s="58" t="s">
        <v>162</v>
      </c>
      <c r="C129" s="58" t="s">
        <v>188</v>
      </c>
      <c r="D129" s="58" t="s">
        <v>310</v>
      </c>
      <c r="E129" s="59" t="s">
        <v>191</v>
      </c>
      <c r="F129" s="58" t="s">
        <v>187</v>
      </c>
      <c r="G129" s="58" t="s">
        <v>115</v>
      </c>
      <c r="H129" s="58" t="s">
        <v>9</v>
      </c>
      <c r="I129" s="58" t="s">
        <v>111</v>
      </c>
      <c r="J129" s="60">
        <v>30</v>
      </c>
      <c r="K129" s="60">
        <f t="shared" si="20"/>
        <v>30</v>
      </c>
      <c r="L129" s="61">
        <f>prodnorm11</f>
        <v>0</v>
      </c>
      <c r="M129" s="58" t="s">
        <v>33</v>
      </c>
      <c r="N129" s="62">
        <f>uurtarief11</f>
        <v>0</v>
      </c>
      <c r="O129" s="60" t="e">
        <f t="shared" si="21"/>
        <v>#DIV/0!</v>
      </c>
      <c r="P129" s="62" t="e">
        <f t="shared" si="22"/>
        <v>#DIV/0!</v>
      </c>
      <c r="Q129" s="60" t="e">
        <f t="shared" si="23"/>
        <v>#DIV/0!</v>
      </c>
      <c r="R129" s="63" t="e">
        <f t="shared" si="24"/>
        <v>#DIV/0!</v>
      </c>
    </row>
    <row r="130" spans="1:18" x14ac:dyDescent="0.2">
      <c r="A130" s="57" t="s">
        <v>215</v>
      </c>
      <c r="B130" s="58" t="s">
        <v>162</v>
      </c>
      <c r="C130" s="58" t="s">
        <v>188</v>
      </c>
      <c r="D130" s="58" t="s">
        <v>311</v>
      </c>
      <c r="E130" s="59" t="s">
        <v>191</v>
      </c>
      <c r="F130" s="58" t="s">
        <v>187</v>
      </c>
      <c r="G130" s="58" t="s">
        <v>115</v>
      </c>
      <c r="H130" s="58" t="s">
        <v>9</v>
      </c>
      <c r="I130" s="58" t="s">
        <v>111</v>
      </c>
      <c r="J130" s="60">
        <v>18</v>
      </c>
      <c r="K130" s="60">
        <f t="shared" si="20"/>
        <v>18</v>
      </c>
      <c r="L130" s="61">
        <f>prodnorm11</f>
        <v>0</v>
      </c>
      <c r="M130" s="58" t="s">
        <v>33</v>
      </c>
      <c r="N130" s="62">
        <f>uurtarief11</f>
        <v>0</v>
      </c>
      <c r="O130" s="60" t="e">
        <f t="shared" si="21"/>
        <v>#DIV/0!</v>
      </c>
      <c r="P130" s="62" t="e">
        <f t="shared" si="22"/>
        <v>#DIV/0!</v>
      </c>
      <c r="Q130" s="60" t="e">
        <f t="shared" si="23"/>
        <v>#DIV/0!</v>
      </c>
      <c r="R130" s="63" t="e">
        <f t="shared" si="24"/>
        <v>#DIV/0!</v>
      </c>
    </row>
    <row r="131" spans="1:18" x14ac:dyDescent="0.2">
      <c r="A131" s="57" t="s">
        <v>215</v>
      </c>
      <c r="B131" s="58" t="s">
        <v>162</v>
      </c>
      <c r="C131" s="58" t="s">
        <v>188</v>
      </c>
      <c r="D131" s="58" t="s">
        <v>312</v>
      </c>
      <c r="E131" s="59" t="s">
        <v>228</v>
      </c>
      <c r="F131" s="58" t="s">
        <v>187</v>
      </c>
      <c r="G131" s="58" t="s">
        <v>115</v>
      </c>
      <c r="H131" s="58" t="s">
        <v>9</v>
      </c>
      <c r="I131" s="58" t="s">
        <v>111</v>
      </c>
      <c r="J131" s="60">
        <v>6</v>
      </c>
      <c r="K131" s="60">
        <f t="shared" si="20"/>
        <v>6</v>
      </c>
      <c r="L131" s="61">
        <f>prodnorm11</f>
        <v>0</v>
      </c>
      <c r="M131" s="58" t="s">
        <v>33</v>
      </c>
      <c r="N131" s="62">
        <f>uurtarief11</f>
        <v>0</v>
      </c>
      <c r="O131" s="60" t="e">
        <f t="shared" si="21"/>
        <v>#DIV/0!</v>
      </c>
      <c r="P131" s="62" t="e">
        <f t="shared" si="22"/>
        <v>#DIV/0!</v>
      </c>
      <c r="Q131" s="60" t="e">
        <f t="shared" si="23"/>
        <v>#DIV/0!</v>
      </c>
      <c r="R131" s="63" t="e">
        <f t="shared" si="24"/>
        <v>#DIV/0!</v>
      </c>
    </row>
    <row r="132" spans="1:18" x14ac:dyDescent="0.2">
      <c r="A132" s="57" t="s">
        <v>215</v>
      </c>
      <c r="B132" s="58" t="s">
        <v>162</v>
      </c>
      <c r="C132" s="58" t="s">
        <v>188</v>
      </c>
      <c r="D132" s="58" t="s">
        <v>313</v>
      </c>
      <c r="E132" s="59" t="s">
        <v>191</v>
      </c>
      <c r="F132" s="58" t="s">
        <v>187</v>
      </c>
      <c r="G132" s="58" t="s">
        <v>115</v>
      </c>
      <c r="H132" s="58" t="s">
        <v>9</v>
      </c>
      <c r="I132" s="58" t="s">
        <v>111</v>
      </c>
      <c r="J132" s="60">
        <v>12</v>
      </c>
      <c r="K132" s="60">
        <f t="shared" si="20"/>
        <v>12</v>
      </c>
      <c r="L132" s="61">
        <f>prodnorm11</f>
        <v>0</v>
      </c>
      <c r="M132" s="58" t="s">
        <v>33</v>
      </c>
      <c r="N132" s="62">
        <f>uurtarief11</f>
        <v>0</v>
      </c>
      <c r="O132" s="60" t="e">
        <f t="shared" si="21"/>
        <v>#DIV/0!</v>
      </c>
      <c r="P132" s="62" t="e">
        <f t="shared" si="22"/>
        <v>#DIV/0!</v>
      </c>
      <c r="Q132" s="60" t="e">
        <f t="shared" si="23"/>
        <v>#DIV/0!</v>
      </c>
      <c r="R132" s="63" t="e">
        <f t="shared" si="24"/>
        <v>#DIV/0!</v>
      </c>
    </row>
    <row r="133" spans="1:18" x14ac:dyDescent="0.2">
      <c r="A133" s="57" t="s">
        <v>215</v>
      </c>
      <c r="B133" s="58" t="s">
        <v>162</v>
      </c>
      <c r="C133" s="58" t="s">
        <v>188</v>
      </c>
      <c r="D133" s="58" t="s">
        <v>314</v>
      </c>
      <c r="E133" s="59" t="s">
        <v>191</v>
      </c>
      <c r="F133" s="58" t="s">
        <v>187</v>
      </c>
      <c r="G133" s="58" t="s">
        <v>115</v>
      </c>
      <c r="H133" s="58" t="s">
        <v>9</v>
      </c>
      <c r="I133" s="58" t="s">
        <v>111</v>
      </c>
      <c r="J133" s="60">
        <v>18</v>
      </c>
      <c r="K133" s="60">
        <f t="shared" si="20"/>
        <v>18</v>
      </c>
      <c r="L133" s="61">
        <f>prodnorm11</f>
        <v>0</v>
      </c>
      <c r="M133" s="58" t="s">
        <v>33</v>
      </c>
      <c r="N133" s="62">
        <f>uurtarief11</f>
        <v>0</v>
      </c>
      <c r="O133" s="60" t="e">
        <f t="shared" si="21"/>
        <v>#DIV/0!</v>
      </c>
      <c r="P133" s="62" t="e">
        <f t="shared" si="22"/>
        <v>#DIV/0!</v>
      </c>
      <c r="Q133" s="60" t="e">
        <f t="shared" si="23"/>
        <v>#DIV/0!</v>
      </c>
      <c r="R133" s="63" t="e">
        <f t="shared" si="24"/>
        <v>#DIV/0!</v>
      </c>
    </row>
    <row r="134" spans="1:18" x14ac:dyDescent="0.2">
      <c r="A134" s="57" t="s">
        <v>215</v>
      </c>
      <c r="B134" s="58" t="s">
        <v>162</v>
      </c>
      <c r="C134" s="58" t="s">
        <v>188</v>
      </c>
      <c r="D134" s="58" t="s">
        <v>315</v>
      </c>
      <c r="E134" s="59" t="s">
        <v>227</v>
      </c>
      <c r="F134" s="58" t="s">
        <v>187</v>
      </c>
      <c r="G134" s="58" t="s">
        <v>140</v>
      </c>
      <c r="H134" s="58" t="s">
        <v>9</v>
      </c>
      <c r="I134" s="58" t="s">
        <v>111</v>
      </c>
      <c r="J134" s="60">
        <v>72</v>
      </c>
      <c r="K134" s="60">
        <f t="shared" si="20"/>
        <v>72</v>
      </c>
      <c r="L134" s="61">
        <f>prodnorm32</f>
        <v>0</v>
      </c>
      <c r="M134" s="58" t="s">
        <v>33</v>
      </c>
      <c r="N134" s="62">
        <f>uurtarief32</f>
        <v>0</v>
      </c>
      <c r="O134" s="60" t="e">
        <f t="shared" si="21"/>
        <v>#DIV/0!</v>
      </c>
      <c r="P134" s="62" t="e">
        <f t="shared" si="22"/>
        <v>#DIV/0!</v>
      </c>
      <c r="Q134" s="60" t="e">
        <f t="shared" si="23"/>
        <v>#DIV/0!</v>
      </c>
      <c r="R134" s="63" t="e">
        <f t="shared" si="24"/>
        <v>#DIV/0!</v>
      </c>
    </row>
    <row r="135" spans="1:18" x14ac:dyDescent="0.2">
      <c r="A135" s="57" t="s">
        <v>215</v>
      </c>
      <c r="B135" s="58" t="s">
        <v>162</v>
      </c>
      <c r="C135" s="58" t="s">
        <v>188</v>
      </c>
      <c r="D135" s="58" t="s">
        <v>316</v>
      </c>
      <c r="E135" s="59" t="s">
        <v>227</v>
      </c>
      <c r="F135" s="58" t="s">
        <v>187</v>
      </c>
      <c r="G135" s="58" t="s">
        <v>140</v>
      </c>
      <c r="H135" s="58" t="s">
        <v>9</v>
      </c>
      <c r="I135" s="58" t="s">
        <v>111</v>
      </c>
      <c r="J135" s="60">
        <v>19</v>
      </c>
      <c r="K135" s="60">
        <f t="shared" si="20"/>
        <v>19</v>
      </c>
      <c r="L135" s="61">
        <f>prodnorm32</f>
        <v>0</v>
      </c>
      <c r="M135" s="58" t="s">
        <v>33</v>
      </c>
      <c r="N135" s="62">
        <f>uurtarief32</f>
        <v>0</v>
      </c>
      <c r="O135" s="60" t="e">
        <f t="shared" si="21"/>
        <v>#DIV/0!</v>
      </c>
      <c r="P135" s="62" t="e">
        <f t="shared" si="22"/>
        <v>#DIV/0!</v>
      </c>
      <c r="Q135" s="60" t="e">
        <f t="shared" si="23"/>
        <v>#DIV/0!</v>
      </c>
      <c r="R135" s="63" t="e">
        <f t="shared" si="24"/>
        <v>#DIV/0!</v>
      </c>
    </row>
    <row r="136" spans="1:18" x14ac:dyDescent="0.2">
      <c r="A136" s="57" t="s">
        <v>215</v>
      </c>
      <c r="B136" s="58" t="s">
        <v>162</v>
      </c>
      <c r="C136" s="58" t="s">
        <v>188</v>
      </c>
      <c r="D136" s="58" t="s">
        <v>317</v>
      </c>
      <c r="E136" s="59" t="s">
        <v>289</v>
      </c>
      <c r="F136" s="58" t="s">
        <v>187</v>
      </c>
      <c r="G136" s="58" t="s">
        <v>140</v>
      </c>
      <c r="H136" s="58" t="s">
        <v>9</v>
      </c>
      <c r="I136" s="58" t="s">
        <v>111</v>
      </c>
      <c r="J136" s="60">
        <v>3.1</v>
      </c>
      <c r="K136" s="60">
        <f t="shared" si="20"/>
        <v>3.1</v>
      </c>
      <c r="L136" s="61">
        <f>prodnorm32</f>
        <v>0</v>
      </c>
      <c r="M136" s="58" t="s">
        <v>33</v>
      </c>
      <c r="N136" s="62">
        <f>uurtarief32</f>
        <v>0</v>
      </c>
      <c r="O136" s="60" t="e">
        <f t="shared" si="21"/>
        <v>#DIV/0!</v>
      </c>
      <c r="P136" s="62" t="e">
        <f t="shared" si="22"/>
        <v>#DIV/0!</v>
      </c>
      <c r="Q136" s="60" t="e">
        <f t="shared" si="23"/>
        <v>#DIV/0!</v>
      </c>
      <c r="R136" s="63" t="e">
        <f t="shared" si="24"/>
        <v>#DIV/0!</v>
      </c>
    </row>
    <row r="137" spans="1:18" x14ac:dyDescent="0.2">
      <c r="A137" s="57" t="s">
        <v>215</v>
      </c>
      <c r="B137" s="58" t="s">
        <v>162</v>
      </c>
      <c r="C137" s="58" t="s">
        <v>188</v>
      </c>
      <c r="D137" s="58" t="s">
        <v>318</v>
      </c>
      <c r="E137" s="59" t="s">
        <v>289</v>
      </c>
      <c r="F137" s="58" t="s">
        <v>187</v>
      </c>
      <c r="G137" s="58" t="s">
        <v>140</v>
      </c>
      <c r="H137" s="58" t="s">
        <v>9</v>
      </c>
      <c r="I137" s="58" t="s">
        <v>111</v>
      </c>
      <c r="J137" s="60">
        <v>3.1</v>
      </c>
      <c r="K137" s="60">
        <f t="shared" si="20"/>
        <v>3.1</v>
      </c>
      <c r="L137" s="61">
        <f>prodnorm32</f>
        <v>0</v>
      </c>
      <c r="M137" s="58" t="s">
        <v>33</v>
      </c>
      <c r="N137" s="62">
        <f>uurtarief32</f>
        <v>0</v>
      </c>
      <c r="O137" s="60" t="e">
        <f t="shared" si="21"/>
        <v>#DIV/0!</v>
      </c>
      <c r="P137" s="62" t="e">
        <f t="shared" si="22"/>
        <v>#DIV/0!</v>
      </c>
      <c r="Q137" s="60" t="e">
        <f t="shared" si="23"/>
        <v>#DIV/0!</v>
      </c>
      <c r="R137" s="63" t="e">
        <f t="shared" si="24"/>
        <v>#DIV/0!</v>
      </c>
    </row>
    <row r="138" spans="1:18" x14ac:dyDescent="0.2">
      <c r="A138" s="57" t="s">
        <v>215</v>
      </c>
      <c r="B138" s="58" t="s">
        <v>162</v>
      </c>
      <c r="C138" s="58" t="s">
        <v>188</v>
      </c>
      <c r="D138" s="58" t="s">
        <v>319</v>
      </c>
      <c r="E138" s="59" t="s">
        <v>252</v>
      </c>
      <c r="F138" s="58" t="s">
        <v>175</v>
      </c>
      <c r="G138" s="58" t="s">
        <v>131</v>
      </c>
      <c r="H138" s="58" t="s">
        <v>9</v>
      </c>
      <c r="I138" s="58" t="s">
        <v>111</v>
      </c>
      <c r="J138" s="60">
        <v>8.1999999999999993</v>
      </c>
      <c r="K138" s="60">
        <f t="shared" si="20"/>
        <v>8.1999999999999993</v>
      </c>
      <c r="L138" s="61">
        <f>prodnorm25</f>
        <v>0</v>
      </c>
      <c r="M138" s="58" t="s">
        <v>33</v>
      </c>
      <c r="N138" s="62">
        <f>uurtarief25</f>
        <v>0</v>
      </c>
      <c r="O138" s="60" t="e">
        <f t="shared" si="21"/>
        <v>#DIV/0!</v>
      </c>
      <c r="P138" s="62" t="e">
        <f t="shared" si="22"/>
        <v>#DIV/0!</v>
      </c>
      <c r="Q138" s="60" t="e">
        <f t="shared" si="23"/>
        <v>#DIV/0!</v>
      </c>
      <c r="R138" s="63" t="e">
        <f t="shared" si="24"/>
        <v>#DIV/0!</v>
      </c>
    </row>
    <row r="139" spans="1:18" x14ac:dyDescent="0.2">
      <c r="A139" s="57" t="s">
        <v>215</v>
      </c>
      <c r="B139" s="58" t="s">
        <v>162</v>
      </c>
      <c r="C139" s="58" t="s">
        <v>188</v>
      </c>
      <c r="D139" s="58" t="s">
        <v>320</v>
      </c>
      <c r="E139" s="59" t="s">
        <v>254</v>
      </c>
      <c r="F139" s="58" t="s">
        <v>175</v>
      </c>
      <c r="G139" s="58" t="s">
        <v>131</v>
      </c>
      <c r="H139" s="58" t="s">
        <v>9</v>
      </c>
      <c r="I139" s="58" t="s">
        <v>111</v>
      </c>
      <c r="J139" s="60">
        <v>8.1999999999999993</v>
      </c>
      <c r="K139" s="60">
        <f t="shared" si="20"/>
        <v>8.1999999999999993</v>
      </c>
      <c r="L139" s="61">
        <f>prodnorm25</f>
        <v>0</v>
      </c>
      <c r="M139" s="58" t="s">
        <v>33</v>
      </c>
      <c r="N139" s="62">
        <f>uurtarief25</f>
        <v>0</v>
      </c>
      <c r="O139" s="60" t="e">
        <f t="shared" si="21"/>
        <v>#DIV/0!</v>
      </c>
      <c r="P139" s="62" t="e">
        <f t="shared" si="22"/>
        <v>#DIV/0!</v>
      </c>
      <c r="Q139" s="60" t="e">
        <f t="shared" si="23"/>
        <v>#DIV/0!</v>
      </c>
      <c r="R139" s="63" t="e">
        <f t="shared" si="24"/>
        <v>#DIV/0!</v>
      </c>
    </row>
    <row r="140" spans="1:18" x14ac:dyDescent="0.2">
      <c r="A140" s="57" t="s">
        <v>215</v>
      </c>
      <c r="B140" s="58" t="s">
        <v>162</v>
      </c>
      <c r="C140" s="58" t="s">
        <v>188</v>
      </c>
      <c r="D140" s="58" t="s">
        <v>321</v>
      </c>
      <c r="E140" s="59" t="s">
        <v>179</v>
      </c>
      <c r="F140" s="58" t="s">
        <v>249</v>
      </c>
      <c r="G140" s="58" t="s">
        <v>125</v>
      </c>
      <c r="H140" s="58" t="s">
        <v>9</v>
      </c>
      <c r="I140" s="58" t="s">
        <v>111</v>
      </c>
      <c r="J140" s="60">
        <v>22</v>
      </c>
      <c r="K140" s="60">
        <f t="shared" si="20"/>
        <v>22</v>
      </c>
      <c r="L140" s="61">
        <f>prodnorm19</f>
        <v>0</v>
      </c>
      <c r="M140" s="58" t="s">
        <v>33</v>
      </c>
      <c r="N140" s="62">
        <f>uurtarief19</f>
        <v>0</v>
      </c>
      <c r="O140" s="60" t="e">
        <f t="shared" si="21"/>
        <v>#DIV/0!</v>
      </c>
      <c r="P140" s="62" t="e">
        <f t="shared" si="22"/>
        <v>#DIV/0!</v>
      </c>
      <c r="Q140" s="60" t="e">
        <f t="shared" si="23"/>
        <v>#DIV/0!</v>
      </c>
      <c r="R140" s="63" t="e">
        <f t="shared" si="24"/>
        <v>#DIV/0!</v>
      </c>
    </row>
    <row r="141" spans="1:18" x14ac:dyDescent="0.2">
      <c r="A141" s="57" t="s">
        <v>215</v>
      </c>
      <c r="B141" s="58" t="s">
        <v>162</v>
      </c>
      <c r="C141" s="58" t="s">
        <v>188</v>
      </c>
      <c r="D141" s="58" t="s">
        <v>322</v>
      </c>
      <c r="E141" s="59" t="s">
        <v>289</v>
      </c>
      <c r="F141" s="58" t="s">
        <v>187</v>
      </c>
      <c r="G141" s="58" t="s">
        <v>137</v>
      </c>
      <c r="H141" s="58" t="s">
        <v>9</v>
      </c>
      <c r="I141" s="58" t="s">
        <v>111</v>
      </c>
      <c r="J141" s="60">
        <v>3.1</v>
      </c>
      <c r="K141" s="60">
        <f t="shared" ref="K141:K172" si="27">J141*VLOOKUP(H141,dagsoorttabel1,2,FALSE)</f>
        <v>3.1</v>
      </c>
      <c r="L141" s="61">
        <f>prodnorm30</f>
        <v>0</v>
      </c>
      <c r="M141" s="58" t="s">
        <v>33</v>
      </c>
      <c r="N141" s="62">
        <f>uurtarief30</f>
        <v>0</v>
      </c>
      <c r="O141" s="60" t="e">
        <f t="shared" ref="O141:O149" si="28">IF(ISBLANK(L141),0,K141/ROUND(L141,4))</f>
        <v>#DIV/0!</v>
      </c>
      <c r="P141" s="62" t="e">
        <f t="shared" ref="P141:P172" si="29">ROUND(N141,2)*O141</f>
        <v>#DIV/0!</v>
      </c>
      <c r="Q141" s="60" t="e">
        <f t="shared" ref="Q141:Q149" si="30">O141*dagenperjaar1</f>
        <v>#DIV/0!</v>
      </c>
      <c r="R141" s="63" t="e">
        <f t="shared" ref="R141:R172" si="31">Q141*ROUND(N141,2)</f>
        <v>#DIV/0!</v>
      </c>
    </row>
    <row r="142" spans="1:18" x14ac:dyDescent="0.2">
      <c r="A142" s="57" t="s">
        <v>215</v>
      </c>
      <c r="B142" s="58" t="s">
        <v>162</v>
      </c>
      <c r="C142" s="58" t="s">
        <v>188</v>
      </c>
      <c r="D142" s="58" t="s">
        <v>323</v>
      </c>
      <c r="E142" s="59" t="s">
        <v>324</v>
      </c>
      <c r="F142" s="58" t="s">
        <v>187</v>
      </c>
      <c r="G142" s="58" t="s">
        <v>129</v>
      </c>
      <c r="H142" s="58" t="s">
        <v>9</v>
      </c>
      <c r="I142" s="58" t="s">
        <v>111</v>
      </c>
      <c r="J142" s="60">
        <v>9</v>
      </c>
      <c r="K142" s="60">
        <f t="shared" si="27"/>
        <v>9</v>
      </c>
      <c r="L142" s="61">
        <f>prodnorm23</f>
        <v>0</v>
      </c>
      <c r="M142" s="58" t="s">
        <v>33</v>
      </c>
      <c r="N142" s="62">
        <f>uurtarief23</f>
        <v>0</v>
      </c>
      <c r="O142" s="60" t="e">
        <f t="shared" si="28"/>
        <v>#DIV/0!</v>
      </c>
      <c r="P142" s="62" t="e">
        <f t="shared" si="29"/>
        <v>#DIV/0!</v>
      </c>
      <c r="Q142" s="60" t="e">
        <f t="shared" si="30"/>
        <v>#DIV/0!</v>
      </c>
      <c r="R142" s="63" t="e">
        <f t="shared" si="31"/>
        <v>#DIV/0!</v>
      </c>
    </row>
    <row r="143" spans="1:18" x14ac:dyDescent="0.2">
      <c r="A143" s="57" t="s">
        <v>215</v>
      </c>
      <c r="B143" s="58" t="s">
        <v>162</v>
      </c>
      <c r="C143" s="58" t="s">
        <v>188</v>
      </c>
      <c r="D143" s="58" t="s">
        <v>325</v>
      </c>
      <c r="E143" s="59" t="s">
        <v>326</v>
      </c>
      <c r="F143" s="58" t="s">
        <v>187</v>
      </c>
      <c r="G143" s="58" t="s">
        <v>129</v>
      </c>
      <c r="H143" s="58" t="s">
        <v>9</v>
      </c>
      <c r="I143" s="58" t="s">
        <v>111</v>
      </c>
      <c r="J143" s="60">
        <v>9</v>
      </c>
      <c r="K143" s="60">
        <f t="shared" si="27"/>
        <v>9</v>
      </c>
      <c r="L143" s="61">
        <f>prodnorm23</f>
        <v>0</v>
      </c>
      <c r="M143" s="58" t="s">
        <v>33</v>
      </c>
      <c r="N143" s="62">
        <f>uurtarief23</f>
        <v>0</v>
      </c>
      <c r="O143" s="60" t="e">
        <f t="shared" si="28"/>
        <v>#DIV/0!</v>
      </c>
      <c r="P143" s="62" t="e">
        <f t="shared" si="29"/>
        <v>#DIV/0!</v>
      </c>
      <c r="Q143" s="60" t="e">
        <f t="shared" si="30"/>
        <v>#DIV/0!</v>
      </c>
      <c r="R143" s="63" t="e">
        <f t="shared" si="31"/>
        <v>#DIV/0!</v>
      </c>
    </row>
    <row r="144" spans="1:18" x14ac:dyDescent="0.2">
      <c r="A144" s="57" t="s">
        <v>215</v>
      </c>
      <c r="B144" s="58" t="s">
        <v>162</v>
      </c>
      <c r="C144" s="58" t="s">
        <v>188</v>
      </c>
      <c r="D144" s="58" t="s">
        <v>327</v>
      </c>
      <c r="E144" s="59" t="s">
        <v>186</v>
      </c>
      <c r="F144" s="58" t="s">
        <v>219</v>
      </c>
      <c r="G144" s="58" t="s">
        <v>133</v>
      </c>
      <c r="H144" s="58" t="s">
        <v>9</v>
      </c>
      <c r="I144" s="58" t="s">
        <v>111</v>
      </c>
      <c r="J144" s="60">
        <v>9</v>
      </c>
      <c r="K144" s="60">
        <f t="shared" si="27"/>
        <v>9</v>
      </c>
      <c r="L144" s="61">
        <f>prodnorm27</f>
        <v>0</v>
      </c>
      <c r="M144" s="58" t="s">
        <v>33</v>
      </c>
      <c r="N144" s="62">
        <f>uurtarief27</f>
        <v>0</v>
      </c>
      <c r="O144" s="60" t="e">
        <f t="shared" si="28"/>
        <v>#DIV/0!</v>
      </c>
      <c r="P144" s="62" t="e">
        <f t="shared" si="29"/>
        <v>#DIV/0!</v>
      </c>
      <c r="Q144" s="60" t="e">
        <f t="shared" si="30"/>
        <v>#DIV/0!</v>
      </c>
      <c r="R144" s="63" t="e">
        <f t="shared" si="31"/>
        <v>#DIV/0!</v>
      </c>
    </row>
    <row r="145" spans="1:18" x14ac:dyDescent="0.2">
      <c r="A145" s="57" t="s">
        <v>215</v>
      </c>
      <c r="B145" s="58" t="s">
        <v>162</v>
      </c>
      <c r="C145" s="58" t="s">
        <v>188</v>
      </c>
      <c r="D145" s="58" t="s">
        <v>328</v>
      </c>
      <c r="E145" s="59" t="s">
        <v>329</v>
      </c>
      <c r="F145" s="58" t="s">
        <v>249</v>
      </c>
      <c r="G145" s="58" t="s">
        <v>110</v>
      </c>
      <c r="H145" s="58" t="s">
        <v>15</v>
      </c>
      <c r="I145" s="58" t="s">
        <v>111</v>
      </c>
      <c r="J145" s="60">
        <v>3</v>
      </c>
      <c r="K145" s="60">
        <f t="shared" si="27"/>
        <v>0.13846153846153847</v>
      </c>
      <c r="L145" s="61">
        <f>prodnorm8</f>
        <v>0</v>
      </c>
      <c r="M145" s="58" t="s">
        <v>33</v>
      </c>
      <c r="N145" s="62">
        <f>uurtarief8</f>
        <v>0</v>
      </c>
      <c r="O145" s="60" t="e">
        <f t="shared" si="28"/>
        <v>#DIV/0!</v>
      </c>
      <c r="P145" s="62" t="e">
        <f t="shared" si="29"/>
        <v>#DIV/0!</v>
      </c>
      <c r="Q145" s="60" t="e">
        <f t="shared" si="30"/>
        <v>#DIV/0!</v>
      </c>
      <c r="R145" s="63" t="e">
        <f t="shared" si="31"/>
        <v>#DIV/0!</v>
      </c>
    </row>
    <row r="146" spans="1:18" x14ac:dyDescent="0.2">
      <c r="A146" s="57" t="s">
        <v>215</v>
      </c>
      <c r="B146" s="58" t="s">
        <v>162</v>
      </c>
      <c r="C146" s="58" t="s">
        <v>188</v>
      </c>
      <c r="D146" s="58" t="s">
        <v>330</v>
      </c>
      <c r="E146" s="59" t="s">
        <v>329</v>
      </c>
      <c r="F146" s="58" t="s">
        <v>249</v>
      </c>
      <c r="G146" s="58" t="s">
        <v>110</v>
      </c>
      <c r="H146" s="58" t="s">
        <v>15</v>
      </c>
      <c r="I146" s="58" t="s">
        <v>111</v>
      </c>
      <c r="J146" s="60">
        <v>3</v>
      </c>
      <c r="K146" s="60">
        <f t="shared" si="27"/>
        <v>0.13846153846153847</v>
      </c>
      <c r="L146" s="61">
        <f>prodnorm8</f>
        <v>0</v>
      </c>
      <c r="M146" s="58" t="s">
        <v>33</v>
      </c>
      <c r="N146" s="62">
        <f>uurtarief8</f>
        <v>0</v>
      </c>
      <c r="O146" s="60" t="e">
        <f t="shared" si="28"/>
        <v>#DIV/0!</v>
      </c>
      <c r="P146" s="62" t="e">
        <f t="shared" si="29"/>
        <v>#DIV/0!</v>
      </c>
      <c r="Q146" s="60" t="e">
        <f t="shared" si="30"/>
        <v>#DIV/0!</v>
      </c>
      <c r="R146" s="63" t="e">
        <f t="shared" si="31"/>
        <v>#DIV/0!</v>
      </c>
    </row>
    <row r="147" spans="1:18" x14ac:dyDescent="0.2">
      <c r="A147" s="57" t="s">
        <v>215</v>
      </c>
      <c r="B147" s="58" t="s">
        <v>162</v>
      </c>
      <c r="C147" s="58" t="s">
        <v>188</v>
      </c>
      <c r="D147" s="58" t="s">
        <v>331</v>
      </c>
      <c r="E147" s="59" t="s">
        <v>209</v>
      </c>
      <c r="F147" s="58" t="s">
        <v>249</v>
      </c>
      <c r="G147" s="58" t="s">
        <v>137</v>
      </c>
      <c r="H147" s="58" t="s">
        <v>9</v>
      </c>
      <c r="I147" s="58" t="s">
        <v>111</v>
      </c>
      <c r="J147" s="60">
        <v>10</v>
      </c>
      <c r="K147" s="60">
        <f t="shared" si="27"/>
        <v>10</v>
      </c>
      <c r="L147" s="61">
        <f>prodnorm30</f>
        <v>0</v>
      </c>
      <c r="M147" s="58" t="s">
        <v>33</v>
      </c>
      <c r="N147" s="62">
        <f>uurtarief30</f>
        <v>0</v>
      </c>
      <c r="O147" s="60" t="e">
        <f t="shared" si="28"/>
        <v>#DIV/0!</v>
      </c>
      <c r="P147" s="62" t="e">
        <f t="shared" si="29"/>
        <v>#DIV/0!</v>
      </c>
      <c r="Q147" s="60" t="e">
        <f t="shared" si="30"/>
        <v>#DIV/0!</v>
      </c>
      <c r="R147" s="63" t="e">
        <f t="shared" si="31"/>
        <v>#DIV/0!</v>
      </c>
    </row>
    <row r="148" spans="1:18" x14ac:dyDescent="0.2">
      <c r="A148" s="57" t="s">
        <v>215</v>
      </c>
      <c r="B148" s="58" t="s">
        <v>162</v>
      </c>
      <c r="C148" s="58" t="s">
        <v>188</v>
      </c>
      <c r="D148" s="58" t="s">
        <v>332</v>
      </c>
      <c r="E148" s="59" t="s">
        <v>333</v>
      </c>
      <c r="F148" s="58" t="s">
        <v>249</v>
      </c>
      <c r="G148" s="58" t="s">
        <v>113</v>
      </c>
      <c r="H148" s="58" t="s">
        <v>9</v>
      </c>
      <c r="I148" s="58" t="s">
        <v>111</v>
      </c>
      <c r="J148" s="60">
        <v>6</v>
      </c>
      <c r="K148" s="60">
        <f t="shared" si="27"/>
        <v>6</v>
      </c>
      <c r="L148" s="61">
        <f>prodnorm9</f>
        <v>0</v>
      </c>
      <c r="M148" s="58" t="s">
        <v>33</v>
      </c>
      <c r="N148" s="62">
        <f>uurtarief9</f>
        <v>0</v>
      </c>
      <c r="O148" s="60" t="e">
        <f t="shared" si="28"/>
        <v>#DIV/0!</v>
      </c>
      <c r="P148" s="62" t="e">
        <f t="shared" si="29"/>
        <v>#DIV/0!</v>
      </c>
      <c r="Q148" s="60" t="e">
        <f t="shared" si="30"/>
        <v>#DIV/0!</v>
      </c>
      <c r="R148" s="63" t="e">
        <f t="shared" si="31"/>
        <v>#DIV/0!</v>
      </c>
    </row>
    <row r="149" spans="1:18" x14ac:dyDescent="0.2">
      <c r="A149" s="64" t="s">
        <v>215</v>
      </c>
      <c r="B149" s="65" t="s">
        <v>162</v>
      </c>
      <c r="C149" s="65" t="s">
        <v>188</v>
      </c>
      <c r="D149" s="65" t="s">
        <v>334</v>
      </c>
      <c r="E149" s="66" t="s">
        <v>227</v>
      </c>
      <c r="F149" s="65" t="s">
        <v>187</v>
      </c>
      <c r="G149" s="65" t="s">
        <v>137</v>
      </c>
      <c r="H149" s="65" t="s">
        <v>9</v>
      </c>
      <c r="I149" s="65" t="s">
        <v>111</v>
      </c>
      <c r="J149" s="67">
        <v>8.1999999999999993</v>
      </c>
      <c r="K149" s="67">
        <f t="shared" si="27"/>
        <v>8.1999999999999993</v>
      </c>
      <c r="L149" s="68">
        <f>prodnorm30</f>
        <v>0</v>
      </c>
      <c r="M149" s="65" t="s">
        <v>33</v>
      </c>
      <c r="N149" s="69">
        <f>uurtarief30</f>
        <v>0</v>
      </c>
      <c r="O149" s="67" t="e">
        <f t="shared" si="28"/>
        <v>#DIV/0!</v>
      </c>
      <c r="P149" s="69" t="e">
        <f t="shared" si="29"/>
        <v>#DIV/0!</v>
      </c>
      <c r="Q149" s="67" t="e">
        <f t="shared" si="30"/>
        <v>#DIV/0!</v>
      </c>
      <c r="R149" s="70" t="e">
        <f t="shared" si="31"/>
        <v>#DIV/0!</v>
      </c>
    </row>
    <row r="150" spans="1:18" x14ac:dyDescent="0.2">
      <c r="A150" s="71" t="s">
        <v>200</v>
      </c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3" t="e">
        <f>IF(_xlfn.SINGLE(object3_urenjaar1)&gt;0,_xlfn.SINGLE(object3_prijsjaar1)/_xlfn.SINGLE(object3_urenjaar1),0)</f>
        <v>#DIV/0!</v>
      </c>
      <c r="O150" s="42" t="e">
        <f>SUM(O45:O149)</f>
        <v>#DIV/0!</v>
      </c>
      <c r="P150" s="43" t="e">
        <f>SUM(P45:P149)</f>
        <v>#DIV/0!</v>
      </c>
      <c r="Q150" s="42" t="e">
        <f>SUM(Q45:Q149)</f>
        <v>#DIV/0!</v>
      </c>
      <c r="R150" s="44" t="e">
        <f>SUM(R45:R149)</f>
        <v>#DIV/0!</v>
      </c>
    </row>
    <row r="151" spans="1:18" x14ac:dyDescent="0.2">
      <c r="A151" s="49" t="s">
        <v>335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39"/>
    </row>
    <row r="152" spans="1:18" x14ac:dyDescent="0.2">
      <c r="A152" s="50" t="s">
        <v>336</v>
      </c>
      <c r="B152" s="51" t="s">
        <v>162</v>
      </c>
      <c r="C152" s="51" t="s">
        <v>163</v>
      </c>
      <c r="D152" s="51" t="s">
        <v>170</v>
      </c>
      <c r="E152" s="52" t="s">
        <v>168</v>
      </c>
      <c r="F152" s="51" t="s">
        <v>187</v>
      </c>
      <c r="G152" s="51" t="s">
        <v>142</v>
      </c>
      <c r="H152" s="51" t="s">
        <v>9</v>
      </c>
      <c r="I152" s="51" t="s">
        <v>111</v>
      </c>
      <c r="J152" s="53">
        <v>15.8</v>
      </c>
      <c r="K152" s="53">
        <f t="shared" ref="K152:K178" si="32">J152*VLOOKUP(H152,dagsoorttabel1,2,FALSE)</f>
        <v>15.8</v>
      </c>
      <c r="L152" s="54">
        <f>prodnorm33</f>
        <v>0</v>
      </c>
      <c r="M152" s="51" t="s">
        <v>33</v>
      </c>
      <c r="N152" s="55">
        <f>uurtarief33</f>
        <v>0</v>
      </c>
      <c r="O152" s="53" t="e">
        <f t="shared" ref="O152:O177" si="33">IF(ISBLANK(L152),0,K152/ROUND(L152,4))</f>
        <v>#DIV/0!</v>
      </c>
      <c r="P152" s="55" t="e">
        <f t="shared" ref="P152:P178" si="34">ROUND(N152,2)*O152</f>
        <v>#DIV/0!</v>
      </c>
      <c r="Q152" s="53" t="e">
        <f t="shared" ref="Q152:Q178" si="35">O152*dagenperjaar1</f>
        <v>#DIV/0!</v>
      </c>
      <c r="R152" s="56" t="e">
        <f t="shared" ref="R152:R178" si="36">Q152*ROUND(N152,2)</f>
        <v>#DIV/0!</v>
      </c>
    </row>
    <row r="153" spans="1:18" x14ac:dyDescent="0.2">
      <c r="A153" s="57" t="s">
        <v>336</v>
      </c>
      <c r="B153" s="58" t="s">
        <v>162</v>
      </c>
      <c r="C153" s="58" t="s">
        <v>163</v>
      </c>
      <c r="D153" s="58" t="s">
        <v>171</v>
      </c>
      <c r="E153" s="59" t="s">
        <v>337</v>
      </c>
      <c r="F153" s="58" t="s">
        <v>249</v>
      </c>
      <c r="G153" s="58" t="s">
        <v>142</v>
      </c>
      <c r="H153" s="58" t="s">
        <v>9</v>
      </c>
      <c r="I153" s="58" t="s">
        <v>111</v>
      </c>
      <c r="J153" s="60">
        <v>13.4</v>
      </c>
      <c r="K153" s="60">
        <f t="shared" si="32"/>
        <v>13.4</v>
      </c>
      <c r="L153" s="61">
        <f>prodnorm33</f>
        <v>0</v>
      </c>
      <c r="M153" s="58" t="s">
        <v>33</v>
      </c>
      <c r="N153" s="62">
        <f>uurtarief33</f>
        <v>0</v>
      </c>
      <c r="O153" s="60" t="e">
        <f t="shared" si="33"/>
        <v>#DIV/0!</v>
      </c>
      <c r="P153" s="62" t="e">
        <f t="shared" si="34"/>
        <v>#DIV/0!</v>
      </c>
      <c r="Q153" s="60" t="e">
        <f t="shared" si="35"/>
        <v>#DIV/0!</v>
      </c>
      <c r="R153" s="63" t="e">
        <f t="shared" si="36"/>
        <v>#DIV/0!</v>
      </c>
    </row>
    <row r="154" spans="1:18" x14ac:dyDescent="0.2">
      <c r="A154" s="57" t="s">
        <v>336</v>
      </c>
      <c r="B154" s="58" t="s">
        <v>162</v>
      </c>
      <c r="C154" s="58" t="s">
        <v>163</v>
      </c>
      <c r="D154" s="58" t="s">
        <v>173</v>
      </c>
      <c r="E154" s="59" t="s">
        <v>227</v>
      </c>
      <c r="F154" s="58" t="s">
        <v>249</v>
      </c>
      <c r="G154" s="58" t="s">
        <v>137</v>
      </c>
      <c r="H154" s="58" t="s">
        <v>9</v>
      </c>
      <c r="I154" s="58" t="s">
        <v>111</v>
      </c>
      <c r="J154" s="60">
        <v>22.6</v>
      </c>
      <c r="K154" s="60">
        <f t="shared" si="32"/>
        <v>22.6</v>
      </c>
      <c r="L154" s="61">
        <f>prodnorm30</f>
        <v>0</v>
      </c>
      <c r="M154" s="58" t="s">
        <v>33</v>
      </c>
      <c r="N154" s="62">
        <f>uurtarief30</f>
        <v>0</v>
      </c>
      <c r="O154" s="60" t="e">
        <f t="shared" si="33"/>
        <v>#DIV/0!</v>
      </c>
      <c r="P154" s="62" t="e">
        <f t="shared" si="34"/>
        <v>#DIV/0!</v>
      </c>
      <c r="Q154" s="60" t="e">
        <f t="shared" si="35"/>
        <v>#DIV/0!</v>
      </c>
      <c r="R154" s="63" t="e">
        <f t="shared" si="36"/>
        <v>#DIV/0!</v>
      </c>
    </row>
    <row r="155" spans="1:18" x14ac:dyDescent="0.2">
      <c r="A155" s="57" t="s">
        <v>336</v>
      </c>
      <c r="B155" s="58" t="s">
        <v>162</v>
      </c>
      <c r="C155" s="58" t="s">
        <v>163</v>
      </c>
      <c r="D155" s="58" t="s">
        <v>176</v>
      </c>
      <c r="E155" s="59" t="s">
        <v>204</v>
      </c>
      <c r="F155" s="58" t="s">
        <v>175</v>
      </c>
      <c r="G155" s="58" t="s">
        <v>131</v>
      </c>
      <c r="H155" s="58" t="s">
        <v>9</v>
      </c>
      <c r="I155" s="58" t="s">
        <v>111</v>
      </c>
      <c r="J155" s="60">
        <v>2.9</v>
      </c>
      <c r="K155" s="60">
        <f t="shared" si="32"/>
        <v>2.9</v>
      </c>
      <c r="L155" s="61">
        <f>prodnorm25</f>
        <v>0</v>
      </c>
      <c r="M155" s="58" t="s">
        <v>33</v>
      </c>
      <c r="N155" s="62">
        <f>uurtarief25</f>
        <v>0</v>
      </c>
      <c r="O155" s="60" t="e">
        <f t="shared" si="33"/>
        <v>#DIV/0!</v>
      </c>
      <c r="P155" s="62" t="e">
        <f t="shared" si="34"/>
        <v>#DIV/0!</v>
      </c>
      <c r="Q155" s="60" t="e">
        <f t="shared" si="35"/>
        <v>#DIV/0!</v>
      </c>
      <c r="R155" s="63" t="e">
        <f t="shared" si="36"/>
        <v>#DIV/0!</v>
      </c>
    </row>
    <row r="156" spans="1:18" x14ac:dyDescent="0.2">
      <c r="A156" s="57" t="s">
        <v>336</v>
      </c>
      <c r="B156" s="58" t="s">
        <v>162</v>
      </c>
      <c r="C156" s="58" t="s">
        <v>163</v>
      </c>
      <c r="D156" s="58" t="s">
        <v>178</v>
      </c>
      <c r="E156" s="59" t="s">
        <v>205</v>
      </c>
      <c r="F156" s="58" t="s">
        <v>175</v>
      </c>
      <c r="G156" s="58" t="s">
        <v>131</v>
      </c>
      <c r="H156" s="58" t="s">
        <v>9</v>
      </c>
      <c r="I156" s="58" t="s">
        <v>111</v>
      </c>
      <c r="J156" s="60">
        <v>5.5</v>
      </c>
      <c r="K156" s="60">
        <f t="shared" si="32"/>
        <v>5.5</v>
      </c>
      <c r="L156" s="61">
        <f>prodnorm25</f>
        <v>0</v>
      </c>
      <c r="M156" s="58" t="s">
        <v>33</v>
      </c>
      <c r="N156" s="62">
        <f>uurtarief25</f>
        <v>0</v>
      </c>
      <c r="O156" s="60" t="e">
        <f t="shared" si="33"/>
        <v>#DIV/0!</v>
      </c>
      <c r="P156" s="62" t="e">
        <f t="shared" si="34"/>
        <v>#DIV/0!</v>
      </c>
      <c r="Q156" s="60" t="e">
        <f t="shared" si="35"/>
        <v>#DIV/0!</v>
      </c>
      <c r="R156" s="63" t="e">
        <f t="shared" si="36"/>
        <v>#DIV/0!</v>
      </c>
    </row>
    <row r="157" spans="1:18" x14ac:dyDescent="0.2">
      <c r="A157" s="57" t="s">
        <v>336</v>
      </c>
      <c r="B157" s="58" t="s">
        <v>162</v>
      </c>
      <c r="C157" s="58" t="s">
        <v>163</v>
      </c>
      <c r="D157" s="58" t="s">
        <v>180</v>
      </c>
      <c r="E157" s="59" t="s">
        <v>203</v>
      </c>
      <c r="F157" s="58" t="s">
        <v>175</v>
      </c>
      <c r="G157" s="58" t="s">
        <v>131</v>
      </c>
      <c r="H157" s="58" t="s">
        <v>9</v>
      </c>
      <c r="I157" s="58" t="s">
        <v>111</v>
      </c>
      <c r="J157" s="60">
        <v>2.9</v>
      </c>
      <c r="K157" s="60">
        <f t="shared" si="32"/>
        <v>2.9</v>
      </c>
      <c r="L157" s="61">
        <f>prodnorm25</f>
        <v>0</v>
      </c>
      <c r="M157" s="58" t="s">
        <v>33</v>
      </c>
      <c r="N157" s="62">
        <f>uurtarief25</f>
        <v>0</v>
      </c>
      <c r="O157" s="60" t="e">
        <f t="shared" si="33"/>
        <v>#DIV/0!</v>
      </c>
      <c r="P157" s="62" t="e">
        <f t="shared" si="34"/>
        <v>#DIV/0!</v>
      </c>
      <c r="Q157" s="60" t="e">
        <f t="shared" si="35"/>
        <v>#DIV/0!</v>
      </c>
      <c r="R157" s="63" t="e">
        <f t="shared" si="36"/>
        <v>#DIV/0!</v>
      </c>
    </row>
    <row r="158" spans="1:18" x14ac:dyDescent="0.2">
      <c r="A158" s="57" t="s">
        <v>336</v>
      </c>
      <c r="B158" s="58" t="s">
        <v>162</v>
      </c>
      <c r="C158" s="58" t="s">
        <v>163</v>
      </c>
      <c r="D158" s="58" t="s">
        <v>181</v>
      </c>
      <c r="E158" s="59" t="s">
        <v>206</v>
      </c>
      <c r="F158" s="58" t="s">
        <v>175</v>
      </c>
      <c r="G158" s="58" t="s">
        <v>131</v>
      </c>
      <c r="H158" s="58" t="s">
        <v>9</v>
      </c>
      <c r="I158" s="58" t="s">
        <v>111</v>
      </c>
      <c r="J158" s="60">
        <v>3.5</v>
      </c>
      <c r="K158" s="60">
        <f t="shared" si="32"/>
        <v>3.5</v>
      </c>
      <c r="L158" s="61">
        <f>prodnorm25</f>
        <v>0</v>
      </c>
      <c r="M158" s="58" t="s">
        <v>33</v>
      </c>
      <c r="N158" s="62">
        <f>uurtarief25</f>
        <v>0</v>
      </c>
      <c r="O158" s="60" t="e">
        <f t="shared" si="33"/>
        <v>#DIV/0!</v>
      </c>
      <c r="P158" s="62" t="e">
        <f t="shared" si="34"/>
        <v>#DIV/0!</v>
      </c>
      <c r="Q158" s="60" t="e">
        <f t="shared" si="35"/>
        <v>#DIV/0!</v>
      </c>
      <c r="R158" s="63" t="e">
        <f t="shared" si="36"/>
        <v>#DIV/0!</v>
      </c>
    </row>
    <row r="159" spans="1:18" x14ac:dyDescent="0.2">
      <c r="A159" s="57" t="s">
        <v>336</v>
      </c>
      <c r="B159" s="58" t="s">
        <v>162</v>
      </c>
      <c r="C159" s="58" t="s">
        <v>163</v>
      </c>
      <c r="D159" s="58" t="s">
        <v>183</v>
      </c>
      <c r="E159" s="59" t="s">
        <v>338</v>
      </c>
      <c r="F159" s="58" t="s">
        <v>249</v>
      </c>
      <c r="G159" s="58" t="s">
        <v>127</v>
      </c>
      <c r="H159" s="58" t="s">
        <v>9</v>
      </c>
      <c r="I159" s="58" t="s">
        <v>111</v>
      </c>
      <c r="J159" s="60">
        <v>14</v>
      </c>
      <c r="K159" s="60">
        <f t="shared" si="32"/>
        <v>14</v>
      </c>
      <c r="L159" s="61">
        <f>prodnorm21</f>
        <v>0</v>
      </c>
      <c r="M159" s="58" t="s">
        <v>33</v>
      </c>
      <c r="N159" s="62">
        <f>uurtarief21</f>
        <v>0</v>
      </c>
      <c r="O159" s="60" t="e">
        <f t="shared" si="33"/>
        <v>#DIV/0!</v>
      </c>
      <c r="P159" s="62" t="e">
        <f t="shared" si="34"/>
        <v>#DIV/0!</v>
      </c>
      <c r="Q159" s="60" t="e">
        <f t="shared" si="35"/>
        <v>#DIV/0!</v>
      </c>
      <c r="R159" s="63" t="e">
        <f t="shared" si="36"/>
        <v>#DIV/0!</v>
      </c>
    </row>
    <row r="160" spans="1:18" x14ac:dyDescent="0.2">
      <c r="A160" s="57" t="s">
        <v>336</v>
      </c>
      <c r="B160" s="58" t="s">
        <v>162</v>
      </c>
      <c r="C160" s="58" t="s">
        <v>163</v>
      </c>
      <c r="D160" s="58" t="s">
        <v>184</v>
      </c>
      <c r="E160" s="59" t="s">
        <v>168</v>
      </c>
      <c r="F160" s="58" t="s">
        <v>249</v>
      </c>
      <c r="G160" s="58" t="s">
        <v>142</v>
      </c>
      <c r="H160" s="58" t="s">
        <v>9</v>
      </c>
      <c r="I160" s="58" t="s">
        <v>111</v>
      </c>
      <c r="J160" s="60">
        <v>14</v>
      </c>
      <c r="K160" s="60">
        <f t="shared" si="32"/>
        <v>14</v>
      </c>
      <c r="L160" s="61">
        <f>prodnorm33</f>
        <v>0</v>
      </c>
      <c r="M160" s="58" t="s">
        <v>33</v>
      </c>
      <c r="N160" s="62">
        <f>uurtarief33</f>
        <v>0</v>
      </c>
      <c r="O160" s="60" t="e">
        <f t="shared" si="33"/>
        <v>#DIV/0!</v>
      </c>
      <c r="P160" s="62" t="e">
        <f t="shared" si="34"/>
        <v>#DIV/0!</v>
      </c>
      <c r="Q160" s="60" t="e">
        <f t="shared" si="35"/>
        <v>#DIV/0!</v>
      </c>
      <c r="R160" s="63" t="e">
        <f t="shared" si="36"/>
        <v>#DIV/0!</v>
      </c>
    </row>
    <row r="161" spans="1:18" x14ac:dyDescent="0.2">
      <c r="A161" s="57" t="s">
        <v>336</v>
      </c>
      <c r="B161" s="58" t="s">
        <v>162</v>
      </c>
      <c r="C161" s="58" t="s">
        <v>163</v>
      </c>
      <c r="D161" s="58" t="s">
        <v>185</v>
      </c>
      <c r="E161" s="59" t="s">
        <v>182</v>
      </c>
      <c r="F161" s="58" t="s">
        <v>249</v>
      </c>
      <c r="G161" s="58" t="s">
        <v>123</v>
      </c>
      <c r="H161" s="58" t="s">
        <v>9</v>
      </c>
      <c r="I161" s="58" t="s">
        <v>111</v>
      </c>
      <c r="J161" s="60">
        <v>18.7</v>
      </c>
      <c r="K161" s="60">
        <f t="shared" si="32"/>
        <v>18.7</v>
      </c>
      <c r="L161" s="61">
        <f>prodnorm17</f>
        <v>0</v>
      </c>
      <c r="M161" s="58" t="s">
        <v>33</v>
      </c>
      <c r="N161" s="62">
        <f>uurtarief17</f>
        <v>0</v>
      </c>
      <c r="O161" s="60" t="e">
        <f t="shared" si="33"/>
        <v>#DIV/0!</v>
      </c>
      <c r="P161" s="62" t="e">
        <f t="shared" si="34"/>
        <v>#DIV/0!</v>
      </c>
      <c r="Q161" s="60" t="e">
        <f t="shared" si="35"/>
        <v>#DIV/0!</v>
      </c>
      <c r="R161" s="63" t="e">
        <f t="shared" si="36"/>
        <v>#DIV/0!</v>
      </c>
    </row>
    <row r="162" spans="1:18" x14ac:dyDescent="0.2">
      <c r="A162" s="57" t="s">
        <v>336</v>
      </c>
      <c r="B162" s="58" t="s">
        <v>162</v>
      </c>
      <c r="C162" s="58" t="s">
        <v>163</v>
      </c>
      <c r="D162" s="58" t="s">
        <v>208</v>
      </c>
      <c r="E162" s="59" t="s">
        <v>182</v>
      </c>
      <c r="F162" s="58" t="s">
        <v>249</v>
      </c>
      <c r="G162" s="58" t="s">
        <v>123</v>
      </c>
      <c r="H162" s="58" t="s">
        <v>9</v>
      </c>
      <c r="I162" s="58" t="s">
        <v>111</v>
      </c>
      <c r="J162" s="60">
        <v>18.7</v>
      </c>
      <c r="K162" s="60">
        <f t="shared" si="32"/>
        <v>18.7</v>
      </c>
      <c r="L162" s="61">
        <f>prodnorm17</f>
        <v>0</v>
      </c>
      <c r="M162" s="58" t="s">
        <v>33</v>
      </c>
      <c r="N162" s="62">
        <f>uurtarief17</f>
        <v>0</v>
      </c>
      <c r="O162" s="60" t="e">
        <f t="shared" si="33"/>
        <v>#DIV/0!</v>
      </c>
      <c r="P162" s="62" t="e">
        <f t="shared" si="34"/>
        <v>#DIV/0!</v>
      </c>
      <c r="Q162" s="60" t="e">
        <f t="shared" si="35"/>
        <v>#DIV/0!</v>
      </c>
      <c r="R162" s="63" t="e">
        <f t="shared" si="36"/>
        <v>#DIV/0!</v>
      </c>
    </row>
    <row r="163" spans="1:18" x14ac:dyDescent="0.2">
      <c r="A163" s="57" t="s">
        <v>336</v>
      </c>
      <c r="B163" s="58" t="s">
        <v>162</v>
      </c>
      <c r="C163" s="58" t="s">
        <v>163</v>
      </c>
      <c r="D163" s="58" t="s">
        <v>210</v>
      </c>
      <c r="E163" s="59" t="s">
        <v>182</v>
      </c>
      <c r="F163" s="58" t="s">
        <v>249</v>
      </c>
      <c r="G163" s="58" t="s">
        <v>123</v>
      </c>
      <c r="H163" s="58" t="s">
        <v>9</v>
      </c>
      <c r="I163" s="58" t="s">
        <v>111</v>
      </c>
      <c r="J163" s="60">
        <v>18.7</v>
      </c>
      <c r="K163" s="60">
        <f t="shared" si="32"/>
        <v>18.7</v>
      </c>
      <c r="L163" s="61">
        <f>prodnorm17</f>
        <v>0</v>
      </c>
      <c r="M163" s="58" t="s">
        <v>33</v>
      </c>
      <c r="N163" s="62">
        <f>uurtarief17</f>
        <v>0</v>
      </c>
      <c r="O163" s="60" t="e">
        <f t="shared" si="33"/>
        <v>#DIV/0!</v>
      </c>
      <c r="P163" s="62" t="e">
        <f t="shared" si="34"/>
        <v>#DIV/0!</v>
      </c>
      <c r="Q163" s="60" t="e">
        <f t="shared" si="35"/>
        <v>#DIV/0!</v>
      </c>
      <c r="R163" s="63" t="e">
        <f t="shared" si="36"/>
        <v>#DIV/0!</v>
      </c>
    </row>
    <row r="164" spans="1:18" x14ac:dyDescent="0.2">
      <c r="A164" s="57" t="s">
        <v>336</v>
      </c>
      <c r="B164" s="58" t="s">
        <v>162</v>
      </c>
      <c r="C164" s="58" t="s">
        <v>163</v>
      </c>
      <c r="D164" s="58" t="s">
        <v>211</v>
      </c>
      <c r="E164" s="59" t="s">
        <v>227</v>
      </c>
      <c r="F164" s="58" t="s">
        <v>187</v>
      </c>
      <c r="G164" s="58" t="s">
        <v>137</v>
      </c>
      <c r="H164" s="58" t="s">
        <v>9</v>
      </c>
      <c r="I164" s="58" t="s">
        <v>111</v>
      </c>
      <c r="J164" s="60">
        <v>31.5</v>
      </c>
      <c r="K164" s="60">
        <f t="shared" si="32"/>
        <v>31.5</v>
      </c>
      <c r="L164" s="61">
        <f>prodnorm30</f>
        <v>0</v>
      </c>
      <c r="M164" s="58" t="s">
        <v>33</v>
      </c>
      <c r="N164" s="62">
        <f>uurtarief30</f>
        <v>0</v>
      </c>
      <c r="O164" s="60" t="e">
        <f t="shared" si="33"/>
        <v>#DIV/0!</v>
      </c>
      <c r="P164" s="62" t="e">
        <f t="shared" si="34"/>
        <v>#DIV/0!</v>
      </c>
      <c r="Q164" s="60" t="e">
        <f t="shared" si="35"/>
        <v>#DIV/0!</v>
      </c>
      <c r="R164" s="63" t="e">
        <f t="shared" si="36"/>
        <v>#DIV/0!</v>
      </c>
    </row>
    <row r="165" spans="1:18" x14ac:dyDescent="0.2">
      <c r="A165" s="57" t="s">
        <v>336</v>
      </c>
      <c r="B165" s="58" t="s">
        <v>162</v>
      </c>
      <c r="C165" s="58" t="s">
        <v>163</v>
      </c>
      <c r="D165" s="58" t="s">
        <v>212</v>
      </c>
      <c r="E165" s="59" t="s">
        <v>216</v>
      </c>
      <c r="F165" s="58" t="s">
        <v>166</v>
      </c>
      <c r="G165" s="58" t="s">
        <v>140</v>
      </c>
      <c r="H165" s="58" t="s">
        <v>9</v>
      </c>
      <c r="I165" s="58" t="s">
        <v>111</v>
      </c>
      <c r="J165" s="60">
        <v>2.7</v>
      </c>
      <c r="K165" s="60">
        <f t="shared" si="32"/>
        <v>2.7</v>
      </c>
      <c r="L165" s="61">
        <f>prodnorm32</f>
        <v>0</v>
      </c>
      <c r="M165" s="58" t="s">
        <v>33</v>
      </c>
      <c r="N165" s="62">
        <f>uurtarief32</f>
        <v>0</v>
      </c>
      <c r="O165" s="60" t="e">
        <f t="shared" si="33"/>
        <v>#DIV/0!</v>
      </c>
      <c r="P165" s="62" t="e">
        <f t="shared" si="34"/>
        <v>#DIV/0!</v>
      </c>
      <c r="Q165" s="60" t="e">
        <f t="shared" si="35"/>
        <v>#DIV/0!</v>
      </c>
      <c r="R165" s="63" t="e">
        <f t="shared" si="36"/>
        <v>#DIV/0!</v>
      </c>
    </row>
    <row r="166" spans="1:18" x14ac:dyDescent="0.2">
      <c r="A166" s="57" t="s">
        <v>336</v>
      </c>
      <c r="B166" s="58" t="s">
        <v>162</v>
      </c>
      <c r="C166" s="58" t="s">
        <v>163</v>
      </c>
      <c r="D166" s="58" t="s">
        <v>230</v>
      </c>
      <c r="E166" s="59" t="s">
        <v>333</v>
      </c>
      <c r="F166" s="58" t="s">
        <v>175</v>
      </c>
      <c r="G166" s="58" t="s">
        <v>113</v>
      </c>
      <c r="H166" s="58" t="s">
        <v>9</v>
      </c>
      <c r="I166" s="58" t="s">
        <v>111</v>
      </c>
      <c r="J166" s="60">
        <v>4.3</v>
      </c>
      <c r="K166" s="60">
        <f t="shared" si="32"/>
        <v>4.3</v>
      </c>
      <c r="L166" s="61">
        <f>prodnorm9</f>
        <v>0</v>
      </c>
      <c r="M166" s="58" t="s">
        <v>33</v>
      </c>
      <c r="N166" s="62">
        <f>uurtarief9</f>
        <v>0</v>
      </c>
      <c r="O166" s="60" t="e">
        <f t="shared" si="33"/>
        <v>#DIV/0!</v>
      </c>
      <c r="P166" s="62" t="e">
        <f t="shared" si="34"/>
        <v>#DIV/0!</v>
      </c>
      <c r="Q166" s="60" t="e">
        <f t="shared" si="35"/>
        <v>#DIV/0!</v>
      </c>
      <c r="R166" s="63" t="e">
        <f t="shared" si="36"/>
        <v>#DIV/0!</v>
      </c>
    </row>
    <row r="167" spans="1:18" x14ac:dyDescent="0.2">
      <c r="A167" s="57" t="s">
        <v>336</v>
      </c>
      <c r="B167" s="58" t="s">
        <v>162</v>
      </c>
      <c r="C167" s="58" t="s">
        <v>163</v>
      </c>
      <c r="D167" s="58" t="s">
        <v>231</v>
      </c>
      <c r="E167" s="59" t="s">
        <v>209</v>
      </c>
      <c r="F167" s="58" t="s">
        <v>249</v>
      </c>
      <c r="G167" s="58" t="s">
        <v>137</v>
      </c>
      <c r="H167" s="58" t="s">
        <v>9</v>
      </c>
      <c r="I167" s="58" t="s">
        <v>111</v>
      </c>
      <c r="J167" s="60">
        <v>3.4</v>
      </c>
      <c r="K167" s="60">
        <f t="shared" si="32"/>
        <v>3.4</v>
      </c>
      <c r="L167" s="61">
        <f>prodnorm30</f>
        <v>0</v>
      </c>
      <c r="M167" s="58" t="s">
        <v>33</v>
      </c>
      <c r="N167" s="62">
        <f>uurtarief30</f>
        <v>0</v>
      </c>
      <c r="O167" s="60" t="e">
        <f t="shared" si="33"/>
        <v>#DIV/0!</v>
      </c>
      <c r="P167" s="62" t="e">
        <f t="shared" si="34"/>
        <v>#DIV/0!</v>
      </c>
      <c r="Q167" s="60" t="e">
        <f t="shared" si="35"/>
        <v>#DIV/0!</v>
      </c>
      <c r="R167" s="63" t="e">
        <f t="shared" si="36"/>
        <v>#DIV/0!</v>
      </c>
    </row>
    <row r="168" spans="1:18" x14ac:dyDescent="0.2">
      <c r="A168" s="57" t="s">
        <v>336</v>
      </c>
      <c r="B168" s="58" t="s">
        <v>162</v>
      </c>
      <c r="C168" s="58" t="s">
        <v>163</v>
      </c>
      <c r="D168" s="58" t="s">
        <v>232</v>
      </c>
      <c r="E168" s="59" t="s">
        <v>191</v>
      </c>
      <c r="F168" s="58" t="s">
        <v>187</v>
      </c>
      <c r="G168" s="58" t="s">
        <v>115</v>
      </c>
      <c r="H168" s="58" t="s">
        <v>9</v>
      </c>
      <c r="I168" s="58" t="s">
        <v>111</v>
      </c>
      <c r="J168" s="60">
        <v>21.2</v>
      </c>
      <c r="K168" s="60">
        <f t="shared" si="32"/>
        <v>21.2</v>
      </c>
      <c r="L168" s="61">
        <f>prodnorm11</f>
        <v>0</v>
      </c>
      <c r="M168" s="58" t="s">
        <v>33</v>
      </c>
      <c r="N168" s="62">
        <f>uurtarief11</f>
        <v>0</v>
      </c>
      <c r="O168" s="60" t="e">
        <f t="shared" si="33"/>
        <v>#DIV/0!</v>
      </c>
      <c r="P168" s="62" t="e">
        <f t="shared" si="34"/>
        <v>#DIV/0!</v>
      </c>
      <c r="Q168" s="60" t="e">
        <f t="shared" si="35"/>
        <v>#DIV/0!</v>
      </c>
      <c r="R168" s="63" t="e">
        <f t="shared" si="36"/>
        <v>#DIV/0!</v>
      </c>
    </row>
    <row r="169" spans="1:18" x14ac:dyDescent="0.2">
      <c r="A169" s="57" t="s">
        <v>336</v>
      </c>
      <c r="B169" s="58" t="s">
        <v>162</v>
      </c>
      <c r="C169" s="58" t="s">
        <v>163</v>
      </c>
      <c r="D169" s="58" t="s">
        <v>234</v>
      </c>
      <c r="E169" s="59" t="s">
        <v>191</v>
      </c>
      <c r="F169" s="58" t="s">
        <v>187</v>
      </c>
      <c r="G169" s="58" t="s">
        <v>115</v>
      </c>
      <c r="H169" s="58" t="s">
        <v>9</v>
      </c>
      <c r="I169" s="58" t="s">
        <v>111</v>
      </c>
      <c r="J169" s="60">
        <v>15.8</v>
      </c>
      <c r="K169" s="60">
        <f t="shared" si="32"/>
        <v>15.8</v>
      </c>
      <c r="L169" s="61">
        <f>prodnorm11</f>
        <v>0</v>
      </c>
      <c r="M169" s="58" t="s">
        <v>33</v>
      </c>
      <c r="N169" s="62">
        <f>uurtarief11</f>
        <v>0</v>
      </c>
      <c r="O169" s="60" t="e">
        <f t="shared" si="33"/>
        <v>#DIV/0!</v>
      </c>
      <c r="P169" s="62" t="e">
        <f t="shared" si="34"/>
        <v>#DIV/0!</v>
      </c>
      <c r="Q169" s="60" t="e">
        <f t="shared" si="35"/>
        <v>#DIV/0!</v>
      </c>
      <c r="R169" s="63" t="e">
        <f t="shared" si="36"/>
        <v>#DIV/0!</v>
      </c>
    </row>
    <row r="170" spans="1:18" x14ac:dyDescent="0.2">
      <c r="A170" s="57" t="s">
        <v>336</v>
      </c>
      <c r="B170" s="58" t="s">
        <v>162</v>
      </c>
      <c r="C170" s="58" t="s">
        <v>163</v>
      </c>
      <c r="D170" s="58" t="s">
        <v>239</v>
      </c>
      <c r="E170" s="59" t="s">
        <v>191</v>
      </c>
      <c r="F170" s="58" t="s">
        <v>187</v>
      </c>
      <c r="G170" s="58" t="s">
        <v>115</v>
      </c>
      <c r="H170" s="58" t="s">
        <v>9</v>
      </c>
      <c r="I170" s="58" t="s">
        <v>111</v>
      </c>
      <c r="J170" s="60">
        <v>15.8</v>
      </c>
      <c r="K170" s="60">
        <f t="shared" si="32"/>
        <v>15.8</v>
      </c>
      <c r="L170" s="61">
        <f>prodnorm11</f>
        <v>0</v>
      </c>
      <c r="M170" s="58" t="s">
        <v>33</v>
      </c>
      <c r="N170" s="62">
        <f>uurtarief11</f>
        <v>0</v>
      </c>
      <c r="O170" s="60" t="e">
        <f t="shared" si="33"/>
        <v>#DIV/0!</v>
      </c>
      <c r="P170" s="62" t="e">
        <f t="shared" si="34"/>
        <v>#DIV/0!</v>
      </c>
      <c r="Q170" s="60" t="e">
        <f t="shared" si="35"/>
        <v>#DIV/0!</v>
      </c>
      <c r="R170" s="63" t="e">
        <f t="shared" si="36"/>
        <v>#DIV/0!</v>
      </c>
    </row>
    <row r="171" spans="1:18" x14ac:dyDescent="0.2">
      <c r="A171" s="57" t="s">
        <v>336</v>
      </c>
      <c r="B171" s="58" t="s">
        <v>162</v>
      </c>
      <c r="C171" s="58" t="s">
        <v>163</v>
      </c>
      <c r="D171" s="58" t="s">
        <v>240</v>
      </c>
      <c r="E171" s="59" t="s">
        <v>191</v>
      </c>
      <c r="F171" s="58" t="s">
        <v>187</v>
      </c>
      <c r="G171" s="58" t="s">
        <v>115</v>
      </c>
      <c r="H171" s="58" t="s">
        <v>9</v>
      </c>
      <c r="I171" s="58" t="s">
        <v>111</v>
      </c>
      <c r="J171" s="60">
        <v>24.4</v>
      </c>
      <c r="K171" s="60">
        <f t="shared" si="32"/>
        <v>24.4</v>
      </c>
      <c r="L171" s="61">
        <f>prodnorm11</f>
        <v>0</v>
      </c>
      <c r="M171" s="58" t="s">
        <v>33</v>
      </c>
      <c r="N171" s="62">
        <f>uurtarief11</f>
        <v>0</v>
      </c>
      <c r="O171" s="60" t="e">
        <f t="shared" si="33"/>
        <v>#DIV/0!</v>
      </c>
      <c r="P171" s="62" t="e">
        <f t="shared" si="34"/>
        <v>#DIV/0!</v>
      </c>
      <c r="Q171" s="60" t="e">
        <f t="shared" si="35"/>
        <v>#DIV/0!</v>
      </c>
      <c r="R171" s="63" t="e">
        <f t="shared" si="36"/>
        <v>#DIV/0!</v>
      </c>
    </row>
    <row r="172" spans="1:18" x14ac:dyDescent="0.2">
      <c r="A172" s="57" t="s">
        <v>336</v>
      </c>
      <c r="B172" s="58" t="s">
        <v>162</v>
      </c>
      <c r="C172" s="58" t="s">
        <v>163</v>
      </c>
      <c r="D172" s="58" t="s">
        <v>241</v>
      </c>
      <c r="E172" s="59" t="s">
        <v>207</v>
      </c>
      <c r="F172" s="58" t="s">
        <v>187</v>
      </c>
      <c r="G172" s="58" t="s">
        <v>129</v>
      </c>
      <c r="H172" s="58" t="s">
        <v>9</v>
      </c>
      <c r="I172" s="58" t="s">
        <v>111</v>
      </c>
      <c r="J172" s="60">
        <v>33</v>
      </c>
      <c r="K172" s="60">
        <f t="shared" si="32"/>
        <v>33</v>
      </c>
      <c r="L172" s="61">
        <f>prodnorm23</f>
        <v>0</v>
      </c>
      <c r="M172" s="58" t="s">
        <v>33</v>
      </c>
      <c r="N172" s="62">
        <f>uurtarief23</f>
        <v>0</v>
      </c>
      <c r="O172" s="60" t="e">
        <f t="shared" si="33"/>
        <v>#DIV/0!</v>
      </c>
      <c r="P172" s="62" t="e">
        <f t="shared" si="34"/>
        <v>#DIV/0!</v>
      </c>
      <c r="Q172" s="60" t="e">
        <f t="shared" si="35"/>
        <v>#DIV/0!</v>
      </c>
      <c r="R172" s="63" t="e">
        <f t="shared" si="36"/>
        <v>#DIV/0!</v>
      </c>
    </row>
    <row r="173" spans="1:18" x14ac:dyDescent="0.2">
      <c r="A173" s="57" t="s">
        <v>336</v>
      </c>
      <c r="B173" s="58" t="s">
        <v>162</v>
      </c>
      <c r="C173" s="58" t="s">
        <v>163</v>
      </c>
      <c r="D173" s="58" t="s">
        <v>244</v>
      </c>
      <c r="E173" s="59" t="s">
        <v>179</v>
      </c>
      <c r="F173" s="58" t="s">
        <v>249</v>
      </c>
      <c r="G173" s="58" t="s">
        <v>137</v>
      </c>
      <c r="H173" s="58" t="s">
        <v>9</v>
      </c>
      <c r="I173" s="58" t="s">
        <v>111</v>
      </c>
      <c r="J173" s="60">
        <v>3.6</v>
      </c>
      <c r="K173" s="60">
        <f t="shared" si="32"/>
        <v>3.6</v>
      </c>
      <c r="L173" s="61">
        <f>prodnorm30</f>
        <v>0</v>
      </c>
      <c r="M173" s="58" t="s">
        <v>33</v>
      </c>
      <c r="N173" s="62">
        <f>uurtarief30</f>
        <v>0</v>
      </c>
      <c r="O173" s="60" t="e">
        <f t="shared" si="33"/>
        <v>#DIV/0!</v>
      </c>
      <c r="P173" s="62" t="e">
        <f t="shared" si="34"/>
        <v>#DIV/0!</v>
      </c>
      <c r="Q173" s="60" t="e">
        <f t="shared" si="35"/>
        <v>#DIV/0!</v>
      </c>
      <c r="R173" s="63" t="e">
        <f t="shared" si="36"/>
        <v>#DIV/0!</v>
      </c>
    </row>
    <row r="174" spans="1:18" x14ac:dyDescent="0.2">
      <c r="A174" s="57" t="s">
        <v>336</v>
      </c>
      <c r="B174" s="58" t="s">
        <v>162</v>
      </c>
      <c r="C174" s="58" t="s">
        <v>163</v>
      </c>
      <c r="D174" s="58" t="s">
        <v>245</v>
      </c>
      <c r="E174" s="59" t="s">
        <v>203</v>
      </c>
      <c r="F174" s="58" t="s">
        <v>175</v>
      </c>
      <c r="G174" s="58" t="s">
        <v>131</v>
      </c>
      <c r="H174" s="58" t="s">
        <v>9</v>
      </c>
      <c r="I174" s="58" t="s">
        <v>111</v>
      </c>
      <c r="J174" s="60">
        <v>3.2</v>
      </c>
      <c r="K174" s="60">
        <f t="shared" si="32"/>
        <v>3.2</v>
      </c>
      <c r="L174" s="61">
        <f>prodnorm25</f>
        <v>0</v>
      </c>
      <c r="M174" s="58" t="s">
        <v>33</v>
      </c>
      <c r="N174" s="62">
        <f>uurtarief25</f>
        <v>0</v>
      </c>
      <c r="O174" s="60" t="e">
        <f t="shared" si="33"/>
        <v>#DIV/0!</v>
      </c>
      <c r="P174" s="62" t="e">
        <f t="shared" si="34"/>
        <v>#DIV/0!</v>
      </c>
      <c r="Q174" s="60" t="e">
        <f t="shared" si="35"/>
        <v>#DIV/0!</v>
      </c>
      <c r="R174" s="63" t="e">
        <f t="shared" si="36"/>
        <v>#DIV/0!</v>
      </c>
    </row>
    <row r="175" spans="1:18" x14ac:dyDescent="0.2">
      <c r="A175" s="57" t="s">
        <v>336</v>
      </c>
      <c r="B175" s="58" t="s">
        <v>162</v>
      </c>
      <c r="C175" s="58" t="s">
        <v>163</v>
      </c>
      <c r="D175" s="58" t="s">
        <v>246</v>
      </c>
      <c r="E175" s="59" t="s">
        <v>205</v>
      </c>
      <c r="F175" s="58" t="s">
        <v>175</v>
      </c>
      <c r="G175" s="58" t="s">
        <v>131</v>
      </c>
      <c r="H175" s="58" t="s">
        <v>9</v>
      </c>
      <c r="I175" s="58" t="s">
        <v>111</v>
      </c>
      <c r="J175" s="60">
        <v>5.2</v>
      </c>
      <c r="K175" s="60">
        <f t="shared" si="32"/>
        <v>5.2</v>
      </c>
      <c r="L175" s="61">
        <f>prodnorm25</f>
        <v>0</v>
      </c>
      <c r="M175" s="58" t="s">
        <v>33</v>
      </c>
      <c r="N175" s="62">
        <f>uurtarief25</f>
        <v>0</v>
      </c>
      <c r="O175" s="60" t="e">
        <f t="shared" si="33"/>
        <v>#DIV/0!</v>
      </c>
      <c r="P175" s="62" t="e">
        <f t="shared" si="34"/>
        <v>#DIV/0!</v>
      </c>
      <c r="Q175" s="60" t="e">
        <f t="shared" si="35"/>
        <v>#DIV/0!</v>
      </c>
      <c r="R175" s="63" t="e">
        <f t="shared" si="36"/>
        <v>#DIV/0!</v>
      </c>
    </row>
    <row r="176" spans="1:18" x14ac:dyDescent="0.2">
      <c r="A176" s="57" t="s">
        <v>336</v>
      </c>
      <c r="B176" s="58" t="s">
        <v>162</v>
      </c>
      <c r="C176" s="58" t="s">
        <v>163</v>
      </c>
      <c r="D176" s="58" t="s">
        <v>247</v>
      </c>
      <c r="E176" s="59" t="s">
        <v>206</v>
      </c>
      <c r="F176" s="58" t="s">
        <v>175</v>
      </c>
      <c r="G176" s="58" t="s">
        <v>131</v>
      </c>
      <c r="H176" s="58" t="s">
        <v>9</v>
      </c>
      <c r="I176" s="58" t="s">
        <v>111</v>
      </c>
      <c r="J176" s="60">
        <v>4.5999999999999996</v>
      </c>
      <c r="K176" s="60">
        <f t="shared" si="32"/>
        <v>4.5999999999999996</v>
      </c>
      <c r="L176" s="61">
        <f>prodnorm25</f>
        <v>0</v>
      </c>
      <c r="M176" s="58" t="s">
        <v>33</v>
      </c>
      <c r="N176" s="62">
        <f>uurtarief25</f>
        <v>0</v>
      </c>
      <c r="O176" s="60" t="e">
        <f t="shared" si="33"/>
        <v>#DIV/0!</v>
      </c>
      <c r="P176" s="62" t="e">
        <f t="shared" si="34"/>
        <v>#DIV/0!</v>
      </c>
      <c r="Q176" s="60" t="e">
        <f t="shared" si="35"/>
        <v>#DIV/0!</v>
      </c>
      <c r="R176" s="63" t="e">
        <f t="shared" si="36"/>
        <v>#DIV/0!</v>
      </c>
    </row>
    <row r="177" spans="1:18" x14ac:dyDescent="0.2">
      <c r="A177" s="57" t="s">
        <v>336</v>
      </c>
      <c r="B177" s="58" t="s">
        <v>162</v>
      </c>
      <c r="C177" s="58" t="s">
        <v>163</v>
      </c>
      <c r="D177" s="58" t="s">
        <v>251</v>
      </c>
      <c r="E177" s="59" t="s">
        <v>216</v>
      </c>
      <c r="F177" s="58" t="s">
        <v>166</v>
      </c>
      <c r="G177" s="58" t="s">
        <v>140</v>
      </c>
      <c r="H177" s="58" t="s">
        <v>9</v>
      </c>
      <c r="I177" s="58" t="s">
        <v>111</v>
      </c>
      <c r="J177" s="60">
        <v>2.7</v>
      </c>
      <c r="K177" s="60">
        <f t="shared" si="32"/>
        <v>2.7</v>
      </c>
      <c r="L177" s="61">
        <f>prodnorm32</f>
        <v>0</v>
      </c>
      <c r="M177" s="58" t="s">
        <v>33</v>
      </c>
      <c r="N177" s="62">
        <f>uurtarief32</f>
        <v>0</v>
      </c>
      <c r="O177" s="60" t="e">
        <f t="shared" si="33"/>
        <v>#DIV/0!</v>
      </c>
      <c r="P177" s="62" t="e">
        <f t="shared" si="34"/>
        <v>#DIV/0!</v>
      </c>
      <c r="Q177" s="60" t="e">
        <f t="shared" si="35"/>
        <v>#DIV/0!</v>
      </c>
      <c r="R177" s="63" t="e">
        <f t="shared" si="36"/>
        <v>#DIV/0!</v>
      </c>
    </row>
    <row r="178" spans="1:18" x14ac:dyDescent="0.2">
      <c r="A178" s="64" t="s">
        <v>336</v>
      </c>
      <c r="B178" s="65" t="s">
        <v>162</v>
      </c>
      <c r="C178" s="65" t="s">
        <v>198</v>
      </c>
      <c r="D178" s="65" t="s">
        <v>162</v>
      </c>
      <c r="E178" s="66" t="s">
        <v>199</v>
      </c>
      <c r="F178" s="65" t="s">
        <v>162</v>
      </c>
      <c r="G178" s="65" t="s">
        <v>146</v>
      </c>
      <c r="H178" s="65" t="s">
        <v>9</v>
      </c>
      <c r="I178" s="65" t="s">
        <v>147</v>
      </c>
      <c r="J178" s="67">
        <v>1</v>
      </c>
      <c r="K178" s="67">
        <f t="shared" si="32"/>
        <v>1</v>
      </c>
      <c r="L178" s="68">
        <f>prodnorm7</f>
        <v>0</v>
      </c>
      <c r="M178" s="65" t="s">
        <v>149</v>
      </c>
      <c r="N178" s="69">
        <f>uurtarief7</f>
        <v>0</v>
      </c>
      <c r="O178" s="67">
        <f>K178*ROUND(L178,4)/60</f>
        <v>0</v>
      </c>
      <c r="P178" s="69">
        <f t="shared" si="34"/>
        <v>0</v>
      </c>
      <c r="Q178" s="67">
        <f t="shared" si="35"/>
        <v>0</v>
      </c>
      <c r="R178" s="70">
        <f t="shared" si="36"/>
        <v>0</v>
      </c>
    </row>
    <row r="179" spans="1:18" x14ac:dyDescent="0.2">
      <c r="A179" s="71" t="s">
        <v>200</v>
      </c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3" t="e">
        <f>IF(_xlfn.SINGLE(object4_urenjaar1)&gt;0,_xlfn.SINGLE(object4_prijsjaar1)/_xlfn.SINGLE(object4_urenjaar1),0)</f>
        <v>#DIV/0!</v>
      </c>
      <c r="O179" s="42" t="e">
        <f>SUM(O152:O178)</f>
        <v>#DIV/0!</v>
      </c>
      <c r="P179" s="43" t="e">
        <f>SUM(P152:P178)</f>
        <v>#DIV/0!</v>
      </c>
      <c r="Q179" s="42" t="e">
        <f>SUM(Q152:Q178)</f>
        <v>#DIV/0!</v>
      </c>
      <c r="R179" s="44" t="e">
        <f>SUM(R152:R178)</f>
        <v>#DIV/0!</v>
      </c>
    </row>
    <row r="180" spans="1:18" x14ac:dyDescent="0.2">
      <c r="A180" s="49" t="s">
        <v>339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39"/>
    </row>
    <row r="181" spans="1:18" ht="25.5" x14ac:dyDescent="0.2">
      <c r="A181" s="50" t="s">
        <v>340</v>
      </c>
      <c r="B181" s="51" t="s">
        <v>162</v>
      </c>
      <c r="C181" s="51" t="s">
        <v>163</v>
      </c>
      <c r="D181" s="51" t="s">
        <v>164</v>
      </c>
      <c r="E181" s="52" t="s">
        <v>341</v>
      </c>
      <c r="F181" s="51" t="s">
        <v>187</v>
      </c>
      <c r="G181" s="51" t="s">
        <v>129</v>
      </c>
      <c r="H181" s="51" t="s">
        <v>11</v>
      </c>
      <c r="I181" s="51" t="s">
        <v>111</v>
      </c>
      <c r="J181" s="53">
        <v>29</v>
      </c>
      <c r="K181" s="53">
        <f t="shared" ref="K181:K200" si="37">J181*VLOOKUP(H181,dagsoorttabel1,2,FALSE)</f>
        <v>17.399999999999999</v>
      </c>
      <c r="L181" s="54">
        <f>prodnorm22</f>
        <v>0</v>
      </c>
      <c r="M181" s="51" t="s">
        <v>33</v>
      </c>
      <c r="N181" s="55">
        <f>uurtarief22</f>
        <v>0</v>
      </c>
      <c r="O181" s="53" t="e">
        <f t="shared" ref="O181:O200" si="38">IF(ISBLANK(L181),0,K181/ROUND(L181,4))</f>
        <v>#DIV/0!</v>
      </c>
      <c r="P181" s="55" t="e">
        <f t="shared" ref="P181:P200" si="39">ROUND(N181,2)*O181</f>
        <v>#DIV/0!</v>
      </c>
      <c r="Q181" s="53" t="e">
        <f t="shared" ref="Q181:Q200" si="40">O181*dagenperjaar1</f>
        <v>#DIV/0!</v>
      </c>
      <c r="R181" s="56" t="e">
        <f t="shared" ref="R181:R200" si="41">Q181*ROUND(N181,2)</f>
        <v>#DIV/0!</v>
      </c>
    </row>
    <row r="182" spans="1:18" ht="25.5" x14ac:dyDescent="0.2">
      <c r="A182" s="57" t="s">
        <v>340</v>
      </c>
      <c r="B182" s="58" t="s">
        <v>162</v>
      </c>
      <c r="C182" s="58" t="s">
        <v>163</v>
      </c>
      <c r="D182" s="58" t="s">
        <v>167</v>
      </c>
      <c r="E182" s="59" t="s">
        <v>342</v>
      </c>
      <c r="F182" s="58" t="s">
        <v>343</v>
      </c>
      <c r="G182" s="58" t="s">
        <v>127</v>
      </c>
      <c r="H182" s="58" t="s">
        <v>11</v>
      </c>
      <c r="I182" s="58" t="s">
        <v>111</v>
      </c>
      <c r="J182" s="60">
        <v>52</v>
      </c>
      <c r="K182" s="60">
        <f t="shared" si="37"/>
        <v>31.2</v>
      </c>
      <c r="L182" s="61">
        <f>prodnorm20</f>
        <v>0</v>
      </c>
      <c r="M182" s="58" t="s">
        <v>33</v>
      </c>
      <c r="N182" s="62">
        <f>uurtarief20</f>
        <v>0</v>
      </c>
      <c r="O182" s="60" t="e">
        <f t="shared" si="38"/>
        <v>#DIV/0!</v>
      </c>
      <c r="P182" s="62" t="e">
        <f t="shared" si="39"/>
        <v>#DIV/0!</v>
      </c>
      <c r="Q182" s="60" t="e">
        <f t="shared" si="40"/>
        <v>#DIV/0!</v>
      </c>
      <c r="R182" s="63" t="e">
        <f t="shared" si="41"/>
        <v>#DIV/0!</v>
      </c>
    </row>
    <row r="183" spans="1:18" x14ac:dyDescent="0.2">
      <c r="A183" s="57" t="s">
        <v>340</v>
      </c>
      <c r="B183" s="58" t="s">
        <v>162</v>
      </c>
      <c r="C183" s="58" t="s">
        <v>163</v>
      </c>
      <c r="D183" s="58" t="s">
        <v>170</v>
      </c>
      <c r="E183" s="59" t="s">
        <v>344</v>
      </c>
      <c r="F183" s="58" t="s">
        <v>187</v>
      </c>
      <c r="G183" s="58" t="s">
        <v>115</v>
      </c>
      <c r="H183" s="58" t="s">
        <v>11</v>
      </c>
      <c r="I183" s="58" t="s">
        <v>111</v>
      </c>
      <c r="J183" s="60">
        <v>28</v>
      </c>
      <c r="K183" s="60">
        <f t="shared" si="37"/>
        <v>16.8</v>
      </c>
      <c r="L183" s="61">
        <f>prodnorm10</f>
        <v>0</v>
      </c>
      <c r="M183" s="58" t="s">
        <v>33</v>
      </c>
      <c r="N183" s="62">
        <f>uurtarief10</f>
        <v>0</v>
      </c>
      <c r="O183" s="60" t="e">
        <f t="shared" si="38"/>
        <v>#DIV/0!</v>
      </c>
      <c r="P183" s="62" t="e">
        <f t="shared" si="39"/>
        <v>#DIV/0!</v>
      </c>
      <c r="Q183" s="60" t="e">
        <f t="shared" si="40"/>
        <v>#DIV/0!</v>
      </c>
      <c r="R183" s="63" t="e">
        <f t="shared" si="41"/>
        <v>#DIV/0!</v>
      </c>
    </row>
    <row r="184" spans="1:18" x14ac:dyDescent="0.2">
      <c r="A184" s="57" t="s">
        <v>340</v>
      </c>
      <c r="B184" s="58" t="s">
        <v>162</v>
      </c>
      <c r="C184" s="58" t="s">
        <v>163</v>
      </c>
      <c r="D184" s="58" t="s">
        <v>171</v>
      </c>
      <c r="E184" s="59" t="s">
        <v>182</v>
      </c>
      <c r="F184" s="58" t="s">
        <v>343</v>
      </c>
      <c r="G184" s="58" t="s">
        <v>123</v>
      </c>
      <c r="H184" s="58" t="s">
        <v>11</v>
      </c>
      <c r="I184" s="58" t="s">
        <v>111</v>
      </c>
      <c r="J184" s="60">
        <v>15.5</v>
      </c>
      <c r="K184" s="60">
        <f t="shared" si="37"/>
        <v>9.2999999999999989</v>
      </c>
      <c r="L184" s="61">
        <f>prodnorm16</f>
        <v>0</v>
      </c>
      <c r="M184" s="58" t="s">
        <v>33</v>
      </c>
      <c r="N184" s="62">
        <f>uurtarief16</f>
        <v>0</v>
      </c>
      <c r="O184" s="60" t="e">
        <f t="shared" si="38"/>
        <v>#DIV/0!</v>
      </c>
      <c r="P184" s="62" t="e">
        <f t="shared" si="39"/>
        <v>#DIV/0!</v>
      </c>
      <c r="Q184" s="60" t="e">
        <f t="shared" si="40"/>
        <v>#DIV/0!</v>
      </c>
      <c r="R184" s="63" t="e">
        <f t="shared" si="41"/>
        <v>#DIV/0!</v>
      </c>
    </row>
    <row r="185" spans="1:18" x14ac:dyDescent="0.2">
      <c r="A185" s="57" t="s">
        <v>340</v>
      </c>
      <c r="B185" s="58" t="s">
        <v>162</v>
      </c>
      <c r="C185" s="58" t="s">
        <v>163</v>
      </c>
      <c r="D185" s="58" t="s">
        <v>173</v>
      </c>
      <c r="E185" s="59" t="s">
        <v>165</v>
      </c>
      <c r="F185" s="58" t="s">
        <v>187</v>
      </c>
      <c r="G185" s="58" t="s">
        <v>119</v>
      </c>
      <c r="H185" s="58" t="s">
        <v>11</v>
      </c>
      <c r="I185" s="58" t="s">
        <v>111</v>
      </c>
      <c r="J185" s="60">
        <v>5</v>
      </c>
      <c r="K185" s="60">
        <f t="shared" si="37"/>
        <v>3</v>
      </c>
      <c r="L185" s="61">
        <f>prodnorm13</f>
        <v>0</v>
      </c>
      <c r="M185" s="58" t="s">
        <v>33</v>
      </c>
      <c r="N185" s="62">
        <f>uurtarief13</f>
        <v>0</v>
      </c>
      <c r="O185" s="60" t="e">
        <f t="shared" si="38"/>
        <v>#DIV/0!</v>
      </c>
      <c r="P185" s="62" t="e">
        <f t="shared" si="39"/>
        <v>#DIV/0!</v>
      </c>
      <c r="Q185" s="60" t="e">
        <f t="shared" si="40"/>
        <v>#DIV/0!</v>
      </c>
      <c r="R185" s="63" t="e">
        <f t="shared" si="41"/>
        <v>#DIV/0!</v>
      </c>
    </row>
    <row r="186" spans="1:18" x14ac:dyDescent="0.2">
      <c r="A186" s="57" t="s">
        <v>340</v>
      </c>
      <c r="B186" s="58" t="s">
        <v>162</v>
      </c>
      <c r="C186" s="58" t="s">
        <v>163</v>
      </c>
      <c r="D186" s="58" t="s">
        <v>176</v>
      </c>
      <c r="E186" s="59" t="s">
        <v>227</v>
      </c>
      <c r="F186" s="58" t="s">
        <v>345</v>
      </c>
      <c r="G186" s="58" t="s">
        <v>137</v>
      </c>
      <c r="H186" s="58" t="s">
        <v>11</v>
      </c>
      <c r="I186" s="58" t="s">
        <v>111</v>
      </c>
      <c r="J186" s="60">
        <v>29</v>
      </c>
      <c r="K186" s="60">
        <f t="shared" si="37"/>
        <v>17.399999999999999</v>
      </c>
      <c r="L186" s="61">
        <f>prodnorm29</f>
        <v>0</v>
      </c>
      <c r="M186" s="58" t="s">
        <v>33</v>
      </c>
      <c r="N186" s="62">
        <f>uurtarief29</f>
        <v>0</v>
      </c>
      <c r="O186" s="60" t="e">
        <f t="shared" si="38"/>
        <v>#DIV/0!</v>
      </c>
      <c r="P186" s="62" t="e">
        <f t="shared" si="39"/>
        <v>#DIV/0!</v>
      </c>
      <c r="Q186" s="60" t="e">
        <f t="shared" si="40"/>
        <v>#DIV/0!</v>
      </c>
      <c r="R186" s="63" t="e">
        <f t="shared" si="41"/>
        <v>#DIV/0!</v>
      </c>
    </row>
    <row r="187" spans="1:18" x14ac:dyDescent="0.2">
      <c r="A187" s="57" t="s">
        <v>340</v>
      </c>
      <c r="B187" s="58" t="s">
        <v>162</v>
      </c>
      <c r="C187" s="58" t="s">
        <v>163</v>
      </c>
      <c r="D187" s="58" t="s">
        <v>178</v>
      </c>
      <c r="E187" s="59" t="s">
        <v>227</v>
      </c>
      <c r="F187" s="58" t="s">
        <v>187</v>
      </c>
      <c r="G187" s="58" t="s">
        <v>140</v>
      </c>
      <c r="H187" s="58" t="s">
        <v>11</v>
      </c>
      <c r="I187" s="58" t="s">
        <v>111</v>
      </c>
      <c r="J187" s="60">
        <v>13.2</v>
      </c>
      <c r="K187" s="60">
        <f t="shared" si="37"/>
        <v>7.919999999999999</v>
      </c>
      <c r="L187" s="61">
        <f>prodnorm31</f>
        <v>0</v>
      </c>
      <c r="M187" s="58" t="s">
        <v>33</v>
      </c>
      <c r="N187" s="62">
        <f>uurtarief31</f>
        <v>0</v>
      </c>
      <c r="O187" s="60" t="e">
        <f t="shared" si="38"/>
        <v>#DIV/0!</v>
      </c>
      <c r="P187" s="62" t="e">
        <f t="shared" si="39"/>
        <v>#DIV/0!</v>
      </c>
      <c r="Q187" s="60" t="e">
        <f t="shared" si="40"/>
        <v>#DIV/0!</v>
      </c>
      <c r="R187" s="63" t="e">
        <f t="shared" si="41"/>
        <v>#DIV/0!</v>
      </c>
    </row>
    <row r="188" spans="1:18" x14ac:dyDescent="0.2">
      <c r="A188" s="57" t="s">
        <v>340</v>
      </c>
      <c r="B188" s="58" t="s">
        <v>162</v>
      </c>
      <c r="C188" s="58" t="s">
        <v>163</v>
      </c>
      <c r="D188" s="58" t="s">
        <v>180</v>
      </c>
      <c r="E188" s="59" t="s">
        <v>257</v>
      </c>
      <c r="F188" s="58" t="s">
        <v>197</v>
      </c>
      <c r="G188" s="58" t="s">
        <v>121</v>
      </c>
      <c r="H188" s="58" t="s">
        <v>9</v>
      </c>
      <c r="I188" s="58" t="s">
        <v>111</v>
      </c>
      <c r="J188" s="60">
        <v>1.8</v>
      </c>
      <c r="K188" s="60">
        <f t="shared" si="37"/>
        <v>1.8</v>
      </c>
      <c r="L188" s="61">
        <f>prodnorm15</f>
        <v>0</v>
      </c>
      <c r="M188" s="58" t="s">
        <v>33</v>
      </c>
      <c r="N188" s="62">
        <f>uurtarief15</f>
        <v>0</v>
      </c>
      <c r="O188" s="60" t="e">
        <f t="shared" si="38"/>
        <v>#DIV/0!</v>
      </c>
      <c r="P188" s="62" t="e">
        <f t="shared" si="39"/>
        <v>#DIV/0!</v>
      </c>
      <c r="Q188" s="60" t="e">
        <f t="shared" si="40"/>
        <v>#DIV/0!</v>
      </c>
      <c r="R188" s="63" t="e">
        <f t="shared" si="41"/>
        <v>#DIV/0!</v>
      </c>
    </row>
    <row r="189" spans="1:18" x14ac:dyDescent="0.2">
      <c r="A189" s="57" t="s">
        <v>340</v>
      </c>
      <c r="B189" s="58" t="s">
        <v>162</v>
      </c>
      <c r="C189" s="58" t="s">
        <v>163</v>
      </c>
      <c r="D189" s="58" t="s">
        <v>181</v>
      </c>
      <c r="E189" s="59" t="s">
        <v>177</v>
      </c>
      <c r="F189" s="58" t="s">
        <v>345</v>
      </c>
      <c r="G189" s="58" t="s">
        <v>131</v>
      </c>
      <c r="H189" s="58" t="s">
        <v>11</v>
      </c>
      <c r="I189" s="58" t="s">
        <v>111</v>
      </c>
      <c r="J189" s="60">
        <v>1.5</v>
      </c>
      <c r="K189" s="60">
        <f t="shared" si="37"/>
        <v>0.89999999999999991</v>
      </c>
      <c r="L189" s="61">
        <f>prodnorm24</f>
        <v>0</v>
      </c>
      <c r="M189" s="58" t="s">
        <v>33</v>
      </c>
      <c r="N189" s="62">
        <f>uurtarief24</f>
        <v>0</v>
      </c>
      <c r="O189" s="60" t="e">
        <f t="shared" si="38"/>
        <v>#DIV/0!</v>
      </c>
      <c r="P189" s="62" t="e">
        <f t="shared" si="39"/>
        <v>#DIV/0!</v>
      </c>
      <c r="Q189" s="60" t="e">
        <f t="shared" si="40"/>
        <v>#DIV/0!</v>
      </c>
      <c r="R189" s="63" t="e">
        <f t="shared" si="41"/>
        <v>#DIV/0!</v>
      </c>
    </row>
    <row r="190" spans="1:18" x14ac:dyDescent="0.2">
      <c r="A190" s="57" t="s">
        <v>340</v>
      </c>
      <c r="B190" s="58" t="s">
        <v>162</v>
      </c>
      <c r="C190" s="58" t="s">
        <v>163</v>
      </c>
      <c r="D190" s="58" t="s">
        <v>183</v>
      </c>
      <c r="E190" s="59" t="s">
        <v>186</v>
      </c>
      <c r="F190" s="58" t="s">
        <v>219</v>
      </c>
      <c r="G190" s="58" t="s">
        <v>133</v>
      </c>
      <c r="H190" s="58" t="s">
        <v>11</v>
      </c>
      <c r="I190" s="58" t="s">
        <v>111</v>
      </c>
      <c r="J190" s="60">
        <v>9.6</v>
      </c>
      <c r="K190" s="60">
        <f t="shared" si="37"/>
        <v>5.76</v>
      </c>
      <c r="L190" s="61">
        <f>prodnorm26</f>
        <v>0</v>
      </c>
      <c r="M190" s="58" t="s">
        <v>33</v>
      </c>
      <c r="N190" s="62">
        <f>uurtarief26</f>
        <v>0</v>
      </c>
      <c r="O190" s="60" t="e">
        <f t="shared" si="38"/>
        <v>#DIV/0!</v>
      </c>
      <c r="P190" s="62" t="e">
        <f t="shared" si="39"/>
        <v>#DIV/0!</v>
      </c>
      <c r="Q190" s="60" t="e">
        <f t="shared" si="40"/>
        <v>#DIV/0!</v>
      </c>
      <c r="R190" s="63" t="e">
        <f t="shared" si="41"/>
        <v>#DIV/0!</v>
      </c>
    </row>
    <row r="191" spans="1:18" x14ac:dyDescent="0.2">
      <c r="A191" s="57" t="s">
        <v>340</v>
      </c>
      <c r="B191" s="58" t="s">
        <v>162</v>
      </c>
      <c r="C191" s="58" t="s">
        <v>188</v>
      </c>
      <c r="D191" s="58" t="s">
        <v>189</v>
      </c>
      <c r="E191" s="59" t="s">
        <v>346</v>
      </c>
      <c r="F191" s="58" t="s">
        <v>187</v>
      </c>
      <c r="G191" s="58" t="s">
        <v>115</v>
      </c>
      <c r="H191" s="58" t="s">
        <v>11</v>
      </c>
      <c r="I191" s="58" t="s">
        <v>111</v>
      </c>
      <c r="J191" s="60">
        <v>46</v>
      </c>
      <c r="K191" s="60">
        <f t="shared" si="37"/>
        <v>27.599999999999998</v>
      </c>
      <c r="L191" s="61">
        <f>prodnorm10</f>
        <v>0</v>
      </c>
      <c r="M191" s="58" t="s">
        <v>33</v>
      </c>
      <c r="N191" s="62">
        <f>uurtarief10</f>
        <v>0</v>
      </c>
      <c r="O191" s="60" t="e">
        <f t="shared" si="38"/>
        <v>#DIV/0!</v>
      </c>
      <c r="P191" s="62" t="e">
        <f t="shared" si="39"/>
        <v>#DIV/0!</v>
      </c>
      <c r="Q191" s="60" t="e">
        <f t="shared" si="40"/>
        <v>#DIV/0!</v>
      </c>
      <c r="R191" s="63" t="e">
        <f t="shared" si="41"/>
        <v>#DIV/0!</v>
      </c>
    </row>
    <row r="192" spans="1:18" x14ac:dyDescent="0.2">
      <c r="A192" s="57" t="s">
        <v>340</v>
      </c>
      <c r="B192" s="58" t="s">
        <v>162</v>
      </c>
      <c r="C192" s="58" t="s">
        <v>188</v>
      </c>
      <c r="D192" s="58" t="s">
        <v>190</v>
      </c>
      <c r="E192" s="59" t="s">
        <v>266</v>
      </c>
      <c r="F192" s="58" t="s">
        <v>187</v>
      </c>
      <c r="G192" s="58" t="s">
        <v>115</v>
      </c>
      <c r="H192" s="58" t="s">
        <v>11</v>
      </c>
      <c r="I192" s="58" t="s">
        <v>111</v>
      </c>
      <c r="J192" s="60">
        <v>37</v>
      </c>
      <c r="K192" s="60">
        <f t="shared" si="37"/>
        <v>22.2</v>
      </c>
      <c r="L192" s="61">
        <f>prodnorm10</f>
        <v>0</v>
      </c>
      <c r="M192" s="58" t="s">
        <v>33</v>
      </c>
      <c r="N192" s="62">
        <f>uurtarief10</f>
        <v>0</v>
      </c>
      <c r="O192" s="60" t="e">
        <f t="shared" si="38"/>
        <v>#DIV/0!</v>
      </c>
      <c r="P192" s="62" t="e">
        <f t="shared" si="39"/>
        <v>#DIV/0!</v>
      </c>
      <c r="Q192" s="60" t="e">
        <f t="shared" si="40"/>
        <v>#DIV/0!</v>
      </c>
      <c r="R192" s="63" t="e">
        <f t="shared" si="41"/>
        <v>#DIV/0!</v>
      </c>
    </row>
    <row r="193" spans="1:18" x14ac:dyDescent="0.2">
      <c r="A193" s="57" t="s">
        <v>340</v>
      </c>
      <c r="B193" s="58" t="s">
        <v>162</v>
      </c>
      <c r="C193" s="58" t="s">
        <v>188</v>
      </c>
      <c r="D193" s="58" t="s">
        <v>192</v>
      </c>
      <c r="E193" s="59" t="s">
        <v>191</v>
      </c>
      <c r="F193" s="58" t="s">
        <v>187</v>
      </c>
      <c r="G193" s="58" t="s">
        <v>115</v>
      </c>
      <c r="H193" s="58" t="s">
        <v>11</v>
      </c>
      <c r="I193" s="58" t="s">
        <v>111</v>
      </c>
      <c r="J193" s="60">
        <v>25.2</v>
      </c>
      <c r="K193" s="60">
        <f t="shared" si="37"/>
        <v>15.12</v>
      </c>
      <c r="L193" s="61">
        <f>prodnorm10</f>
        <v>0</v>
      </c>
      <c r="M193" s="58" t="s">
        <v>33</v>
      </c>
      <c r="N193" s="62">
        <f>uurtarief10</f>
        <v>0</v>
      </c>
      <c r="O193" s="60" t="e">
        <f t="shared" si="38"/>
        <v>#DIV/0!</v>
      </c>
      <c r="P193" s="62" t="e">
        <f t="shared" si="39"/>
        <v>#DIV/0!</v>
      </c>
      <c r="Q193" s="60" t="e">
        <f t="shared" si="40"/>
        <v>#DIV/0!</v>
      </c>
      <c r="R193" s="63" t="e">
        <f t="shared" si="41"/>
        <v>#DIV/0!</v>
      </c>
    </row>
    <row r="194" spans="1:18" x14ac:dyDescent="0.2">
      <c r="A194" s="57" t="s">
        <v>340</v>
      </c>
      <c r="B194" s="58" t="s">
        <v>162</v>
      </c>
      <c r="C194" s="58" t="s">
        <v>188</v>
      </c>
      <c r="D194" s="58" t="s">
        <v>193</v>
      </c>
      <c r="E194" s="59" t="s">
        <v>191</v>
      </c>
      <c r="F194" s="58" t="s">
        <v>187</v>
      </c>
      <c r="G194" s="58" t="s">
        <v>115</v>
      </c>
      <c r="H194" s="58" t="s">
        <v>11</v>
      </c>
      <c r="I194" s="58" t="s">
        <v>111</v>
      </c>
      <c r="J194" s="60">
        <v>16.3</v>
      </c>
      <c r="K194" s="60">
        <f t="shared" si="37"/>
        <v>9.7799999999999994</v>
      </c>
      <c r="L194" s="61">
        <f>prodnorm10</f>
        <v>0</v>
      </c>
      <c r="M194" s="58" t="s">
        <v>33</v>
      </c>
      <c r="N194" s="62">
        <f>uurtarief10</f>
        <v>0</v>
      </c>
      <c r="O194" s="60" t="e">
        <f t="shared" si="38"/>
        <v>#DIV/0!</v>
      </c>
      <c r="P194" s="62" t="e">
        <f t="shared" si="39"/>
        <v>#DIV/0!</v>
      </c>
      <c r="Q194" s="60" t="e">
        <f t="shared" si="40"/>
        <v>#DIV/0!</v>
      </c>
      <c r="R194" s="63" t="e">
        <f t="shared" si="41"/>
        <v>#DIV/0!</v>
      </c>
    </row>
    <row r="195" spans="1:18" x14ac:dyDescent="0.2">
      <c r="A195" s="57" t="s">
        <v>340</v>
      </c>
      <c r="B195" s="58" t="s">
        <v>162</v>
      </c>
      <c r="C195" s="58" t="s">
        <v>188</v>
      </c>
      <c r="D195" s="58" t="s">
        <v>194</v>
      </c>
      <c r="E195" s="59" t="s">
        <v>179</v>
      </c>
      <c r="F195" s="58" t="s">
        <v>343</v>
      </c>
      <c r="G195" s="58" t="s">
        <v>125</v>
      </c>
      <c r="H195" s="58" t="s">
        <v>11</v>
      </c>
      <c r="I195" s="58" t="s">
        <v>111</v>
      </c>
      <c r="J195" s="60">
        <v>12.4</v>
      </c>
      <c r="K195" s="60">
        <f t="shared" si="37"/>
        <v>7.4399999999999995</v>
      </c>
      <c r="L195" s="61">
        <f>prodnorm18</f>
        <v>0</v>
      </c>
      <c r="M195" s="58" t="s">
        <v>33</v>
      </c>
      <c r="N195" s="62">
        <f>uurtarief18</f>
        <v>0</v>
      </c>
      <c r="O195" s="60" t="e">
        <f t="shared" si="38"/>
        <v>#DIV/0!</v>
      </c>
      <c r="P195" s="62" t="e">
        <f t="shared" si="39"/>
        <v>#DIV/0!</v>
      </c>
      <c r="Q195" s="60" t="e">
        <f t="shared" si="40"/>
        <v>#DIV/0!</v>
      </c>
      <c r="R195" s="63" t="e">
        <f t="shared" si="41"/>
        <v>#DIV/0!</v>
      </c>
    </row>
    <row r="196" spans="1:18" x14ac:dyDescent="0.2">
      <c r="A196" s="57" t="s">
        <v>340</v>
      </c>
      <c r="B196" s="58" t="s">
        <v>162</v>
      </c>
      <c r="C196" s="58" t="s">
        <v>188</v>
      </c>
      <c r="D196" s="58" t="s">
        <v>195</v>
      </c>
      <c r="E196" s="59" t="s">
        <v>227</v>
      </c>
      <c r="F196" s="58" t="s">
        <v>343</v>
      </c>
      <c r="G196" s="58" t="s">
        <v>137</v>
      </c>
      <c r="H196" s="58" t="s">
        <v>11</v>
      </c>
      <c r="I196" s="58" t="s">
        <v>111</v>
      </c>
      <c r="J196" s="60">
        <v>19</v>
      </c>
      <c r="K196" s="60">
        <f t="shared" si="37"/>
        <v>11.4</v>
      </c>
      <c r="L196" s="61">
        <f>prodnorm29</f>
        <v>0</v>
      </c>
      <c r="M196" s="58" t="s">
        <v>33</v>
      </c>
      <c r="N196" s="62">
        <f>uurtarief29</f>
        <v>0</v>
      </c>
      <c r="O196" s="60" t="e">
        <f t="shared" si="38"/>
        <v>#DIV/0!</v>
      </c>
      <c r="P196" s="62" t="e">
        <f t="shared" si="39"/>
        <v>#DIV/0!</v>
      </c>
      <c r="Q196" s="60" t="e">
        <f t="shared" si="40"/>
        <v>#DIV/0!</v>
      </c>
      <c r="R196" s="63" t="e">
        <f t="shared" si="41"/>
        <v>#DIV/0!</v>
      </c>
    </row>
    <row r="197" spans="1:18" x14ac:dyDescent="0.2">
      <c r="A197" s="57" t="s">
        <v>340</v>
      </c>
      <c r="B197" s="58" t="s">
        <v>162</v>
      </c>
      <c r="C197" s="58" t="s">
        <v>188</v>
      </c>
      <c r="D197" s="58" t="s">
        <v>290</v>
      </c>
      <c r="E197" s="59" t="s">
        <v>227</v>
      </c>
      <c r="F197" s="58" t="s">
        <v>343</v>
      </c>
      <c r="G197" s="58" t="s">
        <v>137</v>
      </c>
      <c r="H197" s="58" t="s">
        <v>11</v>
      </c>
      <c r="I197" s="58" t="s">
        <v>111</v>
      </c>
      <c r="J197" s="60">
        <v>11.5</v>
      </c>
      <c r="K197" s="60">
        <f t="shared" si="37"/>
        <v>6.8999999999999995</v>
      </c>
      <c r="L197" s="61">
        <f>prodnorm29</f>
        <v>0</v>
      </c>
      <c r="M197" s="58" t="s">
        <v>33</v>
      </c>
      <c r="N197" s="62">
        <f>uurtarief29</f>
        <v>0</v>
      </c>
      <c r="O197" s="60" t="e">
        <f t="shared" si="38"/>
        <v>#DIV/0!</v>
      </c>
      <c r="P197" s="62" t="e">
        <f t="shared" si="39"/>
        <v>#DIV/0!</v>
      </c>
      <c r="Q197" s="60" t="e">
        <f t="shared" si="40"/>
        <v>#DIV/0!</v>
      </c>
      <c r="R197" s="63" t="e">
        <f t="shared" si="41"/>
        <v>#DIV/0!</v>
      </c>
    </row>
    <row r="198" spans="1:18" x14ac:dyDescent="0.2">
      <c r="A198" s="57" t="s">
        <v>340</v>
      </c>
      <c r="B198" s="58" t="s">
        <v>162</v>
      </c>
      <c r="C198" s="58" t="s">
        <v>188</v>
      </c>
      <c r="D198" s="58" t="s">
        <v>291</v>
      </c>
      <c r="E198" s="59" t="s">
        <v>205</v>
      </c>
      <c r="F198" s="58" t="s">
        <v>175</v>
      </c>
      <c r="G198" s="58" t="s">
        <v>131</v>
      </c>
      <c r="H198" s="58" t="s">
        <v>11</v>
      </c>
      <c r="I198" s="58" t="s">
        <v>111</v>
      </c>
      <c r="J198" s="60">
        <v>1.2</v>
      </c>
      <c r="K198" s="60">
        <f t="shared" si="37"/>
        <v>0.72</v>
      </c>
      <c r="L198" s="61">
        <f>prodnorm24</f>
        <v>0</v>
      </c>
      <c r="M198" s="58" t="s">
        <v>33</v>
      </c>
      <c r="N198" s="62">
        <f>uurtarief24</f>
        <v>0</v>
      </c>
      <c r="O198" s="60" t="e">
        <f t="shared" si="38"/>
        <v>#DIV/0!</v>
      </c>
      <c r="P198" s="62" t="e">
        <f t="shared" si="39"/>
        <v>#DIV/0!</v>
      </c>
      <c r="Q198" s="60" t="e">
        <f t="shared" si="40"/>
        <v>#DIV/0!</v>
      </c>
      <c r="R198" s="63" t="e">
        <f t="shared" si="41"/>
        <v>#DIV/0!</v>
      </c>
    </row>
    <row r="199" spans="1:18" x14ac:dyDescent="0.2">
      <c r="A199" s="57" t="s">
        <v>340</v>
      </c>
      <c r="B199" s="58" t="s">
        <v>162</v>
      </c>
      <c r="C199" s="58" t="s">
        <v>188</v>
      </c>
      <c r="D199" s="58" t="s">
        <v>293</v>
      </c>
      <c r="E199" s="59" t="s">
        <v>203</v>
      </c>
      <c r="F199" s="58" t="s">
        <v>175</v>
      </c>
      <c r="G199" s="58" t="s">
        <v>131</v>
      </c>
      <c r="H199" s="58" t="s">
        <v>11</v>
      </c>
      <c r="I199" s="58" t="s">
        <v>111</v>
      </c>
      <c r="J199" s="60">
        <v>1.2</v>
      </c>
      <c r="K199" s="60">
        <f t="shared" si="37"/>
        <v>0.72</v>
      </c>
      <c r="L199" s="61">
        <f>prodnorm24</f>
        <v>0</v>
      </c>
      <c r="M199" s="58" t="s">
        <v>33</v>
      </c>
      <c r="N199" s="62">
        <f>uurtarief24</f>
        <v>0</v>
      </c>
      <c r="O199" s="60" t="e">
        <f t="shared" si="38"/>
        <v>#DIV/0!</v>
      </c>
      <c r="P199" s="62" t="e">
        <f t="shared" si="39"/>
        <v>#DIV/0!</v>
      </c>
      <c r="Q199" s="60" t="e">
        <f t="shared" si="40"/>
        <v>#DIV/0!</v>
      </c>
      <c r="R199" s="63" t="e">
        <f t="shared" si="41"/>
        <v>#DIV/0!</v>
      </c>
    </row>
    <row r="200" spans="1:18" x14ac:dyDescent="0.2">
      <c r="A200" s="64" t="s">
        <v>340</v>
      </c>
      <c r="B200" s="65" t="s">
        <v>162</v>
      </c>
      <c r="C200" s="65" t="s">
        <v>188</v>
      </c>
      <c r="D200" s="65" t="s">
        <v>294</v>
      </c>
      <c r="E200" s="66" t="s">
        <v>186</v>
      </c>
      <c r="F200" s="65" t="s">
        <v>219</v>
      </c>
      <c r="G200" s="65" t="s">
        <v>133</v>
      </c>
      <c r="H200" s="65" t="s">
        <v>11</v>
      </c>
      <c r="I200" s="65" t="s">
        <v>111</v>
      </c>
      <c r="J200" s="67">
        <v>9.6</v>
      </c>
      <c r="K200" s="67">
        <f t="shared" si="37"/>
        <v>5.76</v>
      </c>
      <c r="L200" s="68">
        <f>prodnorm26</f>
        <v>0</v>
      </c>
      <c r="M200" s="65" t="s">
        <v>33</v>
      </c>
      <c r="N200" s="69">
        <f>uurtarief26</f>
        <v>0</v>
      </c>
      <c r="O200" s="67" t="e">
        <f t="shared" si="38"/>
        <v>#DIV/0!</v>
      </c>
      <c r="P200" s="69" t="e">
        <f t="shared" si="39"/>
        <v>#DIV/0!</v>
      </c>
      <c r="Q200" s="67" t="e">
        <f t="shared" si="40"/>
        <v>#DIV/0!</v>
      </c>
      <c r="R200" s="70" t="e">
        <f t="shared" si="41"/>
        <v>#DIV/0!</v>
      </c>
    </row>
    <row r="201" spans="1:18" x14ac:dyDescent="0.2">
      <c r="A201" s="40" t="s">
        <v>200</v>
      </c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3" t="e">
        <f>IF(_xlfn.SINGLE(object5_urenjaar1)&gt;0,_xlfn.SINGLE(object5_prijsjaar1)/_xlfn.SINGLE(object5_urenjaar1),0)</f>
        <v>#DIV/0!</v>
      </c>
      <c r="O201" s="42" t="e">
        <f>SUM(O181:O200)</f>
        <v>#DIV/0!</v>
      </c>
      <c r="P201" s="43" t="e">
        <f>SUM(P181:P200)</f>
        <v>#DIV/0!</v>
      </c>
      <c r="Q201" s="42" t="e">
        <f>SUM(Q181:Q200)</f>
        <v>#DIV/0!</v>
      </c>
      <c r="R201" s="43" t="e">
        <f>SUM(R181:R200)</f>
        <v>#DIV/0!</v>
      </c>
    </row>
  </sheetData>
  <sheetProtection algorithmName="SHA-512" hashValue="leSxB5plwjU/dM2A2yu4QGSBz2a/ekrvrc4QsUo1eUmNQOKGLW3XlhvExYf4Jb9vuiFpqiqkmIBlDNSi0HjfHQ==" saltValue="nFq1L/akcQyPN/dhBQa/AQ==" spinCount="100000" sheet="1" objects="1" scenarios="1" autoFilter="0"/>
  <autoFilter ref="A3:R201" xr:uid="{E85B0DA0-83AE-4DF6-982C-1C28813EFB0F}"/>
  <pageMargins left="0.7" right="0.7" top="0.75" bottom="0.75" header="0.3" footer="0.3"/>
  <pageSetup scale="61" orientation="landscape" r:id="rId1"/>
  <headerFooter>
    <oddFooter>&amp;LGGD Noord- en Oost Gelderland                               &amp;ROpmaakdatum: 19-08-2024
Intexso - Plantageweg 23E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7F6B6-7441-49D4-BA55-15F5FD785540}">
  <dimension ref="A1:M33"/>
  <sheetViews>
    <sheetView workbookViewId="0"/>
  </sheetViews>
  <sheetFormatPr defaultRowHeight="12.75" x14ac:dyDescent="0.2"/>
  <cols>
    <col min="1" max="1" width="5.625" customWidth="1"/>
    <col min="2" max="2" width="6.125" customWidth="1"/>
    <col min="3" max="3" width="11.625" customWidth="1"/>
    <col min="4" max="13" width="12.625" customWidth="1"/>
  </cols>
  <sheetData>
    <row r="1" spans="1:13" x14ac:dyDescent="0.2">
      <c r="A1" s="1" t="s">
        <v>347</v>
      </c>
    </row>
    <row r="3" spans="1:13" ht="25.5" x14ac:dyDescent="0.2">
      <c r="A3" s="72" t="s">
        <v>102</v>
      </c>
      <c r="B3" s="72" t="s">
        <v>7</v>
      </c>
      <c r="C3" s="73" t="s">
        <v>348</v>
      </c>
      <c r="D3" s="73" t="s">
        <v>349</v>
      </c>
      <c r="E3" s="73" t="s">
        <v>350</v>
      </c>
      <c r="F3" s="73" t="s">
        <v>351</v>
      </c>
      <c r="G3" s="73" t="s">
        <v>352</v>
      </c>
      <c r="H3" s="72" t="s">
        <v>353</v>
      </c>
      <c r="I3" s="72" t="s">
        <v>354</v>
      </c>
      <c r="J3" s="72" t="s">
        <v>355</v>
      </c>
      <c r="K3" s="72" t="s">
        <v>356</v>
      </c>
      <c r="L3" s="72" t="s">
        <v>357</v>
      </c>
      <c r="M3" s="72" t="s">
        <v>358</v>
      </c>
    </row>
    <row r="4" spans="1:13" x14ac:dyDescent="0.2">
      <c r="A4" s="74"/>
      <c r="B4" s="74"/>
      <c r="C4" s="74"/>
      <c r="D4" s="74"/>
      <c r="E4" s="74"/>
      <c r="F4" s="74"/>
      <c r="G4" s="74"/>
      <c r="H4" s="74"/>
      <c r="I4" s="75" t="s">
        <v>104</v>
      </c>
      <c r="J4" s="75" t="s">
        <v>104</v>
      </c>
      <c r="K4" s="75" t="s">
        <v>104</v>
      </c>
      <c r="L4" s="75" t="s">
        <v>104</v>
      </c>
      <c r="M4" s="75" t="s">
        <v>104</v>
      </c>
    </row>
    <row r="5" spans="1:13" x14ac:dyDescent="0.2">
      <c r="A5" s="15" t="s">
        <v>110</v>
      </c>
      <c r="B5" s="15" t="s">
        <v>15</v>
      </c>
      <c r="C5" s="15" t="s">
        <v>359</v>
      </c>
      <c r="D5" s="15" t="s">
        <v>111</v>
      </c>
      <c r="E5" s="30">
        <f t="shared" ref="E5:E32" si="0">IF(B5="","",VLOOKUP(B5,dagsoorttabel1,2,FALSE))</f>
        <v>4.6153846153846156E-2</v>
      </c>
      <c r="F5" s="30">
        <v>1</v>
      </c>
      <c r="G5" s="30">
        <f>IF(prodnorm8&gt;0,1/ROUND(prodnorm8,4),0)</f>
        <v>0</v>
      </c>
      <c r="H5" s="32">
        <f>ROUND(uurtarief8,2)</f>
        <v>0</v>
      </c>
      <c r="I5" s="30">
        <v>2.2999999999999998</v>
      </c>
      <c r="J5" s="30">
        <v>0</v>
      </c>
      <c r="K5" s="30">
        <v>33.299999999999997</v>
      </c>
      <c r="L5" s="30">
        <v>0</v>
      </c>
      <c r="M5" s="30">
        <v>0</v>
      </c>
    </row>
    <row r="6" spans="1:13" x14ac:dyDescent="0.2">
      <c r="A6" s="20" t="s">
        <v>113</v>
      </c>
      <c r="B6" s="20" t="s">
        <v>9</v>
      </c>
      <c r="C6" s="20" t="s">
        <v>359</v>
      </c>
      <c r="D6" s="20" t="s">
        <v>111</v>
      </c>
      <c r="E6" s="33">
        <f t="shared" si="0"/>
        <v>1</v>
      </c>
      <c r="F6" s="33">
        <v>1</v>
      </c>
      <c r="G6" s="33">
        <f>IF(prodnorm9&gt;0,1/ROUND(prodnorm9,4),0)</f>
        <v>0</v>
      </c>
      <c r="H6" s="35">
        <f>ROUND(uurtarief9,2)</f>
        <v>0</v>
      </c>
      <c r="I6" s="33">
        <v>0</v>
      </c>
      <c r="J6" s="33">
        <v>0</v>
      </c>
      <c r="K6" s="33">
        <v>48</v>
      </c>
      <c r="L6" s="33">
        <v>4.3</v>
      </c>
      <c r="M6" s="33">
        <v>0</v>
      </c>
    </row>
    <row r="7" spans="1:13" x14ac:dyDescent="0.2">
      <c r="A7" s="20" t="s">
        <v>115</v>
      </c>
      <c r="B7" s="20" t="s">
        <v>11</v>
      </c>
      <c r="C7" s="20" t="s">
        <v>359</v>
      </c>
      <c r="D7" s="20" t="s">
        <v>111</v>
      </c>
      <c r="E7" s="33">
        <f t="shared" si="0"/>
        <v>0.6</v>
      </c>
      <c r="F7" s="33">
        <v>1</v>
      </c>
      <c r="G7" s="33">
        <f>IF(prodnorm10&gt;0,1/ROUND(prodnorm10,4),0)</f>
        <v>0</v>
      </c>
      <c r="H7" s="35">
        <f>ROUND(uurtarief10,2)</f>
        <v>0</v>
      </c>
      <c r="I7" s="33">
        <v>0</v>
      </c>
      <c r="J7" s="33">
        <v>0</v>
      </c>
      <c r="K7" s="33">
        <v>0</v>
      </c>
      <c r="L7" s="33">
        <v>0</v>
      </c>
      <c r="M7" s="33">
        <v>152.5</v>
      </c>
    </row>
    <row r="8" spans="1:13" x14ac:dyDescent="0.2">
      <c r="A8" s="20" t="s">
        <v>115</v>
      </c>
      <c r="B8" s="20" t="s">
        <v>9</v>
      </c>
      <c r="C8" s="20" t="s">
        <v>359</v>
      </c>
      <c r="D8" s="20" t="s">
        <v>111</v>
      </c>
      <c r="E8" s="33">
        <f t="shared" si="0"/>
        <v>1</v>
      </c>
      <c r="F8" s="33">
        <v>1</v>
      </c>
      <c r="G8" s="33">
        <f>IF(prodnorm11&gt;0,1/ROUND(prodnorm11,4),0)</f>
        <v>0</v>
      </c>
      <c r="H8" s="35">
        <f>ROUND(uurtarief11,2)</f>
        <v>0</v>
      </c>
      <c r="I8" s="33">
        <v>47.5</v>
      </c>
      <c r="J8" s="33">
        <v>32.4</v>
      </c>
      <c r="K8" s="33">
        <v>527.4</v>
      </c>
      <c r="L8" s="33">
        <v>77.199999999999989</v>
      </c>
      <c r="M8" s="33">
        <v>0</v>
      </c>
    </row>
    <row r="9" spans="1:13" x14ac:dyDescent="0.2">
      <c r="A9" s="20" t="s">
        <v>117</v>
      </c>
      <c r="B9" s="20" t="s">
        <v>9</v>
      </c>
      <c r="C9" s="20" t="s">
        <v>359</v>
      </c>
      <c r="D9" s="20" t="s">
        <v>111</v>
      </c>
      <c r="E9" s="33">
        <f t="shared" si="0"/>
        <v>1</v>
      </c>
      <c r="F9" s="33">
        <v>1</v>
      </c>
      <c r="G9" s="33">
        <f>IF(prodnorm12&gt;0,1/ROUND(prodnorm12,4),0)</f>
        <v>0</v>
      </c>
      <c r="H9" s="35">
        <f>ROUND(uurtarief12,2)</f>
        <v>0</v>
      </c>
      <c r="I9" s="33">
        <v>0</v>
      </c>
      <c r="J9" s="33">
        <v>0</v>
      </c>
      <c r="K9" s="33">
        <v>8.3000000000000007</v>
      </c>
      <c r="L9" s="33">
        <v>0</v>
      </c>
      <c r="M9" s="33">
        <v>0</v>
      </c>
    </row>
    <row r="10" spans="1:13" x14ac:dyDescent="0.2">
      <c r="A10" s="20" t="s">
        <v>119</v>
      </c>
      <c r="B10" s="20" t="s">
        <v>11</v>
      </c>
      <c r="C10" s="20" t="s">
        <v>359</v>
      </c>
      <c r="D10" s="20" t="s">
        <v>111</v>
      </c>
      <c r="E10" s="33">
        <f t="shared" si="0"/>
        <v>0.6</v>
      </c>
      <c r="F10" s="33">
        <v>1</v>
      </c>
      <c r="G10" s="33">
        <f>IF(prodnorm13&gt;0,1/ROUND(prodnorm13,4),0)</f>
        <v>0</v>
      </c>
      <c r="H10" s="35">
        <f>ROUND(uurtarief13,2)</f>
        <v>0</v>
      </c>
      <c r="I10" s="33">
        <v>0</v>
      </c>
      <c r="J10" s="33">
        <v>0</v>
      </c>
      <c r="K10" s="33">
        <v>0</v>
      </c>
      <c r="L10" s="33">
        <v>0</v>
      </c>
      <c r="M10" s="33">
        <v>5</v>
      </c>
    </row>
    <row r="11" spans="1:13" x14ac:dyDescent="0.2">
      <c r="A11" s="20" t="s">
        <v>119</v>
      </c>
      <c r="B11" s="20" t="s">
        <v>9</v>
      </c>
      <c r="C11" s="20" t="s">
        <v>359</v>
      </c>
      <c r="D11" s="20" t="s">
        <v>111</v>
      </c>
      <c r="E11" s="33">
        <f t="shared" si="0"/>
        <v>1</v>
      </c>
      <c r="F11" s="33">
        <v>1</v>
      </c>
      <c r="G11" s="33">
        <f>IF(prodnorm14&gt;0,1/ROUND(prodnorm14,4),0)</f>
        <v>0</v>
      </c>
      <c r="H11" s="35">
        <f>ROUND(uurtarief14,2)</f>
        <v>0</v>
      </c>
      <c r="I11" s="33">
        <v>3.4</v>
      </c>
      <c r="J11" s="33">
        <v>0</v>
      </c>
      <c r="K11" s="33">
        <v>13</v>
      </c>
      <c r="L11" s="33">
        <v>0</v>
      </c>
      <c r="M11" s="33">
        <v>0</v>
      </c>
    </row>
    <row r="12" spans="1:13" x14ac:dyDescent="0.2">
      <c r="A12" s="20" t="s">
        <v>121</v>
      </c>
      <c r="B12" s="20" t="s">
        <v>9</v>
      </c>
      <c r="C12" s="20" t="s">
        <v>359</v>
      </c>
      <c r="D12" s="20" t="s">
        <v>111</v>
      </c>
      <c r="E12" s="33">
        <f t="shared" si="0"/>
        <v>1</v>
      </c>
      <c r="F12" s="33">
        <v>1</v>
      </c>
      <c r="G12" s="33">
        <f>IF(prodnorm15&gt;0,1/ROUND(prodnorm15,4),0)</f>
        <v>0</v>
      </c>
      <c r="H12" s="35">
        <f>ROUND(uurtarief15,2)</f>
        <v>0</v>
      </c>
      <c r="I12" s="33">
        <v>0</v>
      </c>
      <c r="J12" s="33">
        <v>0</v>
      </c>
      <c r="K12" s="33">
        <v>1.7</v>
      </c>
      <c r="L12" s="33">
        <v>0</v>
      </c>
      <c r="M12" s="33">
        <v>1.8</v>
      </c>
    </row>
    <row r="13" spans="1:13" x14ac:dyDescent="0.2">
      <c r="A13" s="20" t="s">
        <v>123</v>
      </c>
      <c r="B13" s="20" t="s">
        <v>11</v>
      </c>
      <c r="C13" s="20" t="s">
        <v>359</v>
      </c>
      <c r="D13" s="20" t="s">
        <v>111</v>
      </c>
      <c r="E13" s="33">
        <f t="shared" si="0"/>
        <v>0.6</v>
      </c>
      <c r="F13" s="33">
        <v>1</v>
      </c>
      <c r="G13" s="33">
        <f>IF(prodnorm16&gt;0,1/ROUND(prodnorm16,4),0)</f>
        <v>0</v>
      </c>
      <c r="H13" s="35">
        <f>ROUND(uurtarief16,2)</f>
        <v>0</v>
      </c>
      <c r="I13" s="33">
        <v>0</v>
      </c>
      <c r="J13" s="33">
        <v>0</v>
      </c>
      <c r="K13" s="33">
        <v>0</v>
      </c>
      <c r="L13" s="33">
        <v>0</v>
      </c>
      <c r="M13" s="33">
        <v>15.5</v>
      </c>
    </row>
    <row r="14" spans="1:13" x14ac:dyDescent="0.2">
      <c r="A14" s="20" t="s">
        <v>123</v>
      </c>
      <c r="B14" s="20" t="s">
        <v>9</v>
      </c>
      <c r="C14" s="20" t="s">
        <v>359</v>
      </c>
      <c r="D14" s="20" t="s">
        <v>111</v>
      </c>
      <c r="E14" s="33">
        <f t="shared" si="0"/>
        <v>1</v>
      </c>
      <c r="F14" s="33">
        <v>1</v>
      </c>
      <c r="G14" s="33">
        <f>IF(prodnorm17&gt;0,1/ROUND(prodnorm17,4),0)</f>
        <v>0</v>
      </c>
      <c r="H14" s="35">
        <f>ROUND(uurtarief17,2)</f>
        <v>0</v>
      </c>
      <c r="I14" s="33">
        <v>41</v>
      </c>
      <c r="J14" s="33">
        <v>75</v>
      </c>
      <c r="K14" s="33">
        <v>42</v>
      </c>
      <c r="L14" s="33">
        <v>56.099999999999994</v>
      </c>
      <c r="M14" s="33">
        <v>0</v>
      </c>
    </row>
    <row r="15" spans="1:13" x14ac:dyDescent="0.2">
      <c r="A15" s="20" t="s">
        <v>125</v>
      </c>
      <c r="B15" s="20" t="s">
        <v>11</v>
      </c>
      <c r="C15" s="20" t="s">
        <v>359</v>
      </c>
      <c r="D15" s="20" t="s">
        <v>111</v>
      </c>
      <c r="E15" s="33">
        <f t="shared" si="0"/>
        <v>0.6</v>
      </c>
      <c r="F15" s="33">
        <v>1</v>
      </c>
      <c r="G15" s="33">
        <f>IF(prodnorm18&gt;0,1/ROUND(prodnorm18,4),0)</f>
        <v>0</v>
      </c>
      <c r="H15" s="35">
        <f>ROUND(uurtarief18,2)</f>
        <v>0</v>
      </c>
      <c r="I15" s="33">
        <v>0</v>
      </c>
      <c r="J15" s="33">
        <v>0</v>
      </c>
      <c r="K15" s="33">
        <v>0</v>
      </c>
      <c r="L15" s="33">
        <v>0</v>
      </c>
      <c r="M15" s="33">
        <v>12.4</v>
      </c>
    </row>
    <row r="16" spans="1:13" x14ac:dyDescent="0.2">
      <c r="A16" s="20" t="s">
        <v>125</v>
      </c>
      <c r="B16" s="20" t="s">
        <v>9</v>
      </c>
      <c r="C16" s="20" t="s">
        <v>359</v>
      </c>
      <c r="D16" s="20" t="s">
        <v>111</v>
      </c>
      <c r="E16" s="33">
        <f t="shared" si="0"/>
        <v>1</v>
      </c>
      <c r="F16" s="33">
        <v>1</v>
      </c>
      <c r="G16" s="33">
        <f>IF(prodnorm19&gt;0,1/ROUND(prodnorm19,4),0)</f>
        <v>0</v>
      </c>
      <c r="H16" s="35">
        <f>ROUND(uurtarief19,2)</f>
        <v>0</v>
      </c>
      <c r="I16" s="33">
        <v>8.3000000000000007</v>
      </c>
      <c r="J16" s="33">
        <v>7.7</v>
      </c>
      <c r="K16" s="33">
        <v>42</v>
      </c>
      <c r="L16" s="33">
        <v>0</v>
      </c>
      <c r="M16" s="33">
        <v>0</v>
      </c>
    </row>
    <row r="17" spans="1:13" x14ac:dyDescent="0.2">
      <c r="A17" s="20" t="s">
        <v>127</v>
      </c>
      <c r="B17" s="20" t="s">
        <v>11</v>
      </c>
      <c r="C17" s="20" t="s">
        <v>359</v>
      </c>
      <c r="D17" s="20" t="s">
        <v>111</v>
      </c>
      <c r="E17" s="33">
        <f t="shared" si="0"/>
        <v>0.6</v>
      </c>
      <c r="F17" s="33">
        <v>1</v>
      </c>
      <c r="G17" s="33">
        <f>IF(prodnorm20&gt;0,1/ROUND(prodnorm20,4),0)</f>
        <v>0</v>
      </c>
      <c r="H17" s="35">
        <f>ROUND(uurtarief20,2)</f>
        <v>0</v>
      </c>
      <c r="I17" s="33">
        <v>0</v>
      </c>
      <c r="J17" s="33">
        <v>0</v>
      </c>
      <c r="K17" s="33">
        <v>0</v>
      </c>
      <c r="L17" s="33">
        <v>0</v>
      </c>
      <c r="M17" s="33">
        <v>52</v>
      </c>
    </row>
    <row r="18" spans="1:13" x14ac:dyDescent="0.2">
      <c r="A18" s="20" t="s">
        <v>127</v>
      </c>
      <c r="B18" s="20" t="s">
        <v>9</v>
      </c>
      <c r="C18" s="20" t="s">
        <v>359</v>
      </c>
      <c r="D18" s="20" t="s">
        <v>111</v>
      </c>
      <c r="E18" s="33">
        <f t="shared" si="0"/>
        <v>1</v>
      </c>
      <c r="F18" s="33">
        <v>1</v>
      </c>
      <c r="G18" s="33">
        <f>IF(prodnorm21&gt;0,1/ROUND(prodnorm21,4),0)</f>
        <v>0</v>
      </c>
      <c r="H18" s="35">
        <f>ROUND(uurtarief21,2)</f>
        <v>0</v>
      </c>
      <c r="I18" s="33">
        <v>0</v>
      </c>
      <c r="J18" s="33">
        <v>0</v>
      </c>
      <c r="K18" s="33">
        <v>190</v>
      </c>
      <c r="L18" s="33">
        <v>14</v>
      </c>
      <c r="M18" s="33">
        <v>0</v>
      </c>
    </row>
    <row r="19" spans="1:13" x14ac:dyDescent="0.2">
      <c r="A19" s="20" t="s">
        <v>129</v>
      </c>
      <c r="B19" s="20" t="s">
        <v>11</v>
      </c>
      <c r="C19" s="20" t="s">
        <v>359</v>
      </c>
      <c r="D19" s="20" t="s">
        <v>111</v>
      </c>
      <c r="E19" s="33">
        <f t="shared" si="0"/>
        <v>0.6</v>
      </c>
      <c r="F19" s="33">
        <v>1</v>
      </c>
      <c r="G19" s="33">
        <f>IF(prodnorm22&gt;0,1/ROUND(prodnorm22,4),0)</f>
        <v>0</v>
      </c>
      <c r="H19" s="35">
        <f>ROUND(uurtarief22,2)</f>
        <v>0</v>
      </c>
      <c r="I19" s="33">
        <v>0</v>
      </c>
      <c r="J19" s="33">
        <v>0</v>
      </c>
      <c r="K19" s="33">
        <v>0</v>
      </c>
      <c r="L19" s="33">
        <v>0</v>
      </c>
      <c r="M19" s="33">
        <v>29</v>
      </c>
    </row>
    <row r="20" spans="1:13" x14ac:dyDescent="0.2">
      <c r="A20" s="20" t="s">
        <v>129</v>
      </c>
      <c r="B20" s="20" t="s">
        <v>9</v>
      </c>
      <c r="C20" s="20" t="s">
        <v>359</v>
      </c>
      <c r="D20" s="20" t="s">
        <v>111</v>
      </c>
      <c r="E20" s="33">
        <f t="shared" si="0"/>
        <v>1</v>
      </c>
      <c r="F20" s="33">
        <v>1</v>
      </c>
      <c r="G20" s="33">
        <f>IF(prodnorm23&gt;0,1/ROUND(prodnorm23,4),0)</f>
        <v>0</v>
      </c>
      <c r="H20" s="35">
        <f>ROUND(uurtarief23,2)</f>
        <v>0</v>
      </c>
      <c r="I20" s="33">
        <v>0</v>
      </c>
      <c r="J20" s="33">
        <v>19</v>
      </c>
      <c r="K20" s="33">
        <v>275</v>
      </c>
      <c r="L20" s="33">
        <v>33</v>
      </c>
      <c r="M20" s="33">
        <v>0</v>
      </c>
    </row>
    <row r="21" spans="1:13" x14ac:dyDescent="0.2">
      <c r="A21" s="20" t="s">
        <v>131</v>
      </c>
      <c r="B21" s="20" t="s">
        <v>11</v>
      </c>
      <c r="C21" s="20" t="s">
        <v>359</v>
      </c>
      <c r="D21" s="20" t="s">
        <v>111</v>
      </c>
      <c r="E21" s="33">
        <f t="shared" si="0"/>
        <v>0.6</v>
      </c>
      <c r="F21" s="33">
        <v>1</v>
      </c>
      <c r="G21" s="33">
        <f>IF(prodnorm24&gt;0,1/ROUND(prodnorm24,4),0)</f>
        <v>0</v>
      </c>
      <c r="H21" s="35">
        <f>ROUND(uurtarief24,2)</f>
        <v>0</v>
      </c>
      <c r="I21" s="33">
        <v>0</v>
      </c>
      <c r="J21" s="33">
        <v>0</v>
      </c>
      <c r="K21" s="33">
        <v>0</v>
      </c>
      <c r="L21" s="33">
        <v>0</v>
      </c>
      <c r="M21" s="33">
        <v>3.9</v>
      </c>
    </row>
    <row r="22" spans="1:13" x14ac:dyDescent="0.2">
      <c r="A22" s="20" t="s">
        <v>131</v>
      </c>
      <c r="B22" s="20" t="s">
        <v>9</v>
      </c>
      <c r="C22" s="20" t="s">
        <v>359</v>
      </c>
      <c r="D22" s="20" t="s">
        <v>111</v>
      </c>
      <c r="E22" s="33">
        <f t="shared" si="0"/>
        <v>1</v>
      </c>
      <c r="F22" s="33">
        <v>1</v>
      </c>
      <c r="G22" s="33">
        <f>IF(prodnorm25&gt;0,1/ROUND(prodnorm25,4),0)</f>
        <v>0</v>
      </c>
      <c r="H22" s="35">
        <f>ROUND(uurtarief25,2)</f>
        <v>0</v>
      </c>
      <c r="I22" s="33">
        <v>3</v>
      </c>
      <c r="J22" s="33">
        <v>11.649999999999999</v>
      </c>
      <c r="K22" s="33">
        <v>65.699999999999989</v>
      </c>
      <c r="L22" s="33">
        <v>27.799999999999997</v>
      </c>
      <c r="M22" s="33">
        <v>0</v>
      </c>
    </row>
    <row r="23" spans="1:13" x14ac:dyDescent="0.2">
      <c r="A23" s="20" t="s">
        <v>133</v>
      </c>
      <c r="B23" s="20" t="s">
        <v>11</v>
      </c>
      <c r="C23" s="20" t="s">
        <v>359</v>
      </c>
      <c r="D23" s="20" t="s">
        <v>111</v>
      </c>
      <c r="E23" s="33">
        <f t="shared" si="0"/>
        <v>0.6</v>
      </c>
      <c r="F23" s="33">
        <v>1</v>
      </c>
      <c r="G23" s="33">
        <f>IF(prodnorm26&gt;0,1/ROUND(prodnorm26,4),0)</f>
        <v>0</v>
      </c>
      <c r="H23" s="35">
        <f>ROUND(uurtarief26,2)</f>
        <v>0</v>
      </c>
      <c r="I23" s="33">
        <v>0</v>
      </c>
      <c r="J23" s="33">
        <v>0</v>
      </c>
      <c r="K23" s="33">
        <v>0</v>
      </c>
      <c r="L23" s="33">
        <v>0</v>
      </c>
      <c r="M23" s="33">
        <v>19.2</v>
      </c>
    </row>
    <row r="24" spans="1:13" x14ac:dyDescent="0.2">
      <c r="A24" s="20" t="s">
        <v>133</v>
      </c>
      <c r="B24" s="20" t="s">
        <v>9</v>
      </c>
      <c r="C24" s="20" t="s">
        <v>359</v>
      </c>
      <c r="D24" s="20" t="s">
        <v>111</v>
      </c>
      <c r="E24" s="33">
        <f t="shared" si="0"/>
        <v>1</v>
      </c>
      <c r="F24" s="33">
        <v>1</v>
      </c>
      <c r="G24" s="33">
        <f>IF(prodnorm27&gt;0,1/ROUND(prodnorm27,4),0)</f>
        <v>0</v>
      </c>
      <c r="H24" s="35">
        <f>ROUND(uurtarief27,2)</f>
        <v>0</v>
      </c>
      <c r="I24" s="33">
        <v>7</v>
      </c>
      <c r="J24" s="33">
        <v>0</v>
      </c>
      <c r="K24" s="33">
        <v>35.5</v>
      </c>
      <c r="L24" s="33">
        <v>0</v>
      </c>
      <c r="M24" s="33">
        <v>0</v>
      </c>
    </row>
    <row r="25" spans="1:13" x14ac:dyDescent="0.2">
      <c r="A25" s="20" t="s">
        <v>135</v>
      </c>
      <c r="B25" s="20" t="s">
        <v>9</v>
      </c>
      <c r="C25" s="20" t="s">
        <v>359</v>
      </c>
      <c r="D25" s="20" t="s">
        <v>111</v>
      </c>
      <c r="E25" s="33">
        <f t="shared" si="0"/>
        <v>1</v>
      </c>
      <c r="F25" s="33">
        <v>1</v>
      </c>
      <c r="G25" s="33">
        <f>IF(prodnorm28&gt;0,1/ROUND(prodnorm28,4),0)</f>
        <v>0</v>
      </c>
      <c r="H25" s="35">
        <f>ROUND(uurtarief28,2)</f>
        <v>0</v>
      </c>
      <c r="I25" s="33">
        <v>0</v>
      </c>
      <c r="J25" s="33">
        <v>0</v>
      </c>
      <c r="K25" s="33">
        <v>19.5</v>
      </c>
      <c r="L25" s="33">
        <v>0</v>
      </c>
      <c r="M25" s="33">
        <v>0</v>
      </c>
    </row>
    <row r="26" spans="1:13" x14ac:dyDescent="0.2">
      <c r="A26" s="20" t="s">
        <v>137</v>
      </c>
      <c r="B26" s="20" t="s">
        <v>11</v>
      </c>
      <c r="C26" s="20" t="s">
        <v>359</v>
      </c>
      <c r="D26" s="20" t="s">
        <v>111</v>
      </c>
      <c r="E26" s="33">
        <f t="shared" si="0"/>
        <v>0.6</v>
      </c>
      <c r="F26" s="33">
        <v>1</v>
      </c>
      <c r="G26" s="33">
        <f>IF(prodnorm29&gt;0,1/ROUND(prodnorm29,4),0)</f>
        <v>0</v>
      </c>
      <c r="H26" s="35">
        <f>ROUND(uurtarief29,2)</f>
        <v>0</v>
      </c>
      <c r="I26" s="33">
        <v>0</v>
      </c>
      <c r="J26" s="33">
        <v>0</v>
      </c>
      <c r="K26" s="33">
        <v>0</v>
      </c>
      <c r="L26" s="33">
        <v>0</v>
      </c>
      <c r="M26" s="33">
        <v>59.5</v>
      </c>
    </row>
    <row r="27" spans="1:13" x14ac:dyDescent="0.2">
      <c r="A27" s="20" t="s">
        <v>137</v>
      </c>
      <c r="B27" s="20" t="s">
        <v>9</v>
      </c>
      <c r="C27" s="20" t="s">
        <v>359</v>
      </c>
      <c r="D27" s="20" t="s">
        <v>111</v>
      </c>
      <c r="E27" s="33">
        <f t="shared" si="0"/>
        <v>1</v>
      </c>
      <c r="F27" s="33">
        <v>1</v>
      </c>
      <c r="G27" s="33">
        <f>IF(prodnorm30&gt;0,1/ROUND(prodnorm30,4),0)</f>
        <v>0</v>
      </c>
      <c r="H27" s="35">
        <f>ROUND(uurtarief30,2)</f>
        <v>0</v>
      </c>
      <c r="I27" s="33">
        <v>8.1999999999999993</v>
      </c>
      <c r="J27" s="33">
        <v>52.7</v>
      </c>
      <c r="K27" s="33">
        <v>458.8</v>
      </c>
      <c r="L27" s="33">
        <v>61.1</v>
      </c>
      <c r="M27" s="33">
        <v>0</v>
      </c>
    </row>
    <row r="28" spans="1:13" x14ac:dyDescent="0.2">
      <c r="A28" s="20" t="s">
        <v>140</v>
      </c>
      <c r="B28" s="20" t="s">
        <v>11</v>
      </c>
      <c r="C28" s="20" t="s">
        <v>359</v>
      </c>
      <c r="D28" s="20" t="s">
        <v>111</v>
      </c>
      <c r="E28" s="33">
        <f t="shared" si="0"/>
        <v>0.6</v>
      </c>
      <c r="F28" s="33">
        <v>1</v>
      </c>
      <c r="G28" s="33">
        <f>IF(prodnorm31&gt;0,1/ROUND(prodnorm31,4),0)</f>
        <v>0</v>
      </c>
      <c r="H28" s="35">
        <f>ROUND(uurtarief31,2)</f>
        <v>0</v>
      </c>
      <c r="I28" s="33">
        <v>0</v>
      </c>
      <c r="J28" s="33">
        <v>0</v>
      </c>
      <c r="K28" s="33">
        <v>0</v>
      </c>
      <c r="L28" s="33">
        <v>0</v>
      </c>
      <c r="M28" s="33">
        <v>13.2</v>
      </c>
    </row>
    <row r="29" spans="1:13" x14ac:dyDescent="0.2">
      <c r="A29" s="20" t="s">
        <v>140</v>
      </c>
      <c r="B29" s="20" t="s">
        <v>9</v>
      </c>
      <c r="C29" s="20" t="s">
        <v>359</v>
      </c>
      <c r="D29" s="20" t="s">
        <v>111</v>
      </c>
      <c r="E29" s="33">
        <f t="shared" si="0"/>
        <v>1</v>
      </c>
      <c r="F29" s="33">
        <v>1</v>
      </c>
      <c r="G29" s="33">
        <f>IF(prodnorm32&gt;0,1/ROUND(prodnorm32,4),0)</f>
        <v>0</v>
      </c>
      <c r="H29" s="35">
        <f>ROUND(uurtarief32,2)</f>
        <v>0</v>
      </c>
      <c r="I29" s="33">
        <v>3</v>
      </c>
      <c r="J29" s="33">
        <v>0</v>
      </c>
      <c r="K29" s="33">
        <v>511.30000000000007</v>
      </c>
      <c r="L29" s="33">
        <v>5.4</v>
      </c>
      <c r="M29" s="33">
        <v>0</v>
      </c>
    </row>
    <row r="30" spans="1:13" x14ac:dyDescent="0.2">
      <c r="A30" s="20" t="s">
        <v>142</v>
      </c>
      <c r="B30" s="20" t="s">
        <v>9</v>
      </c>
      <c r="C30" s="20" t="s">
        <v>359</v>
      </c>
      <c r="D30" s="20" t="s">
        <v>111</v>
      </c>
      <c r="E30" s="33">
        <f t="shared" si="0"/>
        <v>1</v>
      </c>
      <c r="F30" s="33">
        <v>1</v>
      </c>
      <c r="G30" s="33">
        <f>IF(prodnorm33&gt;0,1/ROUND(prodnorm33,4),0)</f>
        <v>0</v>
      </c>
      <c r="H30" s="35">
        <f>ROUND(uurtarief33,2)</f>
        <v>0</v>
      </c>
      <c r="I30" s="33">
        <v>18.899999999999999</v>
      </c>
      <c r="J30" s="33">
        <v>0</v>
      </c>
      <c r="K30" s="33">
        <v>27.5</v>
      </c>
      <c r="L30" s="33">
        <v>43.2</v>
      </c>
      <c r="M30" s="33">
        <v>0</v>
      </c>
    </row>
    <row r="31" spans="1:13" x14ac:dyDescent="0.2">
      <c r="A31" s="20" t="s">
        <v>144</v>
      </c>
      <c r="B31" s="20" t="s">
        <v>9</v>
      </c>
      <c r="C31" s="20" t="s">
        <v>359</v>
      </c>
      <c r="D31" s="20" t="s">
        <v>111</v>
      </c>
      <c r="E31" s="33">
        <f t="shared" si="0"/>
        <v>1</v>
      </c>
      <c r="F31" s="33">
        <v>1</v>
      </c>
      <c r="G31" s="33">
        <f>IF(prodnorm34&gt;0,1/ROUND(prodnorm34,4),0)</f>
        <v>0</v>
      </c>
      <c r="H31" s="35">
        <f>ROUND(uurtarief34,2)</f>
        <v>0</v>
      </c>
      <c r="I31" s="33">
        <v>0</v>
      </c>
      <c r="J31" s="33">
        <v>0</v>
      </c>
      <c r="K31" s="33">
        <v>13</v>
      </c>
      <c r="L31" s="33">
        <v>0</v>
      </c>
      <c r="M31" s="33">
        <v>0</v>
      </c>
    </row>
    <row r="32" spans="1:13" x14ac:dyDescent="0.2">
      <c r="A32" s="25" t="s">
        <v>146</v>
      </c>
      <c r="B32" s="25" t="s">
        <v>9</v>
      </c>
      <c r="C32" s="25" t="s">
        <v>359</v>
      </c>
      <c r="D32" s="25" t="s">
        <v>147</v>
      </c>
      <c r="E32" s="36">
        <f t="shared" si="0"/>
        <v>1</v>
      </c>
      <c r="F32" s="36">
        <v>1</v>
      </c>
      <c r="G32" s="36">
        <f>ROUND(prodnorm7,4)/60</f>
        <v>0</v>
      </c>
      <c r="H32" s="38">
        <f>ROUND(uurtarief7,2)</f>
        <v>0</v>
      </c>
      <c r="I32" s="36">
        <v>1</v>
      </c>
      <c r="J32" s="36">
        <v>1</v>
      </c>
      <c r="K32" s="36">
        <v>0</v>
      </c>
      <c r="L32" s="36">
        <v>1</v>
      </c>
      <c r="M32" s="36">
        <v>0</v>
      </c>
    </row>
    <row r="33" spans="1:13" x14ac:dyDescent="0.2">
      <c r="A33" s="40" t="s">
        <v>150</v>
      </c>
      <c r="B33" s="41"/>
      <c r="C33" s="41"/>
      <c r="D33" s="41"/>
      <c r="E33" s="41"/>
      <c r="F33" s="41"/>
      <c r="G33" s="41"/>
      <c r="H33" s="41"/>
      <c r="I33" s="76"/>
      <c r="J33" s="76"/>
      <c r="K33" s="76"/>
      <c r="L33" s="76"/>
      <c r="M33" s="76"/>
    </row>
  </sheetData>
  <sheetProtection algorithmName="SHA-512" hashValue="t6wRHeDkzQN3mvmKKj8zVsAgzGj9UF4mAg9kF2Waol7Ey4zLGiQQrVzcpiOPQ43akUVwJsebvIZPSQPEaBc//Q==" saltValue="vOrbHukeAc4Jg6Ga47+7Qw==" spinCount="100000" sheet="1" objects="1" scenarios="1" autoFilter="0"/>
  <pageMargins left="0.7" right="0.7" top="0.75" bottom="0.75" header="0.3" footer="0.3"/>
  <pageSetup scale="70" orientation="landscape" r:id="rId1"/>
  <headerFooter>
    <oddFooter>&amp;LGGD Noord- en Oost Gelderland                               &amp;ROpmaakdatum: 19-08-2024
Intexso - Plantageweg 23E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243AD-DEB6-4DA5-93DB-0F0B3455CA02}">
  <dimension ref="A1:O16"/>
  <sheetViews>
    <sheetView workbookViewId="0"/>
  </sheetViews>
  <sheetFormatPr defaultRowHeight="12.75" x14ac:dyDescent="0.2"/>
  <cols>
    <col min="1" max="1" width="8.625" customWidth="1"/>
    <col min="2" max="2" width="28.625" customWidth="1"/>
    <col min="3" max="4" width="15.625" customWidth="1"/>
    <col min="5" max="5" width="6.125" customWidth="1"/>
    <col min="6" max="6" width="10.625" customWidth="1"/>
    <col min="7" max="12" width="12.125" customWidth="1"/>
    <col min="13" max="13" width="12.625" customWidth="1"/>
    <col min="14" max="14" width="14.625" customWidth="1"/>
    <col min="15" max="15" width="13.625" customWidth="1"/>
  </cols>
  <sheetData>
    <row r="1" spans="1:15" x14ac:dyDescent="0.2">
      <c r="A1" s="1" t="str">
        <f>CONCATENATE("Bijlage D.4: ",tabeltype," objecten")</f>
        <v>Bijlage D.4: Invultabel objecten</v>
      </c>
    </row>
    <row r="3" spans="1:15" ht="38.25" x14ac:dyDescent="0.2">
      <c r="A3" s="8" t="s">
        <v>153</v>
      </c>
      <c r="B3" s="8" t="s">
        <v>360</v>
      </c>
      <c r="C3" s="8" t="s">
        <v>361</v>
      </c>
      <c r="D3" s="8" t="s">
        <v>362</v>
      </c>
      <c r="E3" s="8" t="s">
        <v>7</v>
      </c>
      <c r="F3" s="8" t="s">
        <v>363</v>
      </c>
      <c r="G3" s="8" t="s">
        <v>364</v>
      </c>
      <c r="H3" s="8" t="s">
        <v>365</v>
      </c>
      <c r="I3" s="8" t="s">
        <v>366</v>
      </c>
      <c r="J3" s="8" t="s">
        <v>367</v>
      </c>
      <c r="K3" s="8" t="s">
        <v>368</v>
      </c>
      <c r="L3" s="8" t="s">
        <v>369</v>
      </c>
      <c r="M3" s="8" t="s">
        <v>108</v>
      </c>
      <c r="N3" s="8" t="s">
        <v>109</v>
      </c>
      <c r="O3" s="8" t="s">
        <v>370</v>
      </c>
    </row>
    <row r="4" spans="1:15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1"/>
    </row>
    <row r="5" spans="1:15" x14ac:dyDescent="0.2">
      <c r="A5" s="12" t="s">
        <v>29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4"/>
    </row>
    <row r="6" spans="1:15" x14ac:dyDescent="0.2">
      <c r="A6" s="15" t="s">
        <v>161</v>
      </c>
      <c r="B6" s="15" t="s">
        <v>371</v>
      </c>
      <c r="C6" s="15" t="s">
        <v>372</v>
      </c>
      <c r="D6" s="15" t="s">
        <v>373</v>
      </c>
      <c r="E6" s="77" t="s">
        <v>9</v>
      </c>
      <c r="F6" s="78">
        <f>gemuurtarief1</f>
        <v>0</v>
      </c>
      <c r="G6" s="30">
        <f>SUMPRODUCT(taakfreqtabel1,uurfactortabel1,kengetaltabel1,object1_opptabel1)*(1/VLOOKUP(E6,dagsoorttabel1,2,FALSE))</f>
        <v>0</v>
      </c>
      <c r="H6" s="17"/>
      <c r="I6" s="30">
        <f>G6+H6</f>
        <v>0</v>
      </c>
      <c r="J6" s="32">
        <f>SUMPRODUCT(taakfreqtabel1,kengetaltabel1,tarieftabel1,object1_opptabel1)*(1/VLOOKUP(E6,dagsoorttabel1,2,FALSE))</f>
        <v>0</v>
      </c>
      <c r="K6" s="32">
        <f>F6*H6</f>
        <v>0</v>
      </c>
      <c r="L6" s="32">
        <f>SUM(J6:K6)</f>
        <v>0</v>
      </c>
      <c r="M6" s="30">
        <f>I6*dagenperjaar1*VLOOKUP(E6,dagsoorttabel1,2,FALSE)</f>
        <v>0</v>
      </c>
      <c r="N6" s="32">
        <f>L6*dagenperjaar1*VLOOKUP(E6,dagsoorttabel1,2,FALSE)</f>
        <v>0</v>
      </c>
      <c r="O6" s="32">
        <f>N6/12</f>
        <v>0</v>
      </c>
    </row>
    <row r="7" spans="1:15" x14ac:dyDescent="0.2">
      <c r="A7" s="20" t="s">
        <v>202</v>
      </c>
      <c r="B7" s="20" t="s">
        <v>371</v>
      </c>
      <c r="C7" s="20" t="s">
        <v>374</v>
      </c>
      <c r="D7" s="20" t="s">
        <v>373</v>
      </c>
      <c r="E7" s="79" t="s">
        <v>9</v>
      </c>
      <c r="F7" s="80">
        <f>gemuurtarief1</f>
        <v>0</v>
      </c>
      <c r="G7" s="33">
        <f>SUMPRODUCT(taakfreqtabel1,uurfactortabel1,kengetaltabel1,object2_opptabel1)*(1/VLOOKUP(E7,dagsoorttabel1,2,FALSE))</f>
        <v>0</v>
      </c>
      <c r="H7" s="22"/>
      <c r="I7" s="33">
        <f>G7+H7</f>
        <v>0</v>
      </c>
      <c r="J7" s="35">
        <f>SUMPRODUCT(taakfreqtabel1,kengetaltabel1,tarieftabel1,object2_opptabel1)*(1/VLOOKUP(E7,dagsoorttabel1,2,FALSE))</f>
        <v>0</v>
      </c>
      <c r="K7" s="35">
        <f>F7*H7</f>
        <v>0</v>
      </c>
      <c r="L7" s="35">
        <f>SUM(J7:K7)</f>
        <v>0</v>
      </c>
      <c r="M7" s="33">
        <f>I7*dagenperjaar1*VLOOKUP(E7,dagsoorttabel1,2,FALSE)</f>
        <v>0</v>
      </c>
      <c r="N7" s="35">
        <f>L7*dagenperjaar1*VLOOKUP(E7,dagsoorttabel1,2,FALSE)</f>
        <v>0</v>
      </c>
      <c r="O7" s="35">
        <f>N7/12</f>
        <v>0</v>
      </c>
    </row>
    <row r="8" spans="1:15" x14ac:dyDescent="0.2">
      <c r="A8" s="20" t="s">
        <v>215</v>
      </c>
      <c r="B8" s="20" t="s">
        <v>375</v>
      </c>
      <c r="C8" s="20" t="s">
        <v>376</v>
      </c>
      <c r="D8" s="20" t="s">
        <v>377</v>
      </c>
      <c r="E8" s="79" t="s">
        <v>9</v>
      </c>
      <c r="F8" s="80">
        <f>gemuurtarief1</f>
        <v>0</v>
      </c>
      <c r="G8" s="33">
        <f>SUMPRODUCT(taakfreqtabel1,uurfactortabel1,kengetaltabel1,object3_opptabel1)*(1/VLOOKUP(E8,dagsoorttabel1,2,FALSE))</f>
        <v>0</v>
      </c>
      <c r="H8" s="22"/>
      <c r="I8" s="33">
        <f>G8+H8</f>
        <v>0</v>
      </c>
      <c r="J8" s="35">
        <f>SUMPRODUCT(taakfreqtabel1,kengetaltabel1,tarieftabel1,object3_opptabel1)*(1/VLOOKUP(E8,dagsoorttabel1,2,FALSE))</f>
        <v>0</v>
      </c>
      <c r="K8" s="35">
        <f>F8*H8</f>
        <v>0</v>
      </c>
      <c r="L8" s="35">
        <f>SUM(J8:K8)</f>
        <v>0</v>
      </c>
      <c r="M8" s="33">
        <f>I8*dagenperjaar1*VLOOKUP(E8,dagsoorttabel1,2,FALSE)</f>
        <v>0</v>
      </c>
      <c r="N8" s="35">
        <f>L8*dagenperjaar1*VLOOKUP(E8,dagsoorttabel1,2,FALSE)</f>
        <v>0</v>
      </c>
      <c r="O8" s="35">
        <f>N8/12</f>
        <v>0</v>
      </c>
    </row>
    <row r="9" spans="1:15" x14ac:dyDescent="0.2">
      <c r="A9" s="20" t="s">
        <v>336</v>
      </c>
      <c r="B9" s="20" t="s">
        <v>378</v>
      </c>
      <c r="C9" s="20" t="s">
        <v>379</v>
      </c>
      <c r="D9" s="20" t="s">
        <v>380</v>
      </c>
      <c r="E9" s="79" t="s">
        <v>9</v>
      </c>
      <c r="F9" s="80">
        <f>gemuurtarief1</f>
        <v>0</v>
      </c>
      <c r="G9" s="33">
        <f>SUMPRODUCT(taakfreqtabel1,uurfactortabel1,kengetaltabel1,object4_opptabel1)*(1/VLOOKUP(E9,dagsoorttabel1,2,FALSE))</f>
        <v>0</v>
      </c>
      <c r="H9" s="22"/>
      <c r="I9" s="33">
        <f>G9+H9</f>
        <v>0</v>
      </c>
      <c r="J9" s="35">
        <f>SUMPRODUCT(taakfreqtabel1,kengetaltabel1,tarieftabel1,object4_opptabel1)*(1/VLOOKUP(E9,dagsoorttabel1,2,FALSE))</f>
        <v>0</v>
      </c>
      <c r="K9" s="35">
        <f>F9*H9</f>
        <v>0</v>
      </c>
      <c r="L9" s="35">
        <f>SUM(J9:K9)</f>
        <v>0</v>
      </c>
      <c r="M9" s="33">
        <f>I9*dagenperjaar1*VLOOKUP(E9,dagsoorttabel1,2,FALSE)</f>
        <v>0</v>
      </c>
      <c r="N9" s="35">
        <f>L9*dagenperjaar1*VLOOKUP(E9,dagsoorttabel1,2,FALSE)</f>
        <v>0</v>
      </c>
      <c r="O9" s="35">
        <f>N9/12</f>
        <v>0</v>
      </c>
    </row>
    <row r="10" spans="1:15" x14ac:dyDescent="0.2">
      <c r="A10" s="25" t="s">
        <v>340</v>
      </c>
      <c r="B10" s="25" t="s">
        <v>381</v>
      </c>
      <c r="C10" s="25" t="s">
        <v>382</v>
      </c>
      <c r="D10" s="25" t="s">
        <v>377</v>
      </c>
      <c r="E10" s="81" t="s">
        <v>9</v>
      </c>
      <c r="F10" s="82">
        <f>gemuurtarief1</f>
        <v>0</v>
      </c>
      <c r="G10" s="36">
        <f>SUMPRODUCT(taakfreqtabel1,uurfactortabel1,kengetaltabel1,object5_opptabel1)*(1/VLOOKUP(E10,dagsoorttabel1,2,FALSE))</f>
        <v>0</v>
      </c>
      <c r="H10" s="27"/>
      <c r="I10" s="36">
        <f>G10+H10</f>
        <v>0</v>
      </c>
      <c r="J10" s="38">
        <f>SUMPRODUCT(taakfreqtabel1,kengetaltabel1,tarieftabel1,object5_opptabel1)*(1/VLOOKUP(E10,dagsoorttabel1,2,FALSE))</f>
        <v>0</v>
      </c>
      <c r="K10" s="38">
        <f>F10*H10</f>
        <v>0</v>
      </c>
      <c r="L10" s="38">
        <f>SUM(J10:K10)</f>
        <v>0</v>
      </c>
      <c r="M10" s="36">
        <f>I10*dagenperjaar1*VLOOKUP(E10,dagsoorttabel1,2,FALSE)</f>
        <v>0</v>
      </c>
      <c r="N10" s="38">
        <f>L10*dagenperjaar1*VLOOKUP(E10,dagsoorttabel1,2,FALSE)</f>
        <v>0</v>
      </c>
      <c r="O10" s="38">
        <f>N10/12</f>
        <v>0</v>
      </c>
    </row>
    <row r="11" spans="1:15" x14ac:dyDescent="0.2">
      <c r="A11" s="40" t="s">
        <v>150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2">
        <f>SUM(M6:M10)</f>
        <v>0</v>
      </c>
      <c r="N11" s="43">
        <f>SUM(N6:N10)</f>
        <v>0</v>
      </c>
      <c r="O11" s="44">
        <f>SUM(O6:O10)</f>
        <v>0</v>
      </c>
    </row>
    <row r="12" spans="1:15" x14ac:dyDescent="0.2">
      <c r="A12" s="45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6"/>
    </row>
    <row r="14" spans="1:15" x14ac:dyDescent="0.2">
      <c r="A14" s="40" t="s">
        <v>383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2">
        <f>urenjaartotaal1</f>
        <v>0</v>
      </c>
      <c r="N14" s="43">
        <f>prijsjaartotaal1</f>
        <v>0</v>
      </c>
      <c r="O14" s="43">
        <f>prijsmaandtotaal1</f>
        <v>0</v>
      </c>
    </row>
    <row r="16" spans="1:15" x14ac:dyDescent="0.2">
      <c r="A16" s="40" t="s">
        <v>384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3">
        <f>N14*1.21</f>
        <v>0</v>
      </c>
      <c r="O16" s="43">
        <f>O14*1.21</f>
        <v>0</v>
      </c>
    </row>
  </sheetData>
  <sheetProtection algorithmName="SHA-512" hashValue="rDIumF6jUh5MAHLTpP75Jq9eOcC+HdrbsS0FWB+UF830tpgjBLwRJ73Wm1EagI5aYFOYPw9rgmi7EzF8L7RcBw==" saltValue="/E98R+m55JD2q9hlHDL/Rw==" spinCount="100000" sheet="1" objects="1" scenarios="1" autoFilter="0"/>
  <pageMargins left="0.7" right="0.7" top="0.75" bottom="0.75" header="0.3" footer="0.3"/>
  <pageSetup scale="65" orientation="landscape" r:id="rId1"/>
  <headerFooter>
    <oddFooter>&amp;LGGD Noord- en Oost Gelderland                               &amp;ROpmaakdatum: 19-08-2024
Intexso - Plantageweg 23E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57072-228E-40D2-8461-B1595CEE2787}">
  <dimension ref="A1:K51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40.625" customWidth="1"/>
    <col min="5" max="5" width="11.625" customWidth="1"/>
    <col min="6" max="7" width="14.625" customWidth="1"/>
    <col min="8" max="8" width="12.625" customWidth="1"/>
    <col min="9" max="10" width="14.625" customWidth="1"/>
    <col min="11" max="11" width="13.625" customWidth="1"/>
  </cols>
  <sheetData>
    <row r="1" spans="1:11" x14ac:dyDescent="0.2">
      <c r="A1" s="1" t="str">
        <f>CONCATENATE("Bijlage D.5: ",tabeltype," niet-meewerkende objectleiding")</f>
        <v>Bijlage D.5: Invultabel niet-meewerkende objectleiding</v>
      </c>
    </row>
    <row r="3" spans="1:11" ht="38.25" x14ac:dyDescent="0.2">
      <c r="A3" s="8" t="s">
        <v>385</v>
      </c>
      <c r="B3" s="8" t="s">
        <v>7</v>
      </c>
      <c r="C3" s="8" t="s">
        <v>386</v>
      </c>
      <c r="D3" s="8" t="s">
        <v>387</v>
      </c>
      <c r="E3" s="8" t="s">
        <v>388</v>
      </c>
      <c r="F3" s="8" t="s">
        <v>389</v>
      </c>
      <c r="G3" s="8" t="s">
        <v>390</v>
      </c>
      <c r="H3" s="8" t="s">
        <v>108</v>
      </c>
      <c r="I3" s="8" t="s">
        <v>391</v>
      </c>
      <c r="J3" s="8" t="s">
        <v>392</v>
      </c>
      <c r="K3" s="8" t="s">
        <v>393</v>
      </c>
    </row>
    <row r="4" spans="1:11" x14ac:dyDescent="0.2">
      <c r="A4" s="83"/>
      <c r="B4" s="84"/>
      <c r="C4" s="84"/>
      <c r="D4" s="84"/>
      <c r="E4" s="84"/>
      <c r="F4" s="84"/>
      <c r="G4" s="84"/>
      <c r="H4" s="84"/>
      <c r="I4" s="84"/>
      <c r="J4" s="84"/>
      <c r="K4" s="85"/>
    </row>
    <row r="5" spans="1:11" x14ac:dyDescent="0.2">
      <c r="A5" s="12" t="s">
        <v>29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x14ac:dyDescent="0.2">
      <c r="A6" s="9"/>
      <c r="B6" s="10"/>
      <c r="C6" s="10"/>
      <c r="D6" s="10"/>
      <c r="E6" s="10"/>
      <c r="F6" s="10"/>
      <c r="G6" s="10"/>
      <c r="H6" s="10"/>
      <c r="I6" s="10"/>
      <c r="J6" s="10"/>
      <c r="K6" s="11"/>
    </row>
    <row r="7" spans="1:11" x14ac:dyDescent="0.2">
      <c r="A7" s="86" t="s">
        <v>160</v>
      </c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1" x14ac:dyDescent="0.2">
      <c r="A8" s="15"/>
      <c r="B8" s="15"/>
      <c r="C8" s="87">
        <f>dagenperjaar1</f>
        <v>260</v>
      </c>
      <c r="D8" s="88" t="s">
        <v>394</v>
      </c>
      <c r="E8" s="19"/>
      <c r="F8" s="18"/>
      <c r="G8" s="89"/>
      <c r="H8" s="30">
        <f>IF(ISBLANK(G8),0,G8*C8)+IF(ISBLANK(F8),0,F8*objecturen1_1)</f>
        <v>0</v>
      </c>
      <c r="I8" s="30">
        <f>IF(C8=0,0,H8/C8)</f>
        <v>0</v>
      </c>
      <c r="J8" s="32">
        <f>IF(ISBLANK(E8),0,ROUND(E8,2)*H8)</f>
        <v>0</v>
      </c>
      <c r="K8" s="32">
        <f>J8/12</f>
        <v>0</v>
      </c>
    </row>
    <row r="9" spans="1:11" x14ac:dyDescent="0.2">
      <c r="A9" s="20"/>
      <c r="B9" s="20"/>
      <c r="C9" s="90">
        <f>dagenperjaar1</f>
        <v>260</v>
      </c>
      <c r="D9" s="91" t="s">
        <v>394</v>
      </c>
      <c r="E9" s="24"/>
      <c r="F9" s="23"/>
      <c r="G9" s="92"/>
      <c r="H9" s="33">
        <f>IF(ISBLANK(G9),0,G9*C9)+IF(ISBLANK(F9),0,F9*objecturen1_1)</f>
        <v>0</v>
      </c>
      <c r="I9" s="33">
        <f>IF(C9=0,0,H9/C9)</f>
        <v>0</v>
      </c>
      <c r="J9" s="35">
        <f>IF(ISBLANK(E9),0,ROUND(E9,2)*H9)</f>
        <v>0</v>
      </c>
      <c r="K9" s="35">
        <f>J9/12</f>
        <v>0</v>
      </c>
    </row>
    <row r="10" spans="1:11" x14ac:dyDescent="0.2">
      <c r="A10" s="20"/>
      <c r="B10" s="20"/>
      <c r="C10" s="90">
        <f>dagenperjaar1</f>
        <v>260</v>
      </c>
      <c r="D10" s="91" t="s">
        <v>395</v>
      </c>
      <c r="E10" s="24"/>
      <c r="F10" s="93"/>
      <c r="G10" s="22"/>
      <c r="H10" s="33">
        <f>IF(ISBLANK(G10),0,G10*C10)+IF(ISBLANK(F10),0,F10*objecturen1_1)</f>
        <v>0</v>
      </c>
      <c r="I10" s="33">
        <f>IF(C10=0,0,H10/C10)</f>
        <v>0</v>
      </c>
      <c r="J10" s="35">
        <f>IF(ISBLANK(E10),0,ROUND(E10,2)*H10)</f>
        <v>0</v>
      </c>
      <c r="K10" s="35">
        <f>J10/12</f>
        <v>0</v>
      </c>
    </row>
    <row r="11" spans="1:11" x14ac:dyDescent="0.2">
      <c r="A11" s="25"/>
      <c r="B11" s="25"/>
      <c r="C11" s="94">
        <f>dagenperjaar1</f>
        <v>260</v>
      </c>
      <c r="D11" s="95" t="s">
        <v>395</v>
      </c>
      <c r="E11" s="29"/>
      <c r="F11" s="96"/>
      <c r="G11" s="27"/>
      <c r="H11" s="36">
        <f>IF(ISBLANK(G11),0,G11*C11)+IF(ISBLANK(F11),0,F11*objecturen1_1)</f>
        <v>0</v>
      </c>
      <c r="I11" s="36">
        <f>IF(C11=0,0,H11/C11)</f>
        <v>0</v>
      </c>
      <c r="J11" s="38">
        <f>IF(ISBLANK(E11),0,ROUND(E11,2)*H11)</f>
        <v>0</v>
      </c>
      <c r="K11" s="38">
        <f>J11/12</f>
        <v>0</v>
      </c>
    </row>
    <row r="12" spans="1:11" x14ac:dyDescent="0.2">
      <c r="A12" s="97" t="s">
        <v>396</v>
      </c>
      <c r="B12" s="41"/>
      <c r="C12" s="41"/>
      <c r="D12" s="41"/>
      <c r="E12" s="41"/>
      <c r="F12" s="41"/>
      <c r="G12" s="41"/>
      <c r="H12" s="42">
        <f>SUM(H8:H11)</f>
        <v>0</v>
      </c>
      <c r="I12" s="41"/>
      <c r="J12" s="43">
        <f>SUM(J8:J11)</f>
        <v>0</v>
      </c>
      <c r="K12" s="44">
        <f>SUM(K8:K11)</f>
        <v>0</v>
      </c>
    </row>
    <row r="13" spans="1:11" x14ac:dyDescent="0.2">
      <c r="A13" s="45"/>
      <c r="B13" s="41"/>
      <c r="C13" s="41"/>
      <c r="D13" s="41"/>
      <c r="E13" s="41"/>
      <c r="F13" s="41"/>
      <c r="G13" s="41"/>
      <c r="H13" s="41"/>
      <c r="I13" s="41"/>
      <c r="J13" s="41"/>
      <c r="K13" s="46"/>
    </row>
    <row r="14" spans="1:11" x14ac:dyDescent="0.2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1"/>
    </row>
    <row r="15" spans="1:11" x14ac:dyDescent="0.2">
      <c r="A15" s="86" t="s">
        <v>201</v>
      </c>
      <c r="B15" s="13"/>
      <c r="C15" s="13"/>
      <c r="D15" s="13"/>
      <c r="E15" s="13"/>
      <c r="F15" s="13"/>
      <c r="G15" s="13"/>
      <c r="H15" s="13"/>
      <c r="I15" s="13"/>
      <c r="J15" s="13"/>
      <c r="K15" s="14"/>
    </row>
    <row r="16" spans="1:11" x14ac:dyDescent="0.2">
      <c r="A16" s="15"/>
      <c r="B16" s="15"/>
      <c r="C16" s="87">
        <f>dagenperjaar1</f>
        <v>260</v>
      </c>
      <c r="D16" s="88" t="s">
        <v>394</v>
      </c>
      <c r="E16" s="19"/>
      <c r="F16" s="18"/>
      <c r="G16" s="89"/>
      <c r="H16" s="30">
        <f>IF(ISBLANK(G16),0,G16*C16)+IF(ISBLANK(F16),0,F16*objecturen2_1)</f>
        <v>0</v>
      </c>
      <c r="I16" s="30">
        <f>IF(C16=0,0,H16/C16)</f>
        <v>0</v>
      </c>
      <c r="J16" s="32">
        <f>IF(ISBLANK(E16),0,ROUND(E16,2)*H16)</f>
        <v>0</v>
      </c>
      <c r="K16" s="32">
        <f>J16/12</f>
        <v>0</v>
      </c>
    </row>
    <row r="17" spans="1:11" x14ac:dyDescent="0.2">
      <c r="A17" s="20"/>
      <c r="B17" s="20"/>
      <c r="C17" s="90">
        <f>dagenperjaar1</f>
        <v>260</v>
      </c>
      <c r="D17" s="91" t="s">
        <v>394</v>
      </c>
      <c r="E17" s="24"/>
      <c r="F17" s="23"/>
      <c r="G17" s="92"/>
      <c r="H17" s="33">
        <f>IF(ISBLANK(G17),0,G17*C17)+IF(ISBLANK(F17),0,F17*objecturen2_1)</f>
        <v>0</v>
      </c>
      <c r="I17" s="33">
        <f>IF(C17=0,0,H17/C17)</f>
        <v>0</v>
      </c>
      <c r="J17" s="35">
        <f>IF(ISBLANK(E17),0,ROUND(E17,2)*H17)</f>
        <v>0</v>
      </c>
      <c r="K17" s="35">
        <f>J17/12</f>
        <v>0</v>
      </c>
    </row>
    <row r="18" spans="1:11" x14ac:dyDescent="0.2">
      <c r="A18" s="20"/>
      <c r="B18" s="20"/>
      <c r="C18" s="90">
        <f>dagenperjaar1</f>
        <v>260</v>
      </c>
      <c r="D18" s="91" t="s">
        <v>395</v>
      </c>
      <c r="E18" s="24"/>
      <c r="F18" s="93"/>
      <c r="G18" s="22"/>
      <c r="H18" s="33">
        <f>IF(ISBLANK(G18),0,G18*C18)+IF(ISBLANK(F18),0,F18*objecturen2_1)</f>
        <v>0</v>
      </c>
      <c r="I18" s="33">
        <f>IF(C18=0,0,H18/C18)</f>
        <v>0</v>
      </c>
      <c r="J18" s="35">
        <f>IF(ISBLANK(E18),0,ROUND(E18,2)*H18)</f>
        <v>0</v>
      </c>
      <c r="K18" s="35">
        <f>J18/12</f>
        <v>0</v>
      </c>
    </row>
    <row r="19" spans="1:11" x14ac:dyDescent="0.2">
      <c r="A19" s="25"/>
      <c r="B19" s="25"/>
      <c r="C19" s="94">
        <f>dagenperjaar1</f>
        <v>260</v>
      </c>
      <c r="D19" s="95" t="s">
        <v>395</v>
      </c>
      <c r="E19" s="29"/>
      <c r="F19" s="96"/>
      <c r="G19" s="27"/>
      <c r="H19" s="36">
        <f>IF(ISBLANK(G19),0,G19*C19)+IF(ISBLANK(F19),0,F19*objecturen2_1)</f>
        <v>0</v>
      </c>
      <c r="I19" s="36">
        <f>IF(C19=0,0,H19/C19)</f>
        <v>0</v>
      </c>
      <c r="J19" s="38">
        <f>IF(ISBLANK(E19),0,ROUND(E19,2)*H19)</f>
        <v>0</v>
      </c>
      <c r="K19" s="38">
        <f>J19/12</f>
        <v>0</v>
      </c>
    </row>
    <row r="20" spans="1:11" x14ac:dyDescent="0.2">
      <c r="A20" s="97" t="s">
        <v>397</v>
      </c>
      <c r="B20" s="41"/>
      <c r="C20" s="41"/>
      <c r="D20" s="41"/>
      <c r="E20" s="41"/>
      <c r="F20" s="41"/>
      <c r="G20" s="41"/>
      <c r="H20" s="42">
        <f>SUM(H16:H19)</f>
        <v>0</v>
      </c>
      <c r="I20" s="41"/>
      <c r="J20" s="43">
        <f>SUM(J16:J19)</f>
        <v>0</v>
      </c>
      <c r="K20" s="44">
        <f>SUM(K16:K19)</f>
        <v>0</v>
      </c>
    </row>
    <row r="21" spans="1:11" x14ac:dyDescent="0.2">
      <c r="A21" s="45"/>
      <c r="B21" s="41"/>
      <c r="C21" s="41"/>
      <c r="D21" s="41"/>
      <c r="E21" s="41"/>
      <c r="F21" s="41"/>
      <c r="G21" s="41"/>
      <c r="H21" s="41"/>
      <c r="I21" s="41"/>
      <c r="J21" s="41"/>
      <c r="K21" s="46"/>
    </row>
    <row r="22" spans="1:11" x14ac:dyDescent="0.2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1"/>
    </row>
    <row r="23" spans="1:11" x14ac:dyDescent="0.2">
      <c r="A23" s="86" t="s">
        <v>214</v>
      </c>
      <c r="B23" s="13"/>
      <c r="C23" s="13"/>
      <c r="D23" s="13"/>
      <c r="E23" s="13"/>
      <c r="F23" s="13"/>
      <c r="G23" s="13"/>
      <c r="H23" s="13"/>
      <c r="I23" s="13"/>
      <c r="J23" s="13"/>
      <c r="K23" s="14"/>
    </row>
    <row r="24" spans="1:11" x14ac:dyDescent="0.2">
      <c r="A24" s="15"/>
      <c r="B24" s="15"/>
      <c r="C24" s="87">
        <f>dagenperjaar1</f>
        <v>260</v>
      </c>
      <c r="D24" s="88" t="s">
        <v>394</v>
      </c>
      <c r="E24" s="19"/>
      <c r="F24" s="18"/>
      <c r="G24" s="89"/>
      <c r="H24" s="30">
        <f>IF(ISBLANK(G24),0,G24*C24)+IF(ISBLANK(F24),0,F24*objecturen3_1)</f>
        <v>0</v>
      </c>
      <c r="I24" s="30">
        <f>IF(C24=0,0,H24/C24)</f>
        <v>0</v>
      </c>
      <c r="J24" s="32">
        <f>IF(ISBLANK(E24),0,ROUND(E24,2)*H24)</f>
        <v>0</v>
      </c>
      <c r="K24" s="32">
        <f>J24/12</f>
        <v>0</v>
      </c>
    </row>
    <row r="25" spans="1:11" x14ac:dyDescent="0.2">
      <c r="A25" s="20"/>
      <c r="B25" s="20"/>
      <c r="C25" s="90">
        <f>dagenperjaar1</f>
        <v>260</v>
      </c>
      <c r="D25" s="91" t="s">
        <v>394</v>
      </c>
      <c r="E25" s="24"/>
      <c r="F25" s="23"/>
      <c r="G25" s="92"/>
      <c r="H25" s="33">
        <f>IF(ISBLANK(G25),0,G25*C25)+IF(ISBLANK(F25),0,F25*objecturen3_1)</f>
        <v>0</v>
      </c>
      <c r="I25" s="33">
        <f>IF(C25=0,0,H25/C25)</f>
        <v>0</v>
      </c>
      <c r="J25" s="35">
        <f>IF(ISBLANK(E25),0,ROUND(E25,2)*H25)</f>
        <v>0</v>
      </c>
      <c r="K25" s="35">
        <f>J25/12</f>
        <v>0</v>
      </c>
    </row>
    <row r="26" spans="1:11" x14ac:dyDescent="0.2">
      <c r="A26" s="20"/>
      <c r="B26" s="20"/>
      <c r="C26" s="90">
        <f>dagenperjaar1</f>
        <v>260</v>
      </c>
      <c r="D26" s="91" t="s">
        <v>395</v>
      </c>
      <c r="E26" s="24"/>
      <c r="F26" s="93"/>
      <c r="G26" s="22"/>
      <c r="H26" s="33">
        <f>IF(ISBLANK(G26),0,G26*C26)+IF(ISBLANK(F26),0,F26*objecturen3_1)</f>
        <v>0</v>
      </c>
      <c r="I26" s="33">
        <f>IF(C26=0,0,H26/C26)</f>
        <v>0</v>
      </c>
      <c r="J26" s="35">
        <f>IF(ISBLANK(E26),0,ROUND(E26,2)*H26)</f>
        <v>0</v>
      </c>
      <c r="K26" s="35">
        <f>J26/12</f>
        <v>0</v>
      </c>
    </row>
    <row r="27" spans="1:11" x14ac:dyDescent="0.2">
      <c r="A27" s="25"/>
      <c r="B27" s="25"/>
      <c r="C27" s="94">
        <f>dagenperjaar1</f>
        <v>260</v>
      </c>
      <c r="D27" s="95" t="s">
        <v>395</v>
      </c>
      <c r="E27" s="29"/>
      <c r="F27" s="96"/>
      <c r="G27" s="27"/>
      <c r="H27" s="36">
        <f>IF(ISBLANK(G27),0,G27*C27)+IF(ISBLANK(F27),0,F27*objecturen3_1)</f>
        <v>0</v>
      </c>
      <c r="I27" s="36">
        <f>IF(C27=0,0,H27/C27)</f>
        <v>0</v>
      </c>
      <c r="J27" s="38">
        <f>IF(ISBLANK(E27),0,ROUND(E27,2)*H27)</f>
        <v>0</v>
      </c>
      <c r="K27" s="38">
        <f>J27/12</f>
        <v>0</v>
      </c>
    </row>
    <row r="28" spans="1:11" x14ac:dyDescent="0.2">
      <c r="A28" s="97" t="s">
        <v>398</v>
      </c>
      <c r="B28" s="41"/>
      <c r="C28" s="41"/>
      <c r="D28" s="41"/>
      <c r="E28" s="41"/>
      <c r="F28" s="41"/>
      <c r="G28" s="41"/>
      <c r="H28" s="42">
        <f>SUM(H24:H27)</f>
        <v>0</v>
      </c>
      <c r="I28" s="41"/>
      <c r="J28" s="43">
        <f>SUM(J24:J27)</f>
        <v>0</v>
      </c>
      <c r="K28" s="44">
        <f>SUM(K24:K27)</f>
        <v>0</v>
      </c>
    </row>
    <row r="29" spans="1:11" x14ac:dyDescent="0.2">
      <c r="A29" s="45"/>
      <c r="B29" s="41"/>
      <c r="C29" s="41"/>
      <c r="D29" s="41"/>
      <c r="E29" s="41"/>
      <c r="F29" s="41"/>
      <c r="G29" s="41"/>
      <c r="H29" s="41"/>
      <c r="I29" s="41"/>
      <c r="J29" s="41"/>
      <c r="K29" s="46"/>
    </row>
    <row r="30" spans="1:11" x14ac:dyDescent="0.2">
      <c r="A30" s="9"/>
      <c r="B30" s="10"/>
      <c r="C30" s="10"/>
      <c r="D30" s="10"/>
      <c r="E30" s="10"/>
      <c r="F30" s="10"/>
      <c r="G30" s="10"/>
      <c r="H30" s="10"/>
      <c r="I30" s="10"/>
      <c r="J30" s="10"/>
      <c r="K30" s="11"/>
    </row>
    <row r="31" spans="1:11" x14ac:dyDescent="0.2">
      <c r="A31" s="86" t="s">
        <v>335</v>
      </c>
      <c r="B31" s="13"/>
      <c r="C31" s="13"/>
      <c r="D31" s="13"/>
      <c r="E31" s="13"/>
      <c r="F31" s="13"/>
      <c r="G31" s="13"/>
      <c r="H31" s="13"/>
      <c r="I31" s="13"/>
      <c r="J31" s="13"/>
      <c r="K31" s="14"/>
    </row>
    <row r="32" spans="1:11" x14ac:dyDescent="0.2">
      <c r="A32" s="15"/>
      <c r="B32" s="15"/>
      <c r="C32" s="87">
        <f>dagenperjaar1</f>
        <v>260</v>
      </c>
      <c r="D32" s="88" t="s">
        <v>394</v>
      </c>
      <c r="E32" s="19"/>
      <c r="F32" s="18"/>
      <c r="G32" s="89"/>
      <c r="H32" s="30">
        <f>IF(ISBLANK(G32),0,G32*C32)+IF(ISBLANK(F32),0,F32*objecturen4_1)</f>
        <v>0</v>
      </c>
      <c r="I32" s="30">
        <f>IF(C32=0,0,H32/C32)</f>
        <v>0</v>
      </c>
      <c r="J32" s="32">
        <f>IF(ISBLANK(E32),0,ROUND(E32,2)*H32)</f>
        <v>0</v>
      </c>
      <c r="K32" s="32">
        <f>J32/12</f>
        <v>0</v>
      </c>
    </row>
    <row r="33" spans="1:11" x14ac:dyDescent="0.2">
      <c r="A33" s="20"/>
      <c r="B33" s="20"/>
      <c r="C33" s="90">
        <f>dagenperjaar1</f>
        <v>260</v>
      </c>
      <c r="D33" s="91" t="s">
        <v>394</v>
      </c>
      <c r="E33" s="24"/>
      <c r="F33" s="23"/>
      <c r="G33" s="92"/>
      <c r="H33" s="33">
        <f>IF(ISBLANK(G33),0,G33*C33)+IF(ISBLANK(F33),0,F33*objecturen4_1)</f>
        <v>0</v>
      </c>
      <c r="I33" s="33">
        <f>IF(C33=0,0,H33/C33)</f>
        <v>0</v>
      </c>
      <c r="J33" s="35">
        <f>IF(ISBLANK(E33),0,ROUND(E33,2)*H33)</f>
        <v>0</v>
      </c>
      <c r="K33" s="35">
        <f>J33/12</f>
        <v>0</v>
      </c>
    </row>
    <row r="34" spans="1:11" x14ac:dyDescent="0.2">
      <c r="A34" s="20"/>
      <c r="B34" s="20"/>
      <c r="C34" s="90">
        <f>dagenperjaar1</f>
        <v>260</v>
      </c>
      <c r="D34" s="91" t="s">
        <v>395</v>
      </c>
      <c r="E34" s="24"/>
      <c r="F34" s="93"/>
      <c r="G34" s="22"/>
      <c r="H34" s="33">
        <f>IF(ISBLANK(G34),0,G34*C34)+IF(ISBLANK(F34),0,F34*objecturen4_1)</f>
        <v>0</v>
      </c>
      <c r="I34" s="33">
        <f>IF(C34=0,0,H34/C34)</f>
        <v>0</v>
      </c>
      <c r="J34" s="35">
        <f>IF(ISBLANK(E34),0,ROUND(E34,2)*H34)</f>
        <v>0</v>
      </c>
      <c r="K34" s="35">
        <f>J34/12</f>
        <v>0</v>
      </c>
    </row>
    <row r="35" spans="1:11" x14ac:dyDescent="0.2">
      <c r="A35" s="25"/>
      <c r="B35" s="25"/>
      <c r="C35" s="94">
        <f>dagenperjaar1</f>
        <v>260</v>
      </c>
      <c r="D35" s="95" t="s">
        <v>395</v>
      </c>
      <c r="E35" s="29"/>
      <c r="F35" s="96"/>
      <c r="G35" s="27"/>
      <c r="H35" s="36">
        <f>IF(ISBLANK(G35),0,G35*C35)+IF(ISBLANK(F35),0,F35*objecturen4_1)</f>
        <v>0</v>
      </c>
      <c r="I35" s="36">
        <f>IF(C35=0,0,H35/C35)</f>
        <v>0</v>
      </c>
      <c r="J35" s="38">
        <f>IF(ISBLANK(E35),0,ROUND(E35,2)*H35)</f>
        <v>0</v>
      </c>
      <c r="K35" s="38">
        <f>J35/12</f>
        <v>0</v>
      </c>
    </row>
    <row r="36" spans="1:11" x14ac:dyDescent="0.2">
      <c r="A36" s="97" t="s">
        <v>399</v>
      </c>
      <c r="B36" s="41"/>
      <c r="C36" s="41"/>
      <c r="D36" s="41"/>
      <c r="E36" s="41"/>
      <c r="F36" s="41"/>
      <c r="G36" s="41"/>
      <c r="H36" s="42">
        <f>SUM(H32:H35)</f>
        <v>0</v>
      </c>
      <c r="I36" s="41"/>
      <c r="J36" s="43">
        <f>SUM(J32:J35)</f>
        <v>0</v>
      </c>
      <c r="K36" s="44">
        <f>SUM(K32:K35)</f>
        <v>0</v>
      </c>
    </row>
    <row r="37" spans="1:11" x14ac:dyDescent="0.2">
      <c r="A37" s="45"/>
      <c r="B37" s="41"/>
      <c r="C37" s="41"/>
      <c r="D37" s="41"/>
      <c r="E37" s="41"/>
      <c r="F37" s="41"/>
      <c r="G37" s="41"/>
      <c r="H37" s="41"/>
      <c r="I37" s="41"/>
      <c r="J37" s="41"/>
      <c r="K37" s="46"/>
    </row>
    <row r="38" spans="1:11" x14ac:dyDescent="0.2">
      <c r="A38" s="9"/>
      <c r="B38" s="10"/>
      <c r="C38" s="10"/>
      <c r="D38" s="10"/>
      <c r="E38" s="10"/>
      <c r="F38" s="10"/>
      <c r="G38" s="10"/>
      <c r="H38" s="10"/>
      <c r="I38" s="10"/>
      <c r="J38" s="10"/>
      <c r="K38" s="11"/>
    </row>
    <row r="39" spans="1:11" x14ac:dyDescent="0.2">
      <c r="A39" s="86" t="s">
        <v>339</v>
      </c>
      <c r="B39" s="13"/>
      <c r="C39" s="13"/>
      <c r="D39" s="13"/>
      <c r="E39" s="13"/>
      <c r="F39" s="13"/>
      <c r="G39" s="13"/>
      <c r="H39" s="13"/>
      <c r="I39" s="13"/>
      <c r="J39" s="13"/>
      <c r="K39" s="14"/>
    </row>
    <row r="40" spans="1:11" x14ac:dyDescent="0.2">
      <c r="A40" s="15"/>
      <c r="B40" s="15"/>
      <c r="C40" s="87">
        <f>dagenperjaar1</f>
        <v>260</v>
      </c>
      <c r="D40" s="88" t="s">
        <v>394</v>
      </c>
      <c r="E40" s="19"/>
      <c r="F40" s="18"/>
      <c r="G40" s="89"/>
      <c r="H40" s="30">
        <f>IF(ISBLANK(G40),0,G40*C40)+IF(ISBLANK(F40),0,F40*objecturen5_1)</f>
        <v>0</v>
      </c>
      <c r="I40" s="30">
        <f>IF(C40=0,0,H40/C40)</f>
        <v>0</v>
      </c>
      <c r="J40" s="32">
        <f>IF(ISBLANK(E40),0,ROUND(E40,2)*H40)</f>
        <v>0</v>
      </c>
      <c r="K40" s="32">
        <f>J40/12</f>
        <v>0</v>
      </c>
    </row>
    <row r="41" spans="1:11" x14ac:dyDescent="0.2">
      <c r="A41" s="20"/>
      <c r="B41" s="20"/>
      <c r="C41" s="90">
        <f>dagenperjaar1</f>
        <v>260</v>
      </c>
      <c r="D41" s="91" t="s">
        <v>394</v>
      </c>
      <c r="E41" s="24"/>
      <c r="F41" s="23"/>
      <c r="G41" s="92"/>
      <c r="H41" s="33">
        <f>IF(ISBLANK(G41),0,G41*C41)+IF(ISBLANK(F41),0,F41*objecturen5_1)</f>
        <v>0</v>
      </c>
      <c r="I41" s="33">
        <f>IF(C41=0,0,H41/C41)</f>
        <v>0</v>
      </c>
      <c r="J41" s="35">
        <f>IF(ISBLANK(E41),0,ROUND(E41,2)*H41)</f>
        <v>0</v>
      </c>
      <c r="K41" s="35">
        <f>J41/12</f>
        <v>0</v>
      </c>
    </row>
    <row r="42" spans="1:11" x14ac:dyDescent="0.2">
      <c r="A42" s="20"/>
      <c r="B42" s="20"/>
      <c r="C42" s="90">
        <f>dagenperjaar1</f>
        <v>260</v>
      </c>
      <c r="D42" s="91" t="s">
        <v>395</v>
      </c>
      <c r="E42" s="24"/>
      <c r="F42" s="93"/>
      <c r="G42" s="22"/>
      <c r="H42" s="33">
        <f>IF(ISBLANK(G42),0,G42*C42)+IF(ISBLANK(F42),0,F42*objecturen5_1)</f>
        <v>0</v>
      </c>
      <c r="I42" s="33">
        <f>IF(C42=0,0,H42/C42)</f>
        <v>0</v>
      </c>
      <c r="J42" s="35">
        <f>IF(ISBLANK(E42),0,ROUND(E42,2)*H42)</f>
        <v>0</v>
      </c>
      <c r="K42" s="35">
        <f>J42/12</f>
        <v>0</v>
      </c>
    </row>
    <row r="43" spans="1:11" x14ac:dyDescent="0.2">
      <c r="A43" s="25"/>
      <c r="B43" s="25"/>
      <c r="C43" s="94">
        <f>dagenperjaar1</f>
        <v>260</v>
      </c>
      <c r="D43" s="95" t="s">
        <v>395</v>
      </c>
      <c r="E43" s="29"/>
      <c r="F43" s="96"/>
      <c r="G43" s="27"/>
      <c r="H43" s="36">
        <f>IF(ISBLANK(G43),0,G43*C43)+IF(ISBLANK(F43),0,F43*objecturen5_1)</f>
        <v>0</v>
      </c>
      <c r="I43" s="36">
        <f>IF(C43=0,0,H43/C43)</f>
        <v>0</v>
      </c>
      <c r="J43" s="38">
        <f>IF(ISBLANK(E43),0,ROUND(E43,2)*H43)</f>
        <v>0</v>
      </c>
      <c r="K43" s="38">
        <f>J43/12</f>
        <v>0</v>
      </c>
    </row>
    <row r="44" spans="1:11" x14ac:dyDescent="0.2">
      <c r="A44" s="97" t="s">
        <v>400</v>
      </c>
      <c r="B44" s="41"/>
      <c r="C44" s="41"/>
      <c r="D44" s="41"/>
      <c r="E44" s="41"/>
      <c r="F44" s="41"/>
      <c r="G44" s="41"/>
      <c r="H44" s="42">
        <f>SUM(H40:H43)</f>
        <v>0</v>
      </c>
      <c r="I44" s="41"/>
      <c r="J44" s="43">
        <f>SUM(J40:J43)</f>
        <v>0</v>
      </c>
      <c r="K44" s="44">
        <f>SUM(K40:K43)</f>
        <v>0</v>
      </c>
    </row>
    <row r="45" spans="1:11" x14ac:dyDescent="0.2">
      <c r="A45" s="45"/>
      <c r="B45" s="41"/>
      <c r="C45" s="41"/>
      <c r="D45" s="41"/>
      <c r="E45" s="41"/>
      <c r="F45" s="41"/>
      <c r="G45" s="41"/>
      <c r="H45" s="41"/>
      <c r="I45" s="41"/>
      <c r="J45" s="41"/>
      <c r="K45" s="46"/>
    </row>
    <row r="46" spans="1:11" x14ac:dyDescent="0.2">
      <c r="A46" s="40" t="s">
        <v>150</v>
      </c>
      <c r="B46" s="41"/>
      <c r="C46" s="41"/>
      <c r="D46" s="41"/>
      <c r="E46" s="41"/>
      <c r="F46" s="41"/>
      <c r="G46" s="41"/>
      <c r="H46" s="42">
        <f>tzujt1_1+tzujt2_1+tzujt3_1+tzujt4_1+tzujt5_1</f>
        <v>0</v>
      </c>
      <c r="I46" s="41"/>
      <c r="J46" s="43">
        <f>tzpjt1_1+tzpjt2_1+tzpjt3_1+tzpjt4_1+tzpjt5_1</f>
        <v>0</v>
      </c>
      <c r="K46" s="44">
        <f>tzpmt1_1+tzpmt2_1+tzpmt3_1+tzpmt4_1+tzpmt5_1</f>
        <v>0</v>
      </c>
    </row>
    <row r="47" spans="1:11" x14ac:dyDescent="0.2">
      <c r="A47" s="45"/>
      <c r="B47" s="41"/>
      <c r="C47" s="41"/>
      <c r="D47" s="41"/>
      <c r="E47" s="41"/>
      <c r="F47" s="41"/>
      <c r="G47" s="41"/>
      <c r="H47" s="41"/>
      <c r="I47" s="41"/>
      <c r="J47" s="41"/>
      <c r="K47" s="46"/>
    </row>
    <row r="49" spans="1:11" x14ac:dyDescent="0.2">
      <c r="A49" s="40" t="s">
        <v>401</v>
      </c>
      <c r="B49" s="41"/>
      <c r="C49" s="41"/>
      <c r="D49" s="41"/>
      <c r="E49" s="41"/>
      <c r="F49" s="41"/>
      <c r="G49" s="41"/>
      <c r="H49" s="42">
        <f>tzujt1</f>
        <v>0</v>
      </c>
      <c r="I49" s="41"/>
      <c r="J49" s="43">
        <f>tzpjt1</f>
        <v>0</v>
      </c>
      <c r="K49" s="43">
        <f>tzpmt1</f>
        <v>0</v>
      </c>
    </row>
    <row r="51" spans="1:11" x14ac:dyDescent="0.2">
      <c r="A51" s="40" t="s">
        <v>402</v>
      </c>
      <c r="B51" s="41"/>
      <c r="C51" s="41"/>
      <c r="D51" s="41"/>
      <c r="E51" s="41"/>
      <c r="F51" s="41"/>
      <c r="G51" s="41"/>
      <c r="H51" s="41"/>
      <c r="I51" s="41"/>
      <c r="J51" s="43">
        <f>J49*1.21</f>
        <v>0</v>
      </c>
      <c r="K51" s="43">
        <f>K49*1.21</f>
        <v>0</v>
      </c>
    </row>
  </sheetData>
  <sheetProtection algorithmName="SHA-512" hashValue="FOJKqPr718dlqc9JRc/oUk06X/bt5IpdnUF23uHktlxzlUAJgTylH9I68rrtPRlTtyrrqzf8TbYTbPDVyNeHig==" saltValue="wtViMIEoP81jc5FcieDeFg==" spinCount="100000" sheet="1" objects="1" scenarios="1" autoFilter="0"/>
  <pageMargins left="0.7" right="0.7" top="0.75" bottom="0.75" header="0.3" footer="0.3"/>
  <pageSetup scale="65" orientation="landscape" r:id="rId1"/>
  <headerFooter>
    <oddFooter>&amp;LGGD Noord- en Oost Gelderland                               &amp;ROpmaakdatum: 19-08-2024
Intexso - Plantageweg 23E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E2C95-14C0-41E0-9466-4197BF584392}">
  <dimension ref="A1:K10"/>
  <sheetViews>
    <sheetView workbookViewId="0"/>
  </sheetViews>
  <sheetFormatPr defaultRowHeight="12.75" x14ac:dyDescent="0.2"/>
  <cols>
    <col min="1" max="1" width="8.625" customWidth="1"/>
    <col min="2" max="2" width="32.625" customWidth="1"/>
    <col min="3" max="3" width="20.625" customWidth="1"/>
    <col min="4" max="4" width="18.625" customWidth="1"/>
    <col min="5" max="5" width="12.625" customWidth="1"/>
    <col min="6" max="6" width="14.625" customWidth="1"/>
    <col min="7" max="8" width="13.625" customWidth="1"/>
    <col min="9" max="9" width="14.625" customWidth="1"/>
    <col min="10" max="11" width="13.625" customWidth="1"/>
  </cols>
  <sheetData>
    <row r="1" spans="1:11" x14ac:dyDescent="0.2">
      <c r="A1" s="1" t="str">
        <f>CONCATENATE("Bijlage D.6: ",tabeltype," totaalblad objecten")</f>
        <v>Bijlage D.6: Invultabel totaalblad objecten</v>
      </c>
    </row>
    <row r="3" spans="1:11" ht="38.25" x14ac:dyDescent="0.2">
      <c r="A3" s="8" t="s">
        <v>153</v>
      </c>
      <c r="B3" s="8" t="s">
        <v>360</v>
      </c>
      <c r="C3" s="8" t="s">
        <v>361</v>
      </c>
      <c r="D3" s="8" t="s">
        <v>362</v>
      </c>
      <c r="E3" s="8" t="s">
        <v>108</v>
      </c>
      <c r="F3" s="8" t="s">
        <v>403</v>
      </c>
      <c r="G3" s="8" t="s">
        <v>404</v>
      </c>
      <c r="H3" s="8" t="s">
        <v>405</v>
      </c>
      <c r="I3" s="8" t="s">
        <v>406</v>
      </c>
      <c r="J3" s="8" t="s">
        <v>407</v>
      </c>
      <c r="K3" s="8" t="s">
        <v>408</v>
      </c>
    </row>
    <row r="4" spans="1:11" x14ac:dyDescent="0.2">
      <c r="A4" s="15" t="s">
        <v>161</v>
      </c>
      <c r="B4" s="15" t="s">
        <v>371</v>
      </c>
      <c r="C4" s="15" t="s">
        <v>372</v>
      </c>
      <c r="D4" s="15" t="s">
        <v>373</v>
      </c>
      <c r="E4" s="30">
        <f>objecturen1_1</f>
        <v>0</v>
      </c>
      <c r="F4" s="32">
        <f>objectprijs1_1</f>
        <v>0</v>
      </c>
      <c r="G4" s="30">
        <f>tzujt1_1</f>
        <v>0</v>
      </c>
      <c r="H4" s="32">
        <f>tzpjt1_1</f>
        <v>0</v>
      </c>
      <c r="I4" s="32">
        <f>F4+H4</f>
        <v>0</v>
      </c>
      <c r="J4" s="32">
        <f>I4/12</f>
        <v>0</v>
      </c>
      <c r="K4" s="32">
        <f>J4*1.21</f>
        <v>0</v>
      </c>
    </row>
    <row r="5" spans="1:11" x14ac:dyDescent="0.2">
      <c r="A5" s="20" t="s">
        <v>202</v>
      </c>
      <c r="B5" s="20" t="s">
        <v>371</v>
      </c>
      <c r="C5" s="20" t="s">
        <v>374</v>
      </c>
      <c r="D5" s="20" t="s">
        <v>373</v>
      </c>
      <c r="E5" s="33">
        <f>objecturen2_1</f>
        <v>0</v>
      </c>
      <c r="F5" s="35">
        <f>objectprijs2_1</f>
        <v>0</v>
      </c>
      <c r="G5" s="33">
        <f>tzujt2_1</f>
        <v>0</v>
      </c>
      <c r="H5" s="35">
        <f>tzpjt2_1</f>
        <v>0</v>
      </c>
      <c r="I5" s="35">
        <f>F5+H5</f>
        <v>0</v>
      </c>
      <c r="J5" s="35">
        <f>I5/12</f>
        <v>0</v>
      </c>
      <c r="K5" s="35">
        <f>J5*1.21</f>
        <v>0</v>
      </c>
    </row>
    <row r="6" spans="1:11" x14ac:dyDescent="0.2">
      <c r="A6" s="20" t="s">
        <v>215</v>
      </c>
      <c r="B6" s="20" t="s">
        <v>375</v>
      </c>
      <c r="C6" s="20" t="s">
        <v>376</v>
      </c>
      <c r="D6" s="20" t="s">
        <v>377</v>
      </c>
      <c r="E6" s="33">
        <f>objecturen3_1</f>
        <v>0</v>
      </c>
      <c r="F6" s="35">
        <f>objectprijs3_1</f>
        <v>0</v>
      </c>
      <c r="G6" s="33">
        <f>tzujt3_1</f>
        <v>0</v>
      </c>
      <c r="H6" s="35">
        <f>tzpjt3_1</f>
        <v>0</v>
      </c>
      <c r="I6" s="35">
        <f>F6+H6</f>
        <v>0</v>
      </c>
      <c r="J6" s="35">
        <f>I6/12</f>
        <v>0</v>
      </c>
      <c r="K6" s="35">
        <f>J6*1.21</f>
        <v>0</v>
      </c>
    </row>
    <row r="7" spans="1:11" x14ac:dyDescent="0.2">
      <c r="A7" s="20" t="s">
        <v>336</v>
      </c>
      <c r="B7" s="20" t="s">
        <v>378</v>
      </c>
      <c r="C7" s="20" t="s">
        <v>379</v>
      </c>
      <c r="D7" s="20" t="s">
        <v>380</v>
      </c>
      <c r="E7" s="33">
        <f>objecturen4_1</f>
        <v>0</v>
      </c>
      <c r="F7" s="35">
        <f>objectprijs4_1</f>
        <v>0</v>
      </c>
      <c r="G7" s="33">
        <f>tzujt4_1</f>
        <v>0</v>
      </c>
      <c r="H7" s="35">
        <f>tzpjt4_1</f>
        <v>0</v>
      </c>
      <c r="I7" s="35">
        <f>F7+H7</f>
        <v>0</v>
      </c>
      <c r="J7" s="35">
        <f>I7/12</f>
        <v>0</v>
      </c>
      <c r="K7" s="35">
        <f>J7*1.21</f>
        <v>0</v>
      </c>
    </row>
    <row r="8" spans="1:11" x14ac:dyDescent="0.2">
      <c r="A8" s="25" t="s">
        <v>340</v>
      </c>
      <c r="B8" s="25" t="s">
        <v>381</v>
      </c>
      <c r="C8" s="25" t="s">
        <v>382</v>
      </c>
      <c r="D8" s="25" t="s">
        <v>377</v>
      </c>
      <c r="E8" s="36">
        <f>objecturen5_1</f>
        <v>0</v>
      </c>
      <c r="F8" s="38">
        <f>objectprijs5_1</f>
        <v>0</v>
      </c>
      <c r="G8" s="36">
        <f>tzujt5_1</f>
        <v>0</v>
      </c>
      <c r="H8" s="38">
        <f>tzpjt5_1</f>
        <v>0</v>
      </c>
      <c r="I8" s="38">
        <f>F8+H8</f>
        <v>0</v>
      </c>
      <c r="J8" s="38">
        <f>I8/12</f>
        <v>0</v>
      </c>
      <c r="K8" s="38">
        <f>J8*1.21</f>
        <v>0</v>
      </c>
    </row>
    <row r="10" spans="1:11" x14ac:dyDescent="0.2">
      <c r="A10" s="40" t="s">
        <v>409</v>
      </c>
      <c r="B10" s="41"/>
      <c r="C10" s="41"/>
      <c r="D10" s="41"/>
      <c r="E10" s="42">
        <f t="shared" ref="E10:K10" si="0">SUM(E4:E8)</f>
        <v>0</v>
      </c>
      <c r="F10" s="43">
        <f t="shared" si="0"/>
        <v>0</v>
      </c>
      <c r="G10" s="42">
        <f t="shared" si="0"/>
        <v>0</v>
      </c>
      <c r="H10" s="43">
        <f t="shared" si="0"/>
        <v>0</v>
      </c>
      <c r="I10" s="43">
        <f t="shared" si="0"/>
        <v>0</v>
      </c>
      <c r="J10" s="43">
        <f t="shared" si="0"/>
        <v>0</v>
      </c>
      <c r="K10" s="43">
        <f t="shared" si="0"/>
        <v>0</v>
      </c>
    </row>
  </sheetData>
  <sheetProtection algorithmName="SHA-512" hashValue="QblHar4J5iFYu5r+GjdDtz2mR052i/cq0AzKLSbS8HMScOwg8n8mJtXuuT6pAiCtUeKjM2Ql/Zle19U0mHxvdw==" saltValue="hb7Th6gjjmM4atA1pQ16nA==" spinCount="100000" sheet="1" objects="1" scenarios="1" autoFilter="0"/>
  <pageMargins left="0.7" right="0.7" top="0.75" bottom="0.75" header="0.3" footer="0.3"/>
  <pageSetup scale="65" orientation="landscape" r:id="rId1"/>
  <headerFooter>
    <oddFooter>&amp;LGGD Noord- en Oost Gelderland                               &amp;ROpmaakdatum: 19-08-2024
Intexso - Plantageweg 23E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16</vt:i4>
      </vt:variant>
      <vt:variant>
        <vt:lpstr>Benoemde bereiken</vt:lpstr>
      </vt:variant>
      <vt:variant>
        <vt:i4>311</vt:i4>
      </vt:variant>
    </vt:vector>
  </HeadingPairs>
  <TitlesOfParts>
    <vt:vector size="327" baseType="lpstr">
      <vt:lpstr>Blad1</vt:lpstr>
      <vt:lpstr>Omreken</vt:lpstr>
      <vt:lpstr>Categorienormen</vt:lpstr>
      <vt:lpstr>Regulier werk</vt:lpstr>
      <vt:lpstr>Ruimten werkdag</vt:lpstr>
      <vt:lpstr>Objectinformatie</vt:lpstr>
      <vt:lpstr>Objecten</vt:lpstr>
      <vt:lpstr>Niet-meewerkende objectleiding</vt:lpstr>
      <vt:lpstr>Totaalblad Objecten</vt:lpstr>
      <vt:lpstr>Additioneel werk</vt:lpstr>
      <vt:lpstr>Additioneel werk per locatie</vt:lpstr>
      <vt:lpstr>Afroep</vt:lpstr>
      <vt:lpstr>Afroep incidenteel</vt:lpstr>
      <vt:lpstr>Glas</vt:lpstr>
      <vt:lpstr>Glas per locatie</vt:lpstr>
      <vt:lpstr>Totaal</vt:lpstr>
      <vt:lpstr>'Additioneel werk'!Afdruktitels</vt:lpstr>
      <vt:lpstr>'Additioneel werk per locatie'!Afdruktitels</vt:lpstr>
      <vt:lpstr>Afroep!Afdruktitels</vt:lpstr>
      <vt:lpstr>'Afroep incidenteel'!Afdruktitels</vt:lpstr>
      <vt:lpstr>Categorienormen!Afdruktitels</vt:lpstr>
      <vt:lpstr>Glas!Afdruktitels</vt:lpstr>
      <vt:lpstr>'Glas per locatie'!Afdruktitels</vt:lpstr>
      <vt:lpstr>'Niet-meewerkende objectleiding'!Afdruktitels</vt:lpstr>
      <vt:lpstr>Objecten!Afdruktitels</vt:lpstr>
      <vt:lpstr>Objectinformatie!Afdruktitels</vt:lpstr>
      <vt:lpstr>'Regulier werk'!Afdruktitels</vt:lpstr>
      <vt:lpstr>'Ruimten werkdag'!Afdruktitels</vt:lpstr>
      <vt:lpstr>Totaal!Afdruktitels</vt:lpstr>
      <vt:lpstr>'Totaalblad Objecten'!Afdruktitels</vt:lpstr>
      <vt:lpstr>catdw_1_AHB_1</vt:lpstr>
      <vt:lpstr>catdw_1_AHV_12</vt:lpstr>
      <vt:lpstr>catdw_1_BHB_1</vt:lpstr>
      <vt:lpstr>catdw_1_BHV_51</vt:lpstr>
      <vt:lpstr>catdw_1_BZB_1</vt:lpstr>
      <vt:lpstr>catdw_1_BZV_51</vt:lpstr>
      <vt:lpstr>catdw_1_DHB_1</vt:lpstr>
      <vt:lpstr>catdw_1_DHV_51</vt:lpstr>
      <vt:lpstr>catdw_1_EZB_1</vt:lpstr>
      <vt:lpstr>catdw_1_EZV_51</vt:lpstr>
      <vt:lpstr>catdw_1_FHB_1</vt:lpstr>
      <vt:lpstr>catdw_1_FHV_51</vt:lpstr>
      <vt:lpstr>catdw_1_HHB_1</vt:lpstr>
      <vt:lpstr>catdw_1_HHV_51</vt:lpstr>
      <vt:lpstr>catdw_1_KPHB_1</vt:lpstr>
      <vt:lpstr>catdw_1_KPHV_51</vt:lpstr>
      <vt:lpstr>catdw_1_OHB_1</vt:lpstr>
      <vt:lpstr>catdw_1_OHV_51</vt:lpstr>
      <vt:lpstr>catdw_1_OZB_1</vt:lpstr>
      <vt:lpstr>catdw_1_OZV_51</vt:lpstr>
      <vt:lpstr>catdw_1_SHB_1</vt:lpstr>
      <vt:lpstr>catdw_1_SHV_51</vt:lpstr>
      <vt:lpstr>catdw_1_THB_1</vt:lpstr>
      <vt:lpstr>catdw_1_THV_51</vt:lpstr>
      <vt:lpstr>catdw_1_TZB_1</vt:lpstr>
      <vt:lpstr>catdw_1_TZV_51</vt:lpstr>
      <vt:lpstr>catdw_1_VHB_1</vt:lpstr>
      <vt:lpstr>catdw_1_VHV_51</vt:lpstr>
      <vt:lpstr>catdw_1_VZB_1</vt:lpstr>
      <vt:lpstr>catdw_1_VZV_51</vt:lpstr>
      <vt:lpstr>catdw_1_WHB_1</vt:lpstr>
      <vt:lpstr>catdw_1_WHV_51</vt:lpstr>
      <vt:lpstr>catdw_1_WZB_1</vt:lpstr>
      <vt:lpstr>catdw_1_WZV_51</vt:lpstr>
      <vt:lpstr>catfd_1_AHB_1</vt:lpstr>
      <vt:lpstr>catfd_1_AHV_12</vt:lpstr>
      <vt:lpstr>catfd_1_BHB_1</vt:lpstr>
      <vt:lpstr>catfd_1_BHV_51</vt:lpstr>
      <vt:lpstr>catfd_1_BZB_1</vt:lpstr>
      <vt:lpstr>catfd_1_BZV_51</vt:lpstr>
      <vt:lpstr>catfd_1_DHB_1</vt:lpstr>
      <vt:lpstr>catfd_1_DHV_51</vt:lpstr>
      <vt:lpstr>catfd_1_EZB_1</vt:lpstr>
      <vt:lpstr>catfd_1_EZV_51</vt:lpstr>
      <vt:lpstr>catfd_1_FHB_1</vt:lpstr>
      <vt:lpstr>catfd_1_FHV_51</vt:lpstr>
      <vt:lpstr>catfd_1_HHB_1</vt:lpstr>
      <vt:lpstr>catfd_1_HHV_51</vt:lpstr>
      <vt:lpstr>catfd_1_KPHB_1</vt:lpstr>
      <vt:lpstr>catfd_1_KPHV_51</vt:lpstr>
      <vt:lpstr>catfd_1_OHB_1</vt:lpstr>
      <vt:lpstr>catfd_1_OHV_51</vt:lpstr>
      <vt:lpstr>catfd_1_OZB_1</vt:lpstr>
      <vt:lpstr>catfd_1_OZV_51</vt:lpstr>
      <vt:lpstr>catfd_1_SHB_1</vt:lpstr>
      <vt:lpstr>catfd_1_SHV_51</vt:lpstr>
      <vt:lpstr>catfd_1_THB_1</vt:lpstr>
      <vt:lpstr>catfd_1_THV_51</vt:lpstr>
      <vt:lpstr>catfd_1_TZB_1</vt:lpstr>
      <vt:lpstr>catfd_1_TZV_51</vt:lpstr>
      <vt:lpstr>catfd_1_VHB_1</vt:lpstr>
      <vt:lpstr>catfd_1_VHV_51</vt:lpstr>
      <vt:lpstr>catfd_1_VZB_1</vt:lpstr>
      <vt:lpstr>catfd_1_VZV_51</vt:lpstr>
      <vt:lpstr>catfd_1_WHB_1</vt:lpstr>
      <vt:lpstr>catfd_1_WHV_51</vt:lpstr>
      <vt:lpstr>catfd_1_WZB_1</vt:lpstr>
      <vt:lpstr>catfd_1_WZV_51</vt:lpstr>
      <vt:lpstr>catpn_1_AHB_1</vt:lpstr>
      <vt:lpstr>catpn_1_AHV_12</vt:lpstr>
      <vt:lpstr>catpn_1_BHB_1</vt:lpstr>
      <vt:lpstr>catpn_1_BHV_51</vt:lpstr>
      <vt:lpstr>catpn_1_BZB_1</vt:lpstr>
      <vt:lpstr>catpn_1_BZV_51</vt:lpstr>
      <vt:lpstr>catpn_1_DHB_1</vt:lpstr>
      <vt:lpstr>catpn_1_DHV_51</vt:lpstr>
      <vt:lpstr>catpn_1_EZB_1</vt:lpstr>
      <vt:lpstr>catpn_1_EZV_51</vt:lpstr>
      <vt:lpstr>catpn_1_FHB_1</vt:lpstr>
      <vt:lpstr>catpn_1_FHV_51</vt:lpstr>
      <vt:lpstr>catpn_1_HHB_1</vt:lpstr>
      <vt:lpstr>catpn_1_HHV_51</vt:lpstr>
      <vt:lpstr>catpn_1_KPHB_1</vt:lpstr>
      <vt:lpstr>catpn_1_KPHV_51</vt:lpstr>
      <vt:lpstr>catpn_1_OHB_1</vt:lpstr>
      <vt:lpstr>catpn_1_OHV_51</vt:lpstr>
      <vt:lpstr>catpn_1_OZB_1</vt:lpstr>
      <vt:lpstr>catpn_1_OZV_51</vt:lpstr>
      <vt:lpstr>catpn_1_SHB_1</vt:lpstr>
      <vt:lpstr>catpn_1_SHV_51</vt:lpstr>
      <vt:lpstr>catpn_1_THB_1</vt:lpstr>
      <vt:lpstr>catpn_1_THV_51</vt:lpstr>
      <vt:lpstr>catpn_1_TZB_1</vt:lpstr>
      <vt:lpstr>catpn_1_TZV_51</vt:lpstr>
      <vt:lpstr>catpn_1_VHB_1</vt:lpstr>
      <vt:lpstr>catpn_1_VHV_51</vt:lpstr>
      <vt:lpstr>catpn_1_VZB_1</vt:lpstr>
      <vt:lpstr>catpn_1_VZV_51</vt:lpstr>
      <vt:lpstr>catpn_1_WHB_1</vt:lpstr>
      <vt:lpstr>catpn_1_WHV_51</vt:lpstr>
      <vt:lpstr>catpn_1_WZB_1</vt:lpstr>
      <vt:lpstr>catpn_1_WZV_51</vt:lpstr>
      <vt:lpstr>cattf_1_AHB_1</vt:lpstr>
      <vt:lpstr>cattf_1_AHV_12</vt:lpstr>
      <vt:lpstr>cattf_1_BHB_1</vt:lpstr>
      <vt:lpstr>cattf_1_BHV_51</vt:lpstr>
      <vt:lpstr>cattf_1_BZB_1</vt:lpstr>
      <vt:lpstr>cattf_1_BZV_51</vt:lpstr>
      <vt:lpstr>cattf_1_DHB_1</vt:lpstr>
      <vt:lpstr>cattf_1_DHV_51</vt:lpstr>
      <vt:lpstr>cattf_1_EZB_1</vt:lpstr>
      <vt:lpstr>cattf_1_EZV_51</vt:lpstr>
      <vt:lpstr>cattf_1_FHB_1</vt:lpstr>
      <vt:lpstr>cattf_1_FHV_51</vt:lpstr>
      <vt:lpstr>cattf_1_HHB_1</vt:lpstr>
      <vt:lpstr>cattf_1_HHV_51</vt:lpstr>
      <vt:lpstr>cattf_1_KPHB_1</vt:lpstr>
      <vt:lpstr>cattf_1_KPHV_51</vt:lpstr>
      <vt:lpstr>cattf_1_OHB_1</vt:lpstr>
      <vt:lpstr>cattf_1_OHV_51</vt:lpstr>
      <vt:lpstr>cattf_1_OZB_1</vt:lpstr>
      <vt:lpstr>cattf_1_OZV_51</vt:lpstr>
      <vt:lpstr>cattf_1_SHB_1</vt:lpstr>
      <vt:lpstr>cattf_1_SHV_51</vt:lpstr>
      <vt:lpstr>cattf_1_THB_1</vt:lpstr>
      <vt:lpstr>cattf_1_THV_51</vt:lpstr>
      <vt:lpstr>cattf_1_TZB_1</vt:lpstr>
      <vt:lpstr>cattf_1_TZV_51</vt:lpstr>
      <vt:lpstr>cattf_1_VHB_1</vt:lpstr>
      <vt:lpstr>cattf_1_VHV_51</vt:lpstr>
      <vt:lpstr>cattf_1_VZB_1</vt:lpstr>
      <vt:lpstr>cattf_1_VZV_51</vt:lpstr>
      <vt:lpstr>cattf_1_WHB_1</vt:lpstr>
      <vt:lpstr>cattf_1_WHV_51</vt:lpstr>
      <vt:lpstr>cattf_1_WZB_1</vt:lpstr>
      <vt:lpstr>cattf_1_WZV_51</vt:lpstr>
      <vt:lpstr>dagenperjaar1</vt:lpstr>
      <vt:lpstr>dagenperweek1</vt:lpstr>
      <vt:lpstr>dagsoorttabel1</vt:lpstr>
      <vt:lpstr>gemuurtarief1</vt:lpstr>
      <vt:lpstr>kengetaltabel1</vt:lpstr>
      <vt:lpstr>object1_gemuurtarief1</vt:lpstr>
      <vt:lpstr>object1_opptabel1</vt:lpstr>
      <vt:lpstr>object1_prijsdag1</vt:lpstr>
      <vt:lpstr>object1_prijsjaar1</vt:lpstr>
      <vt:lpstr>object1_urendag1</vt:lpstr>
      <vt:lpstr>object1_urenjaar1</vt:lpstr>
      <vt:lpstr>object2_gemuurtarief1</vt:lpstr>
      <vt:lpstr>object2_opptabel1</vt:lpstr>
      <vt:lpstr>object2_prijsdag1</vt:lpstr>
      <vt:lpstr>object2_prijsjaar1</vt:lpstr>
      <vt:lpstr>object2_urendag1</vt:lpstr>
      <vt:lpstr>object2_urenjaar1</vt:lpstr>
      <vt:lpstr>object3_gemuurtarief1</vt:lpstr>
      <vt:lpstr>object3_opptabel1</vt:lpstr>
      <vt:lpstr>object3_prijsdag1</vt:lpstr>
      <vt:lpstr>object3_prijsjaar1</vt:lpstr>
      <vt:lpstr>object3_urendag1</vt:lpstr>
      <vt:lpstr>object3_urenjaar1</vt:lpstr>
      <vt:lpstr>object4_gemuurtarief1</vt:lpstr>
      <vt:lpstr>object4_opptabel1</vt:lpstr>
      <vt:lpstr>object4_prijsdag1</vt:lpstr>
      <vt:lpstr>object4_prijsjaar1</vt:lpstr>
      <vt:lpstr>object4_urendag1</vt:lpstr>
      <vt:lpstr>object4_urenjaar1</vt:lpstr>
      <vt:lpstr>object5_gemuurtarief1</vt:lpstr>
      <vt:lpstr>object5_opptabel1</vt:lpstr>
      <vt:lpstr>object5_prijsdag1</vt:lpstr>
      <vt:lpstr>object5_prijsjaar1</vt:lpstr>
      <vt:lpstr>object5_urendag1</vt:lpstr>
      <vt:lpstr>object5_urenjaar1</vt:lpstr>
      <vt:lpstr>objectprijs1_1</vt:lpstr>
      <vt:lpstr>objectprijs2_1</vt:lpstr>
      <vt:lpstr>objectprijs3_1</vt:lpstr>
      <vt:lpstr>objectprijs4_1</vt:lpstr>
      <vt:lpstr>objectprijs5_1</vt:lpstr>
      <vt:lpstr>objecturen1_1</vt:lpstr>
      <vt:lpstr>objecturen2_1</vt:lpstr>
      <vt:lpstr>objecturen3_1</vt:lpstr>
      <vt:lpstr>objecturen4_1</vt:lpstr>
      <vt:lpstr>objecturen5_1</vt:lpstr>
      <vt:lpstr>prijsdag1</vt:lpstr>
      <vt:lpstr>prijsjaar</vt:lpstr>
      <vt:lpstr>prijsjaar1</vt:lpstr>
      <vt:lpstr>prijsjaaradditioneel</vt:lpstr>
      <vt:lpstr>prijsjaaradditioneel1</vt:lpstr>
      <vt:lpstr>prijsjaarafroep</vt:lpstr>
      <vt:lpstr>prijsjaarafroep1</vt:lpstr>
      <vt:lpstr>prijsjaarglas</vt:lpstr>
      <vt:lpstr>prijsjaarglas1</vt:lpstr>
      <vt:lpstr>prijsjaarnietmeewerkend</vt:lpstr>
      <vt:lpstr>prijsjaartotaal</vt:lpstr>
      <vt:lpstr>prijsjaartotaal1</vt:lpstr>
      <vt:lpstr>prijsjaartotaaloverzicht</vt:lpstr>
      <vt:lpstr>prijsmaandtotaal1</vt:lpstr>
      <vt:lpstr>prodnorm0</vt:lpstr>
      <vt:lpstr>prodnorm1</vt:lpstr>
      <vt:lpstr>prodnorm10</vt:lpstr>
      <vt:lpstr>prodnorm11</vt:lpstr>
      <vt:lpstr>prodnorm12</vt:lpstr>
      <vt:lpstr>prodnorm13</vt:lpstr>
      <vt:lpstr>prodnorm14</vt:lpstr>
      <vt:lpstr>prodnorm15</vt:lpstr>
      <vt:lpstr>prodnorm16</vt:lpstr>
      <vt:lpstr>prodnorm17</vt:lpstr>
      <vt:lpstr>prodnorm18</vt:lpstr>
      <vt:lpstr>prodnorm19</vt:lpstr>
      <vt:lpstr>prodnorm2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prodnorm29</vt:lpstr>
      <vt:lpstr>prodnorm3</vt:lpstr>
      <vt:lpstr>prodnorm30</vt:lpstr>
      <vt:lpstr>prodnorm31</vt:lpstr>
      <vt:lpstr>prodnorm32</vt:lpstr>
      <vt:lpstr>prodnorm33</vt:lpstr>
      <vt:lpstr>prodnorm34</vt:lpstr>
      <vt:lpstr>prodnorm6</vt:lpstr>
      <vt:lpstr>prodnorm7</vt:lpstr>
      <vt:lpstr>prodnorm8</vt:lpstr>
      <vt:lpstr>prodnorm9</vt:lpstr>
      <vt:lpstr>taakfreqtabel1</vt:lpstr>
      <vt:lpstr>tabeltype</vt:lpstr>
      <vt:lpstr>tarieftabel1</vt:lpstr>
      <vt:lpstr>tzpjt1</vt:lpstr>
      <vt:lpstr>tzpjt1_1</vt:lpstr>
      <vt:lpstr>tzpjt2_1</vt:lpstr>
      <vt:lpstr>tzpjt3_1</vt:lpstr>
      <vt:lpstr>tzpjt4_1</vt:lpstr>
      <vt:lpstr>tzpjt5_1</vt:lpstr>
      <vt:lpstr>tzpmt1</vt:lpstr>
      <vt:lpstr>tzpmt1_1</vt:lpstr>
      <vt:lpstr>tzpmt2_1</vt:lpstr>
      <vt:lpstr>tzpmt3_1</vt:lpstr>
      <vt:lpstr>tzpmt4_1</vt:lpstr>
      <vt:lpstr>tzpmt5_1</vt:lpstr>
      <vt:lpstr>tzujt1</vt:lpstr>
      <vt:lpstr>tzujt1_1</vt:lpstr>
      <vt:lpstr>tzujt2_1</vt:lpstr>
      <vt:lpstr>tzujt3_1</vt:lpstr>
      <vt:lpstr>tzujt4_1</vt:lpstr>
      <vt:lpstr>tzujt5_1</vt:lpstr>
      <vt:lpstr>urendag1</vt:lpstr>
      <vt:lpstr>urenjaar</vt:lpstr>
      <vt:lpstr>urenjaar1</vt:lpstr>
      <vt:lpstr>urenjaaradditioneel</vt:lpstr>
      <vt:lpstr>urenjaaradditioneel1</vt:lpstr>
      <vt:lpstr>urenjaarafroep</vt:lpstr>
      <vt:lpstr>urenjaarafroep1</vt:lpstr>
      <vt:lpstr>urenjaarglas</vt:lpstr>
      <vt:lpstr>urenjaarglas1</vt:lpstr>
      <vt:lpstr>urenjaarnietmeewerkend</vt:lpstr>
      <vt:lpstr>urenjaartotaal</vt:lpstr>
      <vt:lpstr>urenjaartotaal1</vt:lpstr>
      <vt:lpstr>urenjaartotaaloverzicht</vt:lpstr>
      <vt:lpstr>uurfactortabel1</vt:lpstr>
      <vt:lpstr>uurtarief0</vt:lpstr>
      <vt:lpstr>uurtarief1</vt:lpstr>
      <vt:lpstr>uurtarief10</vt:lpstr>
      <vt:lpstr>uurtarief11</vt:lpstr>
      <vt:lpstr>uurtarief12</vt:lpstr>
      <vt:lpstr>uurtarief13</vt:lpstr>
      <vt:lpstr>uurtarief14</vt:lpstr>
      <vt:lpstr>uurtarief15</vt:lpstr>
      <vt:lpstr>uurtarief16</vt:lpstr>
      <vt:lpstr>uurtarief17</vt:lpstr>
      <vt:lpstr>uurtarief18</vt:lpstr>
      <vt:lpstr>uurtarief19</vt:lpstr>
      <vt:lpstr>uurtarief2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uurtarief29</vt:lpstr>
      <vt:lpstr>uurtarief3</vt:lpstr>
      <vt:lpstr>uurtarief30</vt:lpstr>
      <vt:lpstr>uurtarief31</vt:lpstr>
      <vt:lpstr>uurtarief32</vt:lpstr>
      <vt:lpstr>uurtarief33</vt:lpstr>
      <vt:lpstr>uurtarief34</vt:lpstr>
      <vt:lpstr>uurtarief6</vt:lpstr>
      <vt:lpstr>uurtarief7</vt:lpstr>
      <vt:lpstr>uurtarief8</vt:lpstr>
      <vt:lpstr>uurtarief9</vt:lpstr>
      <vt:lpstr>vu_variant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2024-08-19T12:33:58Z</dcterms:created>
  <dcterms:modified xsi:type="dcterms:W3CDTF">2024-08-19T12:43:26Z</dcterms:modified>
</cp:coreProperties>
</file>