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raafschapcollege\Aanbesteding 2024\Uitlever_20240329\"/>
    </mc:Choice>
  </mc:AlternateContent>
  <xr:revisionPtr revIDLastSave="0" documentId="13_ncr:1_{1E4F9EAD-9FDB-4E8E-86D7-0F33321B478A}" xr6:coauthVersionLast="47" xr6:coauthVersionMax="47" xr10:uidLastSave="{00000000-0000-0000-0000-000000000000}"/>
  <bookViews>
    <workbookView xWindow="30612" yWindow="7668" windowWidth="22164" windowHeight="11844" activeTab="1" xr2:uid="{5470FD22-4281-49F3-8FA8-E773F4943C5B}"/>
  </bookViews>
  <sheets>
    <sheet name="Omreken" sheetId="1" r:id="rId1"/>
    <sheet name="Categorienormen" sheetId="2" r:id="rId2"/>
    <sheet name="Regulier werk" sheetId="3" r:id="rId3"/>
    <sheet name="Ruimten werkdag" sheetId="4" r:id="rId4"/>
    <sheet name="Ruimten werkdag vakantie" sheetId="5" r:id="rId5"/>
    <sheet name="Objectinformatie" sheetId="6" r:id="rId6"/>
    <sheet name="Objecten" sheetId="7" r:id="rId7"/>
    <sheet name="Totaalblad Objecten" sheetId="8" r:id="rId8"/>
    <sheet name="Afroep incidenteel" sheetId="9" r:id="rId9"/>
    <sheet name="Regiewerk" sheetId="10" r:id="rId10"/>
    <sheet name="Glas" sheetId="11" r:id="rId11"/>
    <sheet name="Glas per locatie" sheetId="12" r:id="rId12"/>
    <sheet name="Totaal" sheetId="13" r:id="rId13"/>
  </sheets>
  <definedNames>
    <definedName name="_xlnm._FilterDatabase" localSheetId="3" hidden="1">'Ruimten werkdag'!$A$3:$V$1447</definedName>
    <definedName name="_xlnm._FilterDatabase" localSheetId="4" hidden="1">'Ruimten werkdag vakantie'!$A$3:$V$16</definedName>
    <definedName name="_xlnm.Print_Titles" localSheetId="8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4">'Ruimten werkdag vakantie'!$1:$3</definedName>
    <definedName name="_xlnm.Print_Titles" localSheetId="12">Totaal!$1:$3</definedName>
    <definedName name="_xlnm.Print_Titles" localSheetId="7">'Totaalblad Objecten'!$A:$A,'Totaalblad Objecten'!$1:$3</definedName>
    <definedName name="catdw_1_BKHB_1">Categorienormen!$F$49</definedName>
    <definedName name="catdw_1_BKHV_42">Categorienormen!$F$50</definedName>
    <definedName name="catdw_1_BKZB_1">Categorienormen!$F$51</definedName>
    <definedName name="catdw_1_BKZV_42">Categorienormen!$F$52</definedName>
    <definedName name="catdw_1_BVHB_1">Categorienormen!$F$53</definedName>
    <definedName name="catdw_1_BVHV_42">Categorienormen!$F$54</definedName>
    <definedName name="catdw_1_BVZB_1">Categorienormen!$F$55</definedName>
    <definedName name="catdw_1_BVZV_42">Categorienormen!$F$56</definedName>
    <definedName name="catdw_1_GSHB_1">Categorienormen!$F$6</definedName>
    <definedName name="catdw_1_GSHV_42">Categorienormen!$F$7</definedName>
    <definedName name="catdw_1_KAHB_1">Categorienormen!$F$20</definedName>
    <definedName name="catdw_1_KAHV_42">Categorienormen!$F$21</definedName>
    <definedName name="catdw_1_KAZB_1">Categorienormen!$F$22</definedName>
    <definedName name="catdw_1_KAZV_42">Categorienormen!$F$23</definedName>
    <definedName name="catdw_1_KDHB_1">Categorienormen!$F$24</definedName>
    <definedName name="catdw_1_KDHV_42">Categorienormen!$F$25</definedName>
    <definedName name="catdw_1_KDZB_1">Categorienormen!$F$26</definedName>
    <definedName name="catdw_1_KDZV_42">Categorienormen!$F$27</definedName>
    <definedName name="catdw_1_KPHB_1">Categorienormen!$F$28</definedName>
    <definedName name="catdw_1_KPHV_42">Categorienormen!$F$29</definedName>
    <definedName name="catdw_1_LAHB_1">Categorienormen!$F$57</definedName>
    <definedName name="catdw_1_LAHV_42">Categorienormen!$F$58</definedName>
    <definedName name="catdw_1_LAZB_1">Categorienormen!$F$59</definedName>
    <definedName name="catdw_1_LAZV_42">Categorienormen!$F$60</definedName>
    <definedName name="catdw_1_LLHB_1">Categorienormen!$F$61</definedName>
    <definedName name="catdw_1_LLHV_42">Categorienormen!$F$62</definedName>
    <definedName name="catdw_1_LLZB_1">Categorienormen!$F$63</definedName>
    <definedName name="catdw_1_LLZV_42">Categorienormen!$F$64</definedName>
    <definedName name="catdw_1_LOHB_1">Categorienormen!$F$65</definedName>
    <definedName name="catdw_1_LOHV_42">Categorienormen!$F$66</definedName>
    <definedName name="catdw_1_LOZB_1">Categorienormen!$F$67</definedName>
    <definedName name="catdw_1_LOZV_42">Categorienormen!$F$68</definedName>
    <definedName name="catdw_1_MAHB_1">Categorienormen!$F$69</definedName>
    <definedName name="catdw_1_MAHV_42">Categorienormen!$F$70</definedName>
    <definedName name="catdw_1_MAZB_1">Categorienormen!$F$71</definedName>
    <definedName name="catdw_1_MAZV_42">Categorienormen!$F$72</definedName>
    <definedName name="catdw_1_OAHB_1">Categorienormen!$F$30</definedName>
    <definedName name="catdw_1_OAHV_10">Categorienormen!$F$31</definedName>
    <definedName name="catdw_1_OAHV_12">Categorienormen!$F$32</definedName>
    <definedName name="catdw_1_PAHB_1">Categorienormen!$F$73</definedName>
    <definedName name="catdw_1_PAHV_42">Categorienormen!$F$74</definedName>
    <definedName name="catdw_1_PKHB_1">Categorienormen!$F$8</definedName>
    <definedName name="catdw_1_PKHV_42">Categorienormen!$F$9</definedName>
    <definedName name="catdw_1_PLHB_1">Categorienormen!$F$75</definedName>
    <definedName name="catdw_1_PLHV_42">Categorienormen!$F$76</definedName>
    <definedName name="catdw_1_PSHB_1">Categorienormen!$F$77</definedName>
    <definedName name="catdw_1_PSHV_42">Categorienormen!$F$78</definedName>
    <definedName name="catdw_1_PSZB_1">Categorienormen!$F$79</definedName>
    <definedName name="catdw_1_PSZV_42">Categorienormen!$F$80</definedName>
    <definedName name="catdw_1_PVHB_1">Categorienormen!$F$81</definedName>
    <definedName name="catdw_1_PVHV_42">Categorienormen!$F$82</definedName>
    <definedName name="catdw_1_PWHB_1">Categorienormen!$F$10</definedName>
    <definedName name="catdw_1_PWHV_42">Categorienormen!$F$11</definedName>
    <definedName name="catdw_1_SDHB_1">Categorienormen!$F$12</definedName>
    <definedName name="catdw_1_SDHV_42">Categorienormen!$F$13</definedName>
    <definedName name="catdw_1_SKHB_1">Categorienormen!$F$14</definedName>
    <definedName name="catdw_1_SKHV_42">Categorienormen!$F$15</definedName>
    <definedName name="catdw_1_STHB_1">Categorienormen!$F$16</definedName>
    <definedName name="catdw_1_STHV_42">Categorienormen!$F$17</definedName>
    <definedName name="catdw_1_SWHB_1">Categorienormen!$F$18</definedName>
    <definedName name="catdw_1_SWHV_42">Categorienormen!$F$19</definedName>
    <definedName name="catdw_1_VAHB_1">Categorienormen!$F$33</definedName>
    <definedName name="catdw_1_VAHV_42">Categorienormen!$F$34</definedName>
    <definedName name="catdw_1_VAZB_1">Categorienormen!$F$35</definedName>
    <definedName name="catdw_1_VAZV_42">Categorienormen!$F$36</definedName>
    <definedName name="catdw_1_VEHB_1">Categorienormen!$F$37</definedName>
    <definedName name="catdw_1_VEHV_42">Categorienormen!$F$38</definedName>
    <definedName name="catdw_1_VEZB_1">Categorienormen!$F$39</definedName>
    <definedName name="catdw_1_VEZV_42">Categorienormen!$F$40</definedName>
    <definedName name="catdw_1_VLHB_1">Categorienormen!$F$41</definedName>
    <definedName name="catdw_1_VLHV_42">Categorienormen!$F$42</definedName>
    <definedName name="catdw_1_VOHB_1">Categorienormen!$F$43</definedName>
    <definedName name="catdw_1_VOHV_42">Categorienormen!$F$44</definedName>
    <definedName name="catdw_1_VOZB_1">Categorienormen!$F$45</definedName>
    <definedName name="catdw_1_VOZV_42">Categorienormen!$F$46</definedName>
    <definedName name="catdw_1_VTHB_1">Categorienormen!$F$47</definedName>
    <definedName name="catdw_1_VTHV_42">Categorienormen!$F$48</definedName>
    <definedName name="catdw_2_STHVB_1">Categorienormen!$F$85</definedName>
    <definedName name="catdw_2_STHVV_5">Categorienormen!$F$86</definedName>
    <definedName name="catfd_1_BKHB_1">Categorienormen!$C$49</definedName>
    <definedName name="catfd_1_BKHV_42">Categorienormen!$C$50</definedName>
    <definedName name="catfd_1_BKZB_1">Categorienormen!$C$51</definedName>
    <definedName name="catfd_1_BKZV_42">Categorienormen!$C$52</definedName>
    <definedName name="catfd_1_BVHB_1">Categorienormen!$C$53</definedName>
    <definedName name="catfd_1_BVHV_42">Categorienormen!$C$54</definedName>
    <definedName name="catfd_1_BVZB_1">Categorienormen!$C$55</definedName>
    <definedName name="catfd_1_BVZV_42">Categorienormen!$C$56</definedName>
    <definedName name="catfd_1_GSHB_1">Categorienormen!$C$6</definedName>
    <definedName name="catfd_1_GSHV_42">Categorienormen!$C$7</definedName>
    <definedName name="catfd_1_KAHB_1">Categorienormen!$C$20</definedName>
    <definedName name="catfd_1_KAHV_42">Categorienormen!$C$21</definedName>
    <definedName name="catfd_1_KAZB_1">Categorienormen!$C$22</definedName>
    <definedName name="catfd_1_KAZV_42">Categorienormen!$C$23</definedName>
    <definedName name="catfd_1_KDHB_1">Categorienormen!$C$24</definedName>
    <definedName name="catfd_1_KDHV_42">Categorienormen!$C$25</definedName>
    <definedName name="catfd_1_KDZB_1">Categorienormen!$C$26</definedName>
    <definedName name="catfd_1_KDZV_42">Categorienormen!$C$27</definedName>
    <definedName name="catfd_1_KPHB_1">Categorienormen!$C$28</definedName>
    <definedName name="catfd_1_KPHV_42">Categorienormen!$C$29</definedName>
    <definedName name="catfd_1_LAHB_1">Categorienormen!$C$57</definedName>
    <definedName name="catfd_1_LAHV_42">Categorienormen!$C$58</definedName>
    <definedName name="catfd_1_LAZB_1">Categorienormen!$C$59</definedName>
    <definedName name="catfd_1_LAZV_42">Categorienormen!$C$60</definedName>
    <definedName name="catfd_1_LLHB_1">Categorienormen!$C$61</definedName>
    <definedName name="catfd_1_LLHV_42">Categorienormen!$C$62</definedName>
    <definedName name="catfd_1_LLZB_1">Categorienormen!$C$63</definedName>
    <definedName name="catfd_1_LLZV_42">Categorienormen!$C$64</definedName>
    <definedName name="catfd_1_LOHB_1">Categorienormen!$C$65</definedName>
    <definedName name="catfd_1_LOHV_42">Categorienormen!$C$66</definedName>
    <definedName name="catfd_1_LOZB_1">Categorienormen!$C$67</definedName>
    <definedName name="catfd_1_LOZV_42">Categorienormen!$C$68</definedName>
    <definedName name="catfd_1_MAHB_1">Categorienormen!$C$69</definedName>
    <definedName name="catfd_1_MAHV_42">Categorienormen!$C$70</definedName>
    <definedName name="catfd_1_MAZB_1">Categorienormen!$C$71</definedName>
    <definedName name="catfd_1_MAZV_42">Categorienormen!$C$72</definedName>
    <definedName name="catfd_1_OAHB_1">Categorienormen!$C$30</definedName>
    <definedName name="catfd_1_OAHV_10">Categorienormen!$C$31</definedName>
    <definedName name="catfd_1_OAHV_12">Categorienormen!$C$32</definedName>
    <definedName name="catfd_1_PAHB_1">Categorienormen!$C$73</definedName>
    <definedName name="catfd_1_PAHV_42">Categorienormen!$C$74</definedName>
    <definedName name="catfd_1_PKHB_1">Categorienormen!$C$8</definedName>
    <definedName name="catfd_1_PKHV_42">Categorienormen!$C$9</definedName>
    <definedName name="catfd_1_PLHB_1">Categorienormen!$C$75</definedName>
    <definedName name="catfd_1_PLHV_42">Categorienormen!$C$76</definedName>
    <definedName name="catfd_1_PSHB_1">Categorienormen!$C$77</definedName>
    <definedName name="catfd_1_PSHV_42">Categorienormen!$C$78</definedName>
    <definedName name="catfd_1_PSZB_1">Categorienormen!$C$79</definedName>
    <definedName name="catfd_1_PSZV_42">Categorienormen!$C$80</definedName>
    <definedName name="catfd_1_PVHB_1">Categorienormen!$C$81</definedName>
    <definedName name="catfd_1_PVHV_42">Categorienormen!$C$82</definedName>
    <definedName name="catfd_1_PWHB_1">Categorienormen!$C$10</definedName>
    <definedName name="catfd_1_PWHV_42">Categorienormen!$C$11</definedName>
    <definedName name="catfd_1_SDHB_1">Categorienormen!$C$12</definedName>
    <definedName name="catfd_1_SDHV_42">Categorienormen!$C$13</definedName>
    <definedName name="catfd_1_SKHB_1">Categorienormen!$C$14</definedName>
    <definedName name="catfd_1_SKHV_42">Categorienormen!$C$15</definedName>
    <definedName name="catfd_1_STHB_1">Categorienormen!$C$16</definedName>
    <definedName name="catfd_1_STHV_42">Categorienormen!$C$17</definedName>
    <definedName name="catfd_1_SWHB_1">Categorienormen!$C$18</definedName>
    <definedName name="catfd_1_SWHV_42">Categorienormen!$C$19</definedName>
    <definedName name="catfd_1_VAHB_1">Categorienormen!$C$33</definedName>
    <definedName name="catfd_1_VAHV_42">Categorienormen!$C$34</definedName>
    <definedName name="catfd_1_VAZB_1">Categorienormen!$C$35</definedName>
    <definedName name="catfd_1_VAZV_42">Categorienormen!$C$36</definedName>
    <definedName name="catfd_1_VEHB_1">Categorienormen!$C$37</definedName>
    <definedName name="catfd_1_VEHV_42">Categorienormen!$C$38</definedName>
    <definedName name="catfd_1_VEZB_1">Categorienormen!$C$39</definedName>
    <definedName name="catfd_1_VEZV_42">Categorienormen!$C$40</definedName>
    <definedName name="catfd_1_VLHB_1">Categorienormen!$C$41</definedName>
    <definedName name="catfd_1_VLHV_42">Categorienormen!$C$42</definedName>
    <definedName name="catfd_1_VOHB_1">Categorienormen!$C$43</definedName>
    <definedName name="catfd_1_VOHV_42">Categorienormen!$C$44</definedName>
    <definedName name="catfd_1_VOZB_1">Categorienormen!$C$45</definedName>
    <definedName name="catfd_1_VOZV_42">Categorienormen!$C$46</definedName>
    <definedName name="catfd_1_VTHB_1">Categorienormen!$C$47</definedName>
    <definedName name="catfd_1_VTHV_42">Categorienormen!$C$48</definedName>
    <definedName name="catfd_2_STHVB_1">Categorienormen!$C$85</definedName>
    <definedName name="catfd_2_STHVV_5">Categorienormen!$C$86</definedName>
    <definedName name="catpn_1_BKHB_1">Categorienormen!$E$49</definedName>
    <definedName name="catpn_1_BKHV_42">Categorienormen!$E$50</definedName>
    <definedName name="catpn_1_BKZB_1">Categorienormen!$E$51</definedName>
    <definedName name="catpn_1_BKZV_42">Categorienormen!$E$52</definedName>
    <definedName name="catpn_1_BVHB_1">Categorienormen!$E$53</definedName>
    <definedName name="catpn_1_BVHV_42">Categorienormen!$E$54</definedName>
    <definedName name="catpn_1_BVZB_1">Categorienormen!$E$55</definedName>
    <definedName name="catpn_1_BVZV_42">Categorienormen!$E$56</definedName>
    <definedName name="catpn_1_GSHB_1">Categorienormen!$E$6</definedName>
    <definedName name="catpn_1_GSHV_42">Categorienormen!$E$7</definedName>
    <definedName name="catpn_1_KAHB_1">Categorienormen!$E$20</definedName>
    <definedName name="catpn_1_KAHV_42">Categorienormen!$E$21</definedName>
    <definedName name="catpn_1_KAZB_1">Categorienormen!$E$22</definedName>
    <definedName name="catpn_1_KAZV_42">Categorienormen!$E$23</definedName>
    <definedName name="catpn_1_KDHB_1">Categorienormen!$E$24</definedName>
    <definedName name="catpn_1_KDHV_42">Categorienormen!$E$25</definedName>
    <definedName name="catpn_1_KDZB_1">Categorienormen!$E$26</definedName>
    <definedName name="catpn_1_KDZV_42">Categorienormen!$E$27</definedName>
    <definedName name="catpn_1_KPHB_1">Categorienormen!$E$28</definedName>
    <definedName name="catpn_1_KPHV_42">Categorienormen!$E$29</definedName>
    <definedName name="catpn_1_LAHB_1">Categorienormen!$E$57</definedName>
    <definedName name="catpn_1_LAHV_42">Categorienormen!$E$58</definedName>
    <definedName name="catpn_1_LAZB_1">Categorienormen!$E$59</definedName>
    <definedName name="catpn_1_LAZV_42">Categorienormen!$E$60</definedName>
    <definedName name="catpn_1_LLHB_1">Categorienormen!$E$61</definedName>
    <definedName name="catpn_1_LLHV_42">Categorienormen!$E$62</definedName>
    <definedName name="catpn_1_LLZB_1">Categorienormen!$E$63</definedName>
    <definedName name="catpn_1_LLZV_42">Categorienormen!$E$64</definedName>
    <definedName name="catpn_1_LOHB_1">Categorienormen!$E$65</definedName>
    <definedName name="catpn_1_LOHV_42">Categorienormen!$E$66</definedName>
    <definedName name="catpn_1_LOZB_1">Categorienormen!$E$67</definedName>
    <definedName name="catpn_1_LOZV_42">Categorienormen!$E$68</definedName>
    <definedName name="catpn_1_MAHB_1">Categorienormen!$E$69</definedName>
    <definedName name="catpn_1_MAHV_42">Categorienormen!$E$70</definedName>
    <definedName name="catpn_1_MAZB_1">Categorienormen!$E$71</definedName>
    <definedName name="catpn_1_MAZV_42">Categorienormen!$E$72</definedName>
    <definedName name="catpn_1_OAHB_1">Categorienormen!$E$30</definedName>
    <definedName name="catpn_1_OAHV_10">Categorienormen!$E$31</definedName>
    <definedName name="catpn_1_OAHV_12">Categorienormen!$E$32</definedName>
    <definedName name="catpn_1_PAHB_1">Categorienormen!$E$73</definedName>
    <definedName name="catpn_1_PAHV_42">Categorienormen!$E$74</definedName>
    <definedName name="catpn_1_PKHB_1">Categorienormen!$E$8</definedName>
    <definedName name="catpn_1_PKHV_42">Categorienormen!$E$9</definedName>
    <definedName name="catpn_1_PLHB_1">Categorienormen!$E$75</definedName>
    <definedName name="catpn_1_PLHV_42">Categorienormen!$E$76</definedName>
    <definedName name="catpn_1_PSHB_1">Categorienormen!$E$77</definedName>
    <definedName name="catpn_1_PSHV_42">Categorienormen!$E$78</definedName>
    <definedName name="catpn_1_PSZB_1">Categorienormen!$E$79</definedName>
    <definedName name="catpn_1_PSZV_42">Categorienormen!$E$80</definedName>
    <definedName name="catpn_1_PVHB_1">Categorienormen!$E$81</definedName>
    <definedName name="catpn_1_PVHV_42">Categorienormen!$E$82</definedName>
    <definedName name="catpn_1_PWHB_1">Categorienormen!$E$10</definedName>
    <definedName name="catpn_1_PWHV_42">Categorienormen!$E$11</definedName>
    <definedName name="catpn_1_SDHB_1">Categorienormen!$E$12</definedName>
    <definedName name="catpn_1_SDHV_42">Categorienormen!$E$13</definedName>
    <definedName name="catpn_1_SKHB_1">Categorienormen!$E$14</definedName>
    <definedName name="catpn_1_SKHV_42">Categorienormen!$E$15</definedName>
    <definedName name="catpn_1_STHB_1">Categorienormen!$E$16</definedName>
    <definedName name="catpn_1_STHV_42">Categorienormen!$E$17</definedName>
    <definedName name="catpn_1_SWHB_1">Categorienormen!$E$18</definedName>
    <definedName name="catpn_1_SWHV_42">Categorienormen!$E$19</definedName>
    <definedName name="catpn_1_VAHB_1">Categorienormen!$E$33</definedName>
    <definedName name="catpn_1_VAHV_42">Categorienormen!$E$34</definedName>
    <definedName name="catpn_1_VAZB_1">Categorienormen!$E$35</definedName>
    <definedName name="catpn_1_VAZV_42">Categorienormen!$E$36</definedName>
    <definedName name="catpn_1_VEHB_1">Categorienormen!$E$37</definedName>
    <definedName name="catpn_1_VEHV_42">Categorienormen!$E$38</definedName>
    <definedName name="catpn_1_VEZB_1">Categorienormen!$E$39</definedName>
    <definedName name="catpn_1_VEZV_42">Categorienormen!$E$40</definedName>
    <definedName name="catpn_1_VLHB_1">Categorienormen!$E$41</definedName>
    <definedName name="catpn_1_VLHV_42">Categorienormen!$E$42</definedName>
    <definedName name="catpn_1_VOHB_1">Categorienormen!$E$43</definedName>
    <definedName name="catpn_1_VOHV_42">Categorienormen!$E$44</definedName>
    <definedName name="catpn_1_VOZB_1">Categorienormen!$E$45</definedName>
    <definedName name="catpn_1_VOZV_42">Categorienormen!$E$46</definedName>
    <definedName name="catpn_1_VTHB_1">Categorienormen!$E$47</definedName>
    <definedName name="catpn_1_VTHV_42">Categorienormen!$E$48</definedName>
    <definedName name="catpn_2_STHVB_1">Categorienormen!$E$85</definedName>
    <definedName name="catpn_2_STHVV_5">Categorienormen!$E$86</definedName>
    <definedName name="cattf_1_BKHB_1">Categorienormen!$H$49</definedName>
    <definedName name="cattf_1_BKHV_42">Categorienormen!$H$50</definedName>
    <definedName name="cattf_1_BKZB_1">Categorienormen!$H$51</definedName>
    <definedName name="cattf_1_BKZV_42">Categorienormen!$H$52</definedName>
    <definedName name="cattf_1_BVHB_1">Categorienormen!$H$53</definedName>
    <definedName name="cattf_1_BVHV_42">Categorienormen!$H$54</definedName>
    <definedName name="cattf_1_BVZB_1">Categorienormen!$H$55</definedName>
    <definedName name="cattf_1_BVZV_42">Categorienormen!$H$56</definedName>
    <definedName name="cattf_1_GSHB_1">Categorienormen!$H$6</definedName>
    <definedName name="cattf_1_GSHV_42">Categorienormen!$H$7</definedName>
    <definedName name="cattf_1_KAHB_1">Categorienormen!$H$20</definedName>
    <definedName name="cattf_1_KAHV_42">Categorienormen!$H$21</definedName>
    <definedName name="cattf_1_KAZB_1">Categorienormen!$H$22</definedName>
    <definedName name="cattf_1_KAZV_42">Categorienormen!$H$23</definedName>
    <definedName name="cattf_1_KDHB_1">Categorienormen!$H$24</definedName>
    <definedName name="cattf_1_KDHV_42">Categorienormen!$H$25</definedName>
    <definedName name="cattf_1_KDZB_1">Categorienormen!$H$26</definedName>
    <definedName name="cattf_1_KDZV_42">Categorienormen!$H$27</definedName>
    <definedName name="cattf_1_KPHB_1">Categorienormen!$H$28</definedName>
    <definedName name="cattf_1_KPHV_42">Categorienormen!$H$29</definedName>
    <definedName name="cattf_1_LAHB_1">Categorienormen!$H$57</definedName>
    <definedName name="cattf_1_LAHV_42">Categorienormen!$H$58</definedName>
    <definedName name="cattf_1_LAZB_1">Categorienormen!$H$59</definedName>
    <definedName name="cattf_1_LAZV_42">Categorienormen!$H$60</definedName>
    <definedName name="cattf_1_LLHB_1">Categorienormen!$H$61</definedName>
    <definedName name="cattf_1_LLHV_42">Categorienormen!$H$62</definedName>
    <definedName name="cattf_1_LLZB_1">Categorienormen!$H$63</definedName>
    <definedName name="cattf_1_LLZV_42">Categorienormen!$H$64</definedName>
    <definedName name="cattf_1_LOHB_1">Categorienormen!$H$65</definedName>
    <definedName name="cattf_1_LOHV_42">Categorienormen!$H$66</definedName>
    <definedName name="cattf_1_LOZB_1">Categorienormen!$H$67</definedName>
    <definedName name="cattf_1_LOZV_42">Categorienormen!$H$68</definedName>
    <definedName name="cattf_1_MAHB_1">Categorienormen!$H$69</definedName>
    <definedName name="cattf_1_MAHV_42">Categorienormen!$H$70</definedName>
    <definedName name="cattf_1_MAZB_1">Categorienormen!$H$71</definedName>
    <definedName name="cattf_1_MAZV_42">Categorienormen!$H$72</definedName>
    <definedName name="cattf_1_OAHB_1">Categorienormen!$H$30</definedName>
    <definedName name="cattf_1_OAHV_10">Categorienormen!$H$31</definedName>
    <definedName name="cattf_1_OAHV_12">Categorienormen!$H$32</definedName>
    <definedName name="cattf_1_PAHB_1">Categorienormen!$H$73</definedName>
    <definedName name="cattf_1_PAHV_42">Categorienormen!$H$74</definedName>
    <definedName name="cattf_1_PKHB_1">Categorienormen!$H$8</definedName>
    <definedName name="cattf_1_PKHV_42">Categorienormen!$H$9</definedName>
    <definedName name="cattf_1_PLHB_1">Categorienormen!$H$75</definedName>
    <definedName name="cattf_1_PLHV_42">Categorienormen!$H$76</definedName>
    <definedName name="cattf_1_PSHB_1">Categorienormen!$H$77</definedName>
    <definedName name="cattf_1_PSHV_42">Categorienormen!$H$78</definedName>
    <definedName name="cattf_1_PSZB_1">Categorienormen!$H$79</definedName>
    <definedName name="cattf_1_PSZV_42">Categorienormen!$H$80</definedName>
    <definedName name="cattf_1_PVHB_1">Categorienormen!$H$81</definedName>
    <definedName name="cattf_1_PVHV_42">Categorienormen!$H$82</definedName>
    <definedName name="cattf_1_PWHB_1">Categorienormen!$H$10</definedName>
    <definedName name="cattf_1_PWHV_42">Categorienormen!$H$11</definedName>
    <definedName name="cattf_1_SDHB_1">Categorienormen!$H$12</definedName>
    <definedName name="cattf_1_SDHV_42">Categorienormen!$H$13</definedName>
    <definedName name="cattf_1_SKHB_1">Categorienormen!$H$14</definedName>
    <definedName name="cattf_1_SKHV_42">Categorienormen!$H$15</definedName>
    <definedName name="cattf_1_STHB_1">Categorienormen!$H$16</definedName>
    <definedName name="cattf_1_STHV_42">Categorienormen!$H$17</definedName>
    <definedName name="cattf_1_SWHB_1">Categorienormen!$H$18</definedName>
    <definedName name="cattf_1_SWHV_42">Categorienormen!$H$19</definedName>
    <definedName name="cattf_1_VAHB_1">Categorienormen!$H$33</definedName>
    <definedName name="cattf_1_VAHV_42">Categorienormen!$H$34</definedName>
    <definedName name="cattf_1_VAZB_1">Categorienormen!$H$35</definedName>
    <definedName name="cattf_1_VAZV_42">Categorienormen!$H$36</definedName>
    <definedName name="cattf_1_VEHB_1">Categorienormen!$H$37</definedName>
    <definedName name="cattf_1_VEHV_42">Categorienormen!$H$38</definedName>
    <definedName name="cattf_1_VEZB_1">Categorienormen!$H$39</definedName>
    <definedName name="cattf_1_VEZV_42">Categorienormen!$H$40</definedName>
    <definedName name="cattf_1_VLHB_1">Categorienormen!$H$41</definedName>
    <definedName name="cattf_1_VLHV_42">Categorienormen!$H$42</definedName>
    <definedName name="cattf_1_VOHB_1">Categorienormen!$H$43</definedName>
    <definedName name="cattf_1_VOHV_42">Categorienormen!$H$44</definedName>
    <definedName name="cattf_1_VOZB_1">Categorienormen!$H$45</definedName>
    <definedName name="cattf_1_VOZV_42">Categorienormen!$H$46</definedName>
    <definedName name="cattf_1_VTHB_1">Categorienormen!$H$47</definedName>
    <definedName name="cattf_1_VTHV_42">Categorienormen!$H$48</definedName>
    <definedName name="cattf_2_STHVB_1">Categorienormen!$H$85</definedName>
    <definedName name="cattf_2_STHVV_5">Categorienormen!$H$86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Omreken!$A$13:$B$29</definedName>
    <definedName name="dagsoorttabel2">Omreken!$D$13:$E$25</definedName>
    <definedName name="dagsoorttabel3">Omreken!$G$13:$H$15</definedName>
    <definedName name="dagwerk10">'Regulier werk'!$H$6</definedName>
    <definedName name="dagwerk11">'Regulier werk'!$H$7</definedName>
    <definedName name="dagwerk12">'Regulier werk'!$H$8</definedName>
    <definedName name="dagwerk13">'Regulier werk'!$H$9</definedName>
    <definedName name="dagwerk14">'Regulier werk'!$H$10</definedName>
    <definedName name="dagwerk15">'Regulier werk'!$H$11</definedName>
    <definedName name="dagwerk16">'Regulier werk'!$H$12</definedName>
    <definedName name="dagwerk17">'Regulier werk'!$H$13</definedName>
    <definedName name="dagwerk18">'Regulier werk'!$H$14</definedName>
    <definedName name="dagwerk19">'Regulier werk'!$H$15</definedName>
    <definedName name="dagwerk20">'Regulier werk'!$H$16</definedName>
    <definedName name="dagwerk21">'Regulier werk'!$H$17</definedName>
    <definedName name="dagwerk22">'Regulier werk'!$H$18</definedName>
    <definedName name="dagwerk23">'Regulier werk'!$H$19</definedName>
    <definedName name="dagwerk24">'Regulier werk'!$H$20</definedName>
    <definedName name="dagwerk25">'Regulier werk'!$H$21</definedName>
    <definedName name="dagwerk26">'Regulier werk'!$H$22</definedName>
    <definedName name="dagwerk27">'Regulier werk'!$H$23</definedName>
    <definedName name="dagwerk28">'Regulier werk'!$H$24</definedName>
    <definedName name="dagwerk29">'Regulier werk'!$H$25</definedName>
    <definedName name="dagwerk30">'Regulier werk'!$H$26</definedName>
    <definedName name="dagwerk31">'Regulier werk'!$H$27</definedName>
    <definedName name="dagwerk32">'Regulier werk'!$H$28</definedName>
    <definedName name="dagwerk33">'Regulier werk'!$H$29</definedName>
    <definedName name="dagwerk34">'Regulier werk'!$H$30</definedName>
    <definedName name="dagwerk35">'Regulier werk'!$H$31</definedName>
    <definedName name="dagwerk36">'Regulier werk'!$H$32</definedName>
    <definedName name="dagwerk37">'Regulier werk'!$H$33</definedName>
    <definedName name="dagwerk38">'Regulier werk'!$H$34</definedName>
    <definedName name="dagwerk39">'Regulier werk'!$H$35</definedName>
    <definedName name="dagwerk40">'Regulier werk'!$H$36</definedName>
    <definedName name="dagwerk41">'Regulier werk'!$H$37</definedName>
    <definedName name="dagwerk42">'Regulier werk'!$H$38</definedName>
    <definedName name="dagwerk43">'Regulier werk'!$H$39</definedName>
    <definedName name="dagwerk44">'Regulier werk'!$H$40</definedName>
    <definedName name="dagwerk45">'Regulier werk'!$H$41</definedName>
    <definedName name="dagwerk46">'Regulier werk'!$H$42</definedName>
    <definedName name="dagwerk47">'Regulier werk'!$H$43</definedName>
    <definedName name="dagwerk48">'Regulier werk'!$H$44</definedName>
    <definedName name="dagwerk49">'Regulier werk'!$H$45</definedName>
    <definedName name="dagwerk50">'Regulier werk'!$H$57</definedName>
    <definedName name="dagwerk51">'Regulier werk'!$H$56</definedName>
    <definedName name="dagwerk6">'Regulier werk'!$H$46</definedName>
    <definedName name="dagwerk7">'Regulier werk'!$H$47</definedName>
    <definedName name="dagwerk8">'Regulier werk'!$H$48</definedName>
    <definedName name="dagwerk9">'Regulier werk'!$H$49</definedName>
    <definedName name="dagwerktabel1">Objectinformatie!$H$5:$H$46</definedName>
    <definedName name="dagwerktabel2">Objectinformatie!$H$49:$H$50</definedName>
    <definedName name="gemuurtarief1">'Regulier werk'!$J$52</definedName>
    <definedName name="gemuurtarief2">'Regulier werk'!$J$60</definedName>
    <definedName name="kengetaltabel1">Objectinformatie!$G$5:$G$46</definedName>
    <definedName name="kengetaltabel2">Objectinformatie!$G$49:$G$50</definedName>
    <definedName name="object1_gemuurtarief1">'Ruimten werkdag'!$Q$679</definedName>
    <definedName name="object1_gemuurtarief2">'Ruimten werkdag vakantie'!$Q$16</definedName>
    <definedName name="object1_opptabel1">Objectinformatie!$J$5:$J$46</definedName>
    <definedName name="object1_opptabel2">Objectinformatie!$J$49:$J$50</definedName>
    <definedName name="object1_prijsdag1">'Ruimten werkdag'!$T$679</definedName>
    <definedName name="object1_prijsdag2">'Ruimten werkdag vakantie'!$T$16</definedName>
    <definedName name="object1_prijsjaar1">'Ruimten werkdag'!$V$679</definedName>
    <definedName name="object1_prijsjaar2">'Ruimten werkdag vakantie'!$V$16</definedName>
    <definedName name="object1_urendag1">'Ruimten werkdag'!$R$679</definedName>
    <definedName name="object1_urendag2">'Ruimten werkdag vakantie'!$R$16</definedName>
    <definedName name="object1_urendaghf1">'Ruimten werkdag'!$S$679</definedName>
    <definedName name="object1_urendaghf2">'Ruimten werkdag vakantie'!$S$16</definedName>
    <definedName name="object1_urenjaar1">'Ruimten werkdag'!$U$679</definedName>
    <definedName name="object1_urenjaar2">'Ruimten werkdag vakantie'!$U$16</definedName>
    <definedName name="object2_gemuurtarief1">'Ruimten werkdag'!$Q$700</definedName>
    <definedName name="object2_opptabel1">Objectinformatie!$K$5:$K$46</definedName>
    <definedName name="object2_opptabel2">Objectinformatie!$K$49:$K$50</definedName>
    <definedName name="object2_prijsdag1">'Ruimten werkdag'!$T$700</definedName>
    <definedName name="object2_prijsjaar1">'Ruimten werkdag'!$V$700</definedName>
    <definedName name="object2_urendag1">'Ruimten werkdag'!$R$700</definedName>
    <definedName name="object2_urendaghf1">'Ruimten werkdag'!$S$700</definedName>
    <definedName name="object2_urenjaar1">'Ruimten werkdag'!$U$700</definedName>
    <definedName name="object3_gemuurtarief1">'Ruimten werkdag'!$Q$791</definedName>
    <definedName name="object3_opptabel1">Objectinformatie!$L$5:$L$46</definedName>
    <definedName name="object3_opptabel2">Objectinformatie!$L$49:$L$50</definedName>
    <definedName name="object3_prijsdag1">'Ruimten werkdag'!$T$791</definedName>
    <definedName name="object3_prijsjaar1">'Ruimten werkdag'!$V$791</definedName>
    <definedName name="object3_urendag1">'Ruimten werkdag'!$R$791</definedName>
    <definedName name="object3_urendaghf1">'Ruimten werkdag'!$S$791</definedName>
    <definedName name="object3_urenjaar1">'Ruimten werkdag'!$U$791</definedName>
    <definedName name="object4_gemuurtarief1">'Ruimten werkdag'!$Q$979</definedName>
    <definedName name="object4_opptabel1">Objectinformatie!$M$5:$M$46</definedName>
    <definedName name="object4_opptabel2">Objectinformatie!$M$49:$M$50</definedName>
    <definedName name="object4_prijsdag1">'Ruimten werkdag'!$T$979</definedName>
    <definedName name="object4_prijsjaar1">'Ruimten werkdag'!$V$979</definedName>
    <definedName name="object4_urendag1">'Ruimten werkdag'!$R$979</definedName>
    <definedName name="object4_urendaghf1">'Ruimten werkdag'!$S$979</definedName>
    <definedName name="object4_urenjaar1">'Ruimten werkdag'!$U$979</definedName>
    <definedName name="object5_gemuurtarief1">'Ruimten werkdag'!$Q$1038</definedName>
    <definedName name="object5_opptabel1">Objectinformatie!$N$5:$N$46</definedName>
    <definedName name="object5_opptabel2">Objectinformatie!$N$49:$N$50</definedName>
    <definedName name="object5_prijsdag1">'Ruimten werkdag'!$T$1038</definedName>
    <definedName name="object5_prijsjaar1">'Ruimten werkdag'!$V$1038</definedName>
    <definedName name="object5_urendag1">'Ruimten werkdag'!$R$1038</definedName>
    <definedName name="object5_urendaghf1">'Ruimten werkdag'!$S$1038</definedName>
    <definedName name="object5_urenjaar1">'Ruimten werkdag'!$U$1038</definedName>
    <definedName name="object6_gemuurtarief1">'Ruimten werkdag'!$Q$1200</definedName>
    <definedName name="object6_opptabel1">Objectinformatie!$O$5:$O$46</definedName>
    <definedName name="object6_opptabel2">Objectinformatie!$O$49:$O$50</definedName>
    <definedName name="object6_prijsdag1">'Ruimten werkdag'!$T$1200</definedName>
    <definedName name="object6_prijsjaar1">'Ruimten werkdag'!$V$1200</definedName>
    <definedName name="object6_urendag1">'Ruimten werkdag'!$R$1200</definedName>
    <definedName name="object6_urendaghf1">'Ruimten werkdag'!$S$1200</definedName>
    <definedName name="object6_urenjaar1">'Ruimten werkdag'!$U$1200</definedName>
    <definedName name="object7_gemuurtarief1">'Ruimten werkdag'!$Q$1225</definedName>
    <definedName name="object7_opptabel1">Objectinformatie!$P$5:$P$46</definedName>
    <definedName name="object7_opptabel2">Objectinformatie!$P$49:$P$50</definedName>
    <definedName name="object7_prijsdag1">'Ruimten werkdag'!$T$1225</definedName>
    <definedName name="object7_prijsjaar1">'Ruimten werkdag'!$V$1225</definedName>
    <definedName name="object7_urendag1">'Ruimten werkdag'!$R$1225</definedName>
    <definedName name="object7_urendaghf1">'Ruimten werkdag'!$S$1225</definedName>
    <definedName name="object7_urenjaar1">'Ruimten werkdag'!$U$1225</definedName>
    <definedName name="object8_gemuurtarief1">'Ruimten werkdag'!$Q$1391</definedName>
    <definedName name="object8_opptabel1">Objectinformatie!$Q$5:$Q$46</definedName>
    <definedName name="object8_opptabel2">Objectinformatie!$Q$49:$Q$50</definedName>
    <definedName name="object8_prijsdag1">'Ruimten werkdag'!$T$1391</definedName>
    <definedName name="object8_prijsjaar1">'Ruimten werkdag'!$V$1391</definedName>
    <definedName name="object8_urendag1">'Ruimten werkdag'!$R$1391</definedName>
    <definedName name="object8_urendaghf1">'Ruimten werkdag'!$S$1391</definedName>
    <definedName name="object8_urenjaar1">'Ruimten werkdag'!$U$1391</definedName>
    <definedName name="object9_gemuurtarief1">'Ruimten werkdag'!$Q$1447</definedName>
    <definedName name="object9_opptabel1">Objectinformatie!$R$5:$R$46</definedName>
    <definedName name="object9_opptabel2">Objectinformatie!$R$49:$R$50</definedName>
    <definedName name="object9_prijsdag1">'Ruimten werkdag'!$T$1447</definedName>
    <definedName name="object9_prijsjaar1">'Ruimten werkdag'!$V$1447</definedName>
    <definedName name="object9_urendag1">'Ruimten werkdag'!$R$1447</definedName>
    <definedName name="object9_urendaghf1">'Ruimten werkdag'!$S$1447</definedName>
    <definedName name="object9_urenjaar1">'Ruimten werkdag'!$U$1447</definedName>
    <definedName name="objectprijs1_1">Objecten!$L$6</definedName>
    <definedName name="objectprijs1_2">Objecten!$L$19</definedName>
    <definedName name="objectprijs2_1">Objecten!$L$7</definedName>
    <definedName name="objectprijs3_1">Objecten!$L$8</definedName>
    <definedName name="objectprijs4_1">Objecten!$L$9</definedName>
    <definedName name="objectprijs5_1">Objecten!$L$10</definedName>
    <definedName name="objectprijs6_1">Objecten!$L$11</definedName>
    <definedName name="objectprijs7_1">Objecten!$L$12</definedName>
    <definedName name="objectprijs8_1">Objecten!$L$13</definedName>
    <definedName name="objectprijs9_1">Objecten!$L$14</definedName>
    <definedName name="objecturen1_1">Objecten!$K$6</definedName>
    <definedName name="objecturen1_2">Objecten!$K$19</definedName>
    <definedName name="objecturen2_1">Objecten!$K$7</definedName>
    <definedName name="objecturen3_1">Objecten!$K$8</definedName>
    <definedName name="objecturen4_1">Objecten!$K$9</definedName>
    <definedName name="objecturen5_1">Objecten!$K$10</definedName>
    <definedName name="objecturen6_1">Objecten!$K$11</definedName>
    <definedName name="objecturen7_1">Objecten!$K$12</definedName>
    <definedName name="objecturen8_1">Objecten!$K$13</definedName>
    <definedName name="objecturen9_1">Objecten!$K$14</definedName>
    <definedName name="objecturenhf1_1">Objecten!$J$6</definedName>
    <definedName name="objecturenhf1_2">Objecten!$J$19</definedName>
    <definedName name="objecturenhf2_1">Objecten!$J$7</definedName>
    <definedName name="objecturenhf3_1">Objecten!$J$8</definedName>
    <definedName name="objecturenhf4_1">Objecten!$J$9</definedName>
    <definedName name="objecturenhf5_1">Objecten!$J$10</definedName>
    <definedName name="objecturenhf6_1">Objecten!$J$11</definedName>
    <definedName name="objecturenhf7_1">Objecten!$J$12</definedName>
    <definedName name="objecturenhf8_1">Objecten!$J$13</definedName>
    <definedName name="objecturenhf9_1">Objecten!$J$14</definedName>
    <definedName name="prijsdag1">'Regulier werk'!$L$50</definedName>
    <definedName name="prijsdag2">'Regulier werk'!$L$58</definedName>
    <definedName name="prijsjaar">'Regulier werk'!$N$63</definedName>
    <definedName name="prijsjaar1">'Regulier werk'!$N$50</definedName>
    <definedName name="prijsjaar2">'Regulier werk'!$N$58</definedName>
    <definedName name="prijsjaarglas">Glas!$K$14</definedName>
    <definedName name="prijsjaarglas1">Glas!$K$12</definedName>
    <definedName name="prijsjaarregie">Regiewerk!$K$11</definedName>
    <definedName name="prijsjaarregie1">Regiewerk!$K$9</definedName>
    <definedName name="prijsjaartotaal">Objecten!$L$23</definedName>
    <definedName name="prijsjaartotaal1">Objecten!$L$15</definedName>
    <definedName name="prijsjaartotaal2">Objecten!$L$20</definedName>
    <definedName name="prijsjaartotaaloverzicht">'Totaalblad Objecten'!$B$14</definedName>
    <definedName name="prodnorm0">Glas!$H$11</definedName>
    <definedName name="prodnorm1">'Glas per locatie'!$I$56</definedName>
    <definedName name="prodnorm10">'Regulier werk'!$G$6</definedName>
    <definedName name="prodnorm11">'Regulier werk'!$G$7</definedName>
    <definedName name="prodnorm12">'Regulier werk'!$G$8</definedName>
    <definedName name="prodnorm13">'Regulier werk'!$G$9</definedName>
    <definedName name="prodnorm14">'Regulier werk'!$G$10</definedName>
    <definedName name="prodnorm15">'Regulier werk'!$G$11</definedName>
    <definedName name="prodnorm16">'Regulier werk'!$G$12</definedName>
    <definedName name="prodnorm17">'Regulier werk'!$G$13</definedName>
    <definedName name="prodnorm18">'Regulier werk'!$G$14</definedName>
    <definedName name="prodnorm19">'Regulier werk'!$G$15</definedName>
    <definedName name="prodnorm2">'Glas per locatie'!$I$7</definedName>
    <definedName name="prodnorm20">'Regulier werk'!$G$16</definedName>
    <definedName name="prodnorm21">'Regulier werk'!$G$17</definedName>
    <definedName name="prodnorm22">'Regulier werk'!$G$18</definedName>
    <definedName name="prodnorm23">'Regulier werk'!$G$19</definedName>
    <definedName name="prodnorm24">'Regulier werk'!$G$20</definedName>
    <definedName name="prodnorm25">'Regulier werk'!$G$21</definedName>
    <definedName name="prodnorm26">'Regulier werk'!$G$22</definedName>
    <definedName name="prodnorm27">'Regulier werk'!$G$23</definedName>
    <definedName name="prodnorm28">'Regulier werk'!$G$24</definedName>
    <definedName name="prodnorm29">'Regulier werk'!$G$25</definedName>
    <definedName name="prodnorm3">'Glas per locatie'!$I$57</definedName>
    <definedName name="prodnorm30">'Regulier werk'!$G$26</definedName>
    <definedName name="prodnorm31">'Regulier werk'!$G$27</definedName>
    <definedName name="prodnorm32">'Regulier werk'!$G$28</definedName>
    <definedName name="prodnorm33">'Regulier werk'!$G$29</definedName>
    <definedName name="prodnorm34">'Regulier werk'!$G$30</definedName>
    <definedName name="prodnorm35">'Regulier werk'!$G$31</definedName>
    <definedName name="prodnorm36">'Regulier werk'!$G$32</definedName>
    <definedName name="prodnorm37">'Regulier werk'!$G$33</definedName>
    <definedName name="prodnorm38">'Regulier werk'!$G$34</definedName>
    <definedName name="prodnorm39">'Regulier werk'!$G$35</definedName>
    <definedName name="prodnorm4">'Glas per locatie'!$I$9</definedName>
    <definedName name="prodnorm40">'Regulier werk'!$G$36</definedName>
    <definedName name="prodnorm41">'Regulier werk'!$G$37</definedName>
    <definedName name="prodnorm42">'Regulier werk'!$G$38</definedName>
    <definedName name="prodnorm43">'Regulier werk'!$G$39</definedName>
    <definedName name="prodnorm44">'Regulier werk'!$G$40</definedName>
    <definedName name="prodnorm45">'Regulier werk'!$G$41</definedName>
    <definedName name="prodnorm46">'Regulier werk'!$G$42</definedName>
    <definedName name="prodnorm47">'Regulier werk'!$G$43</definedName>
    <definedName name="prodnorm48">'Regulier werk'!$G$44</definedName>
    <definedName name="prodnorm49">'Regulier werk'!$G$45</definedName>
    <definedName name="prodnorm5">'Glas per locatie'!$I$58</definedName>
    <definedName name="prodnorm50">'Regulier werk'!$G$57</definedName>
    <definedName name="prodnorm51">'Regulier werk'!$G$56</definedName>
    <definedName name="prodnorm6">'Regulier werk'!$G$46</definedName>
    <definedName name="prodnorm7">'Regulier werk'!$G$47</definedName>
    <definedName name="prodnorm8">'Regulier werk'!$G$48</definedName>
    <definedName name="prodnorm9">'Regulier werk'!$G$49</definedName>
    <definedName name="taakfreqtabel1">Objectinformatie!$E$5:$E$46</definedName>
    <definedName name="taakfreqtabel2">Objectinformatie!$E$49:$E$50</definedName>
    <definedName name="tabeltype">Omreken!$B$5:$B$5</definedName>
    <definedName name="tarieftabel1">Objectinformatie!$I$5:$I$46</definedName>
    <definedName name="tarieftabel2">Objectinformatie!$I$49:$I$50</definedName>
    <definedName name="urendag1">'Regulier werk'!$K$50</definedName>
    <definedName name="urendag2">'Regulier werk'!$K$58</definedName>
    <definedName name="urenjaar">'Regulier werk'!$M$63</definedName>
    <definedName name="urenjaar1">'Regulier werk'!$M$50</definedName>
    <definedName name="urenjaar2">'Regulier werk'!$M$58</definedName>
    <definedName name="urenjaartotaal">Objecten!$K$23</definedName>
    <definedName name="urenjaartotaal1">Objecten!$K$15</definedName>
    <definedName name="urenjaartotaal2">Objecten!$K$20</definedName>
    <definedName name="urenjaartotaalhf">Objecten!$J$23</definedName>
    <definedName name="urenjaartotaalhf1">Objecten!$J$15</definedName>
    <definedName name="urenjaartotaalhf2">Objecten!$J$20</definedName>
    <definedName name="urenjaartotaaloverzicht">'Totaalblad Objecten'!$B$12</definedName>
    <definedName name="urenjaartotaaloverzichthf">'Totaalblad Objecten'!$B$9</definedName>
    <definedName name="uurfactortabel1">Objectinformatie!$F$5:$F$46</definedName>
    <definedName name="uurfactortabel2">Objectinformatie!$F$49:$F$50</definedName>
    <definedName name="uurtarief0">Glas!$I$11</definedName>
    <definedName name="uurtarief1">'Glas per locatie'!$J$56</definedName>
    <definedName name="uurtarief10">'Regulier werk'!$J$6</definedName>
    <definedName name="uurtarief11">'Regulier werk'!$J$7</definedName>
    <definedName name="uurtarief12">'Regulier werk'!$J$8</definedName>
    <definedName name="uurtarief13">'Regulier werk'!$J$9</definedName>
    <definedName name="uurtarief14">'Regulier werk'!$J$10</definedName>
    <definedName name="uurtarief15">'Regulier werk'!$J$11</definedName>
    <definedName name="uurtarief16">'Regulier werk'!$J$12</definedName>
    <definedName name="uurtarief17">'Regulier werk'!$J$13</definedName>
    <definedName name="uurtarief18">'Regulier werk'!$J$14</definedName>
    <definedName name="uurtarief19">'Regulier werk'!$J$15</definedName>
    <definedName name="uurtarief2">'Glas per locatie'!$J$7</definedName>
    <definedName name="uurtarief20">'Regulier werk'!$J$16</definedName>
    <definedName name="uurtarief21">'Regulier werk'!$J$17</definedName>
    <definedName name="uurtarief22">'Regulier werk'!$J$18</definedName>
    <definedName name="uurtarief23">'Regulier werk'!$J$19</definedName>
    <definedName name="uurtarief24">'Regulier werk'!$J$20</definedName>
    <definedName name="uurtarief25">'Regulier werk'!$J$21</definedName>
    <definedName name="uurtarief26">'Regulier werk'!$J$22</definedName>
    <definedName name="uurtarief27">'Regulier werk'!$J$23</definedName>
    <definedName name="uurtarief28">'Regulier werk'!$J$24</definedName>
    <definedName name="uurtarief29">'Regulier werk'!$J$25</definedName>
    <definedName name="uurtarief3">'Glas per locatie'!$J$57</definedName>
    <definedName name="uurtarief30">'Regulier werk'!$J$26</definedName>
    <definedName name="uurtarief31">'Regulier werk'!$J$27</definedName>
    <definedName name="uurtarief32">'Regulier werk'!$J$28</definedName>
    <definedName name="uurtarief33">'Regulier werk'!$J$29</definedName>
    <definedName name="uurtarief34">'Regulier werk'!$J$30</definedName>
    <definedName name="uurtarief35">'Regulier werk'!$J$31</definedName>
    <definedName name="uurtarief36">'Regulier werk'!$J$32</definedName>
    <definedName name="uurtarief37">'Regulier werk'!$J$33</definedName>
    <definedName name="uurtarief38">'Regulier werk'!$J$34</definedName>
    <definedName name="uurtarief39">'Regulier werk'!$J$35</definedName>
    <definedName name="uurtarief4">'Glas per locatie'!$J$9</definedName>
    <definedName name="uurtarief40">'Regulier werk'!$J$36</definedName>
    <definedName name="uurtarief41">'Regulier werk'!$J$37</definedName>
    <definedName name="uurtarief42">'Regulier werk'!$J$38</definedName>
    <definedName name="uurtarief43">'Regulier werk'!$J$39</definedName>
    <definedName name="uurtarief44">'Regulier werk'!$J$40</definedName>
    <definedName name="uurtarief45">'Regulier werk'!$J$41</definedName>
    <definedName name="uurtarief46">'Regulier werk'!$J$42</definedName>
    <definedName name="uurtarief47">'Regulier werk'!$J$43</definedName>
    <definedName name="uurtarief48">'Regulier werk'!$J$44</definedName>
    <definedName name="uurtarief49">'Regulier werk'!$J$45</definedName>
    <definedName name="uurtarief5">'Glas per locatie'!$J$58</definedName>
    <definedName name="uurtarief50">'Regulier werk'!$J$57</definedName>
    <definedName name="uurtarief51">'Regulier werk'!$J$56</definedName>
    <definedName name="uurtarief6">'Regulier werk'!$J$46</definedName>
    <definedName name="uurtarief7">'Regulier werk'!$J$47</definedName>
    <definedName name="uurtarief8">'Regulier werk'!$J$48</definedName>
    <definedName name="uurtarief9">'Regulier werk'!$J$49</definedName>
    <definedName name="vp_glas">Totaal!$E$6</definedName>
    <definedName name="vp_regie">Totaal!$E$5</definedName>
    <definedName name="vp_regulier">Totaal!$E$4</definedName>
    <definedName name="vp_variant">Totaal!$E$11</definedName>
    <definedName name="vu_regulier">Totaal!$B$4</definedName>
    <definedName name="vu_variant">Totaal!$B$8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3" l="1"/>
  <c r="J58" i="12"/>
  <c r="K58" i="12" s="1"/>
  <c r="H58" i="12"/>
  <c r="J57" i="12"/>
  <c r="K57" i="12" s="1"/>
  <c r="H57" i="12"/>
  <c r="J56" i="12"/>
  <c r="K56" i="12" s="1"/>
  <c r="K59" i="12" s="1"/>
  <c r="H56" i="12"/>
  <c r="J52" i="12"/>
  <c r="K52" i="12" s="1"/>
  <c r="H52" i="12"/>
  <c r="J51" i="12"/>
  <c r="K51" i="12" s="1"/>
  <c r="H51" i="12"/>
  <c r="J50" i="12"/>
  <c r="K50" i="12" s="1"/>
  <c r="K53" i="12" s="1"/>
  <c r="H50" i="12"/>
  <c r="J46" i="12"/>
  <c r="K46" i="12" s="1"/>
  <c r="H46" i="12"/>
  <c r="J45" i="12"/>
  <c r="K45" i="12" s="1"/>
  <c r="H45" i="12"/>
  <c r="J44" i="12"/>
  <c r="K44" i="12" s="1"/>
  <c r="K47" i="12" s="1"/>
  <c r="H44" i="12"/>
  <c r="J40" i="12"/>
  <c r="K40" i="12" s="1"/>
  <c r="H40" i="12"/>
  <c r="J39" i="12"/>
  <c r="K39" i="12" s="1"/>
  <c r="H39" i="12"/>
  <c r="J38" i="12"/>
  <c r="K38" i="12" s="1"/>
  <c r="K41" i="12" s="1"/>
  <c r="H38" i="12"/>
  <c r="J34" i="12"/>
  <c r="K34" i="12" s="1"/>
  <c r="H34" i="12"/>
  <c r="J33" i="12"/>
  <c r="K33" i="12" s="1"/>
  <c r="H33" i="12"/>
  <c r="J32" i="12"/>
  <c r="K32" i="12" s="1"/>
  <c r="K35" i="12" s="1"/>
  <c r="H32" i="12"/>
  <c r="J28" i="12"/>
  <c r="K28" i="12" s="1"/>
  <c r="H28" i="12"/>
  <c r="J27" i="12"/>
  <c r="K27" i="12" s="1"/>
  <c r="H27" i="12"/>
  <c r="J26" i="12"/>
  <c r="K26" i="12" s="1"/>
  <c r="K29" i="12" s="1"/>
  <c r="H26" i="12"/>
  <c r="J22" i="12"/>
  <c r="K22" i="12" s="1"/>
  <c r="H22" i="12"/>
  <c r="J21" i="12"/>
  <c r="K21" i="12" s="1"/>
  <c r="H21" i="12"/>
  <c r="J20" i="12"/>
  <c r="K20" i="12" s="1"/>
  <c r="K23" i="12" s="1"/>
  <c r="H20" i="12"/>
  <c r="J16" i="12"/>
  <c r="K16" i="12" s="1"/>
  <c r="H16" i="12"/>
  <c r="J15" i="12"/>
  <c r="K15" i="12" s="1"/>
  <c r="H15" i="12"/>
  <c r="J14" i="12"/>
  <c r="K14" i="12" s="1"/>
  <c r="K17" i="12" s="1"/>
  <c r="H14" i="12"/>
  <c r="J10" i="12"/>
  <c r="K10" i="12" s="1"/>
  <c r="H10" i="12"/>
  <c r="J9" i="12"/>
  <c r="K9" i="12" s="1"/>
  <c r="H9" i="12"/>
  <c r="J8" i="12"/>
  <c r="K8" i="12" s="1"/>
  <c r="H8" i="12"/>
  <c r="J7" i="12"/>
  <c r="K7" i="12" s="1"/>
  <c r="H7" i="12"/>
  <c r="J6" i="12"/>
  <c r="K6" i="12" s="1"/>
  <c r="K11" i="12" s="1"/>
  <c r="H6" i="12"/>
  <c r="A1" i="12"/>
  <c r="J11" i="11"/>
  <c r="J10" i="11"/>
  <c r="J9" i="11"/>
  <c r="J8" i="11"/>
  <c r="J7" i="11"/>
  <c r="J6" i="11"/>
  <c r="A1" i="11"/>
  <c r="J8" i="10"/>
  <c r="J7" i="10"/>
  <c r="J6" i="10"/>
  <c r="A1" i="10"/>
  <c r="A1" i="9"/>
  <c r="B7" i="8"/>
  <c r="A1" i="8"/>
  <c r="A1" i="7"/>
  <c r="I50" i="6"/>
  <c r="H50" i="6"/>
  <c r="I46" i="6"/>
  <c r="H46" i="6"/>
  <c r="G46" i="6"/>
  <c r="I45" i="6"/>
  <c r="H45" i="6"/>
  <c r="I44" i="6"/>
  <c r="H44" i="6"/>
  <c r="I43" i="6"/>
  <c r="H43" i="6"/>
  <c r="Q5" i="5"/>
  <c r="O5" i="5"/>
  <c r="A1" i="5"/>
  <c r="Q1425" i="4"/>
  <c r="O1425" i="4"/>
  <c r="N1425" i="4"/>
  <c r="Q1423" i="4"/>
  <c r="O1423" i="4"/>
  <c r="N1423" i="4"/>
  <c r="Q1406" i="4"/>
  <c r="O1406" i="4"/>
  <c r="N1406" i="4"/>
  <c r="Q1402" i="4"/>
  <c r="O1402" i="4"/>
  <c r="N1402" i="4"/>
  <c r="Q1397" i="4"/>
  <c r="O1397" i="4"/>
  <c r="N1397" i="4"/>
  <c r="Q1393" i="4"/>
  <c r="O1393" i="4"/>
  <c r="Q793" i="4"/>
  <c r="O793" i="4"/>
  <c r="Q370" i="4"/>
  <c r="O370" i="4"/>
  <c r="N370" i="4"/>
  <c r="Q368" i="4"/>
  <c r="O368" i="4"/>
  <c r="N368" i="4"/>
  <c r="Q193" i="4"/>
  <c r="O193" i="4"/>
  <c r="N193" i="4"/>
  <c r="Q191" i="4"/>
  <c r="O191" i="4"/>
  <c r="N191" i="4"/>
  <c r="Q189" i="4"/>
  <c r="O189" i="4"/>
  <c r="N189" i="4"/>
  <c r="Q186" i="4"/>
  <c r="O186" i="4"/>
  <c r="N186" i="4"/>
  <c r="Q159" i="4"/>
  <c r="O159" i="4"/>
  <c r="N159" i="4"/>
  <c r="Q156" i="4"/>
  <c r="O156" i="4"/>
  <c r="N156" i="4"/>
  <c r="Q153" i="4"/>
  <c r="O153" i="4"/>
  <c r="N153" i="4"/>
  <c r="Q151" i="4"/>
  <c r="O151" i="4"/>
  <c r="N151" i="4"/>
  <c r="Q144" i="4"/>
  <c r="O144" i="4"/>
  <c r="N144" i="4"/>
  <c r="Q142" i="4"/>
  <c r="O142" i="4"/>
  <c r="N142" i="4"/>
  <c r="Q140" i="4"/>
  <c r="O140" i="4"/>
  <c r="N140" i="4"/>
  <c r="Q5" i="4"/>
  <c r="O5" i="4"/>
  <c r="A1" i="4"/>
  <c r="J56" i="3"/>
  <c r="H56" i="3"/>
  <c r="G56" i="3"/>
  <c r="K49" i="3"/>
  <c r="J45" i="3"/>
  <c r="H45" i="3"/>
  <c r="G45" i="3"/>
  <c r="J44" i="3"/>
  <c r="H44" i="3"/>
  <c r="G44" i="3"/>
  <c r="J43" i="3"/>
  <c r="H43" i="3"/>
  <c r="G43" i="3"/>
  <c r="J42" i="3"/>
  <c r="H42" i="3"/>
  <c r="G42" i="3"/>
  <c r="J41" i="3"/>
  <c r="H41" i="3"/>
  <c r="G41" i="3"/>
  <c r="J40" i="3"/>
  <c r="H40" i="3"/>
  <c r="G40" i="3"/>
  <c r="J39" i="3"/>
  <c r="H39" i="3"/>
  <c r="G39" i="3"/>
  <c r="J38" i="3"/>
  <c r="H38" i="3"/>
  <c r="G38" i="3"/>
  <c r="J37" i="3"/>
  <c r="H37" i="3"/>
  <c r="G37" i="3"/>
  <c r="J36" i="3"/>
  <c r="H36" i="3"/>
  <c r="G36" i="3"/>
  <c r="J35" i="3"/>
  <c r="H35" i="3"/>
  <c r="G35" i="3"/>
  <c r="J34" i="3"/>
  <c r="H34" i="3"/>
  <c r="G34" i="3"/>
  <c r="J33" i="3"/>
  <c r="H33" i="3"/>
  <c r="G33" i="3"/>
  <c r="J32" i="3"/>
  <c r="H32" i="3"/>
  <c r="G32" i="3"/>
  <c r="J31" i="3"/>
  <c r="H31" i="3"/>
  <c r="G31" i="3"/>
  <c r="J30" i="3"/>
  <c r="H30" i="3"/>
  <c r="G30" i="3"/>
  <c r="J29" i="3"/>
  <c r="H29" i="3"/>
  <c r="G29" i="3"/>
  <c r="J28" i="3"/>
  <c r="H28" i="3"/>
  <c r="G28" i="3"/>
  <c r="J27" i="3"/>
  <c r="H27" i="3"/>
  <c r="G27" i="3"/>
  <c r="J26" i="3"/>
  <c r="H26" i="3"/>
  <c r="G26" i="3"/>
  <c r="J25" i="3"/>
  <c r="H25" i="3"/>
  <c r="G25" i="3"/>
  <c r="K25" i="3" s="1"/>
  <c r="M25" i="3" s="1"/>
  <c r="N25" i="3" s="1"/>
  <c r="J24" i="3"/>
  <c r="H24" i="3"/>
  <c r="G24" i="3"/>
  <c r="J23" i="3"/>
  <c r="H23" i="3"/>
  <c r="G23" i="3"/>
  <c r="K23" i="3" s="1"/>
  <c r="M23" i="3" s="1"/>
  <c r="N23" i="3" s="1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H15" i="1"/>
  <c r="H14" i="1"/>
  <c r="H13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B29" i="1"/>
  <c r="B28" i="1"/>
  <c r="B27" i="1"/>
  <c r="B26" i="1"/>
  <c r="B25" i="1"/>
  <c r="B24" i="1"/>
  <c r="B23" i="1"/>
  <c r="F25" i="3" s="1"/>
  <c r="B22" i="1"/>
  <c r="B21" i="1"/>
  <c r="B20" i="1"/>
  <c r="B19" i="1"/>
  <c r="B18" i="1"/>
  <c r="B17" i="1"/>
  <c r="B16" i="1"/>
  <c r="B15" i="1"/>
  <c r="B14" i="1"/>
  <c r="B13" i="1"/>
  <c r="E44" i="6" l="1"/>
  <c r="M5" i="4"/>
  <c r="R5" i="4" s="1"/>
  <c r="F47" i="3"/>
  <c r="K47" i="3" s="1"/>
  <c r="E45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1" i="6"/>
  <c r="E20" i="6"/>
  <c r="E19" i="6"/>
  <c r="E16" i="6"/>
  <c r="E15" i="6"/>
  <c r="E14" i="6"/>
  <c r="E11" i="6"/>
  <c r="E10" i="6"/>
  <c r="E9" i="6"/>
  <c r="M1446" i="4"/>
  <c r="M1445" i="4"/>
  <c r="M1438" i="4"/>
  <c r="M1437" i="4"/>
  <c r="M1436" i="4"/>
  <c r="M1430" i="4"/>
  <c r="M1429" i="4"/>
  <c r="M1428" i="4"/>
  <c r="M1427" i="4"/>
  <c r="M1426" i="4"/>
  <c r="M1424" i="4"/>
  <c r="M1413" i="4"/>
  <c r="M1412" i="4"/>
  <c r="M1411" i="4"/>
  <c r="M1410" i="4"/>
  <c r="M1407" i="4"/>
  <c r="M1405" i="4"/>
  <c r="M1404" i="4"/>
  <c r="M1403" i="4"/>
  <c r="M1401" i="4"/>
  <c r="M1400" i="4"/>
  <c r="M1398" i="4"/>
  <c r="M1393" i="4"/>
  <c r="R1393" i="4" s="1"/>
  <c r="M1387" i="4"/>
  <c r="M1386" i="4"/>
  <c r="M1385" i="4"/>
  <c r="M1382" i="4"/>
  <c r="M1381" i="4"/>
  <c r="M1380" i="4"/>
  <c r="M1379" i="4"/>
  <c r="M1378" i="4"/>
  <c r="M1377" i="4"/>
  <c r="M1375" i="4"/>
  <c r="M1374" i="4"/>
  <c r="M1373" i="4"/>
  <c r="M1369" i="4"/>
  <c r="M1368" i="4"/>
  <c r="M1367" i="4"/>
  <c r="M1365" i="4"/>
  <c r="M1363" i="4"/>
  <c r="M1362" i="4"/>
  <c r="M1361" i="4"/>
  <c r="M1359" i="4"/>
  <c r="M1358" i="4"/>
  <c r="M1357" i="4"/>
  <c r="M1356" i="4"/>
  <c r="M1355" i="4"/>
  <c r="M1354" i="4"/>
  <c r="M1353" i="4"/>
  <c r="M1352" i="4"/>
  <c r="M1351" i="4"/>
  <c r="M1350" i="4"/>
  <c r="M1347" i="4"/>
  <c r="M1345" i="4"/>
  <c r="M1343" i="4"/>
  <c r="M1342" i="4"/>
  <c r="M1341" i="4"/>
  <c r="M1340" i="4"/>
  <c r="M1339" i="4"/>
  <c r="M1338" i="4"/>
  <c r="M1335" i="4"/>
  <c r="M1334" i="4"/>
  <c r="M1332" i="4"/>
  <c r="M1330" i="4"/>
  <c r="M1329" i="4"/>
  <c r="M1322" i="4"/>
  <c r="M1319" i="4"/>
  <c r="M1318" i="4"/>
  <c r="M1315" i="4"/>
  <c r="M1312" i="4"/>
  <c r="M1311" i="4"/>
  <c r="M1307" i="4"/>
  <c r="M1306" i="4"/>
  <c r="M1305" i="4"/>
  <c r="M1304" i="4"/>
  <c r="M1301" i="4"/>
  <c r="M1297" i="4"/>
  <c r="M1295" i="4"/>
  <c r="M1294" i="4"/>
  <c r="M1293" i="4"/>
  <c r="M1289" i="4"/>
  <c r="M1287" i="4"/>
  <c r="M1285" i="4"/>
  <c r="M1284" i="4"/>
  <c r="M1282" i="4"/>
  <c r="M1279" i="4"/>
  <c r="M1277" i="4"/>
  <c r="M1274" i="4"/>
  <c r="M1270" i="4"/>
  <c r="M1268" i="4"/>
  <c r="M1267" i="4"/>
  <c r="M1266" i="4"/>
  <c r="M1265" i="4"/>
  <c r="M1260" i="4"/>
  <c r="M1259" i="4"/>
  <c r="M1258" i="4"/>
  <c r="M1257" i="4"/>
  <c r="M1256" i="4"/>
  <c r="M1253" i="4"/>
  <c r="M1252" i="4"/>
  <c r="M1249" i="4"/>
  <c r="M1248" i="4"/>
  <c r="M1247" i="4"/>
  <c r="M1246" i="4"/>
  <c r="M1245" i="4"/>
  <c r="M1244" i="4"/>
  <c r="M1243" i="4"/>
  <c r="M1241" i="4"/>
  <c r="M1240" i="4"/>
  <c r="M1239" i="4"/>
  <c r="M1233" i="4"/>
  <c r="M1224" i="4"/>
  <c r="M1219" i="4"/>
  <c r="M1217" i="4"/>
  <c r="M1216" i="4"/>
  <c r="M1211" i="4"/>
  <c r="M1210" i="4"/>
  <c r="M1209" i="4"/>
  <c r="M1208" i="4"/>
  <c r="M1203" i="4"/>
  <c r="M1199" i="4"/>
  <c r="M1197" i="4"/>
  <c r="M1191" i="4"/>
  <c r="M1190" i="4"/>
  <c r="M1189" i="4"/>
  <c r="M1185" i="4"/>
  <c r="M1184" i="4"/>
  <c r="M1183" i="4"/>
  <c r="M1181" i="4"/>
  <c r="M1167" i="4"/>
  <c r="M1166" i="4"/>
  <c r="M1165" i="4"/>
  <c r="M1164" i="4"/>
  <c r="M1163" i="4"/>
  <c r="M1162" i="4"/>
  <c r="M1161" i="4"/>
  <c r="M1160" i="4"/>
  <c r="M1158" i="4"/>
  <c r="M1153" i="4"/>
  <c r="M1152" i="4"/>
  <c r="M1151" i="4"/>
  <c r="M1149" i="4"/>
  <c r="M1148" i="4"/>
  <c r="M1144" i="4"/>
  <c r="M1138" i="4"/>
  <c r="M1137" i="4"/>
  <c r="M1136" i="4"/>
  <c r="M1135" i="4"/>
  <c r="M1133" i="4"/>
  <c r="M1131" i="4"/>
  <c r="M1130" i="4"/>
  <c r="M1129" i="4"/>
  <c r="M1128" i="4"/>
  <c r="M1127" i="4"/>
  <c r="M1126" i="4"/>
  <c r="M1125" i="4"/>
  <c r="M1124" i="4"/>
  <c r="M1122" i="4"/>
  <c r="M1118" i="4"/>
  <c r="M1116" i="4"/>
  <c r="M1115" i="4"/>
  <c r="M1113" i="4"/>
  <c r="M1105" i="4"/>
  <c r="M1104" i="4"/>
  <c r="M1098" i="4"/>
  <c r="M1097" i="4"/>
  <c r="M1096" i="4"/>
  <c r="M1095" i="4"/>
  <c r="M1094" i="4"/>
  <c r="M1093" i="4"/>
  <c r="M1091" i="4"/>
  <c r="M1090" i="4"/>
  <c r="M1087" i="4"/>
  <c r="M1086" i="4"/>
  <c r="M1085" i="4"/>
  <c r="M1083" i="4"/>
  <c r="M1073" i="4"/>
  <c r="M1072" i="4"/>
  <c r="M1071" i="4"/>
  <c r="M1070" i="4"/>
  <c r="M1069" i="4"/>
  <c r="M1068" i="4"/>
  <c r="M1067" i="4"/>
  <c r="M1066" i="4"/>
  <c r="M1065" i="4"/>
  <c r="M1064" i="4"/>
  <c r="M1063" i="4"/>
  <c r="M1062" i="4"/>
  <c r="M1061" i="4"/>
  <c r="M1052" i="4"/>
  <c r="M1047" i="4"/>
  <c r="M1046" i="4"/>
  <c r="M1045" i="4"/>
  <c r="M1043" i="4"/>
  <c r="M1042" i="4"/>
  <c r="M1041" i="4"/>
  <c r="M1040" i="4"/>
  <c r="M1032" i="4"/>
  <c r="M1031" i="4"/>
  <c r="M1028" i="4"/>
  <c r="M1027" i="4"/>
  <c r="M1026" i="4"/>
  <c r="M1025" i="4"/>
  <c r="M1024" i="4"/>
  <c r="M1023" i="4"/>
  <c r="M1022" i="4"/>
  <c r="M1018" i="4"/>
  <c r="M1013" i="4"/>
  <c r="M1010" i="4"/>
  <c r="M1009" i="4"/>
  <c r="M1007" i="4"/>
  <c r="M1003" i="4"/>
  <c r="M1001" i="4"/>
  <c r="M1000" i="4"/>
  <c r="M996" i="4"/>
  <c r="M992" i="4"/>
  <c r="M991" i="4"/>
  <c r="M990" i="4"/>
  <c r="M989" i="4"/>
  <c r="M985" i="4"/>
  <c r="M984" i="4"/>
  <c r="M983" i="4"/>
  <c r="M982" i="4"/>
  <c r="M976" i="4"/>
  <c r="M975" i="4"/>
  <c r="M973" i="4"/>
  <c r="M971" i="4"/>
  <c r="M967" i="4"/>
  <c r="M966" i="4"/>
  <c r="M965" i="4"/>
  <c r="M964" i="4"/>
  <c r="M963" i="4"/>
  <c r="M959" i="4"/>
  <c r="M955" i="4"/>
  <c r="M954" i="4"/>
  <c r="M953" i="4"/>
  <c r="M952" i="4"/>
  <c r="M948" i="4"/>
  <c r="M947" i="4"/>
  <c r="M946" i="4"/>
  <c r="M945" i="4"/>
  <c r="M944" i="4"/>
  <c r="M943" i="4"/>
  <c r="M942" i="4"/>
  <c r="M941" i="4"/>
  <c r="M940" i="4"/>
  <c r="M919" i="4"/>
  <c r="M918" i="4"/>
  <c r="M917" i="4"/>
  <c r="M914" i="4"/>
  <c r="M911" i="4"/>
  <c r="M909" i="4"/>
  <c r="M905" i="4"/>
  <c r="M901" i="4"/>
  <c r="M900" i="4"/>
  <c r="M899" i="4"/>
  <c r="M898" i="4"/>
  <c r="M897" i="4"/>
  <c r="M894" i="4"/>
  <c r="M893" i="4"/>
  <c r="M892" i="4"/>
  <c r="M891" i="4"/>
  <c r="M890" i="4"/>
  <c r="M889" i="4"/>
  <c r="M888" i="4"/>
  <c r="M887" i="4"/>
  <c r="M884" i="4"/>
  <c r="M882" i="4"/>
  <c r="M881" i="4"/>
  <c r="M876" i="4"/>
  <c r="M875" i="4"/>
  <c r="M874" i="4"/>
  <c r="M873" i="4"/>
  <c r="M872" i="4"/>
  <c r="M871" i="4"/>
  <c r="M870" i="4"/>
  <c r="M864" i="4"/>
  <c r="M863" i="4"/>
  <c r="M858" i="4"/>
  <c r="M834" i="4"/>
  <c r="M832" i="4"/>
  <c r="M831" i="4"/>
  <c r="M826" i="4"/>
  <c r="M825" i="4"/>
  <c r="M823" i="4"/>
  <c r="M822" i="4"/>
  <c r="M816" i="4"/>
  <c r="M815" i="4"/>
  <c r="M814" i="4"/>
  <c r="M813" i="4"/>
  <c r="M812" i="4"/>
  <c r="M810" i="4"/>
  <c r="M808" i="4"/>
  <c r="M807" i="4"/>
  <c r="M806" i="4"/>
  <c r="M805" i="4"/>
  <c r="M804" i="4"/>
  <c r="M803" i="4"/>
  <c r="M802" i="4"/>
  <c r="M801" i="4"/>
  <c r="M800" i="4"/>
  <c r="M799" i="4"/>
  <c r="M798" i="4"/>
  <c r="M797" i="4"/>
  <c r="M794" i="4"/>
  <c r="M793" i="4"/>
  <c r="R793" i="4" s="1"/>
  <c r="M790" i="4"/>
  <c r="M780" i="4"/>
  <c r="M779" i="4"/>
  <c r="M778" i="4"/>
  <c r="M777" i="4"/>
  <c r="M776" i="4"/>
  <c r="M775" i="4"/>
  <c r="M768" i="4"/>
  <c r="M762" i="4"/>
  <c r="M761" i="4"/>
  <c r="M759" i="4"/>
  <c r="M756" i="4"/>
  <c r="M755" i="4"/>
  <c r="M753" i="4"/>
  <c r="M751" i="4"/>
  <c r="M750" i="4"/>
  <c r="M749" i="4"/>
  <c r="M748" i="4"/>
  <c r="M747" i="4"/>
  <c r="M746" i="4"/>
  <c r="M745" i="4"/>
  <c r="M742" i="4"/>
  <c r="M736" i="4"/>
  <c r="M735" i="4"/>
  <c r="M734" i="4"/>
  <c r="M731" i="4"/>
  <c r="M730" i="4"/>
  <c r="M729" i="4"/>
  <c r="M728" i="4"/>
  <c r="M725" i="4"/>
  <c r="M723" i="4"/>
  <c r="M718" i="4"/>
  <c r="M717" i="4"/>
  <c r="M716" i="4"/>
  <c r="M715" i="4"/>
  <c r="M711" i="4"/>
  <c r="M708" i="4"/>
  <c r="M704" i="4"/>
  <c r="M703" i="4"/>
  <c r="M702" i="4"/>
  <c r="M699" i="4"/>
  <c r="M697" i="4"/>
  <c r="M696" i="4"/>
  <c r="M695" i="4"/>
  <c r="M693" i="4"/>
  <c r="M690" i="4"/>
  <c r="M689" i="4"/>
  <c r="M687" i="4"/>
  <c r="M684" i="4"/>
  <c r="M682" i="4"/>
  <c r="M667" i="4"/>
  <c r="M664" i="4"/>
  <c r="M662" i="4"/>
  <c r="M654" i="4"/>
  <c r="M653" i="4"/>
  <c r="M647" i="4"/>
  <c r="M645" i="4"/>
  <c r="M643" i="4"/>
  <c r="M636" i="4"/>
  <c r="M635" i="4"/>
  <c r="M634" i="4"/>
  <c r="M631" i="4"/>
  <c r="M625" i="4"/>
  <c r="M623" i="4"/>
  <c r="M612" i="4"/>
  <c r="M611" i="4"/>
  <c r="M609" i="4"/>
  <c r="M608" i="4"/>
  <c r="M606" i="4"/>
  <c r="M605" i="4"/>
  <c r="M603" i="4"/>
  <c r="M602" i="4"/>
  <c r="M601" i="4"/>
  <c r="M597" i="4"/>
  <c r="M596" i="4"/>
  <c r="M595" i="4"/>
  <c r="M594" i="4"/>
  <c r="M593" i="4"/>
  <c r="M591" i="4"/>
  <c r="M590" i="4"/>
  <c r="M589" i="4"/>
  <c r="M587" i="4"/>
  <c r="M586" i="4"/>
  <c r="M585" i="4"/>
  <c r="M581" i="4"/>
  <c r="M580" i="4"/>
  <c r="M579" i="4"/>
  <c r="M578" i="4"/>
  <c r="M575" i="4"/>
  <c r="M573" i="4"/>
  <c r="M569" i="4"/>
  <c r="M568" i="4"/>
  <c r="M566" i="4"/>
  <c r="M565" i="4"/>
  <c r="M564" i="4"/>
  <c r="M556" i="4"/>
  <c r="M538" i="4"/>
  <c r="M536" i="4"/>
  <c r="M534" i="4"/>
  <c r="M533" i="4"/>
  <c r="M523" i="4"/>
  <c r="M513" i="4"/>
  <c r="M511" i="4"/>
  <c r="M502" i="4"/>
  <c r="M501" i="4"/>
  <c r="M494" i="4"/>
  <c r="M493" i="4"/>
  <c r="M491" i="4"/>
  <c r="M490" i="4"/>
  <c r="M486" i="4"/>
  <c r="M477" i="4"/>
  <c r="M470" i="4"/>
  <c r="M469" i="4"/>
  <c r="M460" i="4"/>
  <c r="M457" i="4"/>
  <c r="M455" i="4"/>
  <c r="M454" i="4"/>
  <c r="M453" i="4"/>
  <c r="M452" i="4"/>
  <c r="M451" i="4"/>
  <c r="M450" i="4"/>
  <c r="M449" i="4"/>
  <c r="M448" i="4"/>
  <c r="M443" i="4"/>
  <c r="M437" i="4"/>
  <c r="M436" i="4"/>
  <c r="M434" i="4"/>
  <c r="M433" i="4"/>
  <c r="M432" i="4"/>
  <c r="M430" i="4"/>
  <c r="M429" i="4"/>
  <c r="M425" i="4"/>
  <c r="M416" i="4"/>
  <c r="M400" i="4"/>
  <c r="M399" i="4"/>
  <c r="M398" i="4"/>
  <c r="M397" i="4"/>
  <c r="M396" i="4"/>
  <c r="M389" i="4"/>
  <c r="M388" i="4"/>
  <c r="M383" i="4"/>
  <c r="M382" i="4"/>
  <c r="M381" i="4"/>
  <c r="M376" i="4"/>
  <c r="M371" i="4"/>
  <c r="M369" i="4"/>
  <c r="M362" i="4"/>
  <c r="M361" i="4"/>
  <c r="M360" i="4"/>
  <c r="M348" i="4"/>
  <c r="M347" i="4"/>
  <c r="M345" i="4"/>
  <c r="M341" i="4"/>
  <c r="M340" i="4"/>
  <c r="M339" i="4"/>
  <c r="M338" i="4"/>
  <c r="M337" i="4"/>
  <c r="M333" i="4"/>
  <c r="M332" i="4"/>
  <c r="M331" i="4"/>
  <c r="M330" i="4"/>
  <c r="M329" i="4"/>
  <c r="M321" i="4"/>
  <c r="M319" i="4"/>
  <c r="M317" i="4"/>
  <c r="M308" i="4"/>
  <c r="M307" i="4"/>
  <c r="M304" i="4"/>
  <c r="M298" i="4"/>
  <c r="M297" i="4"/>
  <c r="M295" i="4"/>
  <c r="M294" i="4"/>
  <c r="M287" i="4"/>
  <c r="M283" i="4"/>
  <c r="M274" i="4"/>
  <c r="M273" i="4"/>
  <c r="M270" i="4"/>
  <c r="M265" i="4"/>
  <c r="M259" i="4"/>
  <c r="M258" i="4"/>
  <c r="M257" i="4"/>
  <c r="M256" i="4"/>
  <c r="M255" i="4"/>
  <c r="M254" i="4"/>
  <c r="M253" i="4"/>
  <c r="M252" i="4"/>
  <c r="M250" i="4"/>
  <c r="M249" i="4"/>
  <c r="M248" i="4"/>
  <c r="M246" i="4"/>
  <c r="M244" i="4"/>
  <c r="M242" i="4"/>
  <c r="M241" i="4"/>
  <c r="M240" i="4"/>
  <c r="M239" i="4"/>
  <c r="M237" i="4"/>
  <c r="M236" i="4"/>
  <c r="M235" i="4"/>
  <c r="M234" i="4"/>
  <c r="M233" i="4"/>
  <c r="M232" i="4"/>
  <c r="M231" i="4"/>
  <c r="M230" i="4"/>
  <c r="M229" i="4"/>
  <c r="M228" i="4"/>
  <c r="M225" i="4"/>
  <c r="M223" i="4"/>
  <c r="M216" i="4"/>
  <c r="M215" i="4"/>
  <c r="M214" i="4"/>
  <c r="M213" i="4"/>
  <c r="M210" i="4"/>
  <c r="M202" i="4"/>
  <c r="M201" i="4"/>
  <c r="M198" i="4"/>
  <c r="M197" i="4"/>
  <c r="M196" i="4"/>
  <c r="M194" i="4"/>
  <c r="M192" i="4"/>
  <c r="M190" i="4"/>
  <c r="M187" i="4"/>
  <c r="M183" i="4"/>
  <c r="M179" i="4"/>
  <c r="M160" i="4"/>
  <c r="M157" i="4"/>
  <c r="M154" i="4"/>
  <c r="M152" i="4"/>
  <c r="M147" i="4"/>
  <c r="M146" i="4"/>
  <c r="M145" i="4"/>
  <c r="M143" i="4"/>
  <c r="M141" i="4"/>
  <c r="M129" i="4"/>
  <c r="M125" i="4"/>
  <c r="M124" i="4"/>
  <c r="M123" i="4"/>
  <c r="M122" i="4"/>
  <c r="M118" i="4"/>
  <c r="M117" i="4"/>
  <c r="M116" i="4"/>
  <c r="M113" i="4"/>
  <c r="M98" i="4"/>
  <c r="M97" i="4"/>
  <c r="M96" i="4"/>
  <c r="M93" i="4"/>
  <c r="M85" i="4"/>
  <c r="M82" i="4"/>
  <c r="M81" i="4"/>
  <c r="M79" i="4"/>
  <c r="M74" i="4"/>
  <c r="M73" i="4"/>
  <c r="M72" i="4"/>
  <c r="M71" i="4"/>
  <c r="M68" i="4"/>
  <c r="M67" i="4"/>
  <c r="M62" i="4"/>
  <c r="M60" i="4"/>
  <c r="M57" i="4"/>
  <c r="M48" i="4"/>
  <c r="M47" i="4"/>
  <c r="M44" i="4"/>
  <c r="M38" i="4"/>
  <c r="M37" i="4"/>
  <c r="M36" i="4"/>
  <c r="M31" i="4"/>
  <c r="M25" i="4"/>
  <c r="M24" i="4"/>
  <c r="M23" i="4"/>
  <c r="M22" i="4"/>
  <c r="M21" i="4"/>
  <c r="M20" i="4"/>
  <c r="M19" i="4"/>
  <c r="M16" i="4"/>
  <c r="M15" i="4"/>
  <c r="M14" i="4"/>
  <c r="M13" i="4"/>
  <c r="M12" i="4"/>
  <c r="F48" i="3"/>
  <c r="K48" i="3" s="1"/>
  <c r="F46" i="3"/>
  <c r="K46" i="3" s="1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3" i="3"/>
  <c r="F22" i="3"/>
  <c r="F21" i="3"/>
  <c r="F20" i="3"/>
  <c r="F17" i="3"/>
  <c r="F16" i="3"/>
  <c r="F15" i="3"/>
  <c r="F12" i="3"/>
  <c r="F11" i="3"/>
  <c r="F10" i="3"/>
  <c r="E18" i="6"/>
  <c r="E17" i="6"/>
  <c r="E13" i="6"/>
  <c r="E12" i="6"/>
  <c r="E8" i="6"/>
  <c r="E7" i="6"/>
  <c r="M1443" i="4"/>
  <c r="M1442" i="4"/>
  <c r="M1435" i="4"/>
  <c r="M1434" i="4"/>
  <c r="M1433" i="4"/>
  <c r="M1432" i="4"/>
  <c r="M1389" i="4"/>
  <c r="M1383" i="4"/>
  <c r="M1372" i="4"/>
  <c r="M1371" i="4"/>
  <c r="M1349" i="4"/>
  <c r="M1337" i="4"/>
  <c r="M1336" i="4"/>
  <c r="M1321" i="4"/>
  <c r="M1314" i="4"/>
  <c r="M1296" i="4"/>
  <c r="M1288" i="4"/>
  <c r="M1286" i="4"/>
  <c r="M1251" i="4"/>
  <c r="M1235" i="4"/>
  <c r="M1234" i="4"/>
  <c r="M1232" i="4"/>
  <c r="M1231" i="4"/>
  <c r="M1218" i="4"/>
  <c r="M1215" i="4"/>
  <c r="M1214" i="4"/>
  <c r="M1213" i="4"/>
  <c r="M1212" i="4"/>
  <c r="M1207" i="4"/>
  <c r="M1206" i="4"/>
  <c r="M1188" i="4"/>
  <c r="M1187" i="4"/>
  <c r="M1186" i="4"/>
  <c r="M1179" i="4"/>
  <c r="M1178" i="4"/>
  <c r="M1177" i="4"/>
  <c r="M1173" i="4"/>
  <c r="M1172" i="4"/>
  <c r="M1171" i="4"/>
  <c r="M1170" i="4"/>
  <c r="M1169" i="4"/>
  <c r="M1168" i="4"/>
  <c r="M1147" i="4"/>
  <c r="M1146" i="4"/>
  <c r="M1145" i="4"/>
  <c r="M1143" i="4"/>
  <c r="M1142" i="4"/>
  <c r="M1134" i="4"/>
  <c r="M1132" i="4"/>
  <c r="M1108" i="4"/>
  <c r="M1077" i="4"/>
  <c r="M1057" i="4"/>
  <c r="M1056" i="4"/>
  <c r="M1055" i="4"/>
  <c r="M1054" i="4"/>
  <c r="M1030" i="4"/>
  <c r="M1017" i="4"/>
  <c r="M1016" i="4"/>
  <c r="M1014" i="4"/>
  <c r="M1002" i="4"/>
  <c r="M997" i="4"/>
  <c r="M993" i="4"/>
  <c r="M986" i="4"/>
  <c r="M981" i="4"/>
  <c r="M970" i="4"/>
  <c r="M962" i="4"/>
  <c r="M960" i="4"/>
  <c r="M956" i="4"/>
  <c r="M950" i="4"/>
  <c r="M939" i="4"/>
  <c r="M938" i="4"/>
  <c r="M937" i="4"/>
  <c r="M936" i="4"/>
  <c r="M935" i="4"/>
  <c r="M934" i="4"/>
  <c r="M933" i="4"/>
  <c r="M932" i="4"/>
  <c r="M931" i="4"/>
  <c r="M930" i="4"/>
  <c r="M929" i="4"/>
  <c r="M928" i="4"/>
  <c r="M927" i="4"/>
  <c r="M926" i="4"/>
  <c r="M925" i="4"/>
  <c r="M924" i="4"/>
  <c r="M923" i="4"/>
  <c r="M922" i="4"/>
  <c r="M920" i="4"/>
  <c r="M910" i="4"/>
  <c r="M908" i="4"/>
  <c r="M907" i="4"/>
  <c r="M896" i="4"/>
  <c r="M857" i="4"/>
  <c r="M856" i="4"/>
  <c r="M853" i="4"/>
  <c r="M852" i="4"/>
  <c r="M851" i="4"/>
  <c r="M839" i="4"/>
  <c r="M838" i="4"/>
  <c r="M836" i="4"/>
  <c r="M833" i="4"/>
  <c r="M789" i="4"/>
  <c r="M788" i="4"/>
  <c r="M787" i="4"/>
  <c r="M785" i="4"/>
  <c r="M784" i="4"/>
  <c r="M783" i="4"/>
  <c r="M782" i="4"/>
  <c r="M781" i="4"/>
  <c r="M774" i="4"/>
  <c r="M773" i="4"/>
  <c r="M772" i="4"/>
  <c r="M771" i="4"/>
  <c r="M770" i="4"/>
  <c r="M769" i="4"/>
  <c r="M763" i="4"/>
  <c r="M760" i="4"/>
  <c r="M743" i="4"/>
  <c r="M741" i="4"/>
  <c r="M740" i="4"/>
  <c r="M739" i="4"/>
  <c r="M738" i="4"/>
  <c r="M710" i="4"/>
  <c r="M677" i="4"/>
  <c r="M676" i="4"/>
  <c r="M674" i="4"/>
  <c r="M673" i="4"/>
  <c r="M672" i="4"/>
  <c r="M671" i="4"/>
  <c r="M669" i="4"/>
  <c r="M668" i="4"/>
  <c r="M660" i="4"/>
  <c r="M659" i="4"/>
  <c r="M658" i="4"/>
  <c r="M657" i="4"/>
  <c r="M656" i="4"/>
  <c r="M655" i="4"/>
  <c r="M650" i="4"/>
  <c r="M649" i="4"/>
  <c r="M648" i="4"/>
  <c r="M646" i="4"/>
  <c r="M641" i="4"/>
  <c r="M639" i="4"/>
  <c r="M627" i="4"/>
  <c r="M626" i="4"/>
  <c r="M624" i="4"/>
  <c r="M619" i="4"/>
  <c r="M618" i="4"/>
  <c r="M617" i="4"/>
  <c r="M616" i="4"/>
  <c r="M614" i="4"/>
  <c r="M588" i="4"/>
  <c r="M567" i="4"/>
  <c r="M563" i="4"/>
  <c r="M561" i="4"/>
  <c r="M555" i="4"/>
  <c r="M553" i="4"/>
  <c r="M552" i="4"/>
  <c r="M551" i="4"/>
  <c r="M550" i="4"/>
  <c r="M549" i="4"/>
  <c r="M547" i="4"/>
  <c r="M541" i="4"/>
  <c r="M539" i="4"/>
  <c r="M531" i="4"/>
  <c r="M530" i="4"/>
  <c r="M529" i="4"/>
  <c r="M527" i="4"/>
  <c r="M526" i="4"/>
  <c r="M525" i="4"/>
  <c r="M524" i="4"/>
  <c r="M522" i="4"/>
  <c r="M520" i="4"/>
  <c r="M519" i="4"/>
  <c r="M518" i="4"/>
  <c r="M517" i="4"/>
  <c r="M509" i="4"/>
  <c r="M508" i="4"/>
  <c r="M507" i="4"/>
  <c r="M506" i="4"/>
  <c r="M505" i="4"/>
  <c r="M504" i="4"/>
  <c r="M499" i="4"/>
  <c r="M498" i="4"/>
  <c r="M497" i="4"/>
  <c r="M496" i="4"/>
  <c r="M495" i="4"/>
  <c r="M489" i="4"/>
  <c r="M488" i="4"/>
  <c r="M483" i="4"/>
  <c r="M476" i="4"/>
  <c r="M475" i="4"/>
  <c r="M474" i="4"/>
  <c r="M473" i="4"/>
  <c r="M472" i="4"/>
  <c r="M471" i="4"/>
  <c r="M466" i="4"/>
  <c r="M465" i="4"/>
  <c r="M464" i="4"/>
  <c r="M463" i="4"/>
  <c r="M458" i="4"/>
  <c r="M456" i="4"/>
  <c r="M428" i="4"/>
  <c r="M426" i="4"/>
  <c r="M418" i="4"/>
  <c r="M414" i="4"/>
  <c r="M413" i="4"/>
  <c r="M412" i="4"/>
  <c r="M411" i="4"/>
  <c r="M410" i="4"/>
  <c r="M409" i="4"/>
  <c r="M408" i="4"/>
  <c r="M407" i="4"/>
  <c r="M406" i="4"/>
  <c r="M403" i="4"/>
  <c r="M395" i="4"/>
  <c r="M394" i="4"/>
  <c r="M392" i="4"/>
  <c r="M391" i="4"/>
  <c r="M390" i="4"/>
  <c r="M387" i="4"/>
  <c r="M386" i="4"/>
  <c r="M385" i="4"/>
  <c r="M384" i="4"/>
  <c r="M379" i="4"/>
  <c r="M377" i="4"/>
  <c r="M356" i="4"/>
  <c r="M355" i="4"/>
  <c r="M350" i="4"/>
  <c r="M349" i="4"/>
  <c r="M343" i="4"/>
  <c r="M336" i="4"/>
  <c r="M328" i="4"/>
  <c r="M326" i="4"/>
  <c r="M325" i="4"/>
  <c r="M320" i="4"/>
  <c r="M315" i="4"/>
  <c r="M314" i="4"/>
  <c r="M313" i="4"/>
  <c r="M312" i="4"/>
  <c r="M310" i="4"/>
  <c r="M303" i="4"/>
  <c r="M302" i="4"/>
  <c r="M301" i="4"/>
  <c r="M300" i="4"/>
  <c r="M299" i="4"/>
  <c r="M293" i="4"/>
  <c r="M292" i="4"/>
  <c r="M291" i="4"/>
  <c r="M290" i="4"/>
  <c r="M289" i="4"/>
  <c r="M288" i="4"/>
  <c r="M282" i="4"/>
  <c r="M281" i="4"/>
  <c r="M280" i="4"/>
  <c r="M279" i="4"/>
  <c r="M278" i="4"/>
  <c r="M277" i="4"/>
  <c r="M276" i="4"/>
  <c r="M275" i="4"/>
  <c r="M268" i="4"/>
  <c r="M267" i="4"/>
  <c r="M266" i="4"/>
  <c r="M264" i="4"/>
  <c r="M263" i="4"/>
  <c r="M262" i="4"/>
  <c r="M261" i="4"/>
  <c r="M222" i="4"/>
  <c r="M221" i="4"/>
  <c r="M219" i="4"/>
  <c r="M217" i="4"/>
  <c r="M211" i="4"/>
  <c r="M208" i="4"/>
  <c r="M185" i="4"/>
  <c r="M184" i="4"/>
  <c r="M173" i="4"/>
  <c r="M172" i="4"/>
  <c r="M169" i="4"/>
  <c r="M168" i="4"/>
  <c r="M167" i="4"/>
  <c r="M166" i="4"/>
  <c r="M165" i="4"/>
  <c r="M164" i="4"/>
  <c r="M163" i="4"/>
  <c r="M162" i="4"/>
  <c r="M161" i="4"/>
  <c r="M136" i="4"/>
  <c r="M135" i="4"/>
  <c r="M134" i="4"/>
  <c r="M132" i="4"/>
  <c r="M130" i="4"/>
  <c r="M128" i="4"/>
  <c r="M127" i="4"/>
  <c r="M126" i="4"/>
  <c r="M119" i="4"/>
  <c r="M103" i="4"/>
  <c r="M102" i="4"/>
  <c r="M101" i="4"/>
  <c r="M100" i="4"/>
  <c r="M94" i="4"/>
  <c r="M75" i="4"/>
  <c r="M63" i="4"/>
  <c r="M61" i="4"/>
  <c r="M56" i="4"/>
  <c r="M55" i="4"/>
  <c r="M54" i="4"/>
  <c r="M53" i="4"/>
  <c r="M52" i="4"/>
  <c r="M50" i="4"/>
  <c r="M49" i="4"/>
  <c r="M46" i="4"/>
  <c r="M45" i="4"/>
  <c r="M17" i="4"/>
  <c r="F19" i="3"/>
  <c r="F18" i="3"/>
  <c r="F14" i="3"/>
  <c r="F13" i="3"/>
  <c r="F9" i="3"/>
  <c r="F8" i="3"/>
  <c r="E6" i="6"/>
  <c r="E5" i="6"/>
  <c r="M1441" i="4"/>
  <c r="M1390" i="4"/>
  <c r="M1366" i="4"/>
  <c r="M1324" i="4"/>
  <c r="M1320" i="4"/>
  <c r="M1302" i="4"/>
  <c r="M1299" i="4"/>
  <c r="M1298" i="4"/>
  <c r="M1292" i="4"/>
  <c r="M1291" i="4"/>
  <c r="M1290" i="4"/>
  <c r="M1283" i="4"/>
  <c r="M1250" i="4"/>
  <c r="M1205" i="4"/>
  <c r="M1202" i="4"/>
  <c r="M1180" i="4"/>
  <c r="M1176" i="4"/>
  <c r="M1175" i="4"/>
  <c r="M1174" i="4"/>
  <c r="M1141" i="4"/>
  <c r="M1140" i="4"/>
  <c r="M1112" i="4"/>
  <c r="M1111" i="4"/>
  <c r="M1110" i="4"/>
  <c r="M1109" i="4"/>
  <c r="M1106" i="4"/>
  <c r="M1103" i="4"/>
  <c r="M1102" i="4"/>
  <c r="M1101" i="4"/>
  <c r="M1100" i="4"/>
  <c r="M1099" i="4"/>
  <c r="M1089" i="4"/>
  <c r="M1088" i="4"/>
  <c r="M1082" i="4"/>
  <c r="M1081" i="4"/>
  <c r="M1080" i="4"/>
  <c r="M1079" i="4"/>
  <c r="M1076" i="4"/>
  <c r="M1074" i="4"/>
  <c r="M1060" i="4"/>
  <c r="M1034" i="4"/>
  <c r="M1033" i="4"/>
  <c r="M1029" i="4"/>
  <c r="M1015" i="4"/>
  <c r="M1012" i="4"/>
  <c r="M1011" i="4"/>
  <c r="M1008" i="4"/>
  <c r="M1004" i="4"/>
  <c r="M999" i="4"/>
  <c r="M987" i="4"/>
  <c r="M961" i="4"/>
  <c r="M886" i="4"/>
  <c r="M885" i="4"/>
  <c r="M883" i="4"/>
  <c r="M860" i="4"/>
  <c r="M854" i="4"/>
  <c r="M849" i="4"/>
  <c r="M848" i="4"/>
  <c r="M846" i="4"/>
  <c r="M837" i="4"/>
  <c r="M824" i="4"/>
  <c r="M733" i="4"/>
  <c r="M722" i="4"/>
  <c r="M721" i="4"/>
  <c r="M720" i="4"/>
  <c r="M719" i="4"/>
  <c r="M714" i="4"/>
  <c r="M713" i="4"/>
  <c r="M709" i="4"/>
  <c r="M688" i="4"/>
  <c r="M683" i="4"/>
  <c r="M681" i="4"/>
  <c r="M666" i="4"/>
  <c r="M665" i="4"/>
  <c r="M642" i="4"/>
  <c r="M640" i="4"/>
  <c r="M637" i="4"/>
  <c r="M622" i="4"/>
  <c r="M621" i="4"/>
  <c r="M615" i="4"/>
  <c r="M613" i="4"/>
  <c r="M604" i="4"/>
  <c r="M600" i="4"/>
  <c r="M599" i="4"/>
  <c r="M592" i="4"/>
  <c r="M570" i="4"/>
  <c r="M562" i="4"/>
  <c r="M560" i="4"/>
  <c r="M559" i="4"/>
  <c r="M558" i="4"/>
  <c r="M548" i="4"/>
  <c r="M546" i="4"/>
  <c r="M545" i="4"/>
  <c r="M544" i="4"/>
  <c r="M543" i="4"/>
  <c r="M503" i="4"/>
  <c r="M485" i="4"/>
  <c r="M484" i="4"/>
  <c r="M482" i="4"/>
  <c r="M481" i="4"/>
  <c r="M480" i="4"/>
  <c r="M479" i="4"/>
  <c r="M478" i="4"/>
  <c r="M462" i="4"/>
  <c r="M461" i="4"/>
  <c r="M442" i="4"/>
  <c r="M441" i="4"/>
  <c r="M440" i="4"/>
  <c r="M439" i="4"/>
  <c r="M438" i="4"/>
  <c r="M424" i="4"/>
  <c r="M423" i="4"/>
  <c r="M422" i="4"/>
  <c r="M421" i="4"/>
  <c r="M420" i="4"/>
  <c r="M419" i="4"/>
  <c r="M402" i="4"/>
  <c r="M401" i="4"/>
  <c r="M378" i="4"/>
  <c r="M373" i="4"/>
  <c r="M366" i="4"/>
  <c r="M365" i="4"/>
  <c r="M364" i="4"/>
  <c r="M363" i="4"/>
  <c r="M358" i="4"/>
  <c r="M357" i="4"/>
  <c r="M354" i="4"/>
  <c r="M353" i="4"/>
  <c r="M352" i="4"/>
  <c r="M334" i="4"/>
  <c r="M323" i="4"/>
  <c r="M311" i="4"/>
  <c r="M309" i="4"/>
  <c r="M286" i="4"/>
  <c r="M285" i="4"/>
  <c r="M269" i="4"/>
  <c r="M220" i="4"/>
  <c r="M209" i="4"/>
  <c r="M207" i="4"/>
  <c r="M206" i="4"/>
  <c r="M205" i="4"/>
  <c r="M204" i="4"/>
  <c r="M203" i="4"/>
  <c r="M188" i="4"/>
  <c r="M176" i="4"/>
  <c r="M171" i="4"/>
  <c r="M170" i="4"/>
  <c r="M158" i="4"/>
  <c r="M137" i="4"/>
  <c r="M133" i="4"/>
  <c r="M131" i="4"/>
  <c r="M120" i="4"/>
  <c r="M77" i="4"/>
  <c r="M76" i="4"/>
  <c r="M65" i="4"/>
  <c r="M64" i="4"/>
  <c r="M51" i="4"/>
  <c r="M28" i="4"/>
  <c r="M27" i="4"/>
  <c r="M26" i="4"/>
  <c r="F7" i="3"/>
  <c r="F6" i="3"/>
  <c r="E22" i="6"/>
  <c r="M1316" i="4"/>
  <c r="M1119" i="4"/>
  <c r="M1006" i="4"/>
  <c r="M865" i="4"/>
  <c r="M726" i="4"/>
  <c r="M178" i="4"/>
  <c r="F24" i="3"/>
  <c r="C58" i="12"/>
  <c r="L58" i="12" s="1"/>
  <c r="C57" i="12"/>
  <c r="L57" i="12" s="1"/>
  <c r="C56" i="12"/>
  <c r="L56" i="12" s="1"/>
  <c r="L59" i="12" s="1"/>
  <c r="C52" i="12"/>
  <c r="L52" i="12" s="1"/>
  <c r="C51" i="12"/>
  <c r="L51" i="12" s="1"/>
  <c r="C50" i="12"/>
  <c r="L50" i="12" s="1"/>
  <c r="L53" i="12" s="1"/>
  <c r="C46" i="12"/>
  <c r="L46" i="12" s="1"/>
  <c r="C45" i="12"/>
  <c r="L45" i="12" s="1"/>
  <c r="C44" i="12"/>
  <c r="L44" i="12" s="1"/>
  <c r="L47" i="12" s="1"/>
  <c r="C40" i="12"/>
  <c r="L40" i="12" s="1"/>
  <c r="C39" i="12"/>
  <c r="L39" i="12" s="1"/>
  <c r="C38" i="12"/>
  <c r="L38" i="12" s="1"/>
  <c r="L41" i="12" s="1"/>
  <c r="C34" i="12"/>
  <c r="L34" i="12" s="1"/>
  <c r="C33" i="12"/>
  <c r="L33" i="12" s="1"/>
  <c r="C32" i="12"/>
  <c r="L32" i="12" s="1"/>
  <c r="L35" i="12" s="1"/>
  <c r="C28" i="12"/>
  <c r="L28" i="12" s="1"/>
  <c r="C27" i="12"/>
  <c r="L27" i="12" s="1"/>
  <c r="C26" i="12"/>
  <c r="L26" i="12" s="1"/>
  <c r="L29" i="12" s="1"/>
  <c r="C22" i="12"/>
  <c r="L22" i="12" s="1"/>
  <c r="C21" i="12"/>
  <c r="L21" i="12" s="1"/>
  <c r="C20" i="12"/>
  <c r="L20" i="12" s="1"/>
  <c r="L23" i="12" s="1"/>
  <c r="C16" i="12"/>
  <c r="L16" i="12" s="1"/>
  <c r="C15" i="12"/>
  <c r="L15" i="12" s="1"/>
  <c r="C14" i="12"/>
  <c r="L14" i="12" s="1"/>
  <c r="L17" i="12" s="1"/>
  <c r="C10" i="12"/>
  <c r="L10" i="12" s="1"/>
  <c r="C8" i="12"/>
  <c r="L8" i="12" s="1"/>
  <c r="C6" i="12"/>
  <c r="L6" i="12" s="1"/>
  <c r="C11" i="11"/>
  <c r="K11" i="11" s="1"/>
  <c r="C10" i="11"/>
  <c r="K10" i="11" s="1"/>
  <c r="C8" i="11"/>
  <c r="K8" i="11" s="1"/>
  <c r="C6" i="11"/>
  <c r="K6" i="11" s="1"/>
  <c r="E46" i="6"/>
  <c r="M1425" i="4"/>
  <c r="M1423" i="4"/>
  <c r="M1406" i="4"/>
  <c r="M1402" i="4"/>
  <c r="M1397" i="4"/>
  <c r="M370" i="4"/>
  <c r="M368" i="4"/>
  <c r="M193" i="4"/>
  <c r="M191" i="4"/>
  <c r="M189" i="4"/>
  <c r="M186" i="4"/>
  <c r="M159" i="4"/>
  <c r="M156" i="4"/>
  <c r="M153" i="4"/>
  <c r="M151" i="4"/>
  <c r="M144" i="4"/>
  <c r="M142" i="4"/>
  <c r="M140" i="4"/>
  <c r="F49" i="3"/>
  <c r="C9" i="12"/>
  <c r="L9" i="12" s="1"/>
  <c r="C7" i="12"/>
  <c r="L7" i="12" s="1"/>
  <c r="C9" i="11"/>
  <c r="K9" i="11" s="1"/>
  <c r="C7" i="11"/>
  <c r="K7" i="11" s="1"/>
  <c r="C8" i="10"/>
  <c r="K8" i="10" s="1"/>
  <c r="C7" i="10"/>
  <c r="K7" i="10" s="1"/>
  <c r="C6" i="10"/>
  <c r="K6" i="10" s="1"/>
  <c r="K9" i="10" s="1"/>
  <c r="K11" i="10" s="1"/>
  <c r="D5" i="13" s="1"/>
  <c r="E5" i="13" s="1"/>
  <c r="E50" i="6"/>
  <c r="E49" i="6"/>
  <c r="M15" i="5"/>
  <c r="M14" i="5"/>
  <c r="M13" i="5"/>
  <c r="M12" i="5"/>
  <c r="M11" i="5"/>
  <c r="M10" i="5"/>
  <c r="M9" i="5"/>
  <c r="M8" i="5"/>
  <c r="M7" i="5"/>
  <c r="M6" i="5"/>
  <c r="M5" i="5"/>
  <c r="R5" i="5" s="1"/>
  <c r="F57" i="3"/>
  <c r="K57" i="3" s="1"/>
  <c r="F56" i="3"/>
  <c r="G5" i="6"/>
  <c r="N1441" i="4"/>
  <c r="N1141" i="4"/>
  <c r="N1140" i="4"/>
  <c r="N1103" i="4"/>
  <c r="N1102" i="4"/>
  <c r="N1101" i="4"/>
  <c r="N1100" i="4"/>
  <c r="N1099" i="4"/>
  <c r="N1082" i="4"/>
  <c r="N1081" i="4"/>
  <c r="N1080" i="4"/>
  <c r="N1079" i="4"/>
  <c r="N1076" i="4"/>
  <c r="N1074" i="4"/>
  <c r="N1060" i="4"/>
  <c r="N1034" i="4"/>
  <c r="N1033" i="4"/>
  <c r="N1029" i="4"/>
  <c r="N1008" i="4"/>
  <c r="N987" i="4"/>
  <c r="N961" i="4"/>
  <c r="N886" i="4"/>
  <c r="N885" i="4"/>
  <c r="N883" i="4"/>
  <c r="N860" i="4"/>
  <c r="N854" i="4"/>
  <c r="N849" i="4"/>
  <c r="N848" i="4"/>
  <c r="N846" i="4"/>
  <c r="N837" i="4"/>
  <c r="N824" i="4"/>
  <c r="N733" i="4"/>
  <c r="N688" i="4"/>
  <c r="N683" i="4"/>
  <c r="N681" i="4"/>
  <c r="N485" i="4"/>
  <c r="N373" i="4"/>
  <c r="N269" i="4"/>
  <c r="N220" i="4"/>
  <c r="N188" i="4"/>
  <c r="N176" i="4"/>
  <c r="N158" i="4"/>
  <c r="N137" i="4"/>
  <c r="N133" i="4"/>
  <c r="N131" i="4"/>
  <c r="N120" i="4"/>
  <c r="N28" i="4"/>
  <c r="N26" i="4"/>
  <c r="K6" i="3"/>
  <c r="H5" i="6"/>
  <c r="O1441" i="4"/>
  <c r="O1141" i="4"/>
  <c r="O1140" i="4"/>
  <c r="O1103" i="4"/>
  <c r="O1102" i="4"/>
  <c r="O1101" i="4"/>
  <c r="O1100" i="4"/>
  <c r="O1099" i="4"/>
  <c r="O1082" i="4"/>
  <c r="O1081" i="4"/>
  <c r="O1080" i="4"/>
  <c r="O1079" i="4"/>
  <c r="O1076" i="4"/>
  <c r="O1074" i="4"/>
  <c r="O1060" i="4"/>
  <c r="O1034" i="4"/>
  <c r="O1033" i="4"/>
  <c r="O1029" i="4"/>
  <c r="O1008" i="4"/>
  <c r="O987" i="4"/>
  <c r="O961" i="4"/>
  <c r="O886" i="4"/>
  <c r="O885" i="4"/>
  <c r="O883" i="4"/>
  <c r="O860" i="4"/>
  <c r="O854" i="4"/>
  <c r="O849" i="4"/>
  <c r="O848" i="4"/>
  <c r="O846" i="4"/>
  <c r="O837" i="4"/>
  <c r="O824" i="4"/>
  <c r="O733" i="4"/>
  <c r="O688" i="4"/>
  <c r="O683" i="4"/>
  <c r="O681" i="4"/>
  <c r="O485" i="4"/>
  <c r="O373" i="4"/>
  <c r="O269" i="4"/>
  <c r="O220" i="4"/>
  <c r="O188" i="4"/>
  <c r="O176" i="4"/>
  <c r="O158" i="4"/>
  <c r="O137" i="4"/>
  <c r="O133" i="4"/>
  <c r="O131" i="4"/>
  <c r="O120" i="4"/>
  <c r="O28" i="4"/>
  <c r="O26" i="4"/>
  <c r="I5" i="6"/>
  <c r="Q1441" i="4"/>
  <c r="Q1141" i="4"/>
  <c r="Q1140" i="4"/>
  <c r="Q1103" i="4"/>
  <c r="Q1102" i="4"/>
  <c r="Q1101" i="4"/>
  <c r="Q1100" i="4"/>
  <c r="Q1099" i="4"/>
  <c r="Q1082" i="4"/>
  <c r="Q1081" i="4"/>
  <c r="Q1080" i="4"/>
  <c r="Q1079" i="4"/>
  <c r="Q1076" i="4"/>
  <c r="Q1074" i="4"/>
  <c r="Q1060" i="4"/>
  <c r="Q1034" i="4"/>
  <c r="Q1033" i="4"/>
  <c r="Q1029" i="4"/>
  <c r="Q1008" i="4"/>
  <c r="Q987" i="4"/>
  <c r="Q961" i="4"/>
  <c r="Q886" i="4"/>
  <c r="Q885" i="4"/>
  <c r="Q883" i="4"/>
  <c r="Q860" i="4"/>
  <c r="Q854" i="4"/>
  <c r="Q849" i="4"/>
  <c r="Q848" i="4"/>
  <c r="Q846" i="4"/>
  <c r="Q837" i="4"/>
  <c r="Q824" i="4"/>
  <c r="Q733" i="4"/>
  <c r="Q688" i="4"/>
  <c r="Q683" i="4"/>
  <c r="Q681" i="4"/>
  <c r="Q485" i="4"/>
  <c r="Q373" i="4"/>
  <c r="Q269" i="4"/>
  <c r="Q220" i="4"/>
  <c r="Q188" i="4"/>
  <c r="Q176" i="4"/>
  <c r="Q158" i="4"/>
  <c r="Q137" i="4"/>
  <c r="Q133" i="4"/>
  <c r="Q131" i="4"/>
  <c r="Q120" i="4"/>
  <c r="Q28" i="4"/>
  <c r="Q26" i="4"/>
  <c r="L6" i="3"/>
  <c r="G6" i="6"/>
  <c r="N1390" i="4"/>
  <c r="N1366" i="4"/>
  <c r="N1324" i="4"/>
  <c r="N1320" i="4"/>
  <c r="N1302" i="4"/>
  <c r="N1299" i="4"/>
  <c r="N1298" i="4"/>
  <c r="N1292" i="4"/>
  <c r="N1291" i="4"/>
  <c r="N1290" i="4"/>
  <c r="N1283" i="4"/>
  <c r="N1250" i="4"/>
  <c r="N1205" i="4"/>
  <c r="N1202" i="4"/>
  <c r="N1180" i="4"/>
  <c r="N1176" i="4"/>
  <c r="N1175" i="4"/>
  <c r="N1174" i="4"/>
  <c r="N1112" i="4"/>
  <c r="N1111" i="4"/>
  <c r="N1110" i="4"/>
  <c r="N1109" i="4"/>
  <c r="N1106" i="4"/>
  <c r="N1089" i="4"/>
  <c r="N1088" i="4"/>
  <c r="N1015" i="4"/>
  <c r="N1012" i="4"/>
  <c r="N1011" i="4"/>
  <c r="N1004" i="4"/>
  <c r="N999" i="4"/>
  <c r="N722" i="4"/>
  <c r="N721" i="4"/>
  <c r="N720" i="4"/>
  <c r="N719" i="4"/>
  <c r="N714" i="4"/>
  <c r="N713" i="4"/>
  <c r="N709" i="4"/>
  <c r="N666" i="4"/>
  <c r="N665" i="4"/>
  <c r="N642" i="4"/>
  <c r="N640" i="4"/>
  <c r="N637" i="4"/>
  <c r="N622" i="4"/>
  <c r="N621" i="4"/>
  <c r="N615" i="4"/>
  <c r="N613" i="4"/>
  <c r="N604" i="4"/>
  <c r="N600" i="4"/>
  <c r="N599" i="4"/>
  <c r="N592" i="4"/>
  <c r="N570" i="4"/>
  <c r="N562" i="4"/>
  <c r="N560" i="4"/>
  <c r="N559" i="4"/>
  <c r="N558" i="4"/>
  <c r="N548" i="4"/>
  <c r="N546" i="4"/>
  <c r="N545" i="4"/>
  <c r="N544" i="4"/>
  <c r="N543" i="4"/>
  <c r="N503" i="4"/>
  <c r="N484" i="4"/>
  <c r="N482" i="4"/>
  <c r="N481" i="4"/>
  <c r="N480" i="4"/>
  <c r="N479" i="4"/>
  <c r="N478" i="4"/>
  <c r="N462" i="4"/>
  <c r="N461" i="4"/>
  <c r="N442" i="4"/>
  <c r="N441" i="4"/>
  <c r="N440" i="4"/>
  <c r="N439" i="4"/>
  <c r="N438" i="4"/>
  <c r="N424" i="4"/>
  <c r="N423" i="4"/>
  <c r="N422" i="4"/>
  <c r="N421" i="4"/>
  <c r="N420" i="4"/>
  <c r="N419" i="4"/>
  <c r="N402" i="4"/>
  <c r="N401" i="4"/>
  <c r="N378" i="4"/>
  <c r="N366" i="4"/>
  <c r="N365" i="4"/>
  <c r="N364" i="4"/>
  <c r="N363" i="4"/>
  <c r="N358" i="4"/>
  <c r="N357" i="4"/>
  <c r="N354" i="4"/>
  <c r="N353" i="4"/>
  <c r="N352" i="4"/>
  <c r="N334" i="4"/>
  <c r="N323" i="4"/>
  <c r="N311" i="4"/>
  <c r="N309" i="4"/>
  <c r="N286" i="4"/>
  <c r="N285" i="4"/>
  <c r="N209" i="4"/>
  <c r="N207" i="4"/>
  <c r="N206" i="4"/>
  <c r="N205" i="4"/>
  <c r="N204" i="4"/>
  <c r="N203" i="4"/>
  <c r="N171" i="4"/>
  <c r="N170" i="4"/>
  <c r="N77" i="4"/>
  <c r="N76" i="4"/>
  <c r="N65" i="4"/>
  <c r="N64" i="4"/>
  <c r="N51" i="4"/>
  <c r="N27" i="4"/>
  <c r="K7" i="3"/>
  <c r="M7" i="3" s="1"/>
  <c r="N7" i="3" s="1"/>
  <c r="H6" i="6"/>
  <c r="O1390" i="4"/>
  <c r="O1366" i="4"/>
  <c r="O1324" i="4"/>
  <c r="O1320" i="4"/>
  <c r="O1302" i="4"/>
  <c r="O1299" i="4"/>
  <c r="O1298" i="4"/>
  <c r="O1292" i="4"/>
  <c r="O1291" i="4"/>
  <c r="O1290" i="4"/>
  <c r="O1283" i="4"/>
  <c r="O1250" i="4"/>
  <c r="O1205" i="4"/>
  <c r="O1202" i="4"/>
  <c r="O1180" i="4"/>
  <c r="O1176" i="4"/>
  <c r="O1175" i="4"/>
  <c r="O1174" i="4"/>
  <c r="O1112" i="4"/>
  <c r="O1111" i="4"/>
  <c r="O1110" i="4"/>
  <c r="O1109" i="4"/>
  <c r="O1106" i="4"/>
  <c r="O1089" i="4"/>
  <c r="O1088" i="4"/>
  <c r="O1015" i="4"/>
  <c r="O1012" i="4"/>
  <c r="O1011" i="4"/>
  <c r="O1004" i="4"/>
  <c r="O999" i="4"/>
  <c r="O722" i="4"/>
  <c r="O721" i="4"/>
  <c r="O720" i="4"/>
  <c r="O719" i="4"/>
  <c r="O714" i="4"/>
  <c r="O713" i="4"/>
  <c r="O709" i="4"/>
  <c r="O666" i="4"/>
  <c r="O665" i="4"/>
  <c r="O642" i="4"/>
  <c r="O640" i="4"/>
  <c r="O637" i="4"/>
  <c r="O622" i="4"/>
  <c r="O621" i="4"/>
  <c r="O615" i="4"/>
  <c r="O613" i="4"/>
  <c r="O604" i="4"/>
  <c r="O600" i="4"/>
  <c r="O599" i="4"/>
  <c r="O592" i="4"/>
  <c r="O570" i="4"/>
  <c r="O562" i="4"/>
  <c r="O560" i="4"/>
  <c r="O559" i="4"/>
  <c r="O558" i="4"/>
  <c r="O548" i="4"/>
  <c r="O546" i="4"/>
  <c r="O545" i="4"/>
  <c r="O544" i="4"/>
  <c r="O543" i="4"/>
  <c r="O503" i="4"/>
  <c r="O484" i="4"/>
  <c r="O482" i="4"/>
  <c r="O481" i="4"/>
  <c r="O480" i="4"/>
  <c r="O479" i="4"/>
  <c r="O478" i="4"/>
  <c r="O462" i="4"/>
  <c r="O461" i="4"/>
  <c r="O442" i="4"/>
  <c r="O441" i="4"/>
  <c r="O440" i="4"/>
  <c r="O439" i="4"/>
  <c r="O438" i="4"/>
  <c r="O424" i="4"/>
  <c r="O423" i="4"/>
  <c r="O422" i="4"/>
  <c r="O421" i="4"/>
  <c r="O420" i="4"/>
  <c r="O419" i="4"/>
  <c r="O402" i="4"/>
  <c r="O401" i="4"/>
  <c r="O378" i="4"/>
  <c r="O366" i="4"/>
  <c r="O365" i="4"/>
  <c r="O364" i="4"/>
  <c r="O363" i="4"/>
  <c r="O358" i="4"/>
  <c r="O357" i="4"/>
  <c r="O354" i="4"/>
  <c r="O353" i="4"/>
  <c r="O352" i="4"/>
  <c r="O334" i="4"/>
  <c r="O323" i="4"/>
  <c r="O311" i="4"/>
  <c r="O309" i="4"/>
  <c r="O286" i="4"/>
  <c r="O285" i="4"/>
  <c r="O209" i="4"/>
  <c r="O207" i="4"/>
  <c r="O206" i="4"/>
  <c r="O205" i="4"/>
  <c r="O204" i="4"/>
  <c r="O203" i="4"/>
  <c r="O171" i="4"/>
  <c r="O170" i="4"/>
  <c r="O77" i="4"/>
  <c r="O76" i="4"/>
  <c r="O65" i="4"/>
  <c r="O64" i="4"/>
  <c r="O51" i="4"/>
  <c r="O27" i="4"/>
  <c r="I6" i="6"/>
  <c r="Q1390" i="4"/>
  <c r="Q1366" i="4"/>
  <c r="Q1324" i="4"/>
  <c r="Q1320" i="4"/>
  <c r="Q1302" i="4"/>
  <c r="Q1299" i="4"/>
  <c r="Q1298" i="4"/>
  <c r="Q1292" i="4"/>
  <c r="Q1291" i="4"/>
  <c r="Q1290" i="4"/>
  <c r="Q1283" i="4"/>
  <c r="Q1250" i="4"/>
  <c r="Q1205" i="4"/>
  <c r="Q1202" i="4"/>
  <c r="Q1180" i="4"/>
  <c r="Q1176" i="4"/>
  <c r="Q1175" i="4"/>
  <c r="Q1174" i="4"/>
  <c r="Q1112" i="4"/>
  <c r="Q1111" i="4"/>
  <c r="Q1110" i="4"/>
  <c r="Q1109" i="4"/>
  <c r="Q1106" i="4"/>
  <c r="Q1089" i="4"/>
  <c r="Q1088" i="4"/>
  <c r="Q1015" i="4"/>
  <c r="Q1012" i="4"/>
  <c r="Q1011" i="4"/>
  <c r="Q1004" i="4"/>
  <c r="Q999" i="4"/>
  <c r="Q722" i="4"/>
  <c r="Q721" i="4"/>
  <c r="Q720" i="4"/>
  <c r="Q719" i="4"/>
  <c r="Q714" i="4"/>
  <c r="Q713" i="4"/>
  <c r="Q709" i="4"/>
  <c r="Q666" i="4"/>
  <c r="Q665" i="4"/>
  <c r="Q642" i="4"/>
  <c r="Q640" i="4"/>
  <c r="Q637" i="4"/>
  <c r="Q622" i="4"/>
  <c r="Q621" i="4"/>
  <c r="Q615" i="4"/>
  <c r="Q613" i="4"/>
  <c r="Q604" i="4"/>
  <c r="Q600" i="4"/>
  <c r="Q599" i="4"/>
  <c r="Q592" i="4"/>
  <c r="Q570" i="4"/>
  <c r="Q562" i="4"/>
  <c r="Q560" i="4"/>
  <c r="Q559" i="4"/>
  <c r="Q558" i="4"/>
  <c r="Q548" i="4"/>
  <c r="Q546" i="4"/>
  <c r="Q545" i="4"/>
  <c r="Q544" i="4"/>
  <c r="Q543" i="4"/>
  <c r="Q503" i="4"/>
  <c r="Q484" i="4"/>
  <c r="Q482" i="4"/>
  <c r="Q481" i="4"/>
  <c r="Q480" i="4"/>
  <c r="Q479" i="4"/>
  <c r="Q478" i="4"/>
  <c r="Q462" i="4"/>
  <c r="Q461" i="4"/>
  <c r="Q442" i="4"/>
  <c r="Q441" i="4"/>
  <c r="Q440" i="4"/>
  <c r="Q439" i="4"/>
  <c r="Q438" i="4"/>
  <c r="Q424" i="4"/>
  <c r="Q423" i="4"/>
  <c r="Q422" i="4"/>
  <c r="Q421" i="4"/>
  <c r="Q420" i="4"/>
  <c r="Q419" i="4"/>
  <c r="Q402" i="4"/>
  <c r="Q401" i="4"/>
  <c r="Q378" i="4"/>
  <c r="Q366" i="4"/>
  <c r="Q365" i="4"/>
  <c r="Q364" i="4"/>
  <c r="Q363" i="4"/>
  <c r="Q358" i="4"/>
  <c r="Q357" i="4"/>
  <c r="Q354" i="4"/>
  <c r="Q353" i="4"/>
  <c r="Q352" i="4"/>
  <c r="Q334" i="4"/>
  <c r="Q323" i="4"/>
  <c r="Q311" i="4"/>
  <c r="Q309" i="4"/>
  <c r="Q286" i="4"/>
  <c r="Q285" i="4"/>
  <c r="Q209" i="4"/>
  <c r="Q207" i="4"/>
  <c r="Q206" i="4"/>
  <c r="Q205" i="4"/>
  <c r="Q204" i="4"/>
  <c r="Q203" i="4"/>
  <c r="Q171" i="4"/>
  <c r="Q170" i="4"/>
  <c r="Q77" i="4"/>
  <c r="Q76" i="4"/>
  <c r="Q65" i="4"/>
  <c r="Q64" i="4"/>
  <c r="Q51" i="4"/>
  <c r="Q27" i="4"/>
  <c r="L7" i="3"/>
  <c r="G7" i="6"/>
  <c r="N1435" i="4"/>
  <c r="N1434" i="4"/>
  <c r="N1433" i="4"/>
  <c r="N1432" i="4"/>
  <c r="N1188" i="4"/>
  <c r="N1187" i="4"/>
  <c r="N1186" i="4"/>
  <c r="N1147" i="4"/>
  <c r="N1146" i="4"/>
  <c r="N785" i="4"/>
  <c r="N783" i="4"/>
  <c r="N760" i="4"/>
  <c r="N676" i="4"/>
  <c r="N669" i="4"/>
  <c r="N650" i="4"/>
  <c r="N563" i="4"/>
  <c r="N465" i="4"/>
  <c r="N275" i="4"/>
  <c r="N217" i="4"/>
  <c r="N163" i="4"/>
  <c r="N162" i="4"/>
  <c r="N127" i="4"/>
  <c r="N126" i="4"/>
  <c r="N119" i="4"/>
  <c r="N17" i="4"/>
  <c r="K8" i="3"/>
  <c r="M8" i="3" s="1"/>
  <c r="N8" i="3" s="1"/>
  <c r="H7" i="6"/>
  <c r="O1435" i="4"/>
  <c r="O1434" i="4"/>
  <c r="O1433" i="4"/>
  <c r="O1432" i="4"/>
  <c r="O1188" i="4"/>
  <c r="O1187" i="4"/>
  <c r="O1186" i="4"/>
  <c r="O1147" i="4"/>
  <c r="O1146" i="4"/>
  <c r="O785" i="4"/>
  <c r="O783" i="4"/>
  <c r="O760" i="4"/>
  <c r="O676" i="4"/>
  <c r="O669" i="4"/>
  <c r="O650" i="4"/>
  <c r="O563" i="4"/>
  <c r="O465" i="4"/>
  <c r="O275" i="4"/>
  <c r="O217" i="4"/>
  <c r="O163" i="4"/>
  <c r="O162" i="4"/>
  <c r="O127" i="4"/>
  <c r="O126" i="4"/>
  <c r="O119" i="4"/>
  <c r="O17" i="4"/>
  <c r="I7" i="6"/>
  <c r="Q1435" i="4"/>
  <c r="Q1434" i="4"/>
  <c r="Q1433" i="4"/>
  <c r="Q1432" i="4"/>
  <c r="Q1188" i="4"/>
  <c r="Q1187" i="4"/>
  <c r="Q1186" i="4"/>
  <c r="Q1147" i="4"/>
  <c r="Q1146" i="4"/>
  <c r="Q785" i="4"/>
  <c r="Q783" i="4"/>
  <c r="Q760" i="4"/>
  <c r="Q676" i="4"/>
  <c r="Q669" i="4"/>
  <c r="Q650" i="4"/>
  <c r="Q563" i="4"/>
  <c r="Q465" i="4"/>
  <c r="Q275" i="4"/>
  <c r="Q217" i="4"/>
  <c r="Q163" i="4"/>
  <c r="Q162" i="4"/>
  <c r="Q127" i="4"/>
  <c r="Q126" i="4"/>
  <c r="Q119" i="4"/>
  <c r="Q17" i="4"/>
  <c r="L8" i="3"/>
  <c r="G8" i="6"/>
  <c r="N1314" i="4"/>
  <c r="N1288" i="4"/>
  <c r="N1286" i="4"/>
  <c r="N1218" i="4"/>
  <c r="N1215" i="4"/>
  <c r="N1214" i="4"/>
  <c r="N1213" i="4"/>
  <c r="N1212" i="4"/>
  <c r="N1207" i="4"/>
  <c r="N1206" i="4"/>
  <c r="N1108" i="4"/>
  <c r="N1016" i="4"/>
  <c r="N1014" i="4"/>
  <c r="N851" i="4"/>
  <c r="N833" i="4"/>
  <c r="N710" i="4"/>
  <c r="N641" i="4"/>
  <c r="N624" i="4"/>
  <c r="N619" i="4"/>
  <c r="N618" i="4"/>
  <c r="N617" i="4"/>
  <c r="N616" i="4"/>
  <c r="N614" i="4"/>
  <c r="N561" i="4"/>
  <c r="N526" i="4"/>
  <c r="N525" i="4"/>
  <c r="N524" i="4"/>
  <c r="N522" i="4"/>
  <c r="N518" i="4"/>
  <c r="N489" i="4"/>
  <c r="N488" i="4"/>
  <c r="N428" i="4"/>
  <c r="N426" i="4"/>
  <c r="N418" i="4"/>
  <c r="N414" i="4"/>
  <c r="N412" i="4"/>
  <c r="N410" i="4"/>
  <c r="N408" i="4"/>
  <c r="N403" i="4"/>
  <c r="N390" i="4"/>
  <c r="N387" i="4"/>
  <c r="N386" i="4"/>
  <c r="N350" i="4"/>
  <c r="N349" i="4"/>
  <c r="N301" i="4"/>
  <c r="N300" i="4"/>
  <c r="N290" i="4"/>
  <c r="N289" i="4"/>
  <c r="N288" i="4"/>
  <c r="N281" i="4"/>
  <c r="N279" i="4"/>
  <c r="N268" i="4"/>
  <c r="N267" i="4"/>
  <c r="N264" i="4"/>
  <c r="N263" i="4"/>
  <c r="N262" i="4"/>
  <c r="N261" i="4"/>
  <c r="N211" i="4"/>
  <c r="N208" i="4"/>
  <c r="N169" i="4"/>
  <c r="N168" i="4"/>
  <c r="N130" i="4"/>
  <c r="N101" i="4"/>
  <c r="N100" i="4"/>
  <c r="N75" i="4"/>
  <c r="N56" i="4"/>
  <c r="N55" i="4"/>
  <c r="N54" i="4"/>
  <c r="N53" i="4"/>
  <c r="N52" i="4"/>
  <c r="N50" i="4"/>
  <c r="K9" i="3"/>
  <c r="M9" i="3" s="1"/>
  <c r="N9" i="3" s="1"/>
  <c r="H8" i="6"/>
  <c r="O1314" i="4"/>
  <c r="O1288" i="4"/>
  <c r="O1286" i="4"/>
  <c r="O1218" i="4"/>
  <c r="O1215" i="4"/>
  <c r="O1214" i="4"/>
  <c r="O1213" i="4"/>
  <c r="O1212" i="4"/>
  <c r="O1207" i="4"/>
  <c r="O1206" i="4"/>
  <c r="O1108" i="4"/>
  <c r="O1016" i="4"/>
  <c r="O1014" i="4"/>
  <c r="O851" i="4"/>
  <c r="O833" i="4"/>
  <c r="O710" i="4"/>
  <c r="O641" i="4"/>
  <c r="O624" i="4"/>
  <c r="O619" i="4"/>
  <c r="O618" i="4"/>
  <c r="O617" i="4"/>
  <c r="O616" i="4"/>
  <c r="O614" i="4"/>
  <c r="O561" i="4"/>
  <c r="O526" i="4"/>
  <c r="O525" i="4"/>
  <c r="O524" i="4"/>
  <c r="O522" i="4"/>
  <c r="O518" i="4"/>
  <c r="O489" i="4"/>
  <c r="O488" i="4"/>
  <c r="O428" i="4"/>
  <c r="O426" i="4"/>
  <c r="O418" i="4"/>
  <c r="O414" i="4"/>
  <c r="O412" i="4"/>
  <c r="O410" i="4"/>
  <c r="O408" i="4"/>
  <c r="O403" i="4"/>
  <c r="O390" i="4"/>
  <c r="O387" i="4"/>
  <c r="O386" i="4"/>
  <c r="O350" i="4"/>
  <c r="O349" i="4"/>
  <c r="O301" i="4"/>
  <c r="O300" i="4"/>
  <c r="O290" i="4"/>
  <c r="O289" i="4"/>
  <c r="O288" i="4"/>
  <c r="O281" i="4"/>
  <c r="O279" i="4"/>
  <c r="O268" i="4"/>
  <c r="O267" i="4"/>
  <c r="O264" i="4"/>
  <c r="O263" i="4"/>
  <c r="O262" i="4"/>
  <c r="O261" i="4"/>
  <c r="O211" i="4"/>
  <c r="O208" i="4"/>
  <c r="O169" i="4"/>
  <c r="O168" i="4"/>
  <c r="O130" i="4"/>
  <c r="O101" i="4"/>
  <c r="O100" i="4"/>
  <c r="O75" i="4"/>
  <c r="O56" i="4"/>
  <c r="O55" i="4"/>
  <c r="O54" i="4"/>
  <c r="O53" i="4"/>
  <c r="O52" i="4"/>
  <c r="O50" i="4"/>
  <c r="I8" i="6"/>
  <c r="Q1314" i="4"/>
  <c r="Q1288" i="4"/>
  <c r="Q1286" i="4"/>
  <c r="Q1218" i="4"/>
  <c r="Q1215" i="4"/>
  <c r="Q1214" i="4"/>
  <c r="Q1213" i="4"/>
  <c r="Q1212" i="4"/>
  <c r="Q1207" i="4"/>
  <c r="Q1206" i="4"/>
  <c r="Q1108" i="4"/>
  <c r="Q1016" i="4"/>
  <c r="Q1014" i="4"/>
  <c r="Q851" i="4"/>
  <c r="Q833" i="4"/>
  <c r="Q710" i="4"/>
  <c r="Q641" i="4"/>
  <c r="Q624" i="4"/>
  <c r="Q619" i="4"/>
  <c r="Q618" i="4"/>
  <c r="Q617" i="4"/>
  <c r="Q616" i="4"/>
  <c r="Q614" i="4"/>
  <c r="Q561" i="4"/>
  <c r="Q526" i="4"/>
  <c r="Q525" i="4"/>
  <c r="Q524" i="4"/>
  <c r="Q522" i="4"/>
  <c r="Q518" i="4"/>
  <c r="Q489" i="4"/>
  <c r="Q488" i="4"/>
  <c r="Q428" i="4"/>
  <c r="Q426" i="4"/>
  <c r="Q418" i="4"/>
  <c r="Q414" i="4"/>
  <c r="Q412" i="4"/>
  <c r="Q410" i="4"/>
  <c r="Q408" i="4"/>
  <c r="Q403" i="4"/>
  <c r="Q390" i="4"/>
  <c r="Q387" i="4"/>
  <c r="Q386" i="4"/>
  <c r="Q350" i="4"/>
  <c r="Q349" i="4"/>
  <c r="Q301" i="4"/>
  <c r="Q300" i="4"/>
  <c r="Q290" i="4"/>
  <c r="Q289" i="4"/>
  <c r="Q288" i="4"/>
  <c r="Q281" i="4"/>
  <c r="Q279" i="4"/>
  <c r="Q268" i="4"/>
  <c r="Q267" i="4"/>
  <c r="Q264" i="4"/>
  <c r="Q263" i="4"/>
  <c r="Q262" i="4"/>
  <c r="Q261" i="4"/>
  <c r="Q211" i="4"/>
  <c r="Q208" i="4"/>
  <c r="Q169" i="4"/>
  <c r="Q168" i="4"/>
  <c r="Q130" i="4"/>
  <c r="Q101" i="4"/>
  <c r="Q100" i="4"/>
  <c r="Q75" i="4"/>
  <c r="Q56" i="4"/>
  <c r="Q55" i="4"/>
  <c r="Q54" i="4"/>
  <c r="Q53" i="4"/>
  <c r="Q52" i="4"/>
  <c r="Q50" i="4"/>
  <c r="L9" i="3"/>
  <c r="G9" i="6"/>
  <c r="N717" i="4"/>
  <c r="N249" i="4"/>
  <c r="K10" i="3"/>
  <c r="M10" i="3" s="1"/>
  <c r="N10" i="3" s="1"/>
  <c r="H9" i="6"/>
  <c r="O717" i="4"/>
  <c r="O249" i="4"/>
  <c r="I9" i="6"/>
  <c r="Q717" i="4"/>
  <c r="Q249" i="4"/>
  <c r="L10" i="3"/>
  <c r="G10" i="6"/>
  <c r="N1413" i="4"/>
  <c r="N1307" i="4"/>
  <c r="N1306" i="4"/>
  <c r="N1065" i="4"/>
  <c r="N1064" i="4"/>
  <c r="N1063" i="4"/>
  <c r="N1062" i="4"/>
  <c r="N1061" i="4"/>
  <c r="N884" i="4"/>
  <c r="N826" i="4"/>
  <c r="N803" i="4"/>
  <c r="N802" i="4"/>
  <c r="N730" i="4"/>
  <c r="N36" i="4"/>
  <c r="N16" i="4"/>
  <c r="N15" i="4"/>
  <c r="N14" i="4"/>
  <c r="K11" i="3"/>
  <c r="M11" i="3" s="1"/>
  <c r="N11" i="3" s="1"/>
  <c r="H10" i="6"/>
  <c r="O1413" i="4"/>
  <c r="O1307" i="4"/>
  <c r="O1306" i="4"/>
  <c r="O1065" i="4"/>
  <c r="O1064" i="4"/>
  <c r="O1063" i="4"/>
  <c r="O1062" i="4"/>
  <c r="O1061" i="4"/>
  <c r="O884" i="4"/>
  <c r="O826" i="4"/>
  <c r="O803" i="4"/>
  <c r="O802" i="4"/>
  <c r="O730" i="4"/>
  <c r="O36" i="4"/>
  <c r="O16" i="4"/>
  <c r="O15" i="4"/>
  <c r="O14" i="4"/>
  <c r="I10" i="6"/>
  <c r="Q1413" i="4"/>
  <c r="Q1307" i="4"/>
  <c r="Q1306" i="4"/>
  <c r="Q1065" i="4"/>
  <c r="Q1064" i="4"/>
  <c r="Q1063" i="4"/>
  <c r="Q1062" i="4"/>
  <c r="Q1061" i="4"/>
  <c r="Q884" i="4"/>
  <c r="Q826" i="4"/>
  <c r="Q803" i="4"/>
  <c r="Q802" i="4"/>
  <c r="Q730" i="4"/>
  <c r="Q36" i="4"/>
  <c r="Q16" i="4"/>
  <c r="Q15" i="4"/>
  <c r="Q14" i="4"/>
  <c r="L11" i="3"/>
  <c r="G11" i="6"/>
  <c r="N1010" i="4"/>
  <c r="N213" i="4"/>
  <c r="K12" i="3"/>
  <c r="M12" i="3" s="1"/>
  <c r="N12" i="3" s="1"/>
  <c r="H11" i="6"/>
  <c r="O1010" i="4"/>
  <c r="O213" i="4"/>
  <c r="I11" i="6"/>
  <c r="Q1010" i="4"/>
  <c r="Q213" i="4"/>
  <c r="L12" i="3"/>
  <c r="G12" i="6"/>
  <c r="N1321" i="4"/>
  <c r="N1296" i="4"/>
  <c r="N1002" i="4"/>
  <c r="N962" i="4"/>
  <c r="N960" i="4"/>
  <c r="N956" i="4"/>
  <c r="N950" i="4"/>
  <c r="N935" i="4"/>
  <c r="N908" i="4"/>
  <c r="N896" i="4"/>
  <c r="N784" i="4"/>
  <c r="N782" i="4"/>
  <c r="N738" i="4"/>
  <c r="N473" i="4"/>
  <c r="N456" i="4"/>
  <c r="N219" i="4"/>
  <c r="N161" i="4"/>
  <c r="N49" i="4"/>
  <c r="K13" i="3"/>
  <c r="M13" i="3" s="1"/>
  <c r="N13" i="3" s="1"/>
  <c r="H12" i="6"/>
  <c r="O1321" i="4"/>
  <c r="O1296" i="4"/>
  <c r="O1002" i="4"/>
  <c r="O962" i="4"/>
  <c r="O960" i="4"/>
  <c r="O956" i="4"/>
  <c r="O950" i="4"/>
  <c r="O935" i="4"/>
  <c r="O908" i="4"/>
  <c r="O896" i="4"/>
  <c r="O784" i="4"/>
  <c r="O782" i="4"/>
  <c r="O738" i="4"/>
  <c r="O473" i="4"/>
  <c r="O456" i="4"/>
  <c r="O219" i="4"/>
  <c r="O161" i="4"/>
  <c r="O49" i="4"/>
  <c r="I12" i="6"/>
  <c r="Q1321" i="4"/>
  <c r="Q1296" i="4"/>
  <c r="Q1002" i="4"/>
  <c r="Q962" i="4"/>
  <c r="Q960" i="4"/>
  <c r="Q956" i="4"/>
  <c r="Q950" i="4"/>
  <c r="Q935" i="4"/>
  <c r="Q908" i="4"/>
  <c r="Q896" i="4"/>
  <c r="Q784" i="4"/>
  <c r="Q782" i="4"/>
  <c r="Q738" i="4"/>
  <c r="Q473" i="4"/>
  <c r="Q456" i="4"/>
  <c r="Q219" i="4"/>
  <c r="Q161" i="4"/>
  <c r="Q49" i="4"/>
  <c r="L13" i="3"/>
  <c r="G13" i="6"/>
  <c r="N1232" i="4"/>
  <c r="N1231" i="4"/>
  <c r="N1179" i="4"/>
  <c r="N1178" i="4"/>
  <c r="N1177" i="4"/>
  <c r="N639" i="4"/>
  <c r="N547" i="4"/>
  <c r="N499" i="4"/>
  <c r="N483" i="4"/>
  <c r="N320" i="4"/>
  <c r="N312" i="4"/>
  <c r="N310" i="4"/>
  <c r="N303" i="4"/>
  <c r="K14" i="3"/>
  <c r="M14" i="3" s="1"/>
  <c r="N14" i="3" s="1"/>
  <c r="H13" i="6"/>
  <c r="O1232" i="4"/>
  <c r="O1231" i="4"/>
  <c r="O1179" i="4"/>
  <c r="O1178" i="4"/>
  <c r="O1177" i="4"/>
  <c r="O639" i="4"/>
  <c r="O547" i="4"/>
  <c r="O499" i="4"/>
  <c r="O483" i="4"/>
  <c r="O320" i="4"/>
  <c r="O312" i="4"/>
  <c r="O310" i="4"/>
  <c r="O303" i="4"/>
  <c r="I13" i="6"/>
  <c r="Q1232" i="4"/>
  <c r="Q1231" i="4"/>
  <c r="Q1179" i="4"/>
  <c r="Q1178" i="4"/>
  <c r="Q1177" i="4"/>
  <c r="Q639" i="4"/>
  <c r="Q547" i="4"/>
  <c r="Q499" i="4"/>
  <c r="Q483" i="4"/>
  <c r="Q320" i="4"/>
  <c r="Q312" i="4"/>
  <c r="Q310" i="4"/>
  <c r="Q303" i="4"/>
  <c r="L14" i="3"/>
  <c r="G14" i="6"/>
  <c r="N1401" i="4"/>
  <c r="N1209" i="4"/>
  <c r="N1189" i="4"/>
  <c r="N1149" i="4"/>
  <c r="N1113" i="4"/>
  <c r="N573" i="4"/>
  <c r="N494" i="4"/>
  <c r="N382" i="4"/>
  <c r="N341" i="4"/>
  <c r="N298" i="4"/>
  <c r="K15" i="3"/>
  <c r="M15" i="3" s="1"/>
  <c r="N15" i="3" s="1"/>
  <c r="H14" i="6"/>
  <c r="O1401" i="4"/>
  <c r="O1209" i="4"/>
  <c r="O1189" i="4"/>
  <c r="O1149" i="4"/>
  <c r="O1113" i="4"/>
  <c r="O573" i="4"/>
  <c r="O494" i="4"/>
  <c r="O382" i="4"/>
  <c r="O341" i="4"/>
  <c r="O298" i="4"/>
  <c r="I14" i="6"/>
  <c r="Q1401" i="4"/>
  <c r="Q1209" i="4"/>
  <c r="Q1189" i="4"/>
  <c r="Q1149" i="4"/>
  <c r="Q1113" i="4"/>
  <c r="Q573" i="4"/>
  <c r="Q494" i="4"/>
  <c r="Q382" i="4"/>
  <c r="Q341" i="4"/>
  <c r="Q298" i="4"/>
  <c r="L15" i="3"/>
  <c r="G15" i="6"/>
  <c r="N1305" i="4"/>
  <c r="K16" i="3"/>
  <c r="M16" i="3" s="1"/>
  <c r="N16" i="3" s="1"/>
  <c r="H15" i="6"/>
  <c r="O1305" i="4"/>
  <c r="I15" i="6"/>
  <c r="Q1305" i="4"/>
  <c r="L16" i="3"/>
  <c r="G16" i="6"/>
  <c r="N1400" i="4"/>
  <c r="N647" i="4"/>
  <c r="K17" i="3"/>
  <c r="M17" i="3" s="1"/>
  <c r="N17" i="3" s="1"/>
  <c r="H16" i="6"/>
  <c r="O1400" i="4"/>
  <c r="O647" i="4"/>
  <c r="I16" i="6"/>
  <c r="Q1400" i="4"/>
  <c r="Q647" i="4"/>
  <c r="L17" i="3"/>
  <c r="G17" i="6"/>
  <c r="N1443" i="4"/>
  <c r="N1442" i="4"/>
  <c r="N1383" i="4"/>
  <c r="N1372" i="4"/>
  <c r="N1371" i="4"/>
  <c r="N1349" i="4"/>
  <c r="N1337" i="4"/>
  <c r="N1336" i="4"/>
  <c r="N1172" i="4"/>
  <c r="N1171" i="4"/>
  <c r="N1170" i="4"/>
  <c r="N1169" i="4"/>
  <c r="N1168" i="4"/>
  <c r="N1145" i="4"/>
  <c r="N1143" i="4"/>
  <c r="N1142" i="4"/>
  <c r="N1134" i="4"/>
  <c r="N1132" i="4"/>
  <c r="N1077" i="4"/>
  <c r="N1057" i="4"/>
  <c r="N1056" i="4"/>
  <c r="N1055" i="4"/>
  <c r="N1054" i="4"/>
  <c r="N1030" i="4"/>
  <c r="N1017" i="4"/>
  <c r="N997" i="4"/>
  <c r="N993" i="4"/>
  <c r="N986" i="4"/>
  <c r="N939" i="4"/>
  <c r="N938" i="4"/>
  <c r="N937" i="4"/>
  <c r="N936" i="4"/>
  <c r="N934" i="4"/>
  <c r="N932" i="4"/>
  <c r="N931" i="4"/>
  <c r="N930" i="4"/>
  <c r="N929" i="4"/>
  <c r="N928" i="4"/>
  <c r="N927" i="4"/>
  <c r="N926" i="4"/>
  <c r="N925" i="4"/>
  <c r="N924" i="4"/>
  <c r="N922" i="4"/>
  <c r="N920" i="4"/>
  <c r="N910" i="4"/>
  <c r="N907" i="4"/>
  <c r="N857" i="4"/>
  <c r="N856" i="4"/>
  <c r="N853" i="4"/>
  <c r="N852" i="4"/>
  <c r="N839" i="4"/>
  <c r="N838" i="4"/>
  <c r="N836" i="4"/>
  <c r="N789" i="4"/>
  <c r="N788" i="4"/>
  <c r="N787" i="4"/>
  <c r="N781" i="4"/>
  <c r="N774" i="4"/>
  <c r="N773" i="4"/>
  <c r="N772" i="4"/>
  <c r="N771" i="4"/>
  <c r="N770" i="4"/>
  <c r="N769" i="4"/>
  <c r="N763" i="4"/>
  <c r="N743" i="4"/>
  <c r="N741" i="4"/>
  <c r="N740" i="4"/>
  <c r="N739" i="4"/>
  <c r="N677" i="4"/>
  <c r="N674" i="4"/>
  <c r="N673" i="4"/>
  <c r="N672" i="4"/>
  <c r="N671" i="4"/>
  <c r="N668" i="4"/>
  <c r="N627" i="4"/>
  <c r="N588" i="4"/>
  <c r="N567" i="4"/>
  <c r="N555" i="4"/>
  <c r="N553" i="4"/>
  <c r="N552" i="4"/>
  <c r="N551" i="4"/>
  <c r="N550" i="4"/>
  <c r="N549" i="4"/>
  <c r="N541" i="4"/>
  <c r="N539" i="4"/>
  <c r="N529" i="4"/>
  <c r="N476" i="4"/>
  <c r="N413" i="4"/>
  <c r="N411" i="4"/>
  <c r="N409" i="4"/>
  <c r="N407" i="4"/>
  <c r="N406" i="4"/>
  <c r="N392" i="4"/>
  <c r="N391" i="4"/>
  <c r="N385" i="4"/>
  <c r="N384" i="4"/>
  <c r="N379" i="4"/>
  <c r="N356" i="4"/>
  <c r="N222" i="4"/>
  <c r="N221" i="4"/>
  <c r="N185" i="4"/>
  <c r="N184" i="4"/>
  <c r="N173" i="4"/>
  <c r="N172" i="4"/>
  <c r="N167" i="4"/>
  <c r="N166" i="4"/>
  <c r="N165" i="4"/>
  <c r="N164" i="4"/>
  <c r="N136" i="4"/>
  <c r="N135" i="4"/>
  <c r="N134" i="4"/>
  <c r="N132" i="4"/>
  <c r="N128" i="4"/>
  <c r="N103" i="4"/>
  <c r="N102" i="4"/>
  <c r="N94" i="4"/>
  <c r="K18" i="3"/>
  <c r="M18" i="3" s="1"/>
  <c r="N18" i="3" s="1"/>
  <c r="H17" i="6"/>
  <c r="O1443" i="4"/>
  <c r="O1442" i="4"/>
  <c r="O1383" i="4"/>
  <c r="O1372" i="4"/>
  <c r="O1371" i="4"/>
  <c r="O1349" i="4"/>
  <c r="O1337" i="4"/>
  <c r="O1336" i="4"/>
  <c r="O1172" i="4"/>
  <c r="O1171" i="4"/>
  <c r="O1170" i="4"/>
  <c r="O1169" i="4"/>
  <c r="O1168" i="4"/>
  <c r="O1145" i="4"/>
  <c r="O1143" i="4"/>
  <c r="O1142" i="4"/>
  <c r="O1134" i="4"/>
  <c r="O1132" i="4"/>
  <c r="O1077" i="4"/>
  <c r="O1057" i="4"/>
  <c r="O1056" i="4"/>
  <c r="O1055" i="4"/>
  <c r="O1054" i="4"/>
  <c r="O1030" i="4"/>
  <c r="O1017" i="4"/>
  <c r="O997" i="4"/>
  <c r="O993" i="4"/>
  <c r="O986" i="4"/>
  <c r="O939" i="4"/>
  <c r="O938" i="4"/>
  <c r="O937" i="4"/>
  <c r="O936" i="4"/>
  <c r="O934" i="4"/>
  <c r="O932" i="4"/>
  <c r="O931" i="4"/>
  <c r="O930" i="4"/>
  <c r="O929" i="4"/>
  <c r="O928" i="4"/>
  <c r="O927" i="4"/>
  <c r="O926" i="4"/>
  <c r="O925" i="4"/>
  <c r="O924" i="4"/>
  <c r="O922" i="4"/>
  <c r="O920" i="4"/>
  <c r="O910" i="4"/>
  <c r="O907" i="4"/>
  <c r="O857" i="4"/>
  <c r="O856" i="4"/>
  <c r="O853" i="4"/>
  <c r="O852" i="4"/>
  <c r="O839" i="4"/>
  <c r="O838" i="4"/>
  <c r="O836" i="4"/>
  <c r="O789" i="4"/>
  <c r="O788" i="4"/>
  <c r="O787" i="4"/>
  <c r="O781" i="4"/>
  <c r="O774" i="4"/>
  <c r="O773" i="4"/>
  <c r="O772" i="4"/>
  <c r="O771" i="4"/>
  <c r="O770" i="4"/>
  <c r="O769" i="4"/>
  <c r="O763" i="4"/>
  <c r="O743" i="4"/>
  <c r="O741" i="4"/>
  <c r="O740" i="4"/>
  <c r="O739" i="4"/>
  <c r="O677" i="4"/>
  <c r="O674" i="4"/>
  <c r="O673" i="4"/>
  <c r="O672" i="4"/>
  <c r="O671" i="4"/>
  <c r="O668" i="4"/>
  <c r="O627" i="4"/>
  <c r="O588" i="4"/>
  <c r="O567" i="4"/>
  <c r="O555" i="4"/>
  <c r="O553" i="4"/>
  <c r="O552" i="4"/>
  <c r="O551" i="4"/>
  <c r="O550" i="4"/>
  <c r="O549" i="4"/>
  <c r="O541" i="4"/>
  <c r="O539" i="4"/>
  <c r="O529" i="4"/>
  <c r="O476" i="4"/>
  <c r="O413" i="4"/>
  <c r="O411" i="4"/>
  <c r="O409" i="4"/>
  <c r="O407" i="4"/>
  <c r="O406" i="4"/>
  <c r="O392" i="4"/>
  <c r="O391" i="4"/>
  <c r="O385" i="4"/>
  <c r="O384" i="4"/>
  <c r="O379" i="4"/>
  <c r="O356" i="4"/>
  <c r="O222" i="4"/>
  <c r="O221" i="4"/>
  <c r="O185" i="4"/>
  <c r="O184" i="4"/>
  <c r="O173" i="4"/>
  <c r="O172" i="4"/>
  <c r="O167" i="4"/>
  <c r="O166" i="4"/>
  <c r="O165" i="4"/>
  <c r="O164" i="4"/>
  <c r="O136" i="4"/>
  <c r="O135" i="4"/>
  <c r="O134" i="4"/>
  <c r="O132" i="4"/>
  <c r="O128" i="4"/>
  <c r="O103" i="4"/>
  <c r="O102" i="4"/>
  <c r="O94" i="4"/>
  <c r="I17" i="6"/>
  <c r="Q1443" i="4"/>
  <c r="Q1442" i="4"/>
  <c r="Q1383" i="4"/>
  <c r="Q1372" i="4"/>
  <c r="Q1371" i="4"/>
  <c r="Q1349" i="4"/>
  <c r="Q1337" i="4"/>
  <c r="Q1336" i="4"/>
  <c r="Q1172" i="4"/>
  <c r="Q1171" i="4"/>
  <c r="Q1170" i="4"/>
  <c r="Q1169" i="4"/>
  <c r="Q1168" i="4"/>
  <c r="Q1145" i="4"/>
  <c r="Q1143" i="4"/>
  <c r="Q1142" i="4"/>
  <c r="Q1134" i="4"/>
  <c r="Q1132" i="4"/>
  <c r="Q1077" i="4"/>
  <c r="Q1057" i="4"/>
  <c r="Q1056" i="4"/>
  <c r="Q1055" i="4"/>
  <c r="Q1054" i="4"/>
  <c r="Q1030" i="4"/>
  <c r="Q1017" i="4"/>
  <c r="Q997" i="4"/>
  <c r="Q993" i="4"/>
  <c r="Q986" i="4"/>
  <c r="Q939" i="4"/>
  <c r="Q938" i="4"/>
  <c r="Q937" i="4"/>
  <c r="Q936" i="4"/>
  <c r="Q934" i="4"/>
  <c r="Q932" i="4"/>
  <c r="Q931" i="4"/>
  <c r="Q930" i="4"/>
  <c r="Q929" i="4"/>
  <c r="Q928" i="4"/>
  <c r="Q927" i="4"/>
  <c r="Q926" i="4"/>
  <c r="Q925" i="4"/>
  <c r="Q924" i="4"/>
  <c r="Q922" i="4"/>
  <c r="Q920" i="4"/>
  <c r="Q910" i="4"/>
  <c r="Q907" i="4"/>
  <c r="Q857" i="4"/>
  <c r="Q856" i="4"/>
  <c r="Q853" i="4"/>
  <c r="Q852" i="4"/>
  <c r="Q839" i="4"/>
  <c r="Q838" i="4"/>
  <c r="Q836" i="4"/>
  <c r="Q789" i="4"/>
  <c r="Q788" i="4"/>
  <c r="Q787" i="4"/>
  <c r="Q781" i="4"/>
  <c r="Q774" i="4"/>
  <c r="Q773" i="4"/>
  <c r="Q772" i="4"/>
  <c r="Q771" i="4"/>
  <c r="Q770" i="4"/>
  <c r="Q769" i="4"/>
  <c r="Q763" i="4"/>
  <c r="Q743" i="4"/>
  <c r="Q741" i="4"/>
  <c r="Q740" i="4"/>
  <c r="Q739" i="4"/>
  <c r="Q677" i="4"/>
  <c r="Q674" i="4"/>
  <c r="Q673" i="4"/>
  <c r="Q672" i="4"/>
  <c r="Q671" i="4"/>
  <c r="Q668" i="4"/>
  <c r="Q627" i="4"/>
  <c r="Q588" i="4"/>
  <c r="Q567" i="4"/>
  <c r="Q555" i="4"/>
  <c r="Q553" i="4"/>
  <c r="Q552" i="4"/>
  <c r="Q551" i="4"/>
  <c r="Q550" i="4"/>
  <c r="Q549" i="4"/>
  <c r="Q541" i="4"/>
  <c r="Q539" i="4"/>
  <c r="Q529" i="4"/>
  <c r="Q476" i="4"/>
  <c r="Q413" i="4"/>
  <c r="Q411" i="4"/>
  <c r="Q409" i="4"/>
  <c r="Q407" i="4"/>
  <c r="Q406" i="4"/>
  <c r="Q392" i="4"/>
  <c r="Q391" i="4"/>
  <c r="Q385" i="4"/>
  <c r="Q384" i="4"/>
  <c r="Q379" i="4"/>
  <c r="Q356" i="4"/>
  <c r="Q222" i="4"/>
  <c r="Q221" i="4"/>
  <c r="Q185" i="4"/>
  <c r="Q184" i="4"/>
  <c r="Q173" i="4"/>
  <c r="Q172" i="4"/>
  <c r="Q167" i="4"/>
  <c r="Q166" i="4"/>
  <c r="Q165" i="4"/>
  <c r="Q164" i="4"/>
  <c r="Q136" i="4"/>
  <c r="Q135" i="4"/>
  <c r="Q134" i="4"/>
  <c r="Q132" i="4"/>
  <c r="Q128" i="4"/>
  <c r="Q103" i="4"/>
  <c r="Q102" i="4"/>
  <c r="Q94" i="4"/>
  <c r="L18" i="3"/>
  <c r="G18" i="6"/>
  <c r="N1389" i="4"/>
  <c r="N1251" i="4"/>
  <c r="N1235" i="4"/>
  <c r="N1234" i="4"/>
  <c r="N1173" i="4"/>
  <c r="N981" i="4"/>
  <c r="N970" i="4"/>
  <c r="N933" i="4"/>
  <c r="N923" i="4"/>
  <c r="N660" i="4"/>
  <c r="N659" i="4"/>
  <c r="N658" i="4"/>
  <c r="N657" i="4"/>
  <c r="N656" i="4"/>
  <c r="N655" i="4"/>
  <c r="N649" i="4"/>
  <c r="N648" i="4"/>
  <c r="N646" i="4"/>
  <c r="N626" i="4"/>
  <c r="N531" i="4"/>
  <c r="N530" i="4"/>
  <c r="N527" i="4"/>
  <c r="N520" i="4"/>
  <c r="N519" i="4"/>
  <c r="N517" i="4"/>
  <c r="N509" i="4"/>
  <c r="N508" i="4"/>
  <c r="N507" i="4"/>
  <c r="N506" i="4"/>
  <c r="N505" i="4"/>
  <c r="N504" i="4"/>
  <c r="N498" i="4"/>
  <c r="N497" i="4"/>
  <c r="N496" i="4"/>
  <c r="N495" i="4"/>
  <c r="N475" i="4"/>
  <c r="N474" i="4"/>
  <c r="N472" i="4"/>
  <c r="N471" i="4"/>
  <c r="N466" i="4"/>
  <c r="N464" i="4"/>
  <c r="N463" i="4"/>
  <c r="N458" i="4"/>
  <c r="N395" i="4"/>
  <c r="N394" i="4"/>
  <c r="N377" i="4"/>
  <c r="N355" i="4"/>
  <c r="N343" i="4"/>
  <c r="N336" i="4"/>
  <c r="N328" i="4"/>
  <c r="N326" i="4"/>
  <c r="N325" i="4"/>
  <c r="N315" i="4"/>
  <c r="N314" i="4"/>
  <c r="N313" i="4"/>
  <c r="N302" i="4"/>
  <c r="N299" i="4"/>
  <c r="N293" i="4"/>
  <c r="N292" i="4"/>
  <c r="N291" i="4"/>
  <c r="N282" i="4"/>
  <c r="N280" i="4"/>
  <c r="N278" i="4"/>
  <c r="N277" i="4"/>
  <c r="N276" i="4"/>
  <c r="N266" i="4"/>
  <c r="N63" i="4"/>
  <c r="N61" i="4"/>
  <c r="N46" i="4"/>
  <c r="N45" i="4"/>
  <c r="K19" i="3"/>
  <c r="M19" i="3" s="1"/>
  <c r="N19" i="3" s="1"/>
  <c r="H18" i="6"/>
  <c r="O1389" i="4"/>
  <c r="O1251" i="4"/>
  <c r="O1235" i="4"/>
  <c r="O1234" i="4"/>
  <c r="O1173" i="4"/>
  <c r="O981" i="4"/>
  <c r="O970" i="4"/>
  <c r="O933" i="4"/>
  <c r="O923" i="4"/>
  <c r="O660" i="4"/>
  <c r="O659" i="4"/>
  <c r="O658" i="4"/>
  <c r="O657" i="4"/>
  <c r="O656" i="4"/>
  <c r="O655" i="4"/>
  <c r="O649" i="4"/>
  <c r="O648" i="4"/>
  <c r="O646" i="4"/>
  <c r="O626" i="4"/>
  <c r="O531" i="4"/>
  <c r="O530" i="4"/>
  <c r="O527" i="4"/>
  <c r="O520" i="4"/>
  <c r="O519" i="4"/>
  <c r="O517" i="4"/>
  <c r="O509" i="4"/>
  <c r="O508" i="4"/>
  <c r="O507" i="4"/>
  <c r="O506" i="4"/>
  <c r="O505" i="4"/>
  <c r="O504" i="4"/>
  <c r="O498" i="4"/>
  <c r="O497" i="4"/>
  <c r="O496" i="4"/>
  <c r="O495" i="4"/>
  <c r="O475" i="4"/>
  <c r="O474" i="4"/>
  <c r="O472" i="4"/>
  <c r="O471" i="4"/>
  <c r="O466" i="4"/>
  <c r="O464" i="4"/>
  <c r="O463" i="4"/>
  <c r="O458" i="4"/>
  <c r="O395" i="4"/>
  <c r="O394" i="4"/>
  <c r="O377" i="4"/>
  <c r="O355" i="4"/>
  <c r="O343" i="4"/>
  <c r="O336" i="4"/>
  <c r="O328" i="4"/>
  <c r="O326" i="4"/>
  <c r="O325" i="4"/>
  <c r="O315" i="4"/>
  <c r="O314" i="4"/>
  <c r="O313" i="4"/>
  <c r="O302" i="4"/>
  <c r="O299" i="4"/>
  <c r="O293" i="4"/>
  <c r="O292" i="4"/>
  <c r="O291" i="4"/>
  <c r="O282" i="4"/>
  <c r="O280" i="4"/>
  <c r="O278" i="4"/>
  <c r="O277" i="4"/>
  <c r="O276" i="4"/>
  <c r="O266" i="4"/>
  <c r="O63" i="4"/>
  <c r="O61" i="4"/>
  <c r="O46" i="4"/>
  <c r="O45" i="4"/>
  <c r="I18" i="6"/>
  <c r="Q1389" i="4"/>
  <c r="Q1251" i="4"/>
  <c r="Q1235" i="4"/>
  <c r="Q1234" i="4"/>
  <c r="Q1173" i="4"/>
  <c r="Q981" i="4"/>
  <c r="Q970" i="4"/>
  <c r="Q933" i="4"/>
  <c r="Q923" i="4"/>
  <c r="Q660" i="4"/>
  <c r="Q659" i="4"/>
  <c r="Q658" i="4"/>
  <c r="Q657" i="4"/>
  <c r="Q656" i="4"/>
  <c r="Q655" i="4"/>
  <c r="Q649" i="4"/>
  <c r="Q648" i="4"/>
  <c r="Q646" i="4"/>
  <c r="Q626" i="4"/>
  <c r="Q531" i="4"/>
  <c r="Q530" i="4"/>
  <c r="Q527" i="4"/>
  <c r="Q520" i="4"/>
  <c r="Q519" i="4"/>
  <c r="Q517" i="4"/>
  <c r="Q509" i="4"/>
  <c r="Q508" i="4"/>
  <c r="Q507" i="4"/>
  <c r="Q506" i="4"/>
  <c r="Q505" i="4"/>
  <c r="Q504" i="4"/>
  <c r="Q498" i="4"/>
  <c r="Q497" i="4"/>
  <c r="Q496" i="4"/>
  <c r="Q495" i="4"/>
  <c r="Q475" i="4"/>
  <c r="Q474" i="4"/>
  <c r="Q472" i="4"/>
  <c r="Q471" i="4"/>
  <c r="Q466" i="4"/>
  <c r="Q464" i="4"/>
  <c r="Q463" i="4"/>
  <c r="Q458" i="4"/>
  <c r="Q395" i="4"/>
  <c r="Q394" i="4"/>
  <c r="Q377" i="4"/>
  <c r="Q355" i="4"/>
  <c r="Q343" i="4"/>
  <c r="Q336" i="4"/>
  <c r="Q328" i="4"/>
  <c r="Q326" i="4"/>
  <c r="Q325" i="4"/>
  <c r="Q315" i="4"/>
  <c r="Q314" i="4"/>
  <c r="Q313" i="4"/>
  <c r="Q302" i="4"/>
  <c r="Q299" i="4"/>
  <c r="Q293" i="4"/>
  <c r="Q292" i="4"/>
  <c r="Q291" i="4"/>
  <c r="Q282" i="4"/>
  <c r="Q280" i="4"/>
  <c r="Q278" i="4"/>
  <c r="Q277" i="4"/>
  <c r="Q276" i="4"/>
  <c r="Q266" i="4"/>
  <c r="Q63" i="4"/>
  <c r="Q61" i="4"/>
  <c r="Q46" i="4"/>
  <c r="Q45" i="4"/>
  <c r="L19" i="3"/>
  <c r="G19" i="6"/>
  <c r="N1368" i="4"/>
  <c r="N1362" i="4"/>
  <c r="N1361" i="4"/>
  <c r="N1347" i="4"/>
  <c r="N1185" i="4"/>
  <c r="N1184" i="4"/>
  <c r="N1148" i="4"/>
  <c r="N1133" i="4"/>
  <c r="N1026" i="4"/>
  <c r="N834" i="4"/>
  <c r="N762" i="4"/>
  <c r="N761" i="4"/>
  <c r="N729" i="4"/>
  <c r="N728" i="4"/>
  <c r="N723" i="4"/>
  <c r="N696" i="4"/>
  <c r="N695" i="4"/>
  <c r="N684" i="4"/>
  <c r="N667" i="4"/>
  <c r="N625" i="4"/>
  <c r="N566" i="4"/>
  <c r="N556" i="4"/>
  <c r="N523" i="4"/>
  <c r="N477" i="4"/>
  <c r="N389" i="4"/>
  <c r="N388" i="4"/>
  <c r="N321" i="4"/>
  <c r="N259" i="4"/>
  <c r="N236" i="4"/>
  <c r="N129" i="4"/>
  <c r="K20" i="3"/>
  <c r="M20" i="3" s="1"/>
  <c r="N20" i="3" s="1"/>
  <c r="H19" i="6"/>
  <c r="O1368" i="4"/>
  <c r="O1362" i="4"/>
  <c r="O1361" i="4"/>
  <c r="O1347" i="4"/>
  <c r="O1185" i="4"/>
  <c r="O1184" i="4"/>
  <c r="O1148" i="4"/>
  <c r="O1133" i="4"/>
  <c r="O1026" i="4"/>
  <c r="O834" i="4"/>
  <c r="O762" i="4"/>
  <c r="O761" i="4"/>
  <c r="O729" i="4"/>
  <c r="O728" i="4"/>
  <c r="O723" i="4"/>
  <c r="O696" i="4"/>
  <c r="O695" i="4"/>
  <c r="O684" i="4"/>
  <c r="O667" i="4"/>
  <c r="O625" i="4"/>
  <c r="O566" i="4"/>
  <c r="O556" i="4"/>
  <c r="O523" i="4"/>
  <c r="O477" i="4"/>
  <c r="O389" i="4"/>
  <c r="O388" i="4"/>
  <c r="O321" i="4"/>
  <c r="O259" i="4"/>
  <c r="O236" i="4"/>
  <c r="O129" i="4"/>
  <c r="I19" i="6"/>
  <c r="Q1368" i="4"/>
  <c r="Q1362" i="4"/>
  <c r="Q1361" i="4"/>
  <c r="Q1347" i="4"/>
  <c r="Q1185" i="4"/>
  <c r="Q1184" i="4"/>
  <c r="Q1148" i="4"/>
  <c r="Q1133" i="4"/>
  <c r="Q1026" i="4"/>
  <c r="Q834" i="4"/>
  <c r="Q762" i="4"/>
  <c r="Q761" i="4"/>
  <c r="Q729" i="4"/>
  <c r="Q728" i="4"/>
  <c r="Q723" i="4"/>
  <c r="Q696" i="4"/>
  <c r="Q695" i="4"/>
  <c r="Q684" i="4"/>
  <c r="Q667" i="4"/>
  <c r="Q625" i="4"/>
  <c r="Q566" i="4"/>
  <c r="Q556" i="4"/>
  <c r="Q523" i="4"/>
  <c r="Q477" i="4"/>
  <c r="Q389" i="4"/>
  <c r="Q388" i="4"/>
  <c r="Q321" i="4"/>
  <c r="Q259" i="4"/>
  <c r="Q236" i="4"/>
  <c r="Q129" i="4"/>
  <c r="L20" i="3"/>
  <c r="G20" i="6"/>
  <c r="N1369" i="4"/>
  <c r="N1342" i="4"/>
  <c r="N1334" i="4"/>
  <c r="N1249" i="4"/>
  <c r="N1248" i="4"/>
  <c r="N1247" i="4"/>
  <c r="N1233" i="4"/>
  <c r="N1167" i="4"/>
  <c r="N605" i="4"/>
  <c r="N603" i="4"/>
  <c r="N602" i="4"/>
  <c r="N601" i="4"/>
  <c r="N265" i="4"/>
  <c r="N74" i="4"/>
  <c r="N73" i="4"/>
  <c r="N62" i="4"/>
  <c r="N48" i="4"/>
  <c r="K21" i="3"/>
  <c r="M21" i="3" s="1"/>
  <c r="N21" i="3" s="1"/>
  <c r="H20" i="6"/>
  <c r="O1369" i="4"/>
  <c r="O1342" i="4"/>
  <c r="O1334" i="4"/>
  <c r="O1249" i="4"/>
  <c r="O1248" i="4"/>
  <c r="O1247" i="4"/>
  <c r="O1233" i="4"/>
  <c r="O1167" i="4"/>
  <c r="O605" i="4"/>
  <c r="O603" i="4"/>
  <c r="O602" i="4"/>
  <c r="O601" i="4"/>
  <c r="O265" i="4"/>
  <c r="O74" i="4"/>
  <c r="O73" i="4"/>
  <c r="O62" i="4"/>
  <c r="O48" i="4"/>
  <c r="I20" i="6"/>
  <c r="Q1369" i="4"/>
  <c r="Q1342" i="4"/>
  <c r="Q1334" i="4"/>
  <c r="Q1249" i="4"/>
  <c r="Q1248" i="4"/>
  <c r="Q1247" i="4"/>
  <c r="Q1233" i="4"/>
  <c r="Q1167" i="4"/>
  <c r="Q605" i="4"/>
  <c r="Q603" i="4"/>
  <c r="Q602" i="4"/>
  <c r="Q601" i="4"/>
  <c r="Q265" i="4"/>
  <c r="Q74" i="4"/>
  <c r="Q73" i="4"/>
  <c r="Q62" i="4"/>
  <c r="Q48" i="4"/>
  <c r="L21" i="3"/>
  <c r="G21" i="6"/>
  <c r="N1404" i="4"/>
  <c r="N1378" i="4"/>
  <c r="N329" i="4"/>
  <c r="K22" i="3"/>
  <c r="M22" i="3" s="1"/>
  <c r="N22" i="3" s="1"/>
  <c r="H21" i="6"/>
  <c r="O1404" i="4"/>
  <c r="O1378" i="4"/>
  <c r="O329" i="4"/>
  <c r="I21" i="6"/>
  <c r="Q1404" i="4"/>
  <c r="Q1378" i="4"/>
  <c r="Q329" i="4"/>
  <c r="L22" i="3"/>
  <c r="L23" i="3"/>
  <c r="G22" i="6"/>
  <c r="N1316" i="4"/>
  <c r="N1119" i="4"/>
  <c r="N1006" i="4"/>
  <c r="N865" i="4"/>
  <c r="N726" i="4"/>
  <c r="N178" i="4"/>
  <c r="K24" i="3"/>
  <c r="M24" i="3" s="1"/>
  <c r="N24" i="3" s="1"/>
  <c r="H22" i="6"/>
  <c r="O1316" i="4"/>
  <c r="O1119" i="4"/>
  <c r="O1006" i="4"/>
  <c r="O865" i="4"/>
  <c r="O726" i="4"/>
  <c r="O178" i="4"/>
  <c r="I22" i="6"/>
  <c r="Q1316" i="4"/>
  <c r="Q1119" i="4"/>
  <c r="Q1006" i="4"/>
  <c r="Q865" i="4"/>
  <c r="Q726" i="4"/>
  <c r="Q178" i="4"/>
  <c r="L24" i="3"/>
  <c r="L25" i="3"/>
  <c r="G23" i="6"/>
  <c r="N1329" i="4"/>
  <c r="N1287" i="4"/>
  <c r="N756" i="4"/>
  <c r="N609" i="4"/>
  <c r="N608" i="4"/>
  <c r="N587" i="4"/>
  <c r="K26" i="3"/>
  <c r="M26" i="3" s="1"/>
  <c r="N26" i="3" s="1"/>
  <c r="H23" i="6"/>
  <c r="O1329" i="4"/>
  <c r="O1287" i="4"/>
  <c r="O756" i="4"/>
  <c r="O609" i="4"/>
  <c r="O608" i="4"/>
  <c r="O587" i="4"/>
  <c r="I23" i="6"/>
  <c r="Q1329" i="4"/>
  <c r="Q1287" i="4"/>
  <c r="Q756" i="4"/>
  <c r="Q609" i="4"/>
  <c r="Q608" i="4"/>
  <c r="Q587" i="4"/>
  <c r="L26" i="3"/>
  <c r="G24" i="6"/>
  <c r="N1343" i="4"/>
  <c r="N983" i="4"/>
  <c r="N882" i="4"/>
  <c r="N881" i="4"/>
  <c r="N823" i="4"/>
  <c r="N822" i="4"/>
  <c r="N790" i="4"/>
  <c r="N98" i="4"/>
  <c r="K27" i="3"/>
  <c r="M27" i="3" s="1"/>
  <c r="N27" i="3" s="1"/>
  <c r="H24" i="6"/>
  <c r="O1343" i="4"/>
  <c r="O983" i="4"/>
  <c r="O882" i="4"/>
  <c r="O881" i="4"/>
  <c r="O823" i="4"/>
  <c r="O822" i="4"/>
  <c r="O790" i="4"/>
  <c r="O98" i="4"/>
  <c r="I24" i="6"/>
  <c r="Q1343" i="4"/>
  <c r="Q983" i="4"/>
  <c r="Q882" i="4"/>
  <c r="Q881" i="4"/>
  <c r="Q823" i="4"/>
  <c r="Q822" i="4"/>
  <c r="Q790" i="4"/>
  <c r="Q98" i="4"/>
  <c r="L27" i="3"/>
  <c r="G25" i="6"/>
  <c r="N941" i="4"/>
  <c r="N940" i="4"/>
  <c r="N742" i="4"/>
  <c r="K28" i="3"/>
  <c r="M28" i="3" s="1"/>
  <c r="N28" i="3" s="1"/>
  <c r="H25" i="6"/>
  <c r="O941" i="4"/>
  <c r="O940" i="4"/>
  <c r="O742" i="4"/>
  <c r="I25" i="6"/>
  <c r="Q941" i="4"/>
  <c r="Q940" i="4"/>
  <c r="Q742" i="4"/>
  <c r="L28" i="3"/>
  <c r="G26" i="6"/>
  <c r="N1382" i="4"/>
  <c r="N1381" i="4"/>
  <c r="N1380" i="4"/>
  <c r="N1374" i="4"/>
  <c r="N1268" i="4"/>
  <c r="N1183" i="4"/>
  <c r="N1181" i="4"/>
  <c r="N1144" i="4"/>
  <c r="N1138" i="4"/>
  <c r="N1137" i="4"/>
  <c r="N1136" i="4"/>
  <c r="N1135" i="4"/>
  <c r="N1131" i="4"/>
  <c r="N971" i="4"/>
  <c r="N946" i="4"/>
  <c r="N945" i="4"/>
  <c r="N944" i="4"/>
  <c r="N909" i="4"/>
  <c r="N858" i="4"/>
  <c r="N682" i="4"/>
  <c r="N581" i="4"/>
  <c r="N580" i="4"/>
  <c r="N579" i="4"/>
  <c r="N578" i="4"/>
  <c r="K29" i="3"/>
  <c r="M29" i="3" s="1"/>
  <c r="N29" i="3" s="1"/>
  <c r="H26" i="6"/>
  <c r="O1382" i="4"/>
  <c r="O1381" i="4"/>
  <c r="O1380" i="4"/>
  <c r="O1374" i="4"/>
  <c r="O1268" i="4"/>
  <c r="O1183" i="4"/>
  <c r="O1181" i="4"/>
  <c r="O1144" i="4"/>
  <c r="O1138" i="4"/>
  <c r="O1137" i="4"/>
  <c r="O1136" i="4"/>
  <c r="O1135" i="4"/>
  <c r="O1131" i="4"/>
  <c r="O971" i="4"/>
  <c r="O946" i="4"/>
  <c r="O945" i="4"/>
  <c r="O944" i="4"/>
  <c r="O909" i="4"/>
  <c r="O858" i="4"/>
  <c r="O682" i="4"/>
  <c r="O581" i="4"/>
  <c r="O580" i="4"/>
  <c r="O579" i="4"/>
  <c r="O578" i="4"/>
  <c r="I26" i="6"/>
  <c r="Q1382" i="4"/>
  <c r="Q1381" i="4"/>
  <c r="Q1380" i="4"/>
  <c r="Q1374" i="4"/>
  <c r="Q1268" i="4"/>
  <c r="Q1183" i="4"/>
  <c r="Q1181" i="4"/>
  <c r="Q1144" i="4"/>
  <c r="Q1138" i="4"/>
  <c r="Q1137" i="4"/>
  <c r="Q1136" i="4"/>
  <c r="Q1135" i="4"/>
  <c r="Q1131" i="4"/>
  <c r="Q971" i="4"/>
  <c r="Q946" i="4"/>
  <c r="Q945" i="4"/>
  <c r="Q944" i="4"/>
  <c r="Q909" i="4"/>
  <c r="Q858" i="4"/>
  <c r="Q682" i="4"/>
  <c r="Q581" i="4"/>
  <c r="Q580" i="4"/>
  <c r="Q579" i="4"/>
  <c r="Q578" i="4"/>
  <c r="L29" i="3"/>
  <c r="G27" i="6"/>
  <c r="N1270" i="4"/>
  <c r="K30" i="3"/>
  <c r="M30" i="3" s="1"/>
  <c r="N30" i="3" s="1"/>
  <c r="H27" i="6"/>
  <c r="O1270" i="4"/>
  <c r="I27" i="6"/>
  <c r="Q1270" i="4"/>
  <c r="L30" i="3"/>
  <c r="G28" i="6"/>
  <c r="N340" i="4"/>
  <c r="N333" i="4"/>
  <c r="N332" i="4"/>
  <c r="N331" i="4"/>
  <c r="N330" i="4"/>
  <c r="N287" i="4"/>
  <c r="N270" i="4"/>
  <c r="K31" i="3"/>
  <c r="M31" i="3" s="1"/>
  <c r="N31" i="3" s="1"/>
  <c r="H28" i="6"/>
  <c r="O340" i="4"/>
  <c r="O333" i="4"/>
  <c r="O332" i="4"/>
  <c r="O331" i="4"/>
  <c r="O330" i="4"/>
  <c r="O287" i="4"/>
  <c r="O270" i="4"/>
  <c r="I28" i="6"/>
  <c r="Q340" i="4"/>
  <c r="Q333" i="4"/>
  <c r="Q332" i="4"/>
  <c r="Q331" i="4"/>
  <c r="Q330" i="4"/>
  <c r="Q287" i="4"/>
  <c r="Q270" i="4"/>
  <c r="L31" i="3"/>
  <c r="G29" i="6"/>
  <c r="N1426" i="4"/>
  <c r="N1424" i="4"/>
  <c r="N1407" i="4"/>
  <c r="N1403" i="4"/>
  <c r="N1398" i="4"/>
  <c r="N371" i="4"/>
  <c r="N369" i="4"/>
  <c r="N194" i="4"/>
  <c r="N192" i="4"/>
  <c r="N190" i="4"/>
  <c r="N187" i="4"/>
  <c r="N160" i="4"/>
  <c r="N157" i="4"/>
  <c r="N154" i="4"/>
  <c r="N152" i="4"/>
  <c r="N145" i="4"/>
  <c r="N143" i="4"/>
  <c r="N141" i="4"/>
  <c r="K32" i="3"/>
  <c r="M32" i="3" s="1"/>
  <c r="N32" i="3" s="1"/>
  <c r="H29" i="6"/>
  <c r="O1426" i="4"/>
  <c r="O1424" i="4"/>
  <c r="O1407" i="4"/>
  <c r="O1403" i="4"/>
  <c r="O1398" i="4"/>
  <c r="O371" i="4"/>
  <c r="O369" i="4"/>
  <c r="O194" i="4"/>
  <c r="O192" i="4"/>
  <c r="O190" i="4"/>
  <c r="O187" i="4"/>
  <c r="O160" i="4"/>
  <c r="O157" i="4"/>
  <c r="O154" i="4"/>
  <c r="O152" i="4"/>
  <c r="O145" i="4"/>
  <c r="O143" i="4"/>
  <c r="O141" i="4"/>
  <c r="I29" i="6"/>
  <c r="Q1426" i="4"/>
  <c r="Q1424" i="4"/>
  <c r="Q1407" i="4"/>
  <c r="Q1403" i="4"/>
  <c r="Q1398" i="4"/>
  <c r="Q371" i="4"/>
  <c r="Q369" i="4"/>
  <c r="Q194" i="4"/>
  <c r="Q192" i="4"/>
  <c r="Q190" i="4"/>
  <c r="Q187" i="4"/>
  <c r="Q160" i="4"/>
  <c r="Q157" i="4"/>
  <c r="Q154" i="4"/>
  <c r="Q152" i="4"/>
  <c r="Q145" i="4"/>
  <c r="Q143" i="4"/>
  <c r="Q141" i="4"/>
  <c r="L32" i="3"/>
  <c r="G30" i="6"/>
  <c r="N1318" i="4"/>
  <c r="N943" i="4"/>
  <c r="N919" i="4"/>
  <c r="N116" i="4"/>
  <c r="N97" i="4"/>
  <c r="N81" i="4"/>
  <c r="K33" i="3"/>
  <c r="M33" i="3" s="1"/>
  <c r="N33" i="3" s="1"/>
  <c r="H30" i="6"/>
  <c r="O1318" i="4"/>
  <c r="O943" i="4"/>
  <c r="O919" i="4"/>
  <c r="O116" i="4"/>
  <c r="O97" i="4"/>
  <c r="O81" i="4"/>
  <c r="I30" i="6"/>
  <c r="Q1318" i="4"/>
  <c r="Q943" i="4"/>
  <c r="Q919" i="4"/>
  <c r="Q116" i="4"/>
  <c r="Q97" i="4"/>
  <c r="Q81" i="4"/>
  <c r="L33" i="3"/>
  <c r="G31" i="6"/>
  <c r="N1097" i="4"/>
  <c r="N1096" i="4"/>
  <c r="N1095" i="4"/>
  <c r="N1094" i="4"/>
  <c r="N1052" i="4"/>
  <c r="N1047" i="4"/>
  <c r="N1046" i="4"/>
  <c r="N1045" i="4"/>
  <c r="N948" i="4"/>
  <c r="N947" i="4"/>
  <c r="N897" i="4"/>
  <c r="N875" i="4"/>
  <c r="N874" i="4"/>
  <c r="N810" i="4"/>
  <c r="N808" i="4"/>
  <c r="N749" i="4"/>
  <c r="N748" i="4"/>
  <c r="N747" i="4"/>
  <c r="N449" i="4"/>
  <c r="N448" i="4"/>
  <c r="N246" i="4"/>
  <c r="K34" i="3"/>
  <c r="M34" i="3" s="1"/>
  <c r="N34" i="3" s="1"/>
  <c r="H31" i="6"/>
  <c r="O1097" i="4"/>
  <c r="O1096" i="4"/>
  <c r="O1095" i="4"/>
  <c r="O1094" i="4"/>
  <c r="O1052" i="4"/>
  <c r="O1047" i="4"/>
  <c r="O1046" i="4"/>
  <c r="O1045" i="4"/>
  <c r="O948" i="4"/>
  <c r="O947" i="4"/>
  <c r="O897" i="4"/>
  <c r="O875" i="4"/>
  <c r="O874" i="4"/>
  <c r="O810" i="4"/>
  <c r="O808" i="4"/>
  <c r="O749" i="4"/>
  <c r="O748" i="4"/>
  <c r="O747" i="4"/>
  <c r="O449" i="4"/>
  <c r="O448" i="4"/>
  <c r="O246" i="4"/>
  <c r="I31" i="6"/>
  <c r="Q1097" i="4"/>
  <c r="Q1096" i="4"/>
  <c r="Q1095" i="4"/>
  <c r="Q1094" i="4"/>
  <c r="Q1052" i="4"/>
  <c r="Q1047" i="4"/>
  <c r="Q1046" i="4"/>
  <c r="Q1045" i="4"/>
  <c r="Q948" i="4"/>
  <c r="Q947" i="4"/>
  <c r="Q897" i="4"/>
  <c r="Q875" i="4"/>
  <c r="Q874" i="4"/>
  <c r="Q810" i="4"/>
  <c r="Q808" i="4"/>
  <c r="Q749" i="4"/>
  <c r="Q748" i="4"/>
  <c r="Q747" i="4"/>
  <c r="Q449" i="4"/>
  <c r="Q448" i="4"/>
  <c r="Q246" i="4"/>
  <c r="L34" i="3"/>
  <c r="G32" i="6"/>
  <c r="N1428" i="4"/>
  <c r="N1412" i="4"/>
  <c r="N1411" i="4"/>
  <c r="N1410" i="4"/>
  <c r="N1387" i="4"/>
  <c r="N1386" i="4"/>
  <c r="N1357" i="4"/>
  <c r="N1356" i="4"/>
  <c r="N1353" i="4"/>
  <c r="N1352" i="4"/>
  <c r="N1351" i="4"/>
  <c r="N1341" i="4"/>
  <c r="N1340" i="4"/>
  <c r="N1335" i="4"/>
  <c r="N1319" i="4"/>
  <c r="N1295" i="4"/>
  <c r="N1294" i="4"/>
  <c r="N1293" i="4"/>
  <c r="N1266" i="4"/>
  <c r="N1265" i="4"/>
  <c r="N1256" i="4"/>
  <c r="N1253" i="4"/>
  <c r="N1252" i="4"/>
  <c r="N1243" i="4"/>
  <c r="N1240" i="4"/>
  <c r="N1239" i="4"/>
  <c r="N1217" i="4"/>
  <c r="N1210" i="4"/>
  <c r="N1199" i="4"/>
  <c r="N1197" i="4"/>
  <c r="N1191" i="4"/>
  <c r="N1190" i="4"/>
  <c r="N1160" i="4"/>
  <c r="N1158" i="4"/>
  <c r="N1152" i="4"/>
  <c r="N1151" i="4"/>
  <c r="N1124" i="4"/>
  <c r="N1122" i="4"/>
  <c r="N1116" i="4"/>
  <c r="N1115" i="4"/>
  <c r="N1098" i="4"/>
  <c r="N1091" i="4"/>
  <c r="N1090" i="4"/>
  <c r="N1025" i="4"/>
  <c r="N1024" i="4"/>
  <c r="N1023" i="4"/>
  <c r="N1022" i="4"/>
  <c r="N1007" i="4"/>
  <c r="N991" i="4"/>
  <c r="N990" i="4"/>
  <c r="N989" i="4"/>
  <c r="N955" i="4"/>
  <c r="N954" i="4"/>
  <c r="N953" i="4"/>
  <c r="N952" i="4"/>
  <c r="N942" i="4"/>
  <c r="N917" i="4"/>
  <c r="N914" i="4"/>
  <c r="N905" i="4"/>
  <c r="N901" i="4"/>
  <c r="N900" i="4"/>
  <c r="N899" i="4"/>
  <c r="N898" i="4"/>
  <c r="N873" i="4"/>
  <c r="N872" i="4"/>
  <c r="N871" i="4"/>
  <c r="N870" i="4"/>
  <c r="N863" i="4"/>
  <c r="N832" i="4"/>
  <c r="N831" i="4"/>
  <c r="N815" i="4"/>
  <c r="N814" i="4"/>
  <c r="N813" i="4"/>
  <c r="N812" i="4"/>
  <c r="N780" i="4"/>
  <c r="N779" i="4"/>
  <c r="N778" i="4"/>
  <c r="N777" i="4"/>
  <c r="N755" i="4"/>
  <c r="N751" i="4"/>
  <c r="N750" i="4"/>
  <c r="N736" i="4"/>
  <c r="N735" i="4"/>
  <c r="N716" i="4"/>
  <c r="N715" i="4"/>
  <c r="N689" i="4"/>
  <c r="N654" i="4"/>
  <c r="N653" i="4"/>
  <c r="N635" i="4"/>
  <c r="N634" i="4"/>
  <c r="N631" i="4"/>
  <c r="N612" i="4"/>
  <c r="N611" i="4"/>
  <c r="N569" i="4"/>
  <c r="N568" i="4"/>
  <c r="N534" i="4"/>
  <c r="N533" i="4"/>
  <c r="N502" i="4"/>
  <c r="N501" i="4"/>
  <c r="N486" i="4"/>
  <c r="N470" i="4"/>
  <c r="N469" i="4"/>
  <c r="N436" i="4"/>
  <c r="N433" i="4"/>
  <c r="N416" i="4"/>
  <c r="N400" i="4"/>
  <c r="N383" i="4"/>
  <c r="N362" i="4"/>
  <c r="N361" i="4"/>
  <c r="N360" i="4"/>
  <c r="N339" i="4"/>
  <c r="N337" i="4"/>
  <c r="N308" i="4"/>
  <c r="N307" i="4"/>
  <c r="N304" i="4"/>
  <c r="N283" i="4"/>
  <c r="N274" i="4"/>
  <c r="N273" i="4"/>
  <c r="N229" i="4"/>
  <c r="N228" i="4"/>
  <c r="N216" i="4"/>
  <c r="N215" i="4"/>
  <c r="N201" i="4"/>
  <c r="N197" i="4"/>
  <c r="N179" i="4"/>
  <c r="N124" i="4"/>
  <c r="N122" i="4"/>
  <c r="N93" i="4"/>
  <c r="N71" i="4"/>
  <c r="N67" i="4"/>
  <c r="N37" i="4"/>
  <c r="N24" i="4"/>
  <c r="N22" i="4"/>
  <c r="K35" i="3"/>
  <c r="M35" i="3" s="1"/>
  <c r="N35" i="3" s="1"/>
  <c r="H32" i="6"/>
  <c r="O1428" i="4"/>
  <c r="O1412" i="4"/>
  <c r="O1411" i="4"/>
  <c r="O1410" i="4"/>
  <c r="O1387" i="4"/>
  <c r="O1386" i="4"/>
  <c r="O1357" i="4"/>
  <c r="O1356" i="4"/>
  <c r="O1353" i="4"/>
  <c r="O1352" i="4"/>
  <c r="O1351" i="4"/>
  <c r="O1341" i="4"/>
  <c r="O1340" i="4"/>
  <c r="O1335" i="4"/>
  <c r="O1319" i="4"/>
  <c r="O1295" i="4"/>
  <c r="O1294" i="4"/>
  <c r="O1293" i="4"/>
  <c r="O1266" i="4"/>
  <c r="O1265" i="4"/>
  <c r="O1256" i="4"/>
  <c r="O1253" i="4"/>
  <c r="O1252" i="4"/>
  <c r="O1243" i="4"/>
  <c r="O1240" i="4"/>
  <c r="O1239" i="4"/>
  <c r="O1217" i="4"/>
  <c r="O1210" i="4"/>
  <c r="O1199" i="4"/>
  <c r="O1197" i="4"/>
  <c r="O1191" i="4"/>
  <c r="O1190" i="4"/>
  <c r="O1160" i="4"/>
  <c r="O1158" i="4"/>
  <c r="O1152" i="4"/>
  <c r="O1151" i="4"/>
  <c r="O1124" i="4"/>
  <c r="O1122" i="4"/>
  <c r="O1116" i="4"/>
  <c r="O1115" i="4"/>
  <c r="O1098" i="4"/>
  <c r="O1091" i="4"/>
  <c r="O1090" i="4"/>
  <c r="O1025" i="4"/>
  <c r="O1024" i="4"/>
  <c r="O1023" i="4"/>
  <c r="O1022" i="4"/>
  <c r="O1007" i="4"/>
  <c r="O991" i="4"/>
  <c r="O990" i="4"/>
  <c r="O989" i="4"/>
  <c r="O955" i="4"/>
  <c r="O954" i="4"/>
  <c r="O953" i="4"/>
  <c r="O952" i="4"/>
  <c r="O942" i="4"/>
  <c r="O917" i="4"/>
  <c r="O914" i="4"/>
  <c r="O905" i="4"/>
  <c r="O901" i="4"/>
  <c r="O900" i="4"/>
  <c r="O899" i="4"/>
  <c r="O898" i="4"/>
  <c r="O873" i="4"/>
  <c r="O872" i="4"/>
  <c r="O871" i="4"/>
  <c r="O870" i="4"/>
  <c r="O863" i="4"/>
  <c r="O832" i="4"/>
  <c r="O831" i="4"/>
  <c r="O815" i="4"/>
  <c r="O814" i="4"/>
  <c r="O813" i="4"/>
  <c r="O812" i="4"/>
  <c r="O780" i="4"/>
  <c r="O779" i="4"/>
  <c r="O778" i="4"/>
  <c r="O777" i="4"/>
  <c r="O755" i="4"/>
  <c r="O751" i="4"/>
  <c r="O750" i="4"/>
  <c r="O736" i="4"/>
  <c r="O735" i="4"/>
  <c r="O716" i="4"/>
  <c r="O715" i="4"/>
  <c r="O689" i="4"/>
  <c r="O654" i="4"/>
  <c r="O653" i="4"/>
  <c r="O635" i="4"/>
  <c r="O634" i="4"/>
  <c r="O631" i="4"/>
  <c r="O612" i="4"/>
  <c r="O611" i="4"/>
  <c r="O569" i="4"/>
  <c r="O568" i="4"/>
  <c r="O534" i="4"/>
  <c r="O533" i="4"/>
  <c r="O502" i="4"/>
  <c r="O501" i="4"/>
  <c r="O486" i="4"/>
  <c r="O470" i="4"/>
  <c r="O469" i="4"/>
  <c r="O436" i="4"/>
  <c r="O433" i="4"/>
  <c r="O416" i="4"/>
  <c r="O400" i="4"/>
  <c r="O383" i="4"/>
  <c r="O362" i="4"/>
  <c r="O361" i="4"/>
  <c r="O360" i="4"/>
  <c r="O339" i="4"/>
  <c r="O337" i="4"/>
  <c r="O308" i="4"/>
  <c r="O307" i="4"/>
  <c r="O304" i="4"/>
  <c r="O283" i="4"/>
  <c r="O274" i="4"/>
  <c r="O273" i="4"/>
  <c r="O229" i="4"/>
  <c r="O228" i="4"/>
  <c r="O216" i="4"/>
  <c r="O215" i="4"/>
  <c r="O201" i="4"/>
  <c r="O197" i="4"/>
  <c r="O179" i="4"/>
  <c r="O124" i="4"/>
  <c r="O122" i="4"/>
  <c r="O93" i="4"/>
  <c r="O71" i="4"/>
  <c r="O67" i="4"/>
  <c r="O37" i="4"/>
  <c r="O24" i="4"/>
  <c r="O22" i="4"/>
  <c r="I32" i="6"/>
  <c r="Q1428" i="4"/>
  <c r="Q1412" i="4"/>
  <c r="Q1411" i="4"/>
  <c r="Q1410" i="4"/>
  <c r="Q1387" i="4"/>
  <c r="Q1386" i="4"/>
  <c r="Q1357" i="4"/>
  <c r="Q1356" i="4"/>
  <c r="Q1353" i="4"/>
  <c r="Q1352" i="4"/>
  <c r="Q1351" i="4"/>
  <c r="Q1341" i="4"/>
  <c r="Q1340" i="4"/>
  <c r="Q1335" i="4"/>
  <c r="Q1319" i="4"/>
  <c r="Q1295" i="4"/>
  <c r="Q1294" i="4"/>
  <c r="Q1293" i="4"/>
  <c r="Q1266" i="4"/>
  <c r="Q1265" i="4"/>
  <c r="Q1256" i="4"/>
  <c r="Q1253" i="4"/>
  <c r="Q1252" i="4"/>
  <c r="Q1243" i="4"/>
  <c r="Q1240" i="4"/>
  <c r="Q1239" i="4"/>
  <c r="Q1217" i="4"/>
  <c r="Q1210" i="4"/>
  <c r="Q1199" i="4"/>
  <c r="Q1197" i="4"/>
  <c r="Q1191" i="4"/>
  <c r="Q1190" i="4"/>
  <c r="Q1160" i="4"/>
  <c r="Q1158" i="4"/>
  <c r="Q1152" i="4"/>
  <c r="Q1151" i="4"/>
  <c r="Q1124" i="4"/>
  <c r="Q1122" i="4"/>
  <c r="Q1116" i="4"/>
  <c r="Q1115" i="4"/>
  <c r="Q1098" i="4"/>
  <c r="Q1091" i="4"/>
  <c r="Q1090" i="4"/>
  <c r="Q1025" i="4"/>
  <c r="Q1024" i="4"/>
  <c r="Q1023" i="4"/>
  <c r="Q1022" i="4"/>
  <c r="Q1007" i="4"/>
  <c r="Q991" i="4"/>
  <c r="Q990" i="4"/>
  <c r="Q989" i="4"/>
  <c r="Q955" i="4"/>
  <c r="Q954" i="4"/>
  <c r="Q953" i="4"/>
  <c r="Q952" i="4"/>
  <c r="Q942" i="4"/>
  <c r="Q917" i="4"/>
  <c r="Q914" i="4"/>
  <c r="Q905" i="4"/>
  <c r="Q901" i="4"/>
  <c r="Q900" i="4"/>
  <c r="Q899" i="4"/>
  <c r="Q898" i="4"/>
  <c r="Q873" i="4"/>
  <c r="Q872" i="4"/>
  <c r="Q871" i="4"/>
  <c r="Q870" i="4"/>
  <c r="Q863" i="4"/>
  <c r="Q832" i="4"/>
  <c r="Q831" i="4"/>
  <c r="Q815" i="4"/>
  <c r="Q814" i="4"/>
  <c r="Q813" i="4"/>
  <c r="Q812" i="4"/>
  <c r="Q780" i="4"/>
  <c r="Q779" i="4"/>
  <c r="Q778" i="4"/>
  <c r="Q777" i="4"/>
  <c r="Q755" i="4"/>
  <c r="Q751" i="4"/>
  <c r="Q750" i="4"/>
  <c r="Q736" i="4"/>
  <c r="Q735" i="4"/>
  <c r="Q716" i="4"/>
  <c r="Q715" i="4"/>
  <c r="Q689" i="4"/>
  <c r="Q654" i="4"/>
  <c r="Q653" i="4"/>
  <c r="Q635" i="4"/>
  <c r="Q634" i="4"/>
  <c r="Q631" i="4"/>
  <c r="Q612" i="4"/>
  <c r="Q611" i="4"/>
  <c r="Q569" i="4"/>
  <c r="Q568" i="4"/>
  <c r="Q534" i="4"/>
  <c r="Q533" i="4"/>
  <c r="Q502" i="4"/>
  <c r="Q501" i="4"/>
  <c r="Q486" i="4"/>
  <c r="Q470" i="4"/>
  <c r="Q469" i="4"/>
  <c r="Q436" i="4"/>
  <c r="Q433" i="4"/>
  <c r="Q416" i="4"/>
  <c r="Q400" i="4"/>
  <c r="Q383" i="4"/>
  <c r="Q362" i="4"/>
  <c r="Q361" i="4"/>
  <c r="Q360" i="4"/>
  <c r="Q339" i="4"/>
  <c r="Q337" i="4"/>
  <c r="Q308" i="4"/>
  <c r="Q307" i="4"/>
  <c r="Q304" i="4"/>
  <c r="Q283" i="4"/>
  <c r="Q274" i="4"/>
  <c r="Q273" i="4"/>
  <c r="Q229" i="4"/>
  <c r="Q228" i="4"/>
  <c r="Q216" i="4"/>
  <c r="Q215" i="4"/>
  <c r="Q201" i="4"/>
  <c r="Q197" i="4"/>
  <c r="Q179" i="4"/>
  <c r="Q124" i="4"/>
  <c r="Q122" i="4"/>
  <c r="Q93" i="4"/>
  <c r="Q71" i="4"/>
  <c r="Q67" i="4"/>
  <c r="Q37" i="4"/>
  <c r="Q24" i="4"/>
  <c r="Q22" i="4"/>
  <c r="L35" i="3"/>
  <c r="G33" i="6"/>
  <c r="N437" i="4"/>
  <c r="N434" i="4"/>
  <c r="N338" i="4"/>
  <c r="N202" i="4"/>
  <c r="N198" i="4"/>
  <c r="N125" i="4"/>
  <c r="N123" i="4"/>
  <c r="N72" i="4"/>
  <c r="N68" i="4"/>
  <c r="N25" i="4"/>
  <c r="N23" i="4"/>
  <c r="K36" i="3"/>
  <c r="M36" i="3" s="1"/>
  <c r="N36" i="3" s="1"/>
  <c r="H33" i="6"/>
  <c r="O437" i="4"/>
  <c r="O434" i="4"/>
  <c r="O338" i="4"/>
  <c r="O202" i="4"/>
  <c r="O198" i="4"/>
  <c r="O125" i="4"/>
  <c r="O123" i="4"/>
  <c r="O72" i="4"/>
  <c r="O68" i="4"/>
  <c r="O25" i="4"/>
  <c r="O23" i="4"/>
  <c r="I33" i="6"/>
  <c r="Q437" i="4"/>
  <c r="Q434" i="4"/>
  <c r="Q338" i="4"/>
  <c r="Q202" i="4"/>
  <c r="Q198" i="4"/>
  <c r="Q125" i="4"/>
  <c r="Q123" i="4"/>
  <c r="Q72" i="4"/>
  <c r="Q68" i="4"/>
  <c r="Q25" i="4"/>
  <c r="Q23" i="4"/>
  <c r="L36" i="3"/>
  <c r="G34" i="6"/>
  <c r="N1345" i="4"/>
  <c r="N1211" i="4"/>
  <c r="N1093" i="4"/>
  <c r="N687" i="4"/>
  <c r="N225" i="4"/>
  <c r="K37" i="3"/>
  <c r="M37" i="3" s="1"/>
  <c r="N37" i="3" s="1"/>
  <c r="H34" i="6"/>
  <c r="O1345" i="4"/>
  <c r="O1211" i="4"/>
  <c r="O1093" i="4"/>
  <c r="O687" i="4"/>
  <c r="O225" i="4"/>
  <c r="I34" i="6"/>
  <c r="Q1345" i="4"/>
  <c r="Q1211" i="4"/>
  <c r="Q1093" i="4"/>
  <c r="Q687" i="4"/>
  <c r="Q225" i="4"/>
  <c r="L37" i="3"/>
  <c r="G35" i="6"/>
  <c r="N1437" i="4"/>
  <c r="N1436" i="4"/>
  <c r="N1429" i="4"/>
  <c r="N1427" i="4"/>
  <c r="N1385" i="4"/>
  <c r="N1379" i="4"/>
  <c r="N1375" i="4"/>
  <c r="N1373" i="4"/>
  <c r="N1367" i="4"/>
  <c r="N1365" i="4"/>
  <c r="N1363" i="4"/>
  <c r="N1355" i="4"/>
  <c r="N1350" i="4"/>
  <c r="N1339" i="4"/>
  <c r="N1332" i="4"/>
  <c r="N1315" i="4"/>
  <c r="N1311" i="4"/>
  <c r="N1285" i="4"/>
  <c r="N1277" i="4"/>
  <c r="N1274" i="4"/>
  <c r="N1267" i="4"/>
  <c r="N1258" i="4"/>
  <c r="N1245" i="4"/>
  <c r="N1244" i="4"/>
  <c r="N1208" i="4"/>
  <c r="N1166" i="4"/>
  <c r="N1165" i="4"/>
  <c r="N1164" i="4"/>
  <c r="N1163" i="4"/>
  <c r="N1162" i="4"/>
  <c r="N1161" i="4"/>
  <c r="N1130" i="4"/>
  <c r="N1129" i="4"/>
  <c r="N1128" i="4"/>
  <c r="N1127" i="4"/>
  <c r="N1126" i="4"/>
  <c r="N1125" i="4"/>
  <c r="N1105" i="4"/>
  <c r="N1104" i="4"/>
  <c r="N1087" i="4"/>
  <c r="N1086" i="4"/>
  <c r="N1073" i="4"/>
  <c r="N1072" i="4"/>
  <c r="N1071" i="4"/>
  <c r="N1070" i="4"/>
  <c r="N1069" i="4"/>
  <c r="N1068" i="4"/>
  <c r="N1042" i="4"/>
  <c r="N1040" i="4"/>
  <c r="N1032" i="4"/>
  <c r="N1031" i="4"/>
  <c r="N1028" i="4"/>
  <c r="N1027" i="4"/>
  <c r="N1018" i="4"/>
  <c r="N1013" i="4"/>
  <c r="N1009" i="4"/>
  <c r="N1003" i="4"/>
  <c r="N1001" i="4"/>
  <c r="N996" i="4"/>
  <c r="N992" i="4"/>
  <c r="N985" i="4"/>
  <c r="N984" i="4"/>
  <c r="N982" i="4"/>
  <c r="N976" i="4"/>
  <c r="N967" i="4"/>
  <c r="N966" i="4"/>
  <c r="N959" i="4"/>
  <c r="N918" i="4"/>
  <c r="N894" i="4"/>
  <c r="N891" i="4"/>
  <c r="N890" i="4"/>
  <c r="N889" i="4"/>
  <c r="N888" i="4"/>
  <c r="N887" i="4"/>
  <c r="N876" i="4"/>
  <c r="N864" i="4"/>
  <c r="N816" i="4"/>
  <c r="N804" i="4"/>
  <c r="N801" i="4"/>
  <c r="N800" i="4"/>
  <c r="N799" i="4"/>
  <c r="N776" i="4"/>
  <c r="N775" i="4"/>
  <c r="N768" i="4"/>
  <c r="N759" i="4"/>
  <c r="N746" i="4"/>
  <c r="N731" i="4"/>
  <c r="N718" i="4"/>
  <c r="N708" i="4"/>
  <c r="N703" i="4"/>
  <c r="N697" i="4"/>
  <c r="N693" i="4"/>
  <c r="N690" i="4"/>
  <c r="N664" i="4"/>
  <c r="N645" i="4"/>
  <c r="N636" i="4"/>
  <c r="N597" i="4"/>
  <c r="N596" i="4"/>
  <c r="N595" i="4"/>
  <c r="N594" i="4"/>
  <c r="N593" i="4"/>
  <c r="N589" i="4"/>
  <c r="N586" i="4"/>
  <c r="N575" i="4"/>
  <c r="N564" i="4"/>
  <c r="N538" i="4"/>
  <c r="N513" i="4"/>
  <c r="N493" i="4"/>
  <c r="N460" i="4"/>
  <c r="N457" i="4"/>
  <c r="N455" i="4"/>
  <c r="N454" i="4"/>
  <c r="N443" i="4"/>
  <c r="N432" i="4"/>
  <c r="N429" i="4"/>
  <c r="N398" i="4"/>
  <c r="N397" i="4"/>
  <c r="N396" i="4"/>
  <c r="N381" i="4"/>
  <c r="N376" i="4"/>
  <c r="N348" i="4"/>
  <c r="N347" i="4"/>
  <c r="N319" i="4"/>
  <c r="N297" i="4"/>
  <c r="N258" i="4"/>
  <c r="N257" i="4"/>
  <c r="N256" i="4"/>
  <c r="N255" i="4"/>
  <c r="N254" i="4"/>
  <c r="N242" i="4"/>
  <c r="N241" i="4"/>
  <c r="N239" i="4"/>
  <c r="N237" i="4"/>
  <c r="N235" i="4"/>
  <c r="N234" i="4"/>
  <c r="N232" i="4"/>
  <c r="N231" i="4"/>
  <c r="N230" i="4"/>
  <c r="N214" i="4"/>
  <c r="N183" i="4"/>
  <c r="N117" i="4"/>
  <c r="N96" i="4"/>
  <c r="N85" i="4"/>
  <c r="N60" i="4"/>
  <c r="N47" i="4"/>
  <c r="N31" i="4"/>
  <c r="N19" i="4"/>
  <c r="K38" i="3"/>
  <c r="M38" i="3" s="1"/>
  <c r="N38" i="3" s="1"/>
  <c r="H35" i="6"/>
  <c r="O1437" i="4"/>
  <c r="O1436" i="4"/>
  <c r="O1429" i="4"/>
  <c r="O1427" i="4"/>
  <c r="O1385" i="4"/>
  <c r="O1379" i="4"/>
  <c r="O1375" i="4"/>
  <c r="O1373" i="4"/>
  <c r="O1367" i="4"/>
  <c r="O1365" i="4"/>
  <c r="O1363" i="4"/>
  <c r="O1355" i="4"/>
  <c r="O1350" i="4"/>
  <c r="O1339" i="4"/>
  <c r="O1332" i="4"/>
  <c r="O1315" i="4"/>
  <c r="O1311" i="4"/>
  <c r="O1285" i="4"/>
  <c r="O1277" i="4"/>
  <c r="O1274" i="4"/>
  <c r="O1267" i="4"/>
  <c r="O1258" i="4"/>
  <c r="O1245" i="4"/>
  <c r="O1244" i="4"/>
  <c r="O1208" i="4"/>
  <c r="O1166" i="4"/>
  <c r="O1165" i="4"/>
  <c r="O1164" i="4"/>
  <c r="O1163" i="4"/>
  <c r="O1162" i="4"/>
  <c r="O1161" i="4"/>
  <c r="O1130" i="4"/>
  <c r="O1129" i="4"/>
  <c r="O1128" i="4"/>
  <c r="O1127" i="4"/>
  <c r="O1126" i="4"/>
  <c r="O1125" i="4"/>
  <c r="O1105" i="4"/>
  <c r="O1104" i="4"/>
  <c r="O1087" i="4"/>
  <c r="O1086" i="4"/>
  <c r="O1073" i="4"/>
  <c r="O1072" i="4"/>
  <c r="O1071" i="4"/>
  <c r="O1070" i="4"/>
  <c r="O1069" i="4"/>
  <c r="O1068" i="4"/>
  <c r="O1042" i="4"/>
  <c r="O1040" i="4"/>
  <c r="O1032" i="4"/>
  <c r="O1031" i="4"/>
  <c r="O1028" i="4"/>
  <c r="O1027" i="4"/>
  <c r="O1018" i="4"/>
  <c r="O1013" i="4"/>
  <c r="O1009" i="4"/>
  <c r="O1003" i="4"/>
  <c r="O1001" i="4"/>
  <c r="O996" i="4"/>
  <c r="O992" i="4"/>
  <c r="O985" i="4"/>
  <c r="O984" i="4"/>
  <c r="O982" i="4"/>
  <c r="O976" i="4"/>
  <c r="O967" i="4"/>
  <c r="O966" i="4"/>
  <c r="O959" i="4"/>
  <c r="O918" i="4"/>
  <c r="O894" i="4"/>
  <c r="O891" i="4"/>
  <c r="O890" i="4"/>
  <c r="O889" i="4"/>
  <c r="O888" i="4"/>
  <c r="O887" i="4"/>
  <c r="O876" i="4"/>
  <c r="O864" i="4"/>
  <c r="O816" i="4"/>
  <c r="O804" i="4"/>
  <c r="O801" i="4"/>
  <c r="O800" i="4"/>
  <c r="O799" i="4"/>
  <c r="O776" i="4"/>
  <c r="O775" i="4"/>
  <c r="O768" i="4"/>
  <c r="O759" i="4"/>
  <c r="O746" i="4"/>
  <c r="O731" i="4"/>
  <c r="O718" i="4"/>
  <c r="O708" i="4"/>
  <c r="O703" i="4"/>
  <c r="O697" i="4"/>
  <c r="O693" i="4"/>
  <c r="O690" i="4"/>
  <c r="O664" i="4"/>
  <c r="O645" i="4"/>
  <c r="O636" i="4"/>
  <c r="O597" i="4"/>
  <c r="O596" i="4"/>
  <c r="O595" i="4"/>
  <c r="O594" i="4"/>
  <c r="O593" i="4"/>
  <c r="O589" i="4"/>
  <c r="O586" i="4"/>
  <c r="O575" i="4"/>
  <c r="O564" i="4"/>
  <c r="O538" i="4"/>
  <c r="O513" i="4"/>
  <c r="O493" i="4"/>
  <c r="O460" i="4"/>
  <c r="O457" i="4"/>
  <c r="O455" i="4"/>
  <c r="O454" i="4"/>
  <c r="O443" i="4"/>
  <c r="O432" i="4"/>
  <c r="O429" i="4"/>
  <c r="O398" i="4"/>
  <c r="O397" i="4"/>
  <c r="O396" i="4"/>
  <c r="O381" i="4"/>
  <c r="O376" i="4"/>
  <c r="O348" i="4"/>
  <c r="O347" i="4"/>
  <c r="O319" i="4"/>
  <c r="O297" i="4"/>
  <c r="O258" i="4"/>
  <c r="O257" i="4"/>
  <c r="O256" i="4"/>
  <c r="O255" i="4"/>
  <c r="O254" i="4"/>
  <c r="O242" i="4"/>
  <c r="O241" i="4"/>
  <c r="O239" i="4"/>
  <c r="O237" i="4"/>
  <c r="O235" i="4"/>
  <c r="O234" i="4"/>
  <c r="O232" i="4"/>
  <c r="O231" i="4"/>
  <c r="O230" i="4"/>
  <c r="O214" i="4"/>
  <c r="O183" i="4"/>
  <c r="O117" i="4"/>
  <c r="O96" i="4"/>
  <c r="O85" i="4"/>
  <c r="O60" i="4"/>
  <c r="O47" i="4"/>
  <c r="O31" i="4"/>
  <c r="O19" i="4"/>
  <c r="I35" i="6"/>
  <c r="Q1437" i="4"/>
  <c r="Q1436" i="4"/>
  <c r="Q1429" i="4"/>
  <c r="Q1427" i="4"/>
  <c r="Q1385" i="4"/>
  <c r="Q1379" i="4"/>
  <c r="Q1375" i="4"/>
  <c r="Q1373" i="4"/>
  <c r="Q1367" i="4"/>
  <c r="Q1365" i="4"/>
  <c r="Q1363" i="4"/>
  <c r="Q1355" i="4"/>
  <c r="Q1350" i="4"/>
  <c r="Q1339" i="4"/>
  <c r="Q1332" i="4"/>
  <c r="Q1315" i="4"/>
  <c r="Q1311" i="4"/>
  <c r="Q1285" i="4"/>
  <c r="Q1277" i="4"/>
  <c r="Q1274" i="4"/>
  <c r="Q1267" i="4"/>
  <c r="Q1258" i="4"/>
  <c r="Q1245" i="4"/>
  <c r="Q1244" i="4"/>
  <c r="Q1208" i="4"/>
  <c r="Q1166" i="4"/>
  <c r="Q1165" i="4"/>
  <c r="Q1164" i="4"/>
  <c r="Q1163" i="4"/>
  <c r="Q1162" i="4"/>
  <c r="Q1161" i="4"/>
  <c r="Q1130" i="4"/>
  <c r="Q1129" i="4"/>
  <c r="Q1128" i="4"/>
  <c r="Q1127" i="4"/>
  <c r="Q1126" i="4"/>
  <c r="Q1125" i="4"/>
  <c r="Q1105" i="4"/>
  <c r="Q1104" i="4"/>
  <c r="Q1087" i="4"/>
  <c r="Q1086" i="4"/>
  <c r="Q1073" i="4"/>
  <c r="Q1072" i="4"/>
  <c r="Q1071" i="4"/>
  <c r="Q1070" i="4"/>
  <c r="Q1069" i="4"/>
  <c r="Q1068" i="4"/>
  <c r="Q1042" i="4"/>
  <c r="Q1040" i="4"/>
  <c r="Q1032" i="4"/>
  <c r="Q1031" i="4"/>
  <c r="Q1028" i="4"/>
  <c r="Q1027" i="4"/>
  <c r="Q1018" i="4"/>
  <c r="Q1013" i="4"/>
  <c r="Q1009" i="4"/>
  <c r="Q1003" i="4"/>
  <c r="Q1001" i="4"/>
  <c r="Q996" i="4"/>
  <c r="Q992" i="4"/>
  <c r="Q985" i="4"/>
  <c r="Q984" i="4"/>
  <c r="Q982" i="4"/>
  <c r="Q976" i="4"/>
  <c r="Q967" i="4"/>
  <c r="Q966" i="4"/>
  <c r="Q959" i="4"/>
  <c r="Q918" i="4"/>
  <c r="Q894" i="4"/>
  <c r="Q891" i="4"/>
  <c r="Q890" i="4"/>
  <c r="Q889" i="4"/>
  <c r="Q888" i="4"/>
  <c r="Q887" i="4"/>
  <c r="Q876" i="4"/>
  <c r="Q864" i="4"/>
  <c r="Q816" i="4"/>
  <c r="Q804" i="4"/>
  <c r="Q801" i="4"/>
  <c r="Q800" i="4"/>
  <c r="Q799" i="4"/>
  <c r="Q776" i="4"/>
  <c r="Q775" i="4"/>
  <c r="Q768" i="4"/>
  <c r="Q759" i="4"/>
  <c r="Q746" i="4"/>
  <c r="Q731" i="4"/>
  <c r="Q718" i="4"/>
  <c r="Q708" i="4"/>
  <c r="Q703" i="4"/>
  <c r="Q697" i="4"/>
  <c r="Q693" i="4"/>
  <c r="Q690" i="4"/>
  <c r="Q664" i="4"/>
  <c r="Q645" i="4"/>
  <c r="Q636" i="4"/>
  <c r="Q597" i="4"/>
  <c r="Q596" i="4"/>
  <c r="Q595" i="4"/>
  <c r="Q594" i="4"/>
  <c r="Q593" i="4"/>
  <c r="Q589" i="4"/>
  <c r="Q586" i="4"/>
  <c r="Q575" i="4"/>
  <c r="Q564" i="4"/>
  <c r="Q538" i="4"/>
  <c r="Q513" i="4"/>
  <c r="Q493" i="4"/>
  <c r="Q460" i="4"/>
  <c r="Q457" i="4"/>
  <c r="Q455" i="4"/>
  <c r="Q454" i="4"/>
  <c r="Q443" i="4"/>
  <c r="Q432" i="4"/>
  <c r="Q429" i="4"/>
  <c r="Q398" i="4"/>
  <c r="Q397" i="4"/>
  <c r="Q396" i="4"/>
  <c r="Q381" i="4"/>
  <c r="Q376" i="4"/>
  <c r="Q348" i="4"/>
  <c r="Q347" i="4"/>
  <c r="Q319" i="4"/>
  <c r="Q297" i="4"/>
  <c r="Q258" i="4"/>
  <c r="Q257" i="4"/>
  <c r="Q256" i="4"/>
  <c r="Q255" i="4"/>
  <c r="Q254" i="4"/>
  <c r="Q242" i="4"/>
  <c r="Q241" i="4"/>
  <c r="Q239" i="4"/>
  <c r="Q237" i="4"/>
  <c r="Q235" i="4"/>
  <c r="Q234" i="4"/>
  <c r="Q232" i="4"/>
  <c r="Q231" i="4"/>
  <c r="Q230" i="4"/>
  <c r="Q214" i="4"/>
  <c r="Q183" i="4"/>
  <c r="Q117" i="4"/>
  <c r="Q96" i="4"/>
  <c r="Q85" i="4"/>
  <c r="Q60" i="4"/>
  <c r="Q47" i="4"/>
  <c r="Q31" i="4"/>
  <c r="Q19" i="4"/>
  <c r="L38" i="3"/>
  <c r="G36" i="6"/>
  <c r="N1289" i="4"/>
  <c r="N1216" i="4"/>
  <c r="N1085" i="4"/>
  <c r="N1067" i="4"/>
  <c r="N1043" i="4"/>
  <c r="N1041" i="4"/>
  <c r="N1000" i="4"/>
  <c r="N797" i="4"/>
  <c r="N702" i="4"/>
  <c r="N425" i="4"/>
  <c r="N210" i="4"/>
  <c r="N79" i="4"/>
  <c r="K39" i="3"/>
  <c r="M39" i="3" s="1"/>
  <c r="N39" i="3" s="1"/>
  <c r="H36" i="6"/>
  <c r="O1289" i="4"/>
  <c r="O1216" i="4"/>
  <c r="O1085" i="4"/>
  <c r="O1067" i="4"/>
  <c r="O1043" i="4"/>
  <c r="O1041" i="4"/>
  <c r="O1000" i="4"/>
  <c r="O797" i="4"/>
  <c r="O702" i="4"/>
  <c r="O425" i="4"/>
  <c r="O210" i="4"/>
  <c r="O79" i="4"/>
  <c r="I36" i="6"/>
  <c r="Q1289" i="4"/>
  <c r="Q1216" i="4"/>
  <c r="Q1085" i="4"/>
  <c r="Q1067" i="4"/>
  <c r="Q1043" i="4"/>
  <c r="Q1041" i="4"/>
  <c r="Q1000" i="4"/>
  <c r="Q797" i="4"/>
  <c r="Q702" i="4"/>
  <c r="Q425" i="4"/>
  <c r="Q210" i="4"/>
  <c r="Q79" i="4"/>
  <c r="L39" i="3"/>
  <c r="G37" i="6"/>
  <c r="N1282" i="4"/>
  <c r="N1260" i="4"/>
  <c r="N1246" i="4"/>
  <c r="N1203" i="4"/>
  <c r="N798" i="4"/>
  <c r="K40" i="3"/>
  <c r="M40" i="3" s="1"/>
  <c r="N40" i="3" s="1"/>
  <c r="H37" i="6"/>
  <c r="O1282" i="4"/>
  <c r="O1260" i="4"/>
  <c r="O1246" i="4"/>
  <c r="O1203" i="4"/>
  <c r="O798" i="4"/>
  <c r="I37" i="6"/>
  <c r="Q1282" i="4"/>
  <c r="Q1260" i="4"/>
  <c r="Q1246" i="4"/>
  <c r="Q1203" i="4"/>
  <c r="Q798" i="4"/>
  <c r="L40" i="3"/>
  <c r="G38" i="6"/>
  <c r="N1405" i="4"/>
  <c r="N1066" i="4"/>
  <c r="N825" i="4"/>
  <c r="N734" i="4"/>
  <c r="N704" i="4"/>
  <c r="N240" i="4"/>
  <c r="N118" i="4"/>
  <c r="N21" i="4"/>
  <c r="N20" i="4"/>
  <c r="K41" i="3"/>
  <c r="M41" i="3" s="1"/>
  <c r="N41" i="3" s="1"/>
  <c r="H38" i="6"/>
  <c r="O1405" i="4"/>
  <c r="O1066" i="4"/>
  <c r="O825" i="4"/>
  <c r="O734" i="4"/>
  <c r="O704" i="4"/>
  <c r="O240" i="4"/>
  <c r="O118" i="4"/>
  <c r="O21" i="4"/>
  <c r="O20" i="4"/>
  <c r="I38" i="6"/>
  <c r="Q1405" i="4"/>
  <c r="Q1066" i="4"/>
  <c r="Q825" i="4"/>
  <c r="Q734" i="4"/>
  <c r="Q704" i="4"/>
  <c r="Q240" i="4"/>
  <c r="Q118" i="4"/>
  <c r="Q21" i="4"/>
  <c r="Q20" i="4"/>
  <c r="L41" i="3"/>
  <c r="G39" i="6"/>
  <c r="N1297" i="4"/>
  <c r="N1241" i="4"/>
  <c r="N1118" i="4"/>
  <c r="N911" i="4"/>
  <c r="N807" i="4"/>
  <c r="N725" i="4"/>
  <c r="N244" i="4"/>
  <c r="N196" i="4"/>
  <c r="N147" i="4"/>
  <c r="N38" i="4"/>
  <c r="K42" i="3"/>
  <c r="M42" i="3" s="1"/>
  <c r="N42" i="3" s="1"/>
  <c r="H39" i="6"/>
  <c r="O1297" i="4"/>
  <c r="O1241" i="4"/>
  <c r="O1118" i="4"/>
  <c r="O911" i="4"/>
  <c r="O807" i="4"/>
  <c r="O725" i="4"/>
  <c r="O244" i="4"/>
  <c r="O196" i="4"/>
  <c r="O147" i="4"/>
  <c r="O38" i="4"/>
  <c r="I39" i="6"/>
  <c r="Q1297" i="4"/>
  <c r="Q1241" i="4"/>
  <c r="Q1118" i="4"/>
  <c r="Q911" i="4"/>
  <c r="Q807" i="4"/>
  <c r="Q725" i="4"/>
  <c r="Q244" i="4"/>
  <c r="Q196" i="4"/>
  <c r="Q147" i="4"/>
  <c r="Q38" i="4"/>
  <c r="L42" i="3"/>
  <c r="G40" i="6"/>
  <c r="N1153" i="4"/>
  <c r="N1083" i="4"/>
  <c r="K43" i="3"/>
  <c r="M43" i="3" s="1"/>
  <c r="N43" i="3" s="1"/>
  <c r="H40" i="6"/>
  <c r="O1153" i="4"/>
  <c r="O1083" i="4"/>
  <c r="I40" i="6"/>
  <c r="Q1153" i="4"/>
  <c r="Q1083" i="4"/>
  <c r="L43" i="3"/>
  <c r="G41" i="6"/>
  <c r="N1304" i="4"/>
  <c r="N711" i="4"/>
  <c r="N623" i="4"/>
  <c r="K44" i="3"/>
  <c r="M44" i="3" s="1"/>
  <c r="N44" i="3" s="1"/>
  <c r="H41" i="6"/>
  <c r="O1304" i="4"/>
  <c r="O711" i="4"/>
  <c r="O623" i="4"/>
  <c r="I41" i="6"/>
  <c r="Q1304" i="4"/>
  <c r="Q711" i="4"/>
  <c r="Q623" i="4"/>
  <c r="L44" i="3"/>
  <c r="G42" i="6"/>
  <c r="N1446" i="4"/>
  <c r="N1445" i="4"/>
  <c r="N1438" i="4"/>
  <c r="N1430" i="4"/>
  <c r="N1377" i="4"/>
  <c r="N1359" i="4"/>
  <c r="N1358" i="4"/>
  <c r="N1354" i="4"/>
  <c r="N1338" i="4"/>
  <c r="N1330" i="4"/>
  <c r="N1322" i="4"/>
  <c r="N1312" i="4"/>
  <c r="N1301" i="4"/>
  <c r="N1284" i="4"/>
  <c r="N1279" i="4"/>
  <c r="N1259" i="4"/>
  <c r="N1257" i="4"/>
  <c r="N1224" i="4"/>
  <c r="N1219" i="4"/>
  <c r="N975" i="4"/>
  <c r="N973" i="4"/>
  <c r="N965" i="4"/>
  <c r="N964" i="4"/>
  <c r="N963" i="4"/>
  <c r="N893" i="4"/>
  <c r="N892" i="4"/>
  <c r="N806" i="4"/>
  <c r="N805" i="4"/>
  <c r="N794" i="4"/>
  <c r="N753" i="4"/>
  <c r="N745" i="4"/>
  <c r="N699" i="4"/>
  <c r="N662" i="4"/>
  <c r="N643" i="4"/>
  <c r="N606" i="4"/>
  <c r="N591" i="4"/>
  <c r="N590" i="4"/>
  <c r="N585" i="4"/>
  <c r="N565" i="4"/>
  <c r="N536" i="4"/>
  <c r="N511" i="4"/>
  <c r="N491" i="4"/>
  <c r="N490" i="4"/>
  <c r="N453" i="4"/>
  <c r="N452" i="4"/>
  <c r="N451" i="4"/>
  <c r="N450" i="4"/>
  <c r="N430" i="4"/>
  <c r="N399" i="4"/>
  <c r="N345" i="4"/>
  <c r="N317" i="4"/>
  <c r="N295" i="4"/>
  <c r="N294" i="4"/>
  <c r="N253" i="4"/>
  <c r="N252" i="4"/>
  <c r="N250" i="4"/>
  <c r="N248" i="4"/>
  <c r="N233" i="4"/>
  <c r="N223" i="4"/>
  <c r="N146" i="4"/>
  <c r="N113" i="4"/>
  <c r="N82" i="4"/>
  <c r="N57" i="4"/>
  <c r="N44" i="4"/>
  <c r="N13" i="4"/>
  <c r="N12" i="4"/>
  <c r="K45" i="3"/>
  <c r="M45" i="3" s="1"/>
  <c r="N45" i="3" s="1"/>
  <c r="H42" i="6"/>
  <c r="O1446" i="4"/>
  <c r="O1445" i="4"/>
  <c r="O1438" i="4"/>
  <c r="O1430" i="4"/>
  <c r="O1377" i="4"/>
  <c r="O1359" i="4"/>
  <c r="O1358" i="4"/>
  <c r="O1354" i="4"/>
  <c r="O1338" i="4"/>
  <c r="O1330" i="4"/>
  <c r="O1322" i="4"/>
  <c r="O1312" i="4"/>
  <c r="O1301" i="4"/>
  <c r="O1284" i="4"/>
  <c r="O1279" i="4"/>
  <c r="O1259" i="4"/>
  <c r="O1257" i="4"/>
  <c r="O1224" i="4"/>
  <c r="O1219" i="4"/>
  <c r="O975" i="4"/>
  <c r="O973" i="4"/>
  <c r="O965" i="4"/>
  <c r="O964" i="4"/>
  <c r="O963" i="4"/>
  <c r="O893" i="4"/>
  <c r="O892" i="4"/>
  <c r="O806" i="4"/>
  <c r="O805" i="4"/>
  <c r="O794" i="4"/>
  <c r="O753" i="4"/>
  <c r="O745" i="4"/>
  <c r="O699" i="4"/>
  <c r="O662" i="4"/>
  <c r="O643" i="4"/>
  <c r="O606" i="4"/>
  <c r="O591" i="4"/>
  <c r="O590" i="4"/>
  <c r="O585" i="4"/>
  <c r="O565" i="4"/>
  <c r="O536" i="4"/>
  <c r="O511" i="4"/>
  <c r="O491" i="4"/>
  <c r="O490" i="4"/>
  <c r="O453" i="4"/>
  <c r="O452" i="4"/>
  <c r="O451" i="4"/>
  <c r="O450" i="4"/>
  <c r="O430" i="4"/>
  <c r="O399" i="4"/>
  <c r="O345" i="4"/>
  <c r="O317" i="4"/>
  <c r="O295" i="4"/>
  <c r="O294" i="4"/>
  <c r="O253" i="4"/>
  <c r="O252" i="4"/>
  <c r="O250" i="4"/>
  <c r="O248" i="4"/>
  <c r="O233" i="4"/>
  <c r="O223" i="4"/>
  <c r="O146" i="4"/>
  <c r="O113" i="4"/>
  <c r="O82" i="4"/>
  <c r="O57" i="4"/>
  <c r="O44" i="4"/>
  <c r="O13" i="4"/>
  <c r="O12" i="4"/>
  <c r="I42" i="6"/>
  <c r="Q1446" i="4"/>
  <c r="Q1445" i="4"/>
  <c r="Q1438" i="4"/>
  <c r="Q1430" i="4"/>
  <c r="Q1377" i="4"/>
  <c r="Q1359" i="4"/>
  <c r="Q1358" i="4"/>
  <c r="Q1354" i="4"/>
  <c r="Q1338" i="4"/>
  <c r="Q1330" i="4"/>
  <c r="Q1322" i="4"/>
  <c r="Q1312" i="4"/>
  <c r="Q1301" i="4"/>
  <c r="Q1284" i="4"/>
  <c r="Q1279" i="4"/>
  <c r="Q1259" i="4"/>
  <c r="Q1257" i="4"/>
  <c r="Q1224" i="4"/>
  <c r="Q1219" i="4"/>
  <c r="Q975" i="4"/>
  <c r="Q973" i="4"/>
  <c r="Q965" i="4"/>
  <c r="Q964" i="4"/>
  <c r="Q963" i="4"/>
  <c r="Q893" i="4"/>
  <c r="Q892" i="4"/>
  <c r="Q806" i="4"/>
  <c r="Q805" i="4"/>
  <c r="Q794" i="4"/>
  <c r="Q753" i="4"/>
  <c r="Q745" i="4"/>
  <c r="Q699" i="4"/>
  <c r="Q662" i="4"/>
  <c r="Q643" i="4"/>
  <c r="Q606" i="4"/>
  <c r="Q591" i="4"/>
  <c r="Q590" i="4"/>
  <c r="Q585" i="4"/>
  <c r="Q565" i="4"/>
  <c r="Q536" i="4"/>
  <c r="Q511" i="4"/>
  <c r="Q491" i="4"/>
  <c r="Q490" i="4"/>
  <c r="Q453" i="4"/>
  <c r="Q452" i="4"/>
  <c r="Q451" i="4"/>
  <c r="Q450" i="4"/>
  <c r="Q430" i="4"/>
  <c r="Q399" i="4"/>
  <c r="Q345" i="4"/>
  <c r="Q317" i="4"/>
  <c r="Q295" i="4"/>
  <c r="Q294" i="4"/>
  <c r="Q253" i="4"/>
  <c r="Q252" i="4"/>
  <c r="Q250" i="4"/>
  <c r="Q248" i="4"/>
  <c r="Q233" i="4"/>
  <c r="Q223" i="4"/>
  <c r="Q146" i="4"/>
  <c r="Q113" i="4"/>
  <c r="Q82" i="4"/>
  <c r="Q57" i="4"/>
  <c r="Q44" i="4"/>
  <c r="Q13" i="4"/>
  <c r="Q12" i="4"/>
  <c r="L45" i="3"/>
  <c r="M49" i="3"/>
  <c r="N49" i="3" s="1"/>
  <c r="L49" i="3"/>
  <c r="G49" i="6"/>
  <c r="N15" i="5"/>
  <c r="N14" i="5"/>
  <c r="N13" i="5"/>
  <c r="N12" i="5"/>
  <c r="N11" i="5"/>
  <c r="N10" i="5"/>
  <c r="N9" i="5"/>
  <c r="N8" i="5"/>
  <c r="N7" i="5"/>
  <c r="N6" i="5"/>
  <c r="K56" i="3"/>
  <c r="H49" i="6"/>
  <c r="O15" i="5"/>
  <c r="O14" i="5"/>
  <c r="O13" i="5"/>
  <c r="O12" i="5"/>
  <c r="O11" i="5"/>
  <c r="O10" i="5"/>
  <c r="O9" i="5"/>
  <c r="O8" i="5"/>
  <c r="O7" i="5"/>
  <c r="O6" i="5"/>
  <c r="I49" i="6"/>
  <c r="Q15" i="5"/>
  <c r="Q14" i="5"/>
  <c r="Q13" i="5"/>
  <c r="Q12" i="5"/>
  <c r="Q11" i="5"/>
  <c r="Q10" i="5"/>
  <c r="Q9" i="5"/>
  <c r="Q8" i="5"/>
  <c r="Q7" i="5"/>
  <c r="Q6" i="5"/>
  <c r="L56" i="3"/>
  <c r="T5" i="4"/>
  <c r="R140" i="4"/>
  <c r="T140" i="4"/>
  <c r="R142" i="4"/>
  <c r="T142" i="4"/>
  <c r="R144" i="4"/>
  <c r="T144" i="4"/>
  <c r="R151" i="4"/>
  <c r="T151" i="4"/>
  <c r="R153" i="4"/>
  <c r="T153" i="4"/>
  <c r="R156" i="4"/>
  <c r="T156" i="4"/>
  <c r="R159" i="4"/>
  <c r="T159" i="4"/>
  <c r="R186" i="4"/>
  <c r="T186" i="4"/>
  <c r="R189" i="4"/>
  <c r="T189" i="4"/>
  <c r="R191" i="4"/>
  <c r="T191" i="4"/>
  <c r="R193" i="4"/>
  <c r="T193" i="4"/>
  <c r="R368" i="4"/>
  <c r="T368" i="4"/>
  <c r="R370" i="4"/>
  <c r="T370" i="4"/>
  <c r="T793" i="4"/>
  <c r="T1393" i="4"/>
  <c r="R1397" i="4"/>
  <c r="T1397" i="4"/>
  <c r="R1402" i="4"/>
  <c r="T1402" i="4"/>
  <c r="R1406" i="4"/>
  <c r="T1406" i="4"/>
  <c r="R1423" i="4"/>
  <c r="T1423" i="4"/>
  <c r="R1425" i="4"/>
  <c r="T1425" i="4"/>
  <c r="T5" i="5"/>
  <c r="U1425" i="4" l="1"/>
  <c r="V1425" i="4" s="1"/>
  <c r="S1425" i="4"/>
  <c r="U1423" i="4"/>
  <c r="V1423" i="4" s="1"/>
  <c r="S1423" i="4"/>
  <c r="U1406" i="4"/>
  <c r="V1406" i="4" s="1"/>
  <c r="S1406" i="4"/>
  <c r="U1402" i="4"/>
  <c r="V1402" i="4" s="1"/>
  <c r="S1402" i="4"/>
  <c r="U1397" i="4"/>
  <c r="V1397" i="4" s="1"/>
  <c r="S1397" i="4"/>
  <c r="T1447" i="4"/>
  <c r="U370" i="4"/>
  <c r="V370" i="4" s="1"/>
  <c r="S370" i="4"/>
  <c r="U368" i="4"/>
  <c r="V368" i="4" s="1"/>
  <c r="S368" i="4"/>
  <c r="U193" i="4"/>
  <c r="V193" i="4" s="1"/>
  <c r="S193" i="4"/>
  <c r="U191" i="4"/>
  <c r="V191" i="4" s="1"/>
  <c r="S191" i="4"/>
  <c r="U189" i="4"/>
  <c r="V189" i="4" s="1"/>
  <c r="S189" i="4"/>
  <c r="U186" i="4"/>
  <c r="V186" i="4" s="1"/>
  <c r="S186" i="4"/>
  <c r="U159" i="4"/>
  <c r="V159" i="4" s="1"/>
  <c r="S159" i="4"/>
  <c r="U156" i="4"/>
  <c r="V156" i="4" s="1"/>
  <c r="S156" i="4"/>
  <c r="U153" i="4"/>
  <c r="V153" i="4" s="1"/>
  <c r="S153" i="4"/>
  <c r="U151" i="4"/>
  <c r="V151" i="4" s="1"/>
  <c r="S151" i="4"/>
  <c r="U144" i="4"/>
  <c r="V144" i="4" s="1"/>
  <c r="S144" i="4"/>
  <c r="U142" i="4"/>
  <c r="V142" i="4" s="1"/>
  <c r="S142" i="4"/>
  <c r="U140" i="4"/>
  <c r="V140" i="4" s="1"/>
  <c r="S140" i="4"/>
  <c r="K58" i="3"/>
  <c r="M56" i="3"/>
  <c r="R6" i="5"/>
  <c r="R7" i="5"/>
  <c r="R8" i="5"/>
  <c r="R9" i="5"/>
  <c r="R10" i="5"/>
  <c r="R11" i="5"/>
  <c r="R12" i="5"/>
  <c r="R13" i="5"/>
  <c r="R14" i="5"/>
  <c r="R15" i="5"/>
  <c r="R12" i="4"/>
  <c r="R13" i="4"/>
  <c r="R44" i="4"/>
  <c r="R57" i="4"/>
  <c r="R82" i="4"/>
  <c r="R113" i="4"/>
  <c r="R146" i="4"/>
  <c r="R223" i="4"/>
  <c r="R233" i="4"/>
  <c r="R248" i="4"/>
  <c r="R250" i="4"/>
  <c r="R252" i="4"/>
  <c r="R253" i="4"/>
  <c r="R294" i="4"/>
  <c r="R295" i="4"/>
  <c r="R317" i="4"/>
  <c r="R345" i="4"/>
  <c r="R399" i="4"/>
  <c r="R430" i="4"/>
  <c r="R450" i="4"/>
  <c r="R451" i="4"/>
  <c r="R452" i="4"/>
  <c r="R453" i="4"/>
  <c r="R490" i="4"/>
  <c r="R491" i="4"/>
  <c r="R511" i="4"/>
  <c r="R536" i="4"/>
  <c r="R565" i="4"/>
  <c r="R585" i="4"/>
  <c r="R590" i="4"/>
  <c r="R591" i="4"/>
  <c r="R606" i="4"/>
  <c r="R643" i="4"/>
  <c r="R662" i="4"/>
  <c r="R699" i="4"/>
  <c r="R745" i="4"/>
  <c r="R753" i="4"/>
  <c r="R794" i="4"/>
  <c r="R805" i="4"/>
  <c r="R806" i="4"/>
  <c r="R892" i="4"/>
  <c r="R893" i="4"/>
  <c r="R963" i="4"/>
  <c r="R964" i="4"/>
  <c r="R965" i="4"/>
  <c r="R973" i="4"/>
  <c r="R975" i="4"/>
  <c r="R1219" i="4"/>
  <c r="R1224" i="4"/>
  <c r="R1257" i="4"/>
  <c r="R1259" i="4"/>
  <c r="R1279" i="4"/>
  <c r="R1284" i="4"/>
  <c r="R1301" i="4"/>
  <c r="R1312" i="4"/>
  <c r="R1322" i="4"/>
  <c r="R1330" i="4"/>
  <c r="R1338" i="4"/>
  <c r="R1354" i="4"/>
  <c r="R1358" i="4"/>
  <c r="R1359" i="4"/>
  <c r="R1377" i="4"/>
  <c r="R1430" i="4"/>
  <c r="R1438" i="4"/>
  <c r="R1445" i="4"/>
  <c r="R1446" i="4"/>
  <c r="R623" i="4"/>
  <c r="R711" i="4"/>
  <c r="R1304" i="4"/>
  <c r="R1083" i="4"/>
  <c r="R1153" i="4"/>
  <c r="R38" i="4"/>
  <c r="R147" i="4"/>
  <c r="R196" i="4"/>
  <c r="R244" i="4"/>
  <c r="R725" i="4"/>
  <c r="R807" i="4"/>
  <c r="R911" i="4"/>
  <c r="R1118" i="4"/>
  <c r="R1241" i="4"/>
  <c r="R1297" i="4"/>
  <c r="R20" i="4"/>
  <c r="R21" i="4"/>
  <c r="R118" i="4"/>
  <c r="R240" i="4"/>
  <c r="R704" i="4"/>
  <c r="R734" i="4"/>
  <c r="R825" i="4"/>
  <c r="R1066" i="4"/>
  <c r="R1405" i="4"/>
  <c r="R798" i="4"/>
  <c r="R1203" i="4"/>
  <c r="R1246" i="4"/>
  <c r="R1260" i="4"/>
  <c r="R1282" i="4"/>
  <c r="R79" i="4"/>
  <c r="R210" i="4"/>
  <c r="R425" i="4"/>
  <c r="R702" i="4"/>
  <c r="R797" i="4"/>
  <c r="R1000" i="4"/>
  <c r="R1041" i="4"/>
  <c r="R1043" i="4"/>
  <c r="R1067" i="4"/>
  <c r="R1085" i="4"/>
  <c r="R1216" i="4"/>
  <c r="R1289" i="4"/>
  <c r="R19" i="4"/>
  <c r="R31" i="4"/>
  <c r="R47" i="4"/>
  <c r="R60" i="4"/>
  <c r="R85" i="4"/>
  <c r="R96" i="4"/>
  <c r="R117" i="4"/>
  <c r="R183" i="4"/>
  <c r="R214" i="4"/>
  <c r="R230" i="4"/>
  <c r="R231" i="4"/>
  <c r="R232" i="4"/>
  <c r="R234" i="4"/>
  <c r="R235" i="4"/>
  <c r="R237" i="4"/>
  <c r="R239" i="4"/>
  <c r="R241" i="4"/>
  <c r="R242" i="4"/>
  <c r="R254" i="4"/>
  <c r="R255" i="4"/>
  <c r="R256" i="4"/>
  <c r="R257" i="4"/>
  <c r="R258" i="4"/>
  <c r="R297" i="4"/>
  <c r="R319" i="4"/>
  <c r="R347" i="4"/>
  <c r="R348" i="4"/>
  <c r="R376" i="4"/>
  <c r="R381" i="4"/>
  <c r="R396" i="4"/>
  <c r="R397" i="4"/>
  <c r="R398" i="4"/>
  <c r="R429" i="4"/>
  <c r="R432" i="4"/>
  <c r="R443" i="4"/>
  <c r="R454" i="4"/>
  <c r="R455" i="4"/>
  <c r="R457" i="4"/>
  <c r="R460" i="4"/>
  <c r="R493" i="4"/>
  <c r="R513" i="4"/>
  <c r="R538" i="4"/>
  <c r="R564" i="4"/>
  <c r="R575" i="4"/>
  <c r="R586" i="4"/>
  <c r="R589" i="4"/>
  <c r="R593" i="4"/>
  <c r="R594" i="4"/>
  <c r="R595" i="4"/>
  <c r="R596" i="4"/>
  <c r="R597" i="4"/>
  <c r="R636" i="4"/>
  <c r="R645" i="4"/>
  <c r="R664" i="4"/>
  <c r="R690" i="4"/>
  <c r="R693" i="4"/>
  <c r="R697" i="4"/>
  <c r="R703" i="4"/>
  <c r="R708" i="4"/>
  <c r="R718" i="4"/>
  <c r="R731" i="4"/>
  <c r="R746" i="4"/>
  <c r="R759" i="4"/>
  <c r="R768" i="4"/>
  <c r="R775" i="4"/>
  <c r="R776" i="4"/>
  <c r="R799" i="4"/>
  <c r="R800" i="4"/>
  <c r="R801" i="4"/>
  <c r="R804" i="4"/>
  <c r="R816" i="4"/>
  <c r="R864" i="4"/>
  <c r="R876" i="4"/>
  <c r="R887" i="4"/>
  <c r="R888" i="4"/>
  <c r="R889" i="4"/>
  <c r="R890" i="4"/>
  <c r="R891" i="4"/>
  <c r="R894" i="4"/>
  <c r="R918" i="4"/>
  <c r="R959" i="4"/>
  <c r="R966" i="4"/>
  <c r="R967" i="4"/>
  <c r="R976" i="4"/>
  <c r="R982" i="4"/>
  <c r="R984" i="4"/>
  <c r="R985" i="4"/>
  <c r="R992" i="4"/>
  <c r="R996" i="4"/>
  <c r="R1001" i="4"/>
  <c r="R1003" i="4"/>
  <c r="R1009" i="4"/>
  <c r="R1013" i="4"/>
  <c r="R1018" i="4"/>
  <c r="R1027" i="4"/>
  <c r="R1028" i="4"/>
  <c r="R1031" i="4"/>
  <c r="R1032" i="4"/>
  <c r="R1040" i="4"/>
  <c r="R1042" i="4"/>
  <c r="R1068" i="4"/>
  <c r="R1069" i="4"/>
  <c r="R1070" i="4"/>
  <c r="R1071" i="4"/>
  <c r="R1072" i="4"/>
  <c r="R1073" i="4"/>
  <c r="R1086" i="4"/>
  <c r="R1087" i="4"/>
  <c r="R1104" i="4"/>
  <c r="R1105" i="4"/>
  <c r="R1125" i="4"/>
  <c r="R1126" i="4"/>
  <c r="R1127" i="4"/>
  <c r="R1128" i="4"/>
  <c r="R1129" i="4"/>
  <c r="R1130" i="4"/>
  <c r="R1161" i="4"/>
  <c r="R1162" i="4"/>
  <c r="R1163" i="4"/>
  <c r="R1164" i="4"/>
  <c r="R1165" i="4"/>
  <c r="R1166" i="4"/>
  <c r="R1208" i="4"/>
  <c r="R1244" i="4"/>
  <c r="R1245" i="4"/>
  <c r="R1258" i="4"/>
  <c r="R1267" i="4"/>
  <c r="R1274" i="4"/>
  <c r="R1277" i="4"/>
  <c r="R1285" i="4"/>
  <c r="R1311" i="4"/>
  <c r="R1315" i="4"/>
  <c r="R1332" i="4"/>
  <c r="R1339" i="4"/>
  <c r="R1350" i="4"/>
  <c r="R1355" i="4"/>
  <c r="R1363" i="4"/>
  <c r="R1365" i="4"/>
  <c r="R1367" i="4"/>
  <c r="R1373" i="4"/>
  <c r="R1375" i="4"/>
  <c r="R1379" i="4"/>
  <c r="R1385" i="4"/>
  <c r="R1427" i="4"/>
  <c r="R1429" i="4"/>
  <c r="R1436" i="4"/>
  <c r="R1437" i="4"/>
  <c r="R225" i="4"/>
  <c r="R687" i="4"/>
  <c r="R1093" i="4"/>
  <c r="R1211" i="4"/>
  <c r="R1345" i="4"/>
  <c r="R23" i="4"/>
  <c r="R25" i="4"/>
  <c r="R68" i="4"/>
  <c r="R72" i="4"/>
  <c r="R123" i="4"/>
  <c r="R125" i="4"/>
  <c r="R198" i="4"/>
  <c r="R202" i="4"/>
  <c r="R338" i="4"/>
  <c r="R434" i="4"/>
  <c r="R437" i="4"/>
  <c r="R22" i="4"/>
  <c r="R24" i="4"/>
  <c r="R37" i="4"/>
  <c r="R67" i="4"/>
  <c r="R71" i="4"/>
  <c r="R93" i="4"/>
  <c r="R122" i="4"/>
  <c r="R124" i="4"/>
  <c r="R179" i="4"/>
  <c r="R197" i="4"/>
  <c r="R201" i="4"/>
  <c r="R215" i="4"/>
  <c r="R216" i="4"/>
  <c r="R228" i="4"/>
  <c r="R229" i="4"/>
  <c r="R273" i="4"/>
  <c r="R274" i="4"/>
  <c r="R283" i="4"/>
  <c r="R304" i="4"/>
  <c r="R307" i="4"/>
  <c r="R308" i="4"/>
  <c r="R337" i="4"/>
  <c r="R339" i="4"/>
  <c r="R360" i="4"/>
  <c r="R361" i="4"/>
  <c r="R362" i="4"/>
  <c r="R383" i="4"/>
  <c r="R400" i="4"/>
  <c r="R416" i="4"/>
  <c r="R433" i="4"/>
  <c r="R436" i="4"/>
  <c r="R469" i="4"/>
  <c r="R470" i="4"/>
  <c r="R486" i="4"/>
  <c r="R501" i="4"/>
  <c r="R502" i="4"/>
  <c r="R533" i="4"/>
  <c r="R534" i="4"/>
  <c r="R568" i="4"/>
  <c r="R569" i="4"/>
  <c r="R611" i="4"/>
  <c r="R612" i="4"/>
  <c r="R631" i="4"/>
  <c r="R634" i="4"/>
  <c r="R635" i="4"/>
  <c r="R653" i="4"/>
  <c r="R654" i="4"/>
  <c r="R689" i="4"/>
  <c r="R715" i="4"/>
  <c r="R716" i="4"/>
  <c r="R735" i="4"/>
  <c r="R736" i="4"/>
  <c r="R750" i="4"/>
  <c r="R751" i="4"/>
  <c r="R755" i="4"/>
  <c r="R777" i="4"/>
  <c r="R778" i="4"/>
  <c r="R779" i="4"/>
  <c r="R780" i="4"/>
  <c r="R812" i="4"/>
  <c r="R813" i="4"/>
  <c r="R814" i="4"/>
  <c r="R815" i="4"/>
  <c r="R831" i="4"/>
  <c r="R832" i="4"/>
  <c r="R863" i="4"/>
  <c r="R870" i="4"/>
  <c r="R871" i="4"/>
  <c r="R872" i="4"/>
  <c r="R873" i="4"/>
  <c r="R898" i="4"/>
  <c r="R899" i="4"/>
  <c r="R900" i="4"/>
  <c r="R901" i="4"/>
  <c r="R905" i="4"/>
  <c r="R914" i="4"/>
  <c r="R917" i="4"/>
  <c r="R942" i="4"/>
  <c r="R952" i="4"/>
  <c r="R953" i="4"/>
  <c r="R954" i="4"/>
  <c r="R955" i="4"/>
  <c r="R989" i="4"/>
  <c r="R990" i="4"/>
  <c r="R991" i="4"/>
  <c r="R1007" i="4"/>
  <c r="R1022" i="4"/>
  <c r="R1023" i="4"/>
  <c r="R1024" i="4"/>
  <c r="R1025" i="4"/>
  <c r="R1090" i="4"/>
  <c r="R1091" i="4"/>
  <c r="R1098" i="4"/>
  <c r="R1115" i="4"/>
  <c r="R1116" i="4"/>
  <c r="R1122" i="4"/>
  <c r="R1124" i="4"/>
  <c r="R1151" i="4"/>
  <c r="R1152" i="4"/>
  <c r="R1158" i="4"/>
  <c r="R1160" i="4"/>
  <c r="R1190" i="4"/>
  <c r="R1191" i="4"/>
  <c r="R1197" i="4"/>
  <c r="R1199" i="4"/>
  <c r="R1210" i="4"/>
  <c r="R1217" i="4"/>
  <c r="R1239" i="4"/>
  <c r="R1240" i="4"/>
  <c r="R1243" i="4"/>
  <c r="R1252" i="4"/>
  <c r="R1253" i="4"/>
  <c r="R1256" i="4"/>
  <c r="R1265" i="4"/>
  <c r="R1266" i="4"/>
  <c r="R1293" i="4"/>
  <c r="R1294" i="4"/>
  <c r="R1295" i="4"/>
  <c r="R1319" i="4"/>
  <c r="R1335" i="4"/>
  <c r="R1340" i="4"/>
  <c r="R1341" i="4"/>
  <c r="R1351" i="4"/>
  <c r="R1352" i="4"/>
  <c r="R1353" i="4"/>
  <c r="R1356" i="4"/>
  <c r="R1357" i="4"/>
  <c r="R1386" i="4"/>
  <c r="R1387" i="4"/>
  <c r="R1410" i="4"/>
  <c r="R1411" i="4"/>
  <c r="R1412" i="4"/>
  <c r="R1428" i="4"/>
  <c r="R246" i="4"/>
  <c r="R448" i="4"/>
  <c r="R449" i="4"/>
  <c r="R747" i="4"/>
  <c r="R748" i="4"/>
  <c r="R749" i="4"/>
  <c r="R808" i="4"/>
  <c r="R810" i="4"/>
  <c r="R874" i="4"/>
  <c r="R875" i="4"/>
  <c r="R897" i="4"/>
  <c r="R947" i="4"/>
  <c r="R948" i="4"/>
  <c r="R1045" i="4"/>
  <c r="R1046" i="4"/>
  <c r="R1047" i="4"/>
  <c r="R1052" i="4"/>
  <c r="R1094" i="4"/>
  <c r="R1095" i="4"/>
  <c r="R1096" i="4"/>
  <c r="R1097" i="4"/>
  <c r="R81" i="4"/>
  <c r="R97" i="4"/>
  <c r="R116" i="4"/>
  <c r="R919" i="4"/>
  <c r="R943" i="4"/>
  <c r="R1318" i="4"/>
  <c r="R141" i="4"/>
  <c r="R143" i="4"/>
  <c r="R145" i="4"/>
  <c r="R152" i="4"/>
  <c r="R154" i="4"/>
  <c r="R157" i="4"/>
  <c r="R160" i="4"/>
  <c r="R187" i="4"/>
  <c r="R190" i="4"/>
  <c r="R192" i="4"/>
  <c r="R194" i="4"/>
  <c r="R369" i="4"/>
  <c r="R371" i="4"/>
  <c r="R1398" i="4"/>
  <c r="R1403" i="4"/>
  <c r="R1407" i="4"/>
  <c r="R1424" i="4"/>
  <c r="R1426" i="4"/>
  <c r="R270" i="4"/>
  <c r="R287" i="4"/>
  <c r="R330" i="4"/>
  <c r="R331" i="4"/>
  <c r="R332" i="4"/>
  <c r="R333" i="4"/>
  <c r="R340" i="4"/>
  <c r="R1270" i="4"/>
  <c r="R578" i="4"/>
  <c r="R579" i="4"/>
  <c r="R580" i="4"/>
  <c r="R581" i="4"/>
  <c r="R682" i="4"/>
  <c r="R858" i="4"/>
  <c r="R909" i="4"/>
  <c r="R944" i="4"/>
  <c r="R945" i="4"/>
  <c r="R946" i="4"/>
  <c r="R971" i="4"/>
  <c r="R1131" i="4"/>
  <c r="R1135" i="4"/>
  <c r="R1136" i="4"/>
  <c r="R1137" i="4"/>
  <c r="R1138" i="4"/>
  <c r="R1144" i="4"/>
  <c r="R1181" i="4"/>
  <c r="R1183" i="4"/>
  <c r="R1268" i="4"/>
  <c r="R1374" i="4"/>
  <c r="R1380" i="4"/>
  <c r="R1381" i="4"/>
  <c r="R1382" i="4"/>
  <c r="R742" i="4"/>
  <c r="R940" i="4"/>
  <c r="R941" i="4"/>
  <c r="R98" i="4"/>
  <c r="R790" i="4"/>
  <c r="R822" i="4"/>
  <c r="R823" i="4"/>
  <c r="R881" i="4"/>
  <c r="R882" i="4"/>
  <c r="R983" i="4"/>
  <c r="R1343" i="4"/>
  <c r="R587" i="4"/>
  <c r="R608" i="4"/>
  <c r="R609" i="4"/>
  <c r="R756" i="4"/>
  <c r="R1287" i="4"/>
  <c r="R1329" i="4"/>
  <c r="R178" i="4"/>
  <c r="R726" i="4"/>
  <c r="R865" i="4"/>
  <c r="R1006" i="4"/>
  <c r="R1119" i="4"/>
  <c r="R1316" i="4"/>
  <c r="R329" i="4"/>
  <c r="R1378" i="4"/>
  <c r="R1404" i="4"/>
  <c r="R48" i="4"/>
  <c r="R62" i="4"/>
  <c r="R73" i="4"/>
  <c r="R74" i="4"/>
  <c r="R265" i="4"/>
  <c r="R601" i="4"/>
  <c r="R602" i="4"/>
  <c r="R603" i="4"/>
  <c r="R605" i="4"/>
  <c r="R1167" i="4"/>
  <c r="R1233" i="4"/>
  <c r="R1247" i="4"/>
  <c r="R1248" i="4"/>
  <c r="R1249" i="4"/>
  <c r="R1334" i="4"/>
  <c r="R1342" i="4"/>
  <c r="R1369" i="4"/>
  <c r="R129" i="4"/>
  <c r="R236" i="4"/>
  <c r="R259" i="4"/>
  <c r="R321" i="4"/>
  <c r="R388" i="4"/>
  <c r="R389" i="4"/>
  <c r="R477" i="4"/>
  <c r="R523" i="4"/>
  <c r="R556" i="4"/>
  <c r="R566" i="4"/>
  <c r="R625" i="4"/>
  <c r="R667" i="4"/>
  <c r="R684" i="4"/>
  <c r="R695" i="4"/>
  <c r="R696" i="4"/>
  <c r="R723" i="4"/>
  <c r="R728" i="4"/>
  <c r="R729" i="4"/>
  <c r="R761" i="4"/>
  <c r="R762" i="4"/>
  <c r="R834" i="4"/>
  <c r="R1026" i="4"/>
  <c r="R1133" i="4"/>
  <c r="R1148" i="4"/>
  <c r="R1184" i="4"/>
  <c r="R1185" i="4"/>
  <c r="R1347" i="4"/>
  <c r="R1361" i="4"/>
  <c r="R1362" i="4"/>
  <c r="R1368" i="4"/>
  <c r="R45" i="4"/>
  <c r="R46" i="4"/>
  <c r="R61" i="4"/>
  <c r="R63" i="4"/>
  <c r="R266" i="4"/>
  <c r="R276" i="4"/>
  <c r="R277" i="4"/>
  <c r="R278" i="4"/>
  <c r="R280" i="4"/>
  <c r="R282" i="4"/>
  <c r="R291" i="4"/>
  <c r="R292" i="4"/>
  <c r="R293" i="4"/>
  <c r="R299" i="4"/>
  <c r="R302" i="4"/>
  <c r="R313" i="4"/>
  <c r="R314" i="4"/>
  <c r="R315" i="4"/>
  <c r="R325" i="4"/>
  <c r="R326" i="4"/>
  <c r="R328" i="4"/>
  <c r="R336" i="4"/>
  <c r="R343" i="4"/>
  <c r="R355" i="4"/>
  <c r="R377" i="4"/>
  <c r="R394" i="4"/>
  <c r="R395" i="4"/>
  <c r="R458" i="4"/>
  <c r="R463" i="4"/>
  <c r="R464" i="4"/>
  <c r="R466" i="4"/>
  <c r="R471" i="4"/>
  <c r="R472" i="4"/>
  <c r="R474" i="4"/>
  <c r="R475" i="4"/>
  <c r="R495" i="4"/>
  <c r="R496" i="4"/>
  <c r="R497" i="4"/>
  <c r="R498" i="4"/>
  <c r="R504" i="4"/>
  <c r="R505" i="4"/>
  <c r="R506" i="4"/>
  <c r="R507" i="4"/>
  <c r="R508" i="4"/>
  <c r="R509" i="4"/>
  <c r="R517" i="4"/>
  <c r="R519" i="4"/>
  <c r="R520" i="4"/>
  <c r="R527" i="4"/>
  <c r="R530" i="4"/>
  <c r="R531" i="4"/>
  <c r="R626" i="4"/>
  <c r="R646" i="4"/>
  <c r="R648" i="4"/>
  <c r="R649" i="4"/>
  <c r="R655" i="4"/>
  <c r="R656" i="4"/>
  <c r="R657" i="4"/>
  <c r="R658" i="4"/>
  <c r="R659" i="4"/>
  <c r="R660" i="4"/>
  <c r="R923" i="4"/>
  <c r="R933" i="4"/>
  <c r="R970" i="4"/>
  <c r="R981" i="4"/>
  <c r="R1173" i="4"/>
  <c r="R1234" i="4"/>
  <c r="R1235" i="4"/>
  <c r="R1251" i="4"/>
  <c r="R1389" i="4"/>
  <c r="R94" i="4"/>
  <c r="R102" i="4"/>
  <c r="R103" i="4"/>
  <c r="R128" i="4"/>
  <c r="R132" i="4"/>
  <c r="R134" i="4"/>
  <c r="R135" i="4"/>
  <c r="R136" i="4"/>
  <c r="R164" i="4"/>
  <c r="R165" i="4"/>
  <c r="R166" i="4"/>
  <c r="R167" i="4"/>
  <c r="R172" i="4"/>
  <c r="R173" i="4"/>
  <c r="R184" i="4"/>
  <c r="R185" i="4"/>
  <c r="R221" i="4"/>
  <c r="R222" i="4"/>
  <c r="R356" i="4"/>
  <c r="R379" i="4"/>
  <c r="R384" i="4"/>
  <c r="R385" i="4"/>
  <c r="R391" i="4"/>
  <c r="R392" i="4"/>
  <c r="R406" i="4"/>
  <c r="R407" i="4"/>
  <c r="R409" i="4"/>
  <c r="R411" i="4"/>
  <c r="R413" i="4"/>
  <c r="R476" i="4"/>
  <c r="R529" i="4"/>
  <c r="R539" i="4"/>
  <c r="R541" i="4"/>
  <c r="R549" i="4"/>
  <c r="R550" i="4"/>
  <c r="R551" i="4"/>
  <c r="R552" i="4"/>
  <c r="R553" i="4"/>
  <c r="R555" i="4"/>
  <c r="R567" i="4"/>
  <c r="R588" i="4"/>
  <c r="R627" i="4"/>
  <c r="R668" i="4"/>
  <c r="R671" i="4"/>
  <c r="R672" i="4"/>
  <c r="R673" i="4"/>
  <c r="R674" i="4"/>
  <c r="R677" i="4"/>
  <c r="R739" i="4"/>
  <c r="R740" i="4"/>
  <c r="R741" i="4"/>
  <c r="R743" i="4"/>
  <c r="R763" i="4"/>
  <c r="R769" i="4"/>
  <c r="R770" i="4"/>
  <c r="R771" i="4"/>
  <c r="R772" i="4"/>
  <c r="R773" i="4"/>
  <c r="R774" i="4"/>
  <c r="R781" i="4"/>
  <c r="R787" i="4"/>
  <c r="R788" i="4"/>
  <c r="R789" i="4"/>
  <c r="R836" i="4"/>
  <c r="R838" i="4"/>
  <c r="R839" i="4"/>
  <c r="R852" i="4"/>
  <c r="R853" i="4"/>
  <c r="R856" i="4"/>
  <c r="R857" i="4"/>
  <c r="R907" i="4"/>
  <c r="R910" i="4"/>
  <c r="R920" i="4"/>
  <c r="R922" i="4"/>
  <c r="R924" i="4"/>
  <c r="R925" i="4"/>
  <c r="R926" i="4"/>
  <c r="R927" i="4"/>
  <c r="R928" i="4"/>
  <c r="R929" i="4"/>
  <c r="R930" i="4"/>
  <c r="R931" i="4"/>
  <c r="R932" i="4"/>
  <c r="R934" i="4"/>
  <c r="R936" i="4"/>
  <c r="R937" i="4"/>
  <c r="R938" i="4"/>
  <c r="R939" i="4"/>
  <c r="R986" i="4"/>
  <c r="R993" i="4"/>
  <c r="R997" i="4"/>
  <c r="R1017" i="4"/>
  <c r="R1030" i="4"/>
  <c r="R1054" i="4"/>
  <c r="R1055" i="4"/>
  <c r="R1056" i="4"/>
  <c r="R1057" i="4"/>
  <c r="R1077" i="4"/>
  <c r="R1132" i="4"/>
  <c r="R1134" i="4"/>
  <c r="R1142" i="4"/>
  <c r="R1143" i="4"/>
  <c r="R1145" i="4"/>
  <c r="R1168" i="4"/>
  <c r="R1169" i="4"/>
  <c r="R1170" i="4"/>
  <c r="R1171" i="4"/>
  <c r="R1172" i="4"/>
  <c r="R1336" i="4"/>
  <c r="R1337" i="4"/>
  <c r="R1349" i="4"/>
  <c r="R1371" i="4"/>
  <c r="R1372" i="4"/>
  <c r="R1383" i="4"/>
  <c r="R1442" i="4"/>
  <c r="R1443" i="4"/>
  <c r="R647" i="4"/>
  <c r="R1400" i="4"/>
  <c r="R1305" i="4"/>
  <c r="R298" i="4"/>
  <c r="R341" i="4"/>
  <c r="R382" i="4"/>
  <c r="R494" i="4"/>
  <c r="R573" i="4"/>
  <c r="R1113" i="4"/>
  <c r="R1149" i="4"/>
  <c r="R1189" i="4"/>
  <c r="R1209" i="4"/>
  <c r="R1401" i="4"/>
  <c r="R303" i="4"/>
  <c r="R310" i="4"/>
  <c r="R312" i="4"/>
  <c r="R320" i="4"/>
  <c r="R483" i="4"/>
  <c r="R499" i="4"/>
  <c r="R547" i="4"/>
  <c r="R639" i="4"/>
  <c r="R1177" i="4"/>
  <c r="R1178" i="4"/>
  <c r="R1179" i="4"/>
  <c r="R1231" i="4"/>
  <c r="R1232" i="4"/>
  <c r="R49" i="4"/>
  <c r="R161" i="4"/>
  <c r="R219" i="4"/>
  <c r="R456" i="4"/>
  <c r="R473" i="4"/>
  <c r="R738" i="4"/>
  <c r="R782" i="4"/>
  <c r="R784" i="4"/>
  <c r="R896" i="4"/>
  <c r="R908" i="4"/>
  <c r="R935" i="4"/>
  <c r="R950" i="4"/>
  <c r="R956" i="4"/>
  <c r="R960" i="4"/>
  <c r="R962" i="4"/>
  <c r="R1002" i="4"/>
  <c r="R1296" i="4"/>
  <c r="R1321" i="4"/>
  <c r="R213" i="4"/>
  <c r="R1010" i="4"/>
  <c r="R14" i="4"/>
  <c r="R15" i="4"/>
  <c r="R16" i="4"/>
  <c r="R36" i="4"/>
  <c r="R730" i="4"/>
  <c r="R802" i="4"/>
  <c r="R803" i="4"/>
  <c r="R826" i="4"/>
  <c r="R884" i="4"/>
  <c r="R1061" i="4"/>
  <c r="R1062" i="4"/>
  <c r="R1063" i="4"/>
  <c r="R1064" i="4"/>
  <c r="R1065" i="4"/>
  <c r="R1306" i="4"/>
  <c r="R1307" i="4"/>
  <c r="R1413" i="4"/>
  <c r="R249" i="4"/>
  <c r="R717" i="4"/>
  <c r="R50" i="4"/>
  <c r="R52" i="4"/>
  <c r="R53" i="4"/>
  <c r="R54" i="4"/>
  <c r="R55" i="4"/>
  <c r="R56" i="4"/>
  <c r="R75" i="4"/>
  <c r="R100" i="4"/>
  <c r="R101" i="4"/>
  <c r="R130" i="4"/>
  <c r="R168" i="4"/>
  <c r="R169" i="4"/>
  <c r="R208" i="4"/>
  <c r="R211" i="4"/>
  <c r="R261" i="4"/>
  <c r="R262" i="4"/>
  <c r="R263" i="4"/>
  <c r="R264" i="4"/>
  <c r="R267" i="4"/>
  <c r="R268" i="4"/>
  <c r="R279" i="4"/>
  <c r="R281" i="4"/>
  <c r="R288" i="4"/>
  <c r="R289" i="4"/>
  <c r="R290" i="4"/>
  <c r="R300" i="4"/>
  <c r="R301" i="4"/>
  <c r="R349" i="4"/>
  <c r="R350" i="4"/>
  <c r="R386" i="4"/>
  <c r="R387" i="4"/>
  <c r="R390" i="4"/>
  <c r="R403" i="4"/>
  <c r="R408" i="4"/>
  <c r="R410" i="4"/>
  <c r="R412" i="4"/>
  <c r="R414" i="4"/>
  <c r="R418" i="4"/>
  <c r="R426" i="4"/>
  <c r="R428" i="4"/>
  <c r="R488" i="4"/>
  <c r="R489" i="4"/>
  <c r="R518" i="4"/>
  <c r="R522" i="4"/>
  <c r="R524" i="4"/>
  <c r="R525" i="4"/>
  <c r="R526" i="4"/>
  <c r="R561" i="4"/>
  <c r="R614" i="4"/>
  <c r="R616" i="4"/>
  <c r="R617" i="4"/>
  <c r="R618" i="4"/>
  <c r="R619" i="4"/>
  <c r="R624" i="4"/>
  <c r="R641" i="4"/>
  <c r="R710" i="4"/>
  <c r="R833" i="4"/>
  <c r="R851" i="4"/>
  <c r="R1014" i="4"/>
  <c r="R1016" i="4"/>
  <c r="R1108" i="4"/>
  <c r="R1206" i="4"/>
  <c r="R1207" i="4"/>
  <c r="R1212" i="4"/>
  <c r="R1213" i="4"/>
  <c r="R1214" i="4"/>
  <c r="R1215" i="4"/>
  <c r="R1218" i="4"/>
  <c r="R1286" i="4"/>
  <c r="R1288" i="4"/>
  <c r="R1314" i="4"/>
  <c r="R17" i="4"/>
  <c r="R119" i="4"/>
  <c r="R126" i="4"/>
  <c r="R127" i="4"/>
  <c r="R162" i="4"/>
  <c r="R163" i="4"/>
  <c r="R217" i="4"/>
  <c r="R275" i="4"/>
  <c r="R465" i="4"/>
  <c r="R563" i="4"/>
  <c r="R650" i="4"/>
  <c r="R669" i="4"/>
  <c r="R676" i="4"/>
  <c r="R760" i="4"/>
  <c r="R783" i="4"/>
  <c r="R785" i="4"/>
  <c r="R1146" i="4"/>
  <c r="R1147" i="4"/>
  <c r="R1186" i="4"/>
  <c r="R1187" i="4"/>
  <c r="R1188" i="4"/>
  <c r="R1432" i="4"/>
  <c r="R1433" i="4"/>
  <c r="R1434" i="4"/>
  <c r="R1435" i="4"/>
  <c r="R27" i="4"/>
  <c r="R51" i="4"/>
  <c r="R64" i="4"/>
  <c r="R65" i="4"/>
  <c r="R76" i="4"/>
  <c r="R77" i="4"/>
  <c r="R170" i="4"/>
  <c r="R171" i="4"/>
  <c r="R203" i="4"/>
  <c r="R204" i="4"/>
  <c r="R205" i="4"/>
  <c r="R206" i="4"/>
  <c r="R207" i="4"/>
  <c r="R209" i="4"/>
  <c r="R285" i="4"/>
  <c r="R286" i="4"/>
  <c r="R309" i="4"/>
  <c r="R311" i="4"/>
  <c r="R323" i="4"/>
  <c r="R334" i="4"/>
  <c r="R352" i="4"/>
  <c r="R353" i="4"/>
  <c r="R354" i="4"/>
  <c r="R357" i="4"/>
  <c r="R358" i="4"/>
  <c r="R363" i="4"/>
  <c r="R364" i="4"/>
  <c r="R365" i="4"/>
  <c r="R366" i="4"/>
  <c r="R378" i="4"/>
  <c r="R401" i="4"/>
  <c r="R402" i="4"/>
  <c r="R419" i="4"/>
  <c r="R420" i="4"/>
  <c r="R421" i="4"/>
  <c r="R422" i="4"/>
  <c r="R423" i="4"/>
  <c r="R424" i="4"/>
  <c r="R438" i="4"/>
  <c r="R439" i="4"/>
  <c r="R440" i="4"/>
  <c r="R441" i="4"/>
  <c r="R442" i="4"/>
  <c r="R461" i="4"/>
  <c r="R462" i="4"/>
  <c r="R478" i="4"/>
  <c r="R479" i="4"/>
  <c r="R480" i="4"/>
  <c r="R481" i="4"/>
  <c r="R482" i="4"/>
  <c r="R484" i="4"/>
  <c r="R503" i="4"/>
  <c r="R543" i="4"/>
  <c r="R544" i="4"/>
  <c r="R545" i="4"/>
  <c r="R546" i="4"/>
  <c r="R548" i="4"/>
  <c r="R558" i="4"/>
  <c r="R559" i="4"/>
  <c r="R560" i="4"/>
  <c r="R562" i="4"/>
  <c r="R570" i="4"/>
  <c r="R592" i="4"/>
  <c r="R599" i="4"/>
  <c r="R600" i="4"/>
  <c r="R604" i="4"/>
  <c r="R613" i="4"/>
  <c r="R615" i="4"/>
  <c r="R621" i="4"/>
  <c r="R622" i="4"/>
  <c r="R637" i="4"/>
  <c r="R640" i="4"/>
  <c r="R642" i="4"/>
  <c r="R665" i="4"/>
  <c r="R666" i="4"/>
  <c r="R709" i="4"/>
  <c r="R713" i="4"/>
  <c r="R714" i="4"/>
  <c r="R719" i="4"/>
  <c r="R720" i="4"/>
  <c r="R721" i="4"/>
  <c r="R722" i="4"/>
  <c r="R999" i="4"/>
  <c r="R1004" i="4"/>
  <c r="R1011" i="4"/>
  <c r="R1012" i="4"/>
  <c r="R1015" i="4"/>
  <c r="R1088" i="4"/>
  <c r="R1089" i="4"/>
  <c r="R1106" i="4"/>
  <c r="R1109" i="4"/>
  <c r="R1110" i="4"/>
  <c r="R1111" i="4"/>
  <c r="R1112" i="4"/>
  <c r="R1174" i="4"/>
  <c r="R1175" i="4"/>
  <c r="R1176" i="4"/>
  <c r="R1180" i="4"/>
  <c r="R1202" i="4"/>
  <c r="R1205" i="4"/>
  <c r="R1250" i="4"/>
  <c r="R1283" i="4"/>
  <c r="R1290" i="4"/>
  <c r="R1291" i="4"/>
  <c r="R1292" i="4"/>
  <c r="R1298" i="4"/>
  <c r="R1299" i="4"/>
  <c r="R1302" i="4"/>
  <c r="R1320" i="4"/>
  <c r="R1324" i="4"/>
  <c r="R1366" i="4"/>
  <c r="R1390" i="4"/>
  <c r="K50" i="3"/>
  <c r="M6" i="3"/>
  <c r="R26" i="4"/>
  <c r="R28" i="4"/>
  <c r="R120" i="4"/>
  <c r="R131" i="4"/>
  <c r="R133" i="4"/>
  <c r="R137" i="4"/>
  <c r="R158" i="4"/>
  <c r="R176" i="4"/>
  <c r="R188" i="4"/>
  <c r="R220" i="4"/>
  <c r="R269" i="4"/>
  <c r="R373" i="4"/>
  <c r="R485" i="4"/>
  <c r="R681" i="4"/>
  <c r="R683" i="4"/>
  <c r="R688" i="4"/>
  <c r="R733" i="4"/>
  <c r="R824" i="4"/>
  <c r="R837" i="4"/>
  <c r="R846" i="4"/>
  <c r="R848" i="4"/>
  <c r="R849" i="4"/>
  <c r="R854" i="4"/>
  <c r="R860" i="4"/>
  <c r="R883" i="4"/>
  <c r="R885" i="4"/>
  <c r="R886" i="4"/>
  <c r="R961" i="4"/>
  <c r="R987" i="4"/>
  <c r="R1008" i="4"/>
  <c r="R1029" i="4"/>
  <c r="R1033" i="4"/>
  <c r="R1034" i="4"/>
  <c r="R1060" i="4"/>
  <c r="R1074" i="4"/>
  <c r="R1076" i="4"/>
  <c r="R1079" i="4"/>
  <c r="R1080" i="4"/>
  <c r="R1081" i="4"/>
  <c r="R1082" i="4"/>
  <c r="R1099" i="4"/>
  <c r="R1100" i="4"/>
  <c r="R1101" i="4"/>
  <c r="R1102" i="4"/>
  <c r="R1103" i="4"/>
  <c r="R1140" i="4"/>
  <c r="R1141" i="4"/>
  <c r="R1441" i="4"/>
  <c r="M57" i="3"/>
  <c r="N57" i="3" s="1"/>
  <c r="L57" i="3"/>
  <c r="L58" i="3" s="1"/>
  <c r="R16" i="5"/>
  <c r="U5" i="5"/>
  <c r="S5" i="5"/>
  <c r="K12" i="11"/>
  <c r="K14" i="11" s="1"/>
  <c r="D6" i="13" s="1"/>
  <c r="E6" i="13" s="1"/>
  <c r="L11" i="12"/>
  <c r="M46" i="3"/>
  <c r="N46" i="3" s="1"/>
  <c r="L46" i="3"/>
  <c r="M48" i="3"/>
  <c r="N48" i="3" s="1"/>
  <c r="L48" i="3"/>
  <c r="R979" i="4"/>
  <c r="U793" i="4"/>
  <c r="S793" i="4"/>
  <c r="R1447" i="4"/>
  <c r="U1393" i="4"/>
  <c r="S1393" i="4"/>
  <c r="S1447" i="4" s="1"/>
  <c r="M47" i="3"/>
  <c r="N47" i="3" s="1"/>
  <c r="L47" i="3"/>
  <c r="R679" i="4"/>
  <c r="U5" i="4"/>
  <c r="S5" i="4"/>
  <c r="V5" i="4" l="1"/>
  <c r="U1447" i="4"/>
  <c r="Q1447" i="4" s="1"/>
  <c r="V1393" i="4"/>
  <c r="V1447" i="4" s="1"/>
  <c r="V793" i="4"/>
  <c r="L50" i="3"/>
  <c r="V5" i="5"/>
  <c r="U1441" i="4"/>
  <c r="V1441" i="4" s="1"/>
  <c r="T1441" i="4"/>
  <c r="S1441" i="4"/>
  <c r="U1141" i="4"/>
  <c r="V1141" i="4" s="1"/>
  <c r="T1141" i="4"/>
  <c r="S1141" i="4"/>
  <c r="U1140" i="4"/>
  <c r="V1140" i="4" s="1"/>
  <c r="T1140" i="4"/>
  <c r="S1140" i="4"/>
  <c r="U1103" i="4"/>
  <c r="V1103" i="4" s="1"/>
  <c r="T1103" i="4"/>
  <c r="S1103" i="4"/>
  <c r="U1102" i="4"/>
  <c r="V1102" i="4" s="1"/>
  <c r="T1102" i="4"/>
  <c r="S1102" i="4"/>
  <c r="U1101" i="4"/>
  <c r="V1101" i="4" s="1"/>
  <c r="T1101" i="4"/>
  <c r="S1101" i="4"/>
  <c r="U1100" i="4"/>
  <c r="V1100" i="4" s="1"/>
  <c r="T1100" i="4"/>
  <c r="S1100" i="4"/>
  <c r="U1099" i="4"/>
  <c r="V1099" i="4" s="1"/>
  <c r="T1099" i="4"/>
  <c r="S1099" i="4"/>
  <c r="U1082" i="4"/>
  <c r="V1082" i="4" s="1"/>
  <c r="T1082" i="4"/>
  <c r="S1082" i="4"/>
  <c r="U1081" i="4"/>
  <c r="V1081" i="4" s="1"/>
  <c r="T1081" i="4"/>
  <c r="S1081" i="4"/>
  <c r="U1080" i="4"/>
  <c r="V1080" i="4" s="1"/>
  <c r="T1080" i="4"/>
  <c r="S1080" i="4"/>
  <c r="U1079" i="4"/>
  <c r="V1079" i="4" s="1"/>
  <c r="T1079" i="4"/>
  <c r="S1079" i="4"/>
  <c r="U1076" i="4"/>
  <c r="V1076" i="4" s="1"/>
  <c r="T1076" i="4"/>
  <c r="S1076" i="4"/>
  <c r="U1074" i="4"/>
  <c r="V1074" i="4" s="1"/>
  <c r="T1074" i="4"/>
  <c r="S1074" i="4"/>
  <c r="U1060" i="4"/>
  <c r="V1060" i="4" s="1"/>
  <c r="T1060" i="4"/>
  <c r="S1060" i="4"/>
  <c r="U1034" i="4"/>
  <c r="V1034" i="4" s="1"/>
  <c r="T1034" i="4"/>
  <c r="S1034" i="4"/>
  <c r="U1033" i="4"/>
  <c r="V1033" i="4" s="1"/>
  <c r="T1033" i="4"/>
  <c r="S1033" i="4"/>
  <c r="U1029" i="4"/>
  <c r="V1029" i="4" s="1"/>
  <c r="T1029" i="4"/>
  <c r="S1029" i="4"/>
  <c r="U1008" i="4"/>
  <c r="V1008" i="4" s="1"/>
  <c r="T1008" i="4"/>
  <c r="S1008" i="4"/>
  <c r="U987" i="4"/>
  <c r="V987" i="4" s="1"/>
  <c r="T987" i="4"/>
  <c r="S987" i="4"/>
  <c r="U961" i="4"/>
  <c r="V961" i="4" s="1"/>
  <c r="T961" i="4"/>
  <c r="S961" i="4"/>
  <c r="U886" i="4"/>
  <c r="V886" i="4" s="1"/>
  <c r="T886" i="4"/>
  <c r="S886" i="4"/>
  <c r="U885" i="4"/>
  <c r="V885" i="4" s="1"/>
  <c r="T885" i="4"/>
  <c r="S885" i="4"/>
  <c r="U883" i="4"/>
  <c r="V883" i="4" s="1"/>
  <c r="T883" i="4"/>
  <c r="S883" i="4"/>
  <c r="U860" i="4"/>
  <c r="V860" i="4" s="1"/>
  <c r="T860" i="4"/>
  <c r="S860" i="4"/>
  <c r="U854" i="4"/>
  <c r="V854" i="4" s="1"/>
  <c r="T854" i="4"/>
  <c r="S854" i="4"/>
  <c r="U849" i="4"/>
  <c r="V849" i="4" s="1"/>
  <c r="T849" i="4"/>
  <c r="S849" i="4"/>
  <c r="U848" i="4"/>
  <c r="V848" i="4" s="1"/>
  <c r="T848" i="4"/>
  <c r="S848" i="4"/>
  <c r="U846" i="4"/>
  <c r="V846" i="4" s="1"/>
  <c r="T846" i="4"/>
  <c r="S846" i="4"/>
  <c r="U837" i="4"/>
  <c r="V837" i="4" s="1"/>
  <c r="T837" i="4"/>
  <c r="S837" i="4"/>
  <c r="U824" i="4"/>
  <c r="V824" i="4" s="1"/>
  <c r="T824" i="4"/>
  <c r="S824" i="4"/>
  <c r="U733" i="4"/>
  <c r="V733" i="4" s="1"/>
  <c r="T733" i="4"/>
  <c r="S733" i="4"/>
  <c r="U688" i="4"/>
  <c r="V688" i="4" s="1"/>
  <c r="T688" i="4"/>
  <c r="S688" i="4"/>
  <c r="U683" i="4"/>
  <c r="V683" i="4" s="1"/>
  <c r="T683" i="4"/>
  <c r="S683" i="4"/>
  <c r="R700" i="4"/>
  <c r="U681" i="4"/>
  <c r="T681" i="4"/>
  <c r="T700" i="4" s="1"/>
  <c r="S681" i="4"/>
  <c r="S700" i="4" s="1"/>
  <c r="U485" i="4"/>
  <c r="V485" i="4" s="1"/>
  <c r="T485" i="4"/>
  <c r="S485" i="4"/>
  <c r="U373" i="4"/>
  <c r="V373" i="4" s="1"/>
  <c r="T373" i="4"/>
  <c r="S373" i="4"/>
  <c r="U269" i="4"/>
  <c r="V269" i="4" s="1"/>
  <c r="T269" i="4"/>
  <c r="S269" i="4"/>
  <c r="U220" i="4"/>
  <c r="V220" i="4" s="1"/>
  <c r="T220" i="4"/>
  <c r="S220" i="4"/>
  <c r="U188" i="4"/>
  <c r="V188" i="4" s="1"/>
  <c r="T188" i="4"/>
  <c r="S188" i="4"/>
  <c r="U176" i="4"/>
  <c r="V176" i="4" s="1"/>
  <c r="T176" i="4"/>
  <c r="S176" i="4"/>
  <c r="U158" i="4"/>
  <c r="V158" i="4" s="1"/>
  <c r="T158" i="4"/>
  <c r="S158" i="4"/>
  <c r="U137" i="4"/>
  <c r="V137" i="4" s="1"/>
  <c r="T137" i="4"/>
  <c r="S137" i="4"/>
  <c r="U133" i="4"/>
  <c r="V133" i="4" s="1"/>
  <c r="T133" i="4"/>
  <c r="S133" i="4"/>
  <c r="U131" i="4"/>
  <c r="V131" i="4" s="1"/>
  <c r="T131" i="4"/>
  <c r="S131" i="4"/>
  <c r="U120" i="4"/>
  <c r="V120" i="4" s="1"/>
  <c r="T120" i="4"/>
  <c r="S120" i="4"/>
  <c r="U28" i="4"/>
  <c r="V28" i="4" s="1"/>
  <c r="T28" i="4"/>
  <c r="S28" i="4"/>
  <c r="U26" i="4"/>
  <c r="V26" i="4" s="1"/>
  <c r="T26" i="4"/>
  <c r="S26" i="4"/>
  <c r="M50" i="3"/>
  <c r="N6" i="3"/>
  <c r="N50" i="3" s="1"/>
  <c r="U1390" i="4"/>
  <c r="V1390" i="4" s="1"/>
  <c r="T1390" i="4"/>
  <c r="S1390" i="4"/>
  <c r="U1366" i="4"/>
  <c r="V1366" i="4" s="1"/>
  <c r="T1366" i="4"/>
  <c r="S1366" i="4"/>
  <c r="U1324" i="4"/>
  <c r="V1324" i="4" s="1"/>
  <c r="T1324" i="4"/>
  <c r="S1324" i="4"/>
  <c r="U1320" i="4"/>
  <c r="V1320" i="4" s="1"/>
  <c r="T1320" i="4"/>
  <c r="S1320" i="4"/>
  <c r="U1302" i="4"/>
  <c r="V1302" i="4" s="1"/>
  <c r="T1302" i="4"/>
  <c r="S1302" i="4"/>
  <c r="U1299" i="4"/>
  <c r="V1299" i="4" s="1"/>
  <c r="T1299" i="4"/>
  <c r="S1299" i="4"/>
  <c r="U1298" i="4"/>
  <c r="V1298" i="4" s="1"/>
  <c r="T1298" i="4"/>
  <c r="S1298" i="4"/>
  <c r="U1292" i="4"/>
  <c r="V1292" i="4" s="1"/>
  <c r="T1292" i="4"/>
  <c r="S1292" i="4"/>
  <c r="U1291" i="4"/>
  <c r="V1291" i="4" s="1"/>
  <c r="T1291" i="4"/>
  <c r="S1291" i="4"/>
  <c r="U1290" i="4"/>
  <c r="V1290" i="4" s="1"/>
  <c r="T1290" i="4"/>
  <c r="S1290" i="4"/>
  <c r="U1283" i="4"/>
  <c r="V1283" i="4" s="1"/>
  <c r="T1283" i="4"/>
  <c r="S1283" i="4"/>
  <c r="U1250" i="4"/>
  <c r="V1250" i="4" s="1"/>
  <c r="T1250" i="4"/>
  <c r="S1250" i="4"/>
  <c r="U1205" i="4"/>
  <c r="V1205" i="4" s="1"/>
  <c r="T1205" i="4"/>
  <c r="S1205" i="4"/>
  <c r="R1225" i="4"/>
  <c r="U1202" i="4"/>
  <c r="T1202" i="4"/>
  <c r="T1225" i="4" s="1"/>
  <c r="S1202" i="4"/>
  <c r="S1225" i="4" s="1"/>
  <c r="U1180" i="4"/>
  <c r="V1180" i="4" s="1"/>
  <c r="T1180" i="4"/>
  <c r="S1180" i="4"/>
  <c r="U1176" i="4"/>
  <c r="V1176" i="4" s="1"/>
  <c r="T1176" i="4"/>
  <c r="S1176" i="4"/>
  <c r="U1175" i="4"/>
  <c r="V1175" i="4" s="1"/>
  <c r="T1175" i="4"/>
  <c r="S1175" i="4"/>
  <c r="U1174" i="4"/>
  <c r="V1174" i="4" s="1"/>
  <c r="T1174" i="4"/>
  <c r="S1174" i="4"/>
  <c r="U1112" i="4"/>
  <c r="V1112" i="4" s="1"/>
  <c r="T1112" i="4"/>
  <c r="S1112" i="4"/>
  <c r="U1111" i="4"/>
  <c r="V1111" i="4" s="1"/>
  <c r="T1111" i="4"/>
  <c r="S1111" i="4"/>
  <c r="U1110" i="4"/>
  <c r="V1110" i="4" s="1"/>
  <c r="T1110" i="4"/>
  <c r="S1110" i="4"/>
  <c r="U1109" i="4"/>
  <c r="V1109" i="4" s="1"/>
  <c r="T1109" i="4"/>
  <c r="S1109" i="4"/>
  <c r="U1106" i="4"/>
  <c r="V1106" i="4" s="1"/>
  <c r="T1106" i="4"/>
  <c r="S1106" i="4"/>
  <c r="U1089" i="4"/>
  <c r="V1089" i="4" s="1"/>
  <c r="T1089" i="4"/>
  <c r="S1089" i="4"/>
  <c r="U1088" i="4"/>
  <c r="V1088" i="4" s="1"/>
  <c r="T1088" i="4"/>
  <c r="S1088" i="4"/>
  <c r="U1015" i="4"/>
  <c r="V1015" i="4" s="1"/>
  <c r="T1015" i="4"/>
  <c r="S1015" i="4"/>
  <c r="U1012" i="4"/>
  <c r="V1012" i="4" s="1"/>
  <c r="T1012" i="4"/>
  <c r="S1012" i="4"/>
  <c r="U1011" i="4"/>
  <c r="V1011" i="4" s="1"/>
  <c r="T1011" i="4"/>
  <c r="S1011" i="4"/>
  <c r="U1004" i="4"/>
  <c r="V1004" i="4" s="1"/>
  <c r="T1004" i="4"/>
  <c r="S1004" i="4"/>
  <c r="U999" i="4"/>
  <c r="V999" i="4" s="1"/>
  <c r="T999" i="4"/>
  <c r="S999" i="4"/>
  <c r="U722" i="4"/>
  <c r="V722" i="4" s="1"/>
  <c r="T722" i="4"/>
  <c r="S722" i="4"/>
  <c r="U721" i="4"/>
  <c r="V721" i="4" s="1"/>
  <c r="T721" i="4"/>
  <c r="S721" i="4"/>
  <c r="U720" i="4"/>
  <c r="V720" i="4" s="1"/>
  <c r="T720" i="4"/>
  <c r="S720" i="4"/>
  <c r="U719" i="4"/>
  <c r="V719" i="4" s="1"/>
  <c r="T719" i="4"/>
  <c r="S719" i="4"/>
  <c r="U714" i="4"/>
  <c r="V714" i="4" s="1"/>
  <c r="T714" i="4"/>
  <c r="S714" i="4"/>
  <c r="U713" i="4"/>
  <c r="V713" i="4" s="1"/>
  <c r="T713" i="4"/>
  <c r="S713" i="4"/>
  <c r="U709" i="4"/>
  <c r="V709" i="4" s="1"/>
  <c r="T709" i="4"/>
  <c r="S709" i="4"/>
  <c r="U666" i="4"/>
  <c r="V666" i="4" s="1"/>
  <c r="T666" i="4"/>
  <c r="S666" i="4"/>
  <c r="U665" i="4"/>
  <c r="V665" i="4" s="1"/>
  <c r="T665" i="4"/>
  <c r="S665" i="4"/>
  <c r="U642" i="4"/>
  <c r="V642" i="4" s="1"/>
  <c r="T642" i="4"/>
  <c r="S642" i="4"/>
  <c r="U640" i="4"/>
  <c r="V640" i="4" s="1"/>
  <c r="T640" i="4"/>
  <c r="S640" i="4"/>
  <c r="U637" i="4"/>
  <c r="V637" i="4" s="1"/>
  <c r="T637" i="4"/>
  <c r="S637" i="4"/>
  <c r="U622" i="4"/>
  <c r="V622" i="4" s="1"/>
  <c r="T622" i="4"/>
  <c r="S622" i="4"/>
  <c r="U621" i="4"/>
  <c r="V621" i="4" s="1"/>
  <c r="T621" i="4"/>
  <c r="S621" i="4"/>
  <c r="U615" i="4"/>
  <c r="V615" i="4" s="1"/>
  <c r="T615" i="4"/>
  <c r="S615" i="4"/>
  <c r="U613" i="4"/>
  <c r="V613" i="4" s="1"/>
  <c r="T613" i="4"/>
  <c r="S613" i="4"/>
  <c r="U604" i="4"/>
  <c r="V604" i="4" s="1"/>
  <c r="T604" i="4"/>
  <c r="S604" i="4"/>
  <c r="U600" i="4"/>
  <c r="V600" i="4" s="1"/>
  <c r="T600" i="4"/>
  <c r="S600" i="4"/>
  <c r="U599" i="4"/>
  <c r="V599" i="4" s="1"/>
  <c r="T599" i="4"/>
  <c r="S599" i="4"/>
  <c r="U592" i="4"/>
  <c r="V592" i="4" s="1"/>
  <c r="T592" i="4"/>
  <c r="S592" i="4"/>
  <c r="U570" i="4"/>
  <c r="V570" i="4" s="1"/>
  <c r="T570" i="4"/>
  <c r="S570" i="4"/>
  <c r="U562" i="4"/>
  <c r="V562" i="4" s="1"/>
  <c r="T562" i="4"/>
  <c r="S562" i="4"/>
  <c r="U560" i="4"/>
  <c r="V560" i="4" s="1"/>
  <c r="T560" i="4"/>
  <c r="S560" i="4"/>
  <c r="U559" i="4"/>
  <c r="V559" i="4" s="1"/>
  <c r="T559" i="4"/>
  <c r="S559" i="4"/>
  <c r="U558" i="4"/>
  <c r="V558" i="4" s="1"/>
  <c r="T558" i="4"/>
  <c r="S558" i="4"/>
  <c r="U548" i="4"/>
  <c r="V548" i="4" s="1"/>
  <c r="T548" i="4"/>
  <c r="S548" i="4"/>
  <c r="U546" i="4"/>
  <c r="V546" i="4" s="1"/>
  <c r="T546" i="4"/>
  <c r="S546" i="4"/>
  <c r="U545" i="4"/>
  <c r="V545" i="4" s="1"/>
  <c r="T545" i="4"/>
  <c r="S545" i="4"/>
  <c r="U544" i="4"/>
  <c r="V544" i="4" s="1"/>
  <c r="T544" i="4"/>
  <c r="S544" i="4"/>
  <c r="U543" i="4"/>
  <c r="V543" i="4" s="1"/>
  <c r="T543" i="4"/>
  <c r="S543" i="4"/>
  <c r="U503" i="4"/>
  <c r="V503" i="4" s="1"/>
  <c r="T503" i="4"/>
  <c r="S503" i="4"/>
  <c r="U484" i="4"/>
  <c r="V484" i="4" s="1"/>
  <c r="T484" i="4"/>
  <c r="S484" i="4"/>
  <c r="U482" i="4"/>
  <c r="V482" i="4" s="1"/>
  <c r="T482" i="4"/>
  <c r="S482" i="4"/>
  <c r="U481" i="4"/>
  <c r="V481" i="4" s="1"/>
  <c r="T481" i="4"/>
  <c r="S481" i="4"/>
  <c r="U480" i="4"/>
  <c r="V480" i="4" s="1"/>
  <c r="T480" i="4"/>
  <c r="S480" i="4"/>
  <c r="U479" i="4"/>
  <c r="V479" i="4" s="1"/>
  <c r="T479" i="4"/>
  <c r="S479" i="4"/>
  <c r="U478" i="4"/>
  <c r="V478" i="4" s="1"/>
  <c r="T478" i="4"/>
  <c r="S478" i="4"/>
  <c r="U462" i="4"/>
  <c r="V462" i="4" s="1"/>
  <c r="T462" i="4"/>
  <c r="S462" i="4"/>
  <c r="U461" i="4"/>
  <c r="V461" i="4" s="1"/>
  <c r="T461" i="4"/>
  <c r="S461" i="4"/>
  <c r="U442" i="4"/>
  <c r="V442" i="4" s="1"/>
  <c r="T442" i="4"/>
  <c r="S442" i="4"/>
  <c r="U441" i="4"/>
  <c r="V441" i="4" s="1"/>
  <c r="T441" i="4"/>
  <c r="S441" i="4"/>
  <c r="U440" i="4"/>
  <c r="V440" i="4" s="1"/>
  <c r="T440" i="4"/>
  <c r="S440" i="4"/>
  <c r="U439" i="4"/>
  <c r="V439" i="4" s="1"/>
  <c r="T439" i="4"/>
  <c r="S439" i="4"/>
  <c r="U438" i="4"/>
  <c r="V438" i="4" s="1"/>
  <c r="T438" i="4"/>
  <c r="S438" i="4"/>
  <c r="U424" i="4"/>
  <c r="V424" i="4" s="1"/>
  <c r="T424" i="4"/>
  <c r="S424" i="4"/>
  <c r="U423" i="4"/>
  <c r="V423" i="4" s="1"/>
  <c r="T423" i="4"/>
  <c r="S423" i="4"/>
  <c r="U422" i="4"/>
  <c r="V422" i="4" s="1"/>
  <c r="T422" i="4"/>
  <c r="S422" i="4"/>
  <c r="U421" i="4"/>
  <c r="V421" i="4" s="1"/>
  <c r="T421" i="4"/>
  <c r="S421" i="4"/>
  <c r="U420" i="4"/>
  <c r="V420" i="4" s="1"/>
  <c r="T420" i="4"/>
  <c r="S420" i="4"/>
  <c r="U419" i="4"/>
  <c r="V419" i="4" s="1"/>
  <c r="T419" i="4"/>
  <c r="S419" i="4"/>
  <c r="U402" i="4"/>
  <c r="V402" i="4" s="1"/>
  <c r="T402" i="4"/>
  <c r="S402" i="4"/>
  <c r="U401" i="4"/>
  <c r="V401" i="4" s="1"/>
  <c r="T401" i="4"/>
  <c r="S401" i="4"/>
  <c r="U378" i="4"/>
  <c r="V378" i="4" s="1"/>
  <c r="T378" i="4"/>
  <c r="S378" i="4"/>
  <c r="U366" i="4"/>
  <c r="V366" i="4" s="1"/>
  <c r="T366" i="4"/>
  <c r="S366" i="4"/>
  <c r="U365" i="4"/>
  <c r="V365" i="4" s="1"/>
  <c r="T365" i="4"/>
  <c r="S365" i="4"/>
  <c r="U364" i="4"/>
  <c r="V364" i="4" s="1"/>
  <c r="T364" i="4"/>
  <c r="S364" i="4"/>
  <c r="U363" i="4"/>
  <c r="V363" i="4" s="1"/>
  <c r="T363" i="4"/>
  <c r="S363" i="4"/>
  <c r="U358" i="4"/>
  <c r="V358" i="4" s="1"/>
  <c r="T358" i="4"/>
  <c r="S358" i="4"/>
  <c r="U357" i="4"/>
  <c r="V357" i="4" s="1"/>
  <c r="T357" i="4"/>
  <c r="S357" i="4"/>
  <c r="U354" i="4"/>
  <c r="V354" i="4" s="1"/>
  <c r="T354" i="4"/>
  <c r="S354" i="4"/>
  <c r="U353" i="4"/>
  <c r="V353" i="4" s="1"/>
  <c r="T353" i="4"/>
  <c r="S353" i="4"/>
  <c r="U352" i="4"/>
  <c r="V352" i="4" s="1"/>
  <c r="T352" i="4"/>
  <c r="S352" i="4"/>
  <c r="U334" i="4"/>
  <c r="V334" i="4" s="1"/>
  <c r="T334" i="4"/>
  <c r="S334" i="4"/>
  <c r="U323" i="4"/>
  <c r="V323" i="4" s="1"/>
  <c r="T323" i="4"/>
  <c r="S323" i="4"/>
  <c r="U311" i="4"/>
  <c r="V311" i="4" s="1"/>
  <c r="T311" i="4"/>
  <c r="S311" i="4"/>
  <c r="U309" i="4"/>
  <c r="V309" i="4" s="1"/>
  <c r="T309" i="4"/>
  <c r="S309" i="4"/>
  <c r="U286" i="4"/>
  <c r="V286" i="4" s="1"/>
  <c r="T286" i="4"/>
  <c r="S286" i="4"/>
  <c r="U285" i="4"/>
  <c r="V285" i="4" s="1"/>
  <c r="T285" i="4"/>
  <c r="S285" i="4"/>
  <c r="U209" i="4"/>
  <c r="V209" i="4" s="1"/>
  <c r="T209" i="4"/>
  <c r="S209" i="4"/>
  <c r="U207" i="4"/>
  <c r="V207" i="4" s="1"/>
  <c r="T207" i="4"/>
  <c r="S207" i="4"/>
  <c r="U206" i="4"/>
  <c r="V206" i="4" s="1"/>
  <c r="T206" i="4"/>
  <c r="S206" i="4"/>
  <c r="U205" i="4"/>
  <c r="V205" i="4" s="1"/>
  <c r="T205" i="4"/>
  <c r="S205" i="4"/>
  <c r="U204" i="4"/>
  <c r="V204" i="4" s="1"/>
  <c r="T204" i="4"/>
  <c r="S204" i="4"/>
  <c r="U203" i="4"/>
  <c r="V203" i="4" s="1"/>
  <c r="T203" i="4"/>
  <c r="S203" i="4"/>
  <c r="U171" i="4"/>
  <c r="V171" i="4" s="1"/>
  <c r="T171" i="4"/>
  <c r="S171" i="4"/>
  <c r="U170" i="4"/>
  <c r="V170" i="4" s="1"/>
  <c r="T170" i="4"/>
  <c r="S170" i="4"/>
  <c r="U77" i="4"/>
  <c r="V77" i="4" s="1"/>
  <c r="T77" i="4"/>
  <c r="S77" i="4"/>
  <c r="U76" i="4"/>
  <c r="V76" i="4" s="1"/>
  <c r="T76" i="4"/>
  <c r="S76" i="4"/>
  <c r="U65" i="4"/>
  <c r="V65" i="4" s="1"/>
  <c r="T65" i="4"/>
  <c r="S65" i="4"/>
  <c r="U64" i="4"/>
  <c r="V64" i="4" s="1"/>
  <c r="T64" i="4"/>
  <c r="S64" i="4"/>
  <c r="U51" i="4"/>
  <c r="V51" i="4" s="1"/>
  <c r="T51" i="4"/>
  <c r="S51" i="4"/>
  <c r="U27" i="4"/>
  <c r="V27" i="4" s="1"/>
  <c r="T27" i="4"/>
  <c r="S27" i="4"/>
  <c r="U1435" i="4"/>
  <c r="V1435" i="4" s="1"/>
  <c r="T1435" i="4"/>
  <c r="S1435" i="4"/>
  <c r="U1434" i="4"/>
  <c r="V1434" i="4" s="1"/>
  <c r="T1434" i="4"/>
  <c r="S1434" i="4"/>
  <c r="U1433" i="4"/>
  <c r="V1433" i="4" s="1"/>
  <c r="T1433" i="4"/>
  <c r="S1433" i="4"/>
  <c r="U1432" i="4"/>
  <c r="V1432" i="4" s="1"/>
  <c r="T1432" i="4"/>
  <c r="S1432" i="4"/>
  <c r="U1188" i="4"/>
  <c r="V1188" i="4" s="1"/>
  <c r="T1188" i="4"/>
  <c r="S1188" i="4"/>
  <c r="U1187" i="4"/>
  <c r="V1187" i="4" s="1"/>
  <c r="T1187" i="4"/>
  <c r="S1187" i="4"/>
  <c r="U1186" i="4"/>
  <c r="V1186" i="4" s="1"/>
  <c r="T1186" i="4"/>
  <c r="S1186" i="4"/>
  <c r="U1147" i="4"/>
  <c r="V1147" i="4" s="1"/>
  <c r="T1147" i="4"/>
  <c r="S1147" i="4"/>
  <c r="U1146" i="4"/>
  <c r="V1146" i="4" s="1"/>
  <c r="T1146" i="4"/>
  <c r="S1146" i="4"/>
  <c r="U785" i="4"/>
  <c r="V785" i="4" s="1"/>
  <c r="T785" i="4"/>
  <c r="S785" i="4"/>
  <c r="U783" i="4"/>
  <c r="V783" i="4" s="1"/>
  <c r="T783" i="4"/>
  <c r="S783" i="4"/>
  <c r="U760" i="4"/>
  <c r="V760" i="4" s="1"/>
  <c r="T760" i="4"/>
  <c r="S760" i="4"/>
  <c r="U676" i="4"/>
  <c r="V676" i="4" s="1"/>
  <c r="T676" i="4"/>
  <c r="S676" i="4"/>
  <c r="U669" i="4"/>
  <c r="V669" i="4" s="1"/>
  <c r="T669" i="4"/>
  <c r="S669" i="4"/>
  <c r="U650" i="4"/>
  <c r="V650" i="4" s="1"/>
  <c r="T650" i="4"/>
  <c r="S650" i="4"/>
  <c r="U563" i="4"/>
  <c r="V563" i="4" s="1"/>
  <c r="T563" i="4"/>
  <c r="S563" i="4"/>
  <c r="U465" i="4"/>
  <c r="V465" i="4" s="1"/>
  <c r="T465" i="4"/>
  <c r="S465" i="4"/>
  <c r="U275" i="4"/>
  <c r="V275" i="4" s="1"/>
  <c r="T275" i="4"/>
  <c r="S275" i="4"/>
  <c r="U217" i="4"/>
  <c r="V217" i="4" s="1"/>
  <c r="T217" i="4"/>
  <c r="S217" i="4"/>
  <c r="U163" i="4"/>
  <c r="V163" i="4" s="1"/>
  <c r="T163" i="4"/>
  <c r="S163" i="4"/>
  <c r="U162" i="4"/>
  <c r="V162" i="4" s="1"/>
  <c r="T162" i="4"/>
  <c r="S162" i="4"/>
  <c r="U127" i="4"/>
  <c r="V127" i="4" s="1"/>
  <c r="T127" i="4"/>
  <c r="S127" i="4"/>
  <c r="U126" i="4"/>
  <c r="V126" i="4" s="1"/>
  <c r="T126" i="4"/>
  <c r="S126" i="4"/>
  <c r="U119" i="4"/>
  <c r="V119" i="4" s="1"/>
  <c r="T119" i="4"/>
  <c r="S119" i="4"/>
  <c r="U17" i="4"/>
  <c r="V17" i="4" s="1"/>
  <c r="T17" i="4"/>
  <c r="S17" i="4"/>
  <c r="U1314" i="4"/>
  <c r="V1314" i="4" s="1"/>
  <c r="T1314" i="4"/>
  <c r="S1314" i="4"/>
  <c r="U1288" i="4"/>
  <c r="V1288" i="4" s="1"/>
  <c r="T1288" i="4"/>
  <c r="S1288" i="4"/>
  <c r="U1286" i="4"/>
  <c r="V1286" i="4" s="1"/>
  <c r="T1286" i="4"/>
  <c r="S1286" i="4"/>
  <c r="U1218" i="4"/>
  <c r="V1218" i="4" s="1"/>
  <c r="T1218" i="4"/>
  <c r="S1218" i="4"/>
  <c r="U1215" i="4"/>
  <c r="V1215" i="4" s="1"/>
  <c r="T1215" i="4"/>
  <c r="S1215" i="4"/>
  <c r="U1214" i="4"/>
  <c r="V1214" i="4" s="1"/>
  <c r="T1214" i="4"/>
  <c r="S1214" i="4"/>
  <c r="U1213" i="4"/>
  <c r="V1213" i="4" s="1"/>
  <c r="T1213" i="4"/>
  <c r="S1213" i="4"/>
  <c r="U1212" i="4"/>
  <c r="V1212" i="4" s="1"/>
  <c r="T1212" i="4"/>
  <c r="S1212" i="4"/>
  <c r="U1207" i="4"/>
  <c r="V1207" i="4" s="1"/>
  <c r="T1207" i="4"/>
  <c r="S1207" i="4"/>
  <c r="U1206" i="4"/>
  <c r="V1206" i="4" s="1"/>
  <c r="T1206" i="4"/>
  <c r="S1206" i="4"/>
  <c r="U1108" i="4"/>
  <c r="V1108" i="4" s="1"/>
  <c r="T1108" i="4"/>
  <c r="S1108" i="4"/>
  <c r="U1016" i="4"/>
  <c r="V1016" i="4" s="1"/>
  <c r="T1016" i="4"/>
  <c r="S1016" i="4"/>
  <c r="U1014" i="4"/>
  <c r="V1014" i="4" s="1"/>
  <c r="T1014" i="4"/>
  <c r="S1014" i="4"/>
  <c r="U851" i="4"/>
  <c r="V851" i="4" s="1"/>
  <c r="T851" i="4"/>
  <c r="S851" i="4"/>
  <c r="U833" i="4"/>
  <c r="V833" i="4" s="1"/>
  <c r="T833" i="4"/>
  <c r="S833" i="4"/>
  <c r="U710" i="4"/>
  <c r="V710" i="4" s="1"/>
  <c r="T710" i="4"/>
  <c r="S710" i="4"/>
  <c r="U641" i="4"/>
  <c r="V641" i="4" s="1"/>
  <c r="T641" i="4"/>
  <c r="S641" i="4"/>
  <c r="U624" i="4"/>
  <c r="V624" i="4" s="1"/>
  <c r="T624" i="4"/>
  <c r="S624" i="4"/>
  <c r="U619" i="4"/>
  <c r="V619" i="4" s="1"/>
  <c r="T619" i="4"/>
  <c r="S619" i="4"/>
  <c r="U618" i="4"/>
  <c r="V618" i="4" s="1"/>
  <c r="T618" i="4"/>
  <c r="S618" i="4"/>
  <c r="U617" i="4"/>
  <c r="V617" i="4" s="1"/>
  <c r="T617" i="4"/>
  <c r="S617" i="4"/>
  <c r="U616" i="4"/>
  <c r="V616" i="4" s="1"/>
  <c r="T616" i="4"/>
  <c r="S616" i="4"/>
  <c r="U614" i="4"/>
  <c r="V614" i="4" s="1"/>
  <c r="T614" i="4"/>
  <c r="S614" i="4"/>
  <c r="U561" i="4"/>
  <c r="V561" i="4" s="1"/>
  <c r="T561" i="4"/>
  <c r="S561" i="4"/>
  <c r="U526" i="4"/>
  <c r="V526" i="4" s="1"/>
  <c r="T526" i="4"/>
  <c r="S526" i="4"/>
  <c r="U525" i="4"/>
  <c r="V525" i="4" s="1"/>
  <c r="T525" i="4"/>
  <c r="S525" i="4"/>
  <c r="U524" i="4"/>
  <c r="V524" i="4" s="1"/>
  <c r="T524" i="4"/>
  <c r="S524" i="4"/>
  <c r="U522" i="4"/>
  <c r="V522" i="4" s="1"/>
  <c r="T522" i="4"/>
  <c r="S522" i="4"/>
  <c r="U518" i="4"/>
  <c r="V518" i="4" s="1"/>
  <c r="T518" i="4"/>
  <c r="S518" i="4"/>
  <c r="U489" i="4"/>
  <c r="V489" i="4" s="1"/>
  <c r="T489" i="4"/>
  <c r="S489" i="4"/>
  <c r="U488" i="4"/>
  <c r="V488" i="4" s="1"/>
  <c r="T488" i="4"/>
  <c r="S488" i="4"/>
  <c r="U428" i="4"/>
  <c r="V428" i="4" s="1"/>
  <c r="T428" i="4"/>
  <c r="S428" i="4"/>
  <c r="U426" i="4"/>
  <c r="V426" i="4" s="1"/>
  <c r="T426" i="4"/>
  <c r="S426" i="4"/>
  <c r="U418" i="4"/>
  <c r="V418" i="4" s="1"/>
  <c r="T418" i="4"/>
  <c r="S418" i="4"/>
  <c r="U414" i="4"/>
  <c r="V414" i="4" s="1"/>
  <c r="T414" i="4"/>
  <c r="S414" i="4"/>
  <c r="U412" i="4"/>
  <c r="V412" i="4" s="1"/>
  <c r="T412" i="4"/>
  <c r="S412" i="4"/>
  <c r="U410" i="4"/>
  <c r="V410" i="4" s="1"/>
  <c r="T410" i="4"/>
  <c r="S410" i="4"/>
  <c r="U408" i="4"/>
  <c r="V408" i="4" s="1"/>
  <c r="T408" i="4"/>
  <c r="S408" i="4"/>
  <c r="U403" i="4"/>
  <c r="V403" i="4" s="1"/>
  <c r="T403" i="4"/>
  <c r="S403" i="4"/>
  <c r="U390" i="4"/>
  <c r="V390" i="4" s="1"/>
  <c r="T390" i="4"/>
  <c r="S390" i="4"/>
  <c r="U387" i="4"/>
  <c r="V387" i="4" s="1"/>
  <c r="T387" i="4"/>
  <c r="S387" i="4"/>
  <c r="U386" i="4"/>
  <c r="V386" i="4" s="1"/>
  <c r="T386" i="4"/>
  <c r="S386" i="4"/>
  <c r="U350" i="4"/>
  <c r="V350" i="4" s="1"/>
  <c r="T350" i="4"/>
  <c r="S350" i="4"/>
  <c r="U349" i="4"/>
  <c r="V349" i="4" s="1"/>
  <c r="T349" i="4"/>
  <c r="S349" i="4"/>
  <c r="U301" i="4"/>
  <c r="V301" i="4" s="1"/>
  <c r="T301" i="4"/>
  <c r="S301" i="4"/>
  <c r="U300" i="4"/>
  <c r="V300" i="4" s="1"/>
  <c r="T300" i="4"/>
  <c r="S300" i="4"/>
  <c r="U290" i="4"/>
  <c r="V290" i="4" s="1"/>
  <c r="T290" i="4"/>
  <c r="S290" i="4"/>
  <c r="U289" i="4"/>
  <c r="V289" i="4" s="1"/>
  <c r="T289" i="4"/>
  <c r="S289" i="4"/>
  <c r="U288" i="4"/>
  <c r="V288" i="4" s="1"/>
  <c r="T288" i="4"/>
  <c r="S288" i="4"/>
  <c r="U281" i="4"/>
  <c r="V281" i="4" s="1"/>
  <c r="T281" i="4"/>
  <c r="S281" i="4"/>
  <c r="U279" i="4"/>
  <c r="V279" i="4" s="1"/>
  <c r="T279" i="4"/>
  <c r="S279" i="4"/>
  <c r="U268" i="4"/>
  <c r="V268" i="4" s="1"/>
  <c r="T268" i="4"/>
  <c r="S268" i="4"/>
  <c r="U267" i="4"/>
  <c r="V267" i="4" s="1"/>
  <c r="T267" i="4"/>
  <c r="S267" i="4"/>
  <c r="U264" i="4"/>
  <c r="V264" i="4" s="1"/>
  <c r="T264" i="4"/>
  <c r="S264" i="4"/>
  <c r="U263" i="4"/>
  <c r="V263" i="4" s="1"/>
  <c r="T263" i="4"/>
  <c r="S263" i="4"/>
  <c r="U262" i="4"/>
  <c r="V262" i="4" s="1"/>
  <c r="T262" i="4"/>
  <c r="S262" i="4"/>
  <c r="U261" i="4"/>
  <c r="V261" i="4" s="1"/>
  <c r="T261" i="4"/>
  <c r="S261" i="4"/>
  <c r="U211" i="4"/>
  <c r="V211" i="4" s="1"/>
  <c r="T211" i="4"/>
  <c r="S211" i="4"/>
  <c r="U208" i="4"/>
  <c r="V208" i="4" s="1"/>
  <c r="T208" i="4"/>
  <c r="S208" i="4"/>
  <c r="U169" i="4"/>
  <c r="V169" i="4" s="1"/>
  <c r="T169" i="4"/>
  <c r="S169" i="4"/>
  <c r="U168" i="4"/>
  <c r="V168" i="4" s="1"/>
  <c r="T168" i="4"/>
  <c r="S168" i="4"/>
  <c r="U130" i="4"/>
  <c r="V130" i="4" s="1"/>
  <c r="T130" i="4"/>
  <c r="S130" i="4"/>
  <c r="U101" i="4"/>
  <c r="V101" i="4" s="1"/>
  <c r="T101" i="4"/>
  <c r="S101" i="4"/>
  <c r="U100" i="4"/>
  <c r="V100" i="4" s="1"/>
  <c r="T100" i="4"/>
  <c r="S100" i="4"/>
  <c r="U75" i="4"/>
  <c r="V75" i="4" s="1"/>
  <c r="T75" i="4"/>
  <c r="S75" i="4"/>
  <c r="U56" i="4"/>
  <c r="V56" i="4" s="1"/>
  <c r="T56" i="4"/>
  <c r="S56" i="4"/>
  <c r="U55" i="4"/>
  <c r="V55" i="4" s="1"/>
  <c r="T55" i="4"/>
  <c r="S55" i="4"/>
  <c r="U54" i="4"/>
  <c r="V54" i="4" s="1"/>
  <c r="T54" i="4"/>
  <c r="S54" i="4"/>
  <c r="U53" i="4"/>
  <c r="V53" i="4" s="1"/>
  <c r="T53" i="4"/>
  <c r="S53" i="4"/>
  <c r="U52" i="4"/>
  <c r="V52" i="4" s="1"/>
  <c r="T52" i="4"/>
  <c r="S52" i="4"/>
  <c r="U50" i="4"/>
  <c r="V50" i="4" s="1"/>
  <c r="T50" i="4"/>
  <c r="S50" i="4"/>
  <c r="U717" i="4"/>
  <c r="V717" i="4" s="1"/>
  <c r="T717" i="4"/>
  <c r="S717" i="4"/>
  <c r="U249" i="4"/>
  <c r="V249" i="4" s="1"/>
  <c r="T249" i="4"/>
  <c r="S249" i="4"/>
  <c r="U1413" i="4"/>
  <c r="V1413" i="4" s="1"/>
  <c r="T1413" i="4"/>
  <c r="S1413" i="4"/>
  <c r="U1307" i="4"/>
  <c r="V1307" i="4" s="1"/>
  <c r="T1307" i="4"/>
  <c r="S1307" i="4"/>
  <c r="U1306" i="4"/>
  <c r="V1306" i="4" s="1"/>
  <c r="T1306" i="4"/>
  <c r="S1306" i="4"/>
  <c r="U1065" i="4"/>
  <c r="V1065" i="4" s="1"/>
  <c r="T1065" i="4"/>
  <c r="S1065" i="4"/>
  <c r="U1064" i="4"/>
  <c r="V1064" i="4" s="1"/>
  <c r="T1064" i="4"/>
  <c r="S1064" i="4"/>
  <c r="U1063" i="4"/>
  <c r="V1063" i="4" s="1"/>
  <c r="T1063" i="4"/>
  <c r="S1063" i="4"/>
  <c r="U1062" i="4"/>
  <c r="V1062" i="4" s="1"/>
  <c r="T1062" i="4"/>
  <c r="S1062" i="4"/>
  <c r="U1061" i="4"/>
  <c r="V1061" i="4" s="1"/>
  <c r="T1061" i="4"/>
  <c r="S1061" i="4"/>
  <c r="U884" i="4"/>
  <c r="V884" i="4" s="1"/>
  <c r="T884" i="4"/>
  <c r="S884" i="4"/>
  <c r="U826" i="4"/>
  <c r="V826" i="4" s="1"/>
  <c r="T826" i="4"/>
  <c r="S826" i="4"/>
  <c r="U803" i="4"/>
  <c r="V803" i="4" s="1"/>
  <c r="T803" i="4"/>
  <c r="S803" i="4"/>
  <c r="U802" i="4"/>
  <c r="V802" i="4" s="1"/>
  <c r="T802" i="4"/>
  <c r="S802" i="4"/>
  <c r="U730" i="4"/>
  <c r="V730" i="4" s="1"/>
  <c r="T730" i="4"/>
  <c r="S730" i="4"/>
  <c r="U36" i="4"/>
  <c r="V36" i="4" s="1"/>
  <c r="T36" i="4"/>
  <c r="S36" i="4"/>
  <c r="U16" i="4"/>
  <c r="V16" i="4" s="1"/>
  <c r="T16" i="4"/>
  <c r="S16" i="4"/>
  <c r="U15" i="4"/>
  <c r="V15" i="4" s="1"/>
  <c r="T15" i="4"/>
  <c r="S15" i="4"/>
  <c r="U14" i="4"/>
  <c r="V14" i="4" s="1"/>
  <c r="T14" i="4"/>
  <c r="S14" i="4"/>
  <c r="U1010" i="4"/>
  <c r="V1010" i="4" s="1"/>
  <c r="T1010" i="4"/>
  <c r="S1010" i="4"/>
  <c r="U213" i="4"/>
  <c r="V213" i="4" s="1"/>
  <c r="T213" i="4"/>
  <c r="S213" i="4"/>
  <c r="U1321" i="4"/>
  <c r="V1321" i="4" s="1"/>
  <c r="T1321" i="4"/>
  <c r="S1321" i="4"/>
  <c r="U1296" i="4"/>
  <c r="V1296" i="4" s="1"/>
  <c r="T1296" i="4"/>
  <c r="S1296" i="4"/>
  <c r="U1002" i="4"/>
  <c r="V1002" i="4" s="1"/>
  <c r="T1002" i="4"/>
  <c r="S1002" i="4"/>
  <c r="U962" i="4"/>
  <c r="V962" i="4" s="1"/>
  <c r="T962" i="4"/>
  <c r="S962" i="4"/>
  <c r="U960" i="4"/>
  <c r="V960" i="4" s="1"/>
  <c r="T960" i="4"/>
  <c r="S960" i="4"/>
  <c r="U956" i="4"/>
  <c r="V956" i="4" s="1"/>
  <c r="T956" i="4"/>
  <c r="S956" i="4"/>
  <c r="U950" i="4"/>
  <c r="V950" i="4" s="1"/>
  <c r="T950" i="4"/>
  <c r="S950" i="4"/>
  <c r="U935" i="4"/>
  <c r="V935" i="4" s="1"/>
  <c r="T935" i="4"/>
  <c r="S935" i="4"/>
  <c r="U908" i="4"/>
  <c r="V908" i="4" s="1"/>
  <c r="T908" i="4"/>
  <c r="S908" i="4"/>
  <c r="U896" i="4"/>
  <c r="V896" i="4" s="1"/>
  <c r="T896" i="4"/>
  <c r="S896" i="4"/>
  <c r="U784" i="4"/>
  <c r="V784" i="4" s="1"/>
  <c r="T784" i="4"/>
  <c r="S784" i="4"/>
  <c r="U782" i="4"/>
  <c r="V782" i="4" s="1"/>
  <c r="T782" i="4"/>
  <c r="S782" i="4"/>
  <c r="U738" i="4"/>
  <c r="V738" i="4" s="1"/>
  <c r="T738" i="4"/>
  <c r="S738" i="4"/>
  <c r="U473" i="4"/>
  <c r="V473" i="4" s="1"/>
  <c r="T473" i="4"/>
  <c r="S473" i="4"/>
  <c r="U456" i="4"/>
  <c r="V456" i="4" s="1"/>
  <c r="T456" i="4"/>
  <c r="S456" i="4"/>
  <c r="U219" i="4"/>
  <c r="V219" i="4" s="1"/>
  <c r="T219" i="4"/>
  <c r="S219" i="4"/>
  <c r="U161" i="4"/>
  <c r="V161" i="4" s="1"/>
  <c r="T161" i="4"/>
  <c r="S161" i="4"/>
  <c r="U49" i="4"/>
  <c r="V49" i="4" s="1"/>
  <c r="T49" i="4"/>
  <c r="S49" i="4"/>
  <c r="U1232" i="4"/>
  <c r="V1232" i="4" s="1"/>
  <c r="T1232" i="4"/>
  <c r="S1232" i="4"/>
  <c r="R1391" i="4"/>
  <c r="U1231" i="4"/>
  <c r="T1231" i="4"/>
  <c r="T1391" i="4" s="1"/>
  <c r="S1231" i="4"/>
  <c r="S1391" i="4" s="1"/>
  <c r="U1179" i="4"/>
  <c r="V1179" i="4" s="1"/>
  <c r="T1179" i="4"/>
  <c r="S1179" i="4"/>
  <c r="U1178" i="4"/>
  <c r="V1178" i="4" s="1"/>
  <c r="T1178" i="4"/>
  <c r="S1178" i="4"/>
  <c r="U1177" i="4"/>
  <c r="V1177" i="4" s="1"/>
  <c r="T1177" i="4"/>
  <c r="S1177" i="4"/>
  <c r="U639" i="4"/>
  <c r="V639" i="4" s="1"/>
  <c r="T639" i="4"/>
  <c r="S639" i="4"/>
  <c r="U547" i="4"/>
  <c r="V547" i="4" s="1"/>
  <c r="T547" i="4"/>
  <c r="S547" i="4"/>
  <c r="U499" i="4"/>
  <c r="V499" i="4" s="1"/>
  <c r="T499" i="4"/>
  <c r="S499" i="4"/>
  <c r="U483" i="4"/>
  <c r="V483" i="4" s="1"/>
  <c r="T483" i="4"/>
  <c r="S483" i="4"/>
  <c r="U320" i="4"/>
  <c r="V320" i="4" s="1"/>
  <c r="T320" i="4"/>
  <c r="S320" i="4"/>
  <c r="U312" i="4"/>
  <c r="V312" i="4" s="1"/>
  <c r="T312" i="4"/>
  <c r="S312" i="4"/>
  <c r="U310" i="4"/>
  <c r="V310" i="4" s="1"/>
  <c r="T310" i="4"/>
  <c r="S310" i="4"/>
  <c r="U303" i="4"/>
  <c r="V303" i="4" s="1"/>
  <c r="T303" i="4"/>
  <c r="S303" i="4"/>
  <c r="U1401" i="4"/>
  <c r="V1401" i="4" s="1"/>
  <c r="T1401" i="4"/>
  <c r="S1401" i="4"/>
  <c r="U1209" i="4"/>
  <c r="V1209" i="4" s="1"/>
  <c r="T1209" i="4"/>
  <c r="S1209" i="4"/>
  <c r="U1189" i="4"/>
  <c r="V1189" i="4" s="1"/>
  <c r="T1189" i="4"/>
  <c r="S1189" i="4"/>
  <c r="U1149" i="4"/>
  <c r="V1149" i="4" s="1"/>
  <c r="T1149" i="4"/>
  <c r="S1149" i="4"/>
  <c r="U1113" i="4"/>
  <c r="V1113" i="4" s="1"/>
  <c r="T1113" i="4"/>
  <c r="S1113" i="4"/>
  <c r="U573" i="4"/>
  <c r="V573" i="4" s="1"/>
  <c r="T573" i="4"/>
  <c r="S573" i="4"/>
  <c r="U494" i="4"/>
  <c r="V494" i="4" s="1"/>
  <c r="T494" i="4"/>
  <c r="S494" i="4"/>
  <c r="U382" i="4"/>
  <c r="V382" i="4" s="1"/>
  <c r="T382" i="4"/>
  <c r="S382" i="4"/>
  <c r="U341" i="4"/>
  <c r="V341" i="4" s="1"/>
  <c r="T341" i="4"/>
  <c r="S341" i="4"/>
  <c r="U298" i="4"/>
  <c r="V298" i="4" s="1"/>
  <c r="T298" i="4"/>
  <c r="S298" i="4"/>
  <c r="U1305" i="4"/>
  <c r="V1305" i="4" s="1"/>
  <c r="T1305" i="4"/>
  <c r="S1305" i="4"/>
  <c r="U1400" i="4"/>
  <c r="V1400" i="4" s="1"/>
  <c r="T1400" i="4"/>
  <c r="S1400" i="4"/>
  <c r="U647" i="4"/>
  <c r="V647" i="4" s="1"/>
  <c r="T647" i="4"/>
  <c r="S647" i="4"/>
  <c r="U1443" i="4"/>
  <c r="V1443" i="4" s="1"/>
  <c r="T1443" i="4"/>
  <c r="S1443" i="4"/>
  <c r="U1442" i="4"/>
  <c r="V1442" i="4" s="1"/>
  <c r="T1442" i="4"/>
  <c r="S1442" i="4"/>
  <c r="U1383" i="4"/>
  <c r="V1383" i="4" s="1"/>
  <c r="T1383" i="4"/>
  <c r="S1383" i="4"/>
  <c r="U1372" i="4"/>
  <c r="V1372" i="4" s="1"/>
  <c r="T1372" i="4"/>
  <c r="S1372" i="4"/>
  <c r="U1371" i="4"/>
  <c r="V1371" i="4" s="1"/>
  <c r="T1371" i="4"/>
  <c r="S1371" i="4"/>
  <c r="U1349" i="4"/>
  <c r="V1349" i="4" s="1"/>
  <c r="T1349" i="4"/>
  <c r="S1349" i="4"/>
  <c r="U1337" i="4"/>
  <c r="V1337" i="4" s="1"/>
  <c r="T1337" i="4"/>
  <c r="S1337" i="4"/>
  <c r="U1336" i="4"/>
  <c r="V1336" i="4" s="1"/>
  <c r="T1336" i="4"/>
  <c r="S1336" i="4"/>
  <c r="U1172" i="4"/>
  <c r="V1172" i="4" s="1"/>
  <c r="T1172" i="4"/>
  <c r="S1172" i="4"/>
  <c r="U1171" i="4"/>
  <c r="V1171" i="4" s="1"/>
  <c r="T1171" i="4"/>
  <c r="S1171" i="4"/>
  <c r="U1170" i="4"/>
  <c r="V1170" i="4" s="1"/>
  <c r="T1170" i="4"/>
  <c r="S1170" i="4"/>
  <c r="U1169" i="4"/>
  <c r="V1169" i="4" s="1"/>
  <c r="T1169" i="4"/>
  <c r="S1169" i="4"/>
  <c r="U1168" i="4"/>
  <c r="V1168" i="4" s="1"/>
  <c r="T1168" i="4"/>
  <c r="S1168" i="4"/>
  <c r="U1145" i="4"/>
  <c r="V1145" i="4" s="1"/>
  <c r="T1145" i="4"/>
  <c r="S1145" i="4"/>
  <c r="U1143" i="4"/>
  <c r="V1143" i="4" s="1"/>
  <c r="T1143" i="4"/>
  <c r="S1143" i="4"/>
  <c r="U1142" i="4"/>
  <c r="V1142" i="4" s="1"/>
  <c r="T1142" i="4"/>
  <c r="S1142" i="4"/>
  <c r="U1134" i="4"/>
  <c r="V1134" i="4" s="1"/>
  <c r="T1134" i="4"/>
  <c r="S1134" i="4"/>
  <c r="U1132" i="4"/>
  <c r="V1132" i="4" s="1"/>
  <c r="T1132" i="4"/>
  <c r="S1132" i="4"/>
  <c r="U1077" i="4"/>
  <c r="V1077" i="4" s="1"/>
  <c r="T1077" i="4"/>
  <c r="S1077" i="4"/>
  <c r="U1057" i="4"/>
  <c r="V1057" i="4" s="1"/>
  <c r="T1057" i="4"/>
  <c r="S1057" i="4"/>
  <c r="U1056" i="4"/>
  <c r="V1056" i="4" s="1"/>
  <c r="T1056" i="4"/>
  <c r="S1056" i="4"/>
  <c r="U1055" i="4"/>
  <c r="V1055" i="4" s="1"/>
  <c r="T1055" i="4"/>
  <c r="S1055" i="4"/>
  <c r="U1054" i="4"/>
  <c r="V1054" i="4" s="1"/>
  <c r="T1054" i="4"/>
  <c r="S1054" i="4"/>
  <c r="U1030" i="4"/>
  <c r="V1030" i="4" s="1"/>
  <c r="T1030" i="4"/>
  <c r="S1030" i="4"/>
  <c r="U1017" i="4"/>
  <c r="V1017" i="4" s="1"/>
  <c r="T1017" i="4"/>
  <c r="S1017" i="4"/>
  <c r="U997" i="4"/>
  <c r="V997" i="4" s="1"/>
  <c r="T997" i="4"/>
  <c r="S997" i="4"/>
  <c r="U993" i="4"/>
  <c r="V993" i="4" s="1"/>
  <c r="T993" i="4"/>
  <c r="S993" i="4"/>
  <c r="U986" i="4"/>
  <c r="V986" i="4" s="1"/>
  <c r="T986" i="4"/>
  <c r="S986" i="4"/>
  <c r="U939" i="4"/>
  <c r="V939" i="4" s="1"/>
  <c r="T939" i="4"/>
  <c r="S939" i="4"/>
  <c r="U938" i="4"/>
  <c r="V938" i="4" s="1"/>
  <c r="T938" i="4"/>
  <c r="S938" i="4"/>
  <c r="U937" i="4"/>
  <c r="V937" i="4" s="1"/>
  <c r="T937" i="4"/>
  <c r="S937" i="4"/>
  <c r="U936" i="4"/>
  <c r="V936" i="4" s="1"/>
  <c r="T936" i="4"/>
  <c r="S936" i="4"/>
  <c r="U934" i="4"/>
  <c r="V934" i="4" s="1"/>
  <c r="T934" i="4"/>
  <c r="S934" i="4"/>
  <c r="U932" i="4"/>
  <c r="V932" i="4" s="1"/>
  <c r="T932" i="4"/>
  <c r="S932" i="4"/>
  <c r="U931" i="4"/>
  <c r="V931" i="4" s="1"/>
  <c r="T931" i="4"/>
  <c r="S931" i="4"/>
  <c r="U930" i="4"/>
  <c r="V930" i="4" s="1"/>
  <c r="T930" i="4"/>
  <c r="S930" i="4"/>
  <c r="U929" i="4"/>
  <c r="V929" i="4" s="1"/>
  <c r="T929" i="4"/>
  <c r="S929" i="4"/>
  <c r="U928" i="4"/>
  <c r="V928" i="4" s="1"/>
  <c r="T928" i="4"/>
  <c r="S928" i="4"/>
  <c r="U927" i="4"/>
  <c r="V927" i="4" s="1"/>
  <c r="T927" i="4"/>
  <c r="S927" i="4"/>
  <c r="U926" i="4"/>
  <c r="V926" i="4" s="1"/>
  <c r="T926" i="4"/>
  <c r="S926" i="4"/>
  <c r="U925" i="4"/>
  <c r="V925" i="4" s="1"/>
  <c r="T925" i="4"/>
  <c r="S925" i="4"/>
  <c r="U924" i="4"/>
  <c r="V924" i="4" s="1"/>
  <c r="T924" i="4"/>
  <c r="S924" i="4"/>
  <c r="U922" i="4"/>
  <c r="V922" i="4" s="1"/>
  <c r="T922" i="4"/>
  <c r="S922" i="4"/>
  <c r="U920" i="4"/>
  <c r="V920" i="4" s="1"/>
  <c r="T920" i="4"/>
  <c r="S920" i="4"/>
  <c r="U910" i="4"/>
  <c r="V910" i="4" s="1"/>
  <c r="T910" i="4"/>
  <c r="S910" i="4"/>
  <c r="U907" i="4"/>
  <c r="V907" i="4" s="1"/>
  <c r="T907" i="4"/>
  <c r="S907" i="4"/>
  <c r="U857" i="4"/>
  <c r="V857" i="4" s="1"/>
  <c r="T857" i="4"/>
  <c r="S857" i="4"/>
  <c r="U856" i="4"/>
  <c r="V856" i="4" s="1"/>
  <c r="T856" i="4"/>
  <c r="S856" i="4"/>
  <c r="U853" i="4"/>
  <c r="V853" i="4" s="1"/>
  <c r="T853" i="4"/>
  <c r="S853" i="4"/>
  <c r="U852" i="4"/>
  <c r="V852" i="4" s="1"/>
  <c r="T852" i="4"/>
  <c r="S852" i="4"/>
  <c r="U839" i="4"/>
  <c r="V839" i="4" s="1"/>
  <c r="T839" i="4"/>
  <c r="S839" i="4"/>
  <c r="U838" i="4"/>
  <c r="V838" i="4" s="1"/>
  <c r="T838" i="4"/>
  <c r="S838" i="4"/>
  <c r="U836" i="4"/>
  <c r="V836" i="4" s="1"/>
  <c r="T836" i="4"/>
  <c r="S836" i="4"/>
  <c r="U789" i="4"/>
  <c r="V789" i="4" s="1"/>
  <c r="T789" i="4"/>
  <c r="S789" i="4"/>
  <c r="U788" i="4"/>
  <c r="V788" i="4" s="1"/>
  <c r="T788" i="4"/>
  <c r="S788" i="4"/>
  <c r="U787" i="4"/>
  <c r="V787" i="4" s="1"/>
  <c r="T787" i="4"/>
  <c r="S787" i="4"/>
  <c r="U781" i="4"/>
  <c r="V781" i="4" s="1"/>
  <c r="T781" i="4"/>
  <c r="S781" i="4"/>
  <c r="U774" i="4"/>
  <c r="V774" i="4" s="1"/>
  <c r="T774" i="4"/>
  <c r="S774" i="4"/>
  <c r="U773" i="4"/>
  <c r="V773" i="4" s="1"/>
  <c r="T773" i="4"/>
  <c r="S773" i="4"/>
  <c r="U772" i="4"/>
  <c r="V772" i="4" s="1"/>
  <c r="T772" i="4"/>
  <c r="S772" i="4"/>
  <c r="U771" i="4"/>
  <c r="V771" i="4" s="1"/>
  <c r="T771" i="4"/>
  <c r="S771" i="4"/>
  <c r="U770" i="4"/>
  <c r="V770" i="4" s="1"/>
  <c r="T770" i="4"/>
  <c r="S770" i="4"/>
  <c r="U769" i="4"/>
  <c r="V769" i="4" s="1"/>
  <c r="T769" i="4"/>
  <c r="S769" i="4"/>
  <c r="U763" i="4"/>
  <c r="V763" i="4" s="1"/>
  <c r="T763" i="4"/>
  <c r="S763" i="4"/>
  <c r="U743" i="4"/>
  <c r="V743" i="4" s="1"/>
  <c r="T743" i="4"/>
  <c r="S743" i="4"/>
  <c r="U741" i="4"/>
  <c r="V741" i="4" s="1"/>
  <c r="T741" i="4"/>
  <c r="S741" i="4"/>
  <c r="U740" i="4"/>
  <c r="V740" i="4" s="1"/>
  <c r="T740" i="4"/>
  <c r="S740" i="4"/>
  <c r="U739" i="4"/>
  <c r="V739" i="4" s="1"/>
  <c r="T739" i="4"/>
  <c r="S739" i="4"/>
  <c r="U677" i="4"/>
  <c r="V677" i="4" s="1"/>
  <c r="T677" i="4"/>
  <c r="S677" i="4"/>
  <c r="U674" i="4"/>
  <c r="V674" i="4" s="1"/>
  <c r="T674" i="4"/>
  <c r="S674" i="4"/>
  <c r="U673" i="4"/>
  <c r="V673" i="4" s="1"/>
  <c r="T673" i="4"/>
  <c r="S673" i="4"/>
  <c r="U672" i="4"/>
  <c r="V672" i="4" s="1"/>
  <c r="T672" i="4"/>
  <c r="S672" i="4"/>
  <c r="U671" i="4"/>
  <c r="V671" i="4" s="1"/>
  <c r="T671" i="4"/>
  <c r="S671" i="4"/>
  <c r="U668" i="4"/>
  <c r="V668" i="4" s="1"/>
  <c r="T668" i="4"/>
  <c r="S668" i="4"/>
  <c r="U627" i="4"/>
  <c r="V627" i="4" s="1"/>
  <c r="T627" i="4"/>
  <c r="S627" i="4"/>
  <c r="U588" i="4"/>
  <c r="V588" i="4" s="1"/>
  <c r="T588" i="4"/>
  <c r="S588" i="4"/>
  <c r="U567" i="4"/>
  <c r="V567" i="4" s="1"/>
  <c r="T567" i="4"/>
  <c r="S567" i="4"/>
  <c r="U555" i="4"/>
  <c r="V555" i="4" s="1"/>
  <c r="T555" i="4"/>
  <c r="S555" i="4"/>
  <c r="U553" i="4"/>
  <c r="V553" i="4" s="1"/>
  <c r="T553" i="4"/>
  <c r="S553" i="4"/>
  <c r="U552" i="4"/>
  <c r="V552" i="4" s="1"/>
  <c r="T552" i="4"/>
  <c r="S552" i="4"/>
  <c r="U551" i="4"/>
  <c r="V551" i="4" s="1"/>
  <c r="T551" i="4"/>
  <c r="S551" i="4"/>
  <c r="U550" i="4"/>
  <c r="V550" i="4" s="1"/>
  <c r="T550" i="4"/>
  <c r="S550" i="4"/>
  <c r="U549" i="4"/>
  <c r="V549" i="4" s="1"/>
  <c r="T549" i="4"/>
  <c r="S549" i="4"/>
  <c r="U541" i="4"/>
  <c r="V541" i="4" s="1"/>
  <c r="T541" i="4"/>
  <c r="S541" i="4"/>
  <c r="U539" i="4"/>
  <c r="V539" i="4" s="1"/>
  <c r="T539" i="4"/>
  <c r="S539" i="4"/>
  <c r="U529" i="4"/>
  <c r="V529" i="4" s="1"/>
  <c r="T529" i="4"/>
  <c r="S529" i="4"/>
  <c r="U476" i="4"/>
  <c r="V476" i="4" s="1"/>
  <c r="T476" i="4"/>
  <c r="S476" i="4"/>
  <c r="U413" i="4"/>
  <c r="V413" i="4" s="1"/>
  <c r="T413" i="4"/>
  <c r="S413" i="4"/>
  <c r="U411" i="4"/>
  <c r="V411" i="4" s="1"/>
  <c r="T411" i="4"/>
  <c r="S411" i="4"/>
  <c r="U409" i="4"/>
  <c r="V409" i="4" s="1"/>
  <c r="T409" i="4"/>
  <c r="S409" i="4"/>
  <c r="U407" i="4"/>
  <c r="V407" i="4" s="1"/>
  <c r="T407" i="4"/>
  <c r="S407" i="4"/>
  <c r="U406" i="4"/>
  <c r="V406" i="4" s="1"/>
  <c r="T406" i="4"/>
  <c r="S406" i="4"/>
  <c r="U392" i="4"/>
  <c r="V392" i="4" s="1"/>
  <c r="T392" i="4"/>
  <c r="S392" i="4"/>
  <c r="U391" i="4"/>
  <c r="V391" i="4" s="1"/>
  <c r="T391" i="4"/>
  <c r="S391" i="4"/>
  <c r="U385" i="4"/>
  <c r="V385" i="4" s="1"/>
  <c r="T385" i="4"/>
  <c r="S385" i="4"/>
  <c r="U384" i="4"/>
  <c r="V384" i="4" s="1"/>
  <c r="T384" i="4"/>
  <c r="S384" i="4"/>
  <c r="U379" i="4"/>
  <c r="V379" i="4" s="1"/>
  <c r="T379" i="4"/>
  <c r="S379" i="4"/>
  <c r="U356" i="4"/>
  <c r="V356" i="4" s="1"/>
  <c r="T356" i="4"/>
  <c r="S356" i="4"/>
  <c r="U222" i="4"/>
  <c r="V222" i="4" s="1"/>
  <c r="T222" i="4"/>
  <c r="S222" i="4"/>
  <c r="U221" i="4"/>
  <c r="V221" i="4" s="1"/>
  <c r="T221" i="4"/>
  <c r="S221" i="4"/>
  <c r="U185" i="4"/>
  <c r="V185" i="4" s="1"/>
  <c r="T185" i="4"/>
  <c r="S185" i="4"/>
  <c r="U184" i="4"/>
  <c r="V184" i="4" s="1"/>
  <c r="T184" i="4"/>
  <c r="S184" i="4"/>
  <c r="U173" i="4"/>
  <c r="V173" i="4" s="1"/>
  <c r="T173" i="4"/>
  <c r="S173" i="4"/>
  <c r="U172" i="4"/>
  <c r="V172" i="4" s="1"/>
  <c r="T172" i="4"/>
  <c r="S172" i="4"/>
  <c r="U167" i="4"/>
  <c r="V167" i="4" s="1"/>
  <c r="T167" i="4"/>
  <c r="S167" i="4"/>
  <c r="U166" i="4"/>
  <c r="V166" i="4" s="1"/>
  <c r="T166" i="4"/>
  <c r="S166" i="4"/>
  <c r="U165" i="4"/>
  <c r="V165" i="4" s="1"/>
  <c r="T165" i="4"/>
  <c r="S165" i="4"/>
  <c r="U164" i="4"/>
  <c r="V164" i="4" s="1"/>
  <c r="T164" i="4"/>
  <c r="S164" i="4"/>
  <c r="U136" i="4"/>
  <c r="V136" i="4" s="1"/>
  <c r="T136" i="4"/>
  <c r="S136" i="4"/>
  <c r="U135" i="4"/>
  <c r="V135" i="4" s="1"/>
  <c r="T135" i="4"/>
  <c r="S135" i="4"/>
  <c r="U134" i="4"/>
  <c r="V134" i="4" s="1"/>
  <c r="T134" i="4"/>
  <c r="S134" i="4"/>
  <c r="U132" i="4"/>
  <c r="V132" i="4" s="1"/>
  <c r="T132" i="4"/>
  <c r="S132" i="4"/>
  <c r="U128" i="4"/>
  <c r="V128" i="4" s="1"/>
  <c r="T128" i="4"/>
  <c r="S128" i="4"/>
  <c r="U103" i="4"/>
  <c r="V103" i="4" s="1"/>
  <c r="T103" i="4"/>
  <c r="S103" i="4"/>
  <c r="U102" i="4"/>
  <c r="V102" i="4" s="1"/>
  <c r="T102" i="4"/>
  <c r="S102" i="4"/>
  <c r="U94" i="4"/>
  <c r="V94" i="4" s="1"/>
  <c r="T94" i="4"/>
  <c r="S94" i="4"/>
  <c r="U1389" i="4"/>
  <c r="V1389" i="4" s="1"/>
  <c r="T1389" i="4"/>
  <c r="S1389" i="4"/>
  <c r="U1251" i="4"/>
  <c r="V1251" i="4" s="1"/>
  <c r="T1251" i="4"/>
  <c r="S1251" i="4"/>
  <c r="U1235" i="4"/>
  <c r="V1235" i="4" s="1"/>
  <c r="T1235" i="4"/>
  <c r="S1235" i="4"/>
  <c r="U1234" i="4"/>
  <c r="V1234" i="4" s="1"/>
  <c r="T1234" i="4"/>
  <c r="S1234" i="4"/>
  <c r="U1173" i="4"/>
  <c r="V1173" i="4" s="1"/>
  <c r="T1173" i="4"/>
  <c r="S1173" i="4"/>
  <c r="R1038" i="4"/>
  <c r="U981" i="4"/>
  <c r="T981" i="4"/>
  <c r="T1038" i="4" s="1"/>
  <c r="S981" i="4"/>
  <c r="S1038" i="4" s="1"/>
  <c r="U970" i="4"/>
  <c r="V970" i="4" s="1"/>
  <c r="T970" i="4"/>
  <c r="S970" i="4"/>
  <c r="U933" i="4"/>
  <c r="V933" i="4" s="1"/>
  <c r="T933" i="4"/>
  <c r="S933" i="4"/>
  <c r="U923" i="4"/>
  <c r="V923" i="4" s="1"/>
  <c r="T923" i="4"/>
  <c r="S923" i="4"/>
  <c r="U660" i="4"/>
  <c r="V660" i="4" s="1"/>
  <c r="T660" i="4"/>
  <c r="S660" i="4"/>
  <c r="U659" i="4"/>
  <c r="V659" i="4" s="1"/>
  <c r="T659" i="4"/>
  <c r="S659" i="4"/>
  <c r="U658" i="4"/>
  <c r="V658" i="4" s="1"/>
  <c r="T658" i="4"/>
  <c r="S658" i="4"/>
  <c r="U657" i="4"/>
  <c r="V657" i="4" s="1"/>
  <c r="T657" i="4"/>
  <c r="S657" i="4"/>
  <c r="U656" i="4"/>
  <c r="V656" i="4" s="1"/>
  <c r="T656" i="4"/>
  <c r="S656" i="4"/>
  <c r="U655" i="4"/>
  <c r="V655" i="4" s="1"/>
  <c r="T655" i="4"/>
  <c r="S655" i="4"/>
  <c r="U649" i="4"/>
  <c r="V649" i="4" s="1"/>
  <c r="T649" i="4"/>
  <c r="S649" i="4"/>
  <c r="U648" i="4"/>
  <c r="V648" i="4" s="1"/>
  <c r="T648" i="4"/>
  <c r="S648" i="4"/>
  <c r="U646" i="4"/>
  <c r="V646" i="4" s="1"/>
  <c r="T646" i="4"/>
  <c r="S646" i="4"/>
  <c r="U626" i="4"/>
  <c r="V626" i="4" s="1"/>
  <c r="T626" i="4"/>
  <c r="S626" i="4"/>
  <c r="U531" i="4"/>
  <c r="V531" i="4" s="1"/>
  <c r="T531" i="4"/>
  <c r="S531" i="4"/>
  <c r="U530" i="4"/>
  <c r="V530" i="4" s="1"/>
  <c r="T530" i="4"/>
  <c r="S530" i="4"/>
  <c r="U527" i="4"/>
  <c r="V527" i="4" s="1"/>
  <c r="T527" i="4"/>
  <c r="S527" i="4"/>
  <c r="U520" i="4"/>
  <c r="V520" i="4" s="1"/>
  <c r="T520" i="4"/>
  <c r="S520" i="4"/>
  <c r="U519" i="4"/>
  <c r="V519" i="4" s="1"/>
  <c r="T519" i="4"/>
  <c r="S519" i="4"/>
  <c r="U517" i="4"/>
  <c r="V517" i="4" s="1"/>
  <c r="T517" i="4"/>
  <c r="S517" i="4"/>
  <c r="U509" i="4"/>
  <c r="V509" i="4" s="1"/>
  <c r="T509" i="4"/>
  <c r="S509" i="4"/>
  <c r="U508" i="4"/>
  <c r="V508" i="4" s="1"/>
  <c r="T508" i="4"/>
  <c r="S508" i="4"/>
  <c r="U507" i="4"/>
  <c r="V507" i="4" s="1"/>
  <c r="T507" i="4"/>
  <c r="S507" i="4"/>
  <c r="U506" i="4"/>
  <c r="V506" i="4" s="1"/>
  <c r="T506" i="4"/>
  <c r="S506" i="4"/>
  <c r="U505" i="4"/>
  <c r="V505" i="4" s="1"/>
  <c r="T505" i="4"/>
  <c r="S505" i="4"/>
  <c r="U504" i="4"/>
  <c r="V504" i="4" s="1"/>
  <c r="T504" i="4"/>
  <c r="S504" i="4"/>
  <c r="U498" i="4"/>
  <c r="V498" i="4" s="1"/>
  <c r="T498" i="4"/>
  <c r="S498" i="4"/>
  <c r="U497" i="4"/>
  <c r="V497" i="4" s="1"/>
  <c r="T497" i="4"/>
  <c r="S497" i="4"/>
  <c r="U496" i="4"/>
  <c r="V496" i="4" s="1"/>
  <c r="T496" i="4"/>
  <c r="S496" i="4"/>
  <c r="U495" i="4"/>
  <c r="V495" i="4" s="1"/>
  <c r="T495" i="4"/>
  <c r="S495" i="4"/>
  <c r="U475" i="4"/>
  <c r="V475" i="4" s="1"/>
  <c r="T475" i="4"/>
  <c r="S475" i="4"/>
  <c r="U474" i="4"/>
  <c r="V474" i="4" s="1"/>
  <c r="T474" i="4"/>
  <c r="S474" i="4"/>
  <c r="U472" i="4"/>
  <c r="V472" i="4" s="1"/>
  <c r="T472" i="4"/>
  <c r="S472" i="4"/>
  <c r="U471" i="4"/>
  <c r="V471" i="4" s="1"/>
  <c r="T471" i="4"/>
  <c r="S471" i="4"/>
  <c r="U466" i="4"/>
  <c r="V466" i="4" s="1"/>
  <c r="T466" i="4"/>
  <c r="S466" i="4"/>
  <c r="U464" i="4"/>
  <c r="V464" i="4" s="1"/>
  <c r="T464" i="4"/>
  <c r="S464" i="4"/>
  <c r="U463" i="4"/>
  <c r="V463" i="4" s="1"/>
  <c r="T463" i="4"/>
  <c r="S463" i="4"/>
  <c r="U458" i="4"/>
  <c r="V458" i="4" s="1"/>
  <c r="T458" i="4"/>
  <c r="S458" i="4"/>
  <c r="U395" i="4"/>
  <c r="V395" i="4" s="1"/>
  <c r="T395" i="4"/>
  <c r="S395" i="4"/>
  <c r="U394" i="4"/>
  <c r="V394" i="4" s="1"/>
  <c r="T394" i="4"/>
  <c r="S394" i="4"/>
  <c r="U377" i="4"/>
  <c r="V377" i="4" s="1"/>
  <c r="T377" i="4"/>
  <c r="S377" i="4"/>
  <c r="U355" i="4"/>
  <c r="V355" i="4" s="1"/>
  <c r="T355" i="4"/>
  <c r="S355" i="4"/>
  <c r="U343" i="4"/>
  <c r="V343" i="4" s="1"/>
  <c r="T343" i="4"/>
  <c r="S343" i="4"/>
  <c r="U336" i="4"/>
  <c r="V336" i="4" s="1"/>
  <c r="T336" i="4"/>
  <c r="S336" i="4"/>
  <c r="U328" i="4"/>
  <c r="V328" i="4" s="1"/>
  <c r="T328" i="4"/>
  <c r="S328" i="4"/>
  <c r="U326" i="4"/>
  <c r="V326" i="4" s="1"/>
  <c r="T326" i="4"/>
  <c r="S326" i="4"/>
  <c r="U325" i="4"/>
  <c r="V325" i="4" s="1"/>
  <c r="T325" i="4"/>
  <c r="S325" i="4"/>
  <c r="U315" i="4"/>
  <c r="V315" i="4" s="1"/>
  <c r="T315" i="4"/>
  <c r="S315" i="4"/>
  <c r="U314" i="4"/>
  <c r="V314" i="4" s="1"/>
  <c r="T314" i="4"/>
  <c r="S314" i="4"/>
  <c r="U313" i="4"/>
  <c r="V313" i="4" s="1"/>
  <c r="T313" i="4"/>
  <c r="S313" i="4"/>
  <c r="U302" i="4"/>
  <c r="V302" i="4" s="1"/>
  <c r="T302" i="4"/>
  <c r="S302" i="4"/>
  <c r="U299" i="4"/>
  <c r="V299" i="4" s="1"/>
  <c r="T299" i="4"/>
  <c r="S299" i="4"/>
  <c r="U293" i="4"/>
  <c r="V293" i="4" s="1"/>
  <c r="T293" i="4"/>
  <c r="S293" i="4"/>
  <c r="U292" i="4"/>
  <c r="V292" i="4" s="1"/>
  <c r="T292" i="4"/>
  <c r="S292" i="4"/>
  <c r="U291" i="4"/>
  <c r="V291" i="4" s="1"/>
  <c r="T291" i="4"/>
  <c r="S291" i="4"/>
  <c r="U282" i="4"/>
  <c r="V282" i="4" s="1"/>
  <c r="T282" i="4"/>
  <c r="S282" i="4"/>
  <c r="U280" i="4"/>
  <c r="V280" i="4" s="1"/>
  <c r="T280" i="4"/>
  <c r="S280" i="4"/>
  <c r="U278" i="4"/>
  <c r="V278" i="4" s="1"/>
  <c r="T278" i="4"/>
  <c r="S278" i="4"/>
  <c r="U277" i="4"/>
  <c r="V277" i="4" s="1"/>
  <c r="T277" i="4"/>
  <c r="S277" i="4"/>
  <c r="U276" i="4"/>
  <c r="V276" i="4" s="1"/>
  <c r="T276" i="4"/>
  <c r="S276" i="4"/>
  <c r="U266" i="4"/>
  <c r="V266" i="4" s="1"/>
  <c r="T266" i="4"/>
  <c r="S266" i="4"/>
  <c r="U63" i="4"/>
  <c r="V63" i="4" s="1"/>
  <c r="T63" i="4"/>
  <c r="S63" i="4"/>
  <c r="U61" i="4"/>
  <c r="V61" i="4" s="1"/>
  <c r="T61" i="4"/>
  <c r="S61" i="4"/>
  <c r="U46" i="4"/>
  <c r="V46" i="4" s="1"/>
  <c r="T46" i="4"/>
  <c r="S46" i="4"/>
  <c r="U45" i="4"/>
  <c r="V45" i="4" s="1"/>
  <c r="T45" i="4"/>
  <c r="S45" i="4"/>
  <c r="U1368" i="4"/>
  <c r="V1368" i="4" s="1"/>
  <c r="T1368" i="4"/>
  <c r="S1368" i="4"/>
  <c r="U1362" i="4"/>
  <c r="V1362" i="4" s="1"/>
  <c r="T1362" i="4"/>
  <c r="S1362" i="4"/>
  <c r="U1361" i="4"/>
  <c r="V1361" i="4" s="1"/>
  <c r="T1361" i="4"/>
  <c r="S1361" i="4"/>
  <c r="U1347" i="4"/>
  <c r="V1347" i="4" s="1"/>
  <c r="T1347" i="4"/>
  <c r="S1347" i="4"/>
  <c r="U1185" i="4"/>
  <c r="V1185" i="4" s="1"/>
  <c r="T1185" i="4"/>
  <c r="S1185" i="4"/>
  <c r="U1184" i="4"/>
  <c r="V1184" i="4" s="1"/>
  <c r="T1184" i="4"/>
  <c r="S1184" i="4"/>
  <c r="U1148" i="4"/>
  <c r="V1148" i="4" s="1"/>
  <c r="T1148" i="4"/>
  <c r="S1148" i="4"/>
  <c r="U1133" i="4"/>
  <c r="V1133" i="4" s="1"/>
  <c r="T1133" i="4"/>
  <c r="S1133" i="4"/>
  <c r="U1026" i="4"/>
  <c r="V1026" i="4" s="1"/>
  <c r="T1026" i="4"/>
  <c r="S1026" i="4"/>
  <c r="U834" i="4"/>
  <c r="V834" i="4" s="1"/>
  <c r="T834" i="4"/>
  <c r="S834" i="4"/>
  <c r="U762" i="4"/>
  <c r="V762" i="4" s="1"/>
  <c r="T762" i="4"/>
  <c r="S762" i="4"/>
  <c r="U761" i="4"/>
  <c r="V761" i="4" s="1"/>
  <c r="T761" i="4"/>
  <c r="S761" i="4"/>
  <c r="U729" i="4"/>
  <c r="V729" i="4" s="1"/>
  <c r="T729" i="4"/>
  <c r="S729" i="4"/>
  <c r="U728" i="4"/>
  <c r="V728" i="4" s="1"/>
  <c r="T728" i="4"/>
  <c r="S728" i="4"/>
  <c r="U723" i="4"/>
  <c r="V723" i="4" s="1"/>
  <c r="T723" i="4"/>
  <c r="S723" i="4"/>
  <c r="U696" i="4"/>
  <c r="V696" i="4" s="1"/>
  <c r="T696" i="4"/>
  <c r="S696" i="4"/>
  <c r="U695" i="4"/>
  <c r="V695" i="4" s="1"/>
  <c r="T695" i="4"/>
  <c r="S695" i="4"/>
  <c r="U684" i="4"/>
  <c r="V684" i="4" s="1"/>
  <c r="T684" i="4"/>
  <c r="S684" i="4"/>
  <c r="U667" i="4"/>
  <c r="V667" i="4" s="1"/>
  <c r="T667" i="4"/>
  <c r="S667" i="4"/>
  <c r="U625" i="4"/>
  <c r="V625" i="4" s="1"/>
  <c r="T625" i="4"/>
  <c r="S625" i="4"/>
  <c r="U566" i="4"/>
  <c r="V566" i="4" s="1"/>
  <c r="T566" i="4"/>
  <c r="S566" i="4"/>
  <c r="U556" i="4"/>
  <c r="V556" i="4" s="1"/>
  <c r="T556" i="4"/>
  <c r="S556" i="4"/>
  <c r="U523" i="4"/>
  <c r="V523" i="4" s="1"/>
  <c r="T523" i="4"/>
  <c r="S523" i="4"/>
  <c r="U477" i="4"/>
  <c r="V477" i="4" s="1"/>
  <c r="T477" i="4"/>
  <c r="S477" i="4"/>
  <c r="U389" i="4"/>
  <c r="V389" i="4" s="1"/>
  <c r="T389" i="4"/>
  <c r="S389" i="4"/>
  <c r="U388" i="4"/>
  <c r="V388" i="4" s="1"/>
  <c r="T388" i="4"/>
  <c r="S388" i="4"/>
  <c r="U321" i="4"/>
  <c r="V321" i="4" s="1"/>
  <c r="T321" i="4"/>
  <c r="S321" i="4"/>
  <c r="U259" i="4"/>
  <c r="V259" i="4" s="1"/>
  <c r="T259" i="4"/>
  <c r="S259" i="4"/>
  <c r="U236" i="4"/>
  <c r="V236" i="4" s="1"/>
  <c r="T236" i="4"/>
  <c r="S236" i="4"/>
  <c r="U129" i="4"/>
  <c r="V129" i="4" s="1"/>
  <c r="T129" i="4"/>
  <c r="S129" i="4"/>
  <c r="U1369" i="4"/>
  <c r="V1369" i="4" s="1"/>
  <c r="T1369" i="4"/>
  <c r="S1369" i="4"/>
  <c r="U1342" i="4"/>
  <c r="V1342" i="4" s="1"/>
  <c r="T1342" i="4"/>
  <c r="S1342" i="4"/>
  <c r="U1334" i="4"/>
  <c r="V1334" i="4" s="1"/>
  <c r="T1334" i="4"/>
  <c r="S1334" i="4"/>
  <c r="U1249" i="4"/>
  <c r="V1249" i="4" s="1"/>
  <c r="T1249" i="4"/>
  <c r="S1249" i="4"/>
  <c r="U1248" i="4"/>
  <c r="V1248" i="4" s="1"/>
  <c r="T1248" i="4"/>
  <c r="S1248" i="4"/>
  <c r="U1247" i="4"/>
  <c r="V1247" i="4" s="1"/>
  <c r="T1247" i="4"/>
  <c r="S1247" i="4"/>
  <c r="U1233" i="4"/>
  <c r="V1233" i="4" s="1"/>
  <c r="T1233" i="4"/>
  <c r="S1233" i="4"/>
  <c r="U1167" i="4"/>
  <c r="V1167" i="4" s="1"/>
  <c r="T1167" i="4"/>
  <c r="S1167" i="4"/>
  <c r="U605" i="4"/>
  <c r="V605" i="4" s="1"/>
  <c r="T605" i="4"/>
  <c r="S605" i="4"/>
  <c r="U603" i="4"/>
  <c r="V603" i="4" s="1"/>
  <c r="T603" i="4"/>
  <c r="S603" i="4"/>
  <c r="U602" i="4"/>
  <c r="V602" i="4" s="1"/>
  <c r="T602" i="4"/>
  <c r="S602" i="4"/>
  <c r="U601" i="4"/>
  <c r="V601" i="4" s="1"/>
  <c r="T601" i="4"/>
  <c r="S601" i="4"/>
  <c r="U265" i="4"/>
  <c r="V265" i="4" s="1"/>
  <c r="T265" i="4"/>
  <c r="S265" i="4"/>
  <c r="U74" i="4"/>
  <c r="V74" i="4" s="1"/>
  <c r="T74" i="4"/>
  <c r="S74" i="4"/>
  <c r="U73" i="4"/>
  <c r="V73" i="4" s="1"/>
  <c r="T73" i="4"/>
  <c r="S73" i="4"/>
  <c r="U62" i="4"/>
  <c r="V62" i="4" s="1"/>
  <c r="T62" i="4"/>
  <c r="S62" i="4"/>
  <c r="U48" i="4"/>
  <c r="V48" i="4" s="1"/>
  <c r="T48" i="4"/>
  <c r="S48" i="4"/>
  <c r="U1404" i="4"/>
  <c r="V1404" i="4" s="1"/>
  <c r="T1404" i="4"/>
  <c r="S1404" i="4"/>
  <c r="U1378" i="4"/>
  <c r="V1378" i="4" s="1"/>
  <c r="T1378" i="4"/>
  <c r="S1378" i="4"/>
  <c r="U329" i="4"/>
  <c r="V329" i="4" s="1"/>
  <c r="T329" i="4"/>
  <c r="S329" i="4"/>
  <c r="U1316" i="4"/>
  <c r="V1316" i="4" s="1"/>
  <c r="T1316" i="4"/>
  <c r="S1316" i="4"/>
  <c r="U1119" i="4"/>
  <c r="V1119" i="4" s="1"/>
  <c r="T1119" i="4"/>
  <c r="S1119" i="4"/>
  <c r="U1006" i="4"/>
  <c r="V1006" i="4" s="1"/>
  <c r="T1006" i="4"/>
  <c r="S1006" i="4"/>
  <c r="U865" i="4"/>
  <c r="V865" i="4" s="1"/>
  <c r="T865" i="4"/>
  <c r="S865" i="4"/>
  <c r="U726" i="4"/>
  <c r="V726" i="4" s="1"/>
  <c r="T726" i="4"/>
  <c r="S726" i="4"/>
  <c r="U178" i="4"/>
  <c r="V178" i="4" s="1"/>
  <c r="T178" i="4"/>
  <c r="S178" i="4"/>
  <c r="U1329" i="4"/>
  <c r="V1329" i="4" s="1"/>
  <c r="T1329" i="4"/>
  <c r="S1329" i="4"/>
  <c r="U1287" i="4"/>
  <c r="V1287" i="4" s="1"/>
  <c r="T1287" i="4"/>
  <c r="S1287" i="4"/>
  <c r="U756" i="4"/>
  <c r="V756" i="4" s="1"/>
  <c r="T756" i="4"/>
  <c r="S756" i="4"/>
  <c r="U609" i="4"/>
  <c r="V609" i="4" s="1"/>
  <c r="T609" i="4"/>
  <c r="S609" i="4"/>
  <c r="U608" i="4"/>
  <c r="V608" i="4" s="1"/>
  <c r="T608" i="4"/>
  <c r="S608" i="4"/>
  <c r="U587" i="4"/>
  <c r="V587" i="4" s="1"/>
  <c r="T587" i="4"/>
  <c r="S587" i="4"/>
  <c r="U1343" i="4"/>
  <c r="V1343" i="4" s="1"/>
  <c r="T1343" i="4"/>
  <c r="S1343" i="4"/>
  <c r="U983" i="4"/>
  <c r="V983" i="4" s="1"/>
  <c r="T983" i="4"/>
  <c r="S983" i="4"/>
  <c r="U882" i="4"/>
  <c r="V882" i="4" s="1"/>
  <c r="T882" i="4"/>
  <c r="S882" i="4"/>
  <c r="U881" i="4"/>
  <c r="V881" i="4" s="1"/>
  <c r="T881" i="4"/>
  <c r="S881" i="4"/>
  <c r="U823" i="4"/>
  <c r="V823" i="4" s="1"/>
  <c r="T823" i="4"/>
  <c r="S823" i="4"/>
  <c r="U822" i="4"/>
  <c r="V822" i="4" s="1"/>
  <c r="T822" i="4"/>
  <c r="S822" i="4"/>
  <c r="U790" i="4"/>
  <c r="V790" i="4" s="1"/>
  <c r="T790" i="4"/>
  <c r="S790" i="4"/>
  <c r="U98" i="4"/>
  <c r="V98" i="4" s="1"/>
  <c r="T98" i="4"/>
  <c r="S98" i="4"/>
  <c r="U941" i="4"/>
  <c r="V941" i="4" s="1"/>
  <c r="T941" i="4"/>
  <c r="S941" i="4"/>
  <c r="U940" i="4"/>
  <c r="V940" i="4" s="1"/>
  <c r="T940" i="4"/>
  <c r="S940" i="4"/>
  <c r="U742" i="4"/>
  <c r="V742" i="4" s="1"/>
  <c r="T742" i="4"/>
  <c r="S742" i="4"/>
  <c r="U1382" i="4"/>
  <c r="V1382" i="4" s="1"/>
  <c r="T1382" i="4"/>
  <c r="S1382" i="4"/>
  <c r="U1381" i="4"/>
  <c r="V1381" i="4" s="1"/>
  <c r="T1381" i="4"/>
  <c r="S1381" i="4"/>
  <c r="U1380" i="4"/>
  <c r="V1380" i="4" s="1"/>
  <c r="T1380" i="4"/>
  <c r="S1380" i="4"/>
  <c r="U1374" i="4"/>
  <c r="V1374" i="4" s="1"/>
  <c r="T1374" i="4"/>
  <c r="S1374" i="4"/>
  <c r="U1268" i="4"/>
  <c r="V1268" i="4" s="1"/>
  <c r="T1268" i="4"/>
  <c r="S1268" i="4"/>
  <c r="U1183" i="4"/>
  <c r="V1183" i="4" s="1"/>
  <c r="T1183" i="4"/>
  <c r="S1183" i="4"/>
  <c r="U1181" i="4"/>
  <c r="V1181" i="4" s="1"/>
  <c r="T1181" i="4"/>
  <c r="S1181" i="4"/>
  <c r="U1144" i="4"/>
  <c r="V1144" i="4" s="1"/>
  <c r="T1144" i="4"/>
  <c r="S1144" i="4"/>
  <c r="U1138" i="4"/>
  <c r="V1138" i="4" s="1"/>
  <c r="T1138" i="4"/>
  <c r="S1138" i="4"/>
  <c r="U1137" i="4"/>
  <c r="V1137" i="4" s="1"/>
  <c r="T1137" i="4"/>
  <c r="S1137" i="4"/>
  <c r="U1136" i="4"/>
  <c r="V1136" i="4" s="1"/>
  <c r="T1136" i="4"/>
  <c r="S1136" i="4"/>
  <c r="U1135" i="4"/>
  <c r="V1135" i="4" s="1"/>
  <c r="T1135" i="4"/>
  <c r="S1135" i="4"/>
  <c r="U1131" i="4"/>
  <c r="V1131" i="4" s="1"/>
  <c r="T1131" i="4"/>
  <c r="S1131" i="4"/>
  <c r="U971" i="4"/>
  <c r="V971" i="4" s="1"/>
  <c r="T971" i="4"/>
  <c r="S971" i="4"/>
  <c r="U946" i="4"/>
  <c r="V946" i="4" s="1"/>
  <c r="T946" i="4"/>
  <c r="S946" i="4"/>
  <c r="U945" i="4"/>
  <c r="V945" i="4" s="1"/>
  <c r="T945" i="4"/>
  <c r="S945" i="4"/>
  <c r="U944" i="4"/>
  <c r="V944" i="4" s="1"/>
  <c r="T944" i="4"/>
  <c r="S944" i="4"/>
  <c r="U909" i="4"/>
  <c r="V909" i="4" s="1"/>
  <c r="T909" i="4"/>
  <c r="S909" i="4"/>
  <c r="U858" i="4"/>
  <c r="V858" i="4" s="1"/>
  <c r="T858" i="4"/>
  <c r="S858" i="4"/>
  <c r="U682" i="4"/>
  <c r="V682" i="4" s="1"/>
  <c r="T682" i="4"/>
  <c r="S682" i="4"/>
  <c r="U581" i="4"/>
  <c r="V581" i="4" s="1"/>
  <c r="T581" i="4"/>
  <c r="S581" i="4"/>
  <c r="U580" i="4"/>
  <c r="V580" i="4" s="1"/>
  <c r="T580" i="4"/>
  <c r="S580" i="4"/>
  <c r="U579" i="4"/>
  <c r="V579" i="4" s="1"/>
  <c r="T579" i="4"/>
  <c r="S579" i="4"/>
  <c r="U578" i="4"/>
  <c r="V578" i="4" s="1"/>
  <c r="T578" i="4"/>
  <c r="S578" i="4"/>
  <c r="U1270" i="4"/>
  <c r="V1270" i="4" s="1"/>
  <c r="T1270" i="4"/>
  <c r="S1270" i="4"/>
  <c r="U340" i="4"/>
  <c r="V340" i="4" s="1"/>
  <c r="T340" i="4"/>
  <c r="S340" i="4"/>
  <c r="U333" i="4"/>
  <c r="V333" i="4" s="1"/>
  <c r="T333" i="4"/>
  <c r="S333" i="4"/>
  <c r="U332" i="4"/>
  <c r="V332" i="4" s="1"/>
  <c r="T332" i="4"/>
  <c r="S332" i="4"/>
  <c r="U331" i="4"/>
  <c r="V331" i="4" s="1"/>
  <c r="T331" i="4"/>
  <c r="S331" i="4"/>
  <c r="U330" i="4"/>
  <c r="V330" i="4" s="1"/>
  <c r="T330" i="4"/>
  <c r="S330" i="4"/>
  <c r="U287" i="4"/>
  <c r="V287" i="4" s="1"/>
  <c r="T287" i="4"/>
  <c r="S287" i="4"/>
  <c r="U270" i="4"/>
  <c r="V270" i="4" s="1"/>
  <c r="T270" i="4"/>
  <c r="S270" i="4"/>
  <c r="U1426" i="4"/>
  <c r="V1426" i="4" s="1"/>
  <c r="T1426" i="4"/>
  <c r="S1426" i="4"/>
  <c r="U1424" i="4"/>
  <c r="V1424" i="4" s="1"/>
  <c r="T1424" i="4"/>
  <c r="S1424" i="4"/>
  <c r="U1407" i="4"/>
  <c r="V1407" i="4" s="1"/>
  <c r="T1407" i="4"/>
  <c r="S1407" i="4"/>
  <c r="U1403" i="4"/>
  <c r="V1403" i="4" s="1"/>
  <c r="T1403" i="4"/>
  <c r="S1403" i="4"/>
  <c r="U1398" i="4"/>
  <c r="V1398" i="4" s="1"/>
  <c r="T1398" i="4"/>
  <c r="S1398" i="4"/>
  <c r="U371" i="4"/>
  <c r="V371" i="4" s="1"/>
  <c r="T371" i="4"/>
  <c r="S371" i="4"/>
  <c r="U369" i="4"/>
  <c r="V369" i="4" s="1"/>
  <c r="T369" i="4"/>
  <c r="S369" i="4"/>
  <c r="U194" i="4"/>
  <c r="V194" i="4" s="1"/>
  <c r="T194" i="4"/>
  <c r="S194" i="4"/>
  <c r="U192" i="4"/>
  <c r="V192" i="4" s="1"/>
  <c r="T192" i="4"/>
  <c r="S192" i="4"/>
  <c r="U190" i="4"/>
  <c r="V190" i="4" s="1"/>
  <c r="T190" i="4"/>
  <c r="S190" i="4"/>
  <c r="U187" i="4"/>
  <c r="V187" i="4" s="1"/>
  <c r="T187" i="4"/>
  <c r="S187" i="4"/>
  <c r="U160" i="4"/>
  <c r="V160" i="4" s="1"/>
  <c r="T160" i="4"/>
  <c r="S160" i="4"/>
  <c r="U157" i="4"/>
  <c r="V157" i="4" s="1"/>
  <c r="T157" i="4"/>
  <c r="S157" i="4"/>
  <c r="U154" i="4"/>
  <c r="V154" i="4" s="1"/>
  <c r="T154" i="4"/>
  <c r="S154" i="4"/>
  <c r="U152" i="4"/>
  <c r="V152" i="4" s="1"/>
  <c r="T152" i="4"/>
  <c r="S152" i="4"/>
  <c r="U145" i="4"/>
  <c r="V145" i="4" s="1"/>
  <c r="T145" i="4"/>
  <c r="S145" i="4"/>
  <c r="U143" i="4"/>
  <c r="V143" i="4" s="1"/>
  <c r="T143" i="4"/>
  <c r="S143" i="4"/>
  <c r="U141" i="4"/>
  <c r="V141" i="4" s="1"/>
  <c r="T141" i="4"/>
  <c r="S141" i="4"/>
  <c r="U1318" i="4"/>
  <c r="V1318" i="4" s="1"/>
  <c r="T1318" i="4"/>
  <c r="S1318" i="4"/>
  <c r="U943" i="4"/>
  <c r="V943" i="4" s="1"/>
  <c r="T943" i="4"/>
  <c r="S943" i="4"/>
  <c r="U919" i="4"/>
  <c r="V919" i="4" s="1"/>
  <c r="T919" i="4"/>
  <c r="S919" i="4"/>
  <c r="U116" i="4"/>
  <c r="V116" i="4" s="1"/>
  <c r="T116" i="4"/>
  <c r="S116" i="4"/>
  <c r="U97" i="4"/>
  <c r="V97" i="4" s="1"/>
  <c r="T97" i="4"/>
  <c r="S97" i="4"/>
  <c r="U81" i="4"/>
  <c r="V81" i="4" s="1"/>
  <c r="T81" i="4"/>
  <c r="S81" i="4"/>
  <c r="U1097" i="4"/>
  <c r="V1097" i="4" s="1"/>
  <c r="T1097" i="4"/>
  <c r="S1097" i="4"/>
  <c r="U1096" i="4"/>
  <c r="V1096" i="4" s="1"/>
  <c r="T1096" i="4"/>
  <c r="S1096" i="4"/>
  <c r="U1095" i="4"/>
  <c r="V1095" i="4" s="1"/>
  <c r="T1095" i="4"/>
  <c r="S1095" i="4"/>
  <c r="U1094" i="4"/>
  <c r="V1094" i="4" s="1"/>
  <c r="T1094" i="4"/>
  <c r="S1094" i="4"/>
  <c r="U1052" i="4"/>
  <c r="V1052" i="4" s="1"/>
  <c r="T1052" i="4"/>
  <c r="S1052" i="4"/>
  <c r="U1047" i="4"/>
  <c r="V1047" i="4" s="1"/>
  <c r="T1047" i="4"/>
  <c r="S1047" i="4"/>
  <c r="U1046" i="4"/>
  <c r="V1046" i="4" s="1"/>
  <c r="T1046" i="4"/>
  <c r="S1046" i="4"/>
  <c r="U1045" i="4"/>
  <c r="V1045" i="4" s="1"/>
  <c r="T1045" i="4"/>
  <c r="S1045" i="4"/>
  <c r="U948" i="4"/>
  <c r="V948" i="4" s="1"/>
  <c r="T948" i="4"/>
  <c r="S948" i="4"/>
  <c r="U947" i="4"/>
  <c r="V947" i="4" s="1"/>
  <c r="T947" i="4"/>
  <c r="S947" i="4"/>
  <c r="U897" i="4"/>
  <c r="V897" i="4" s="1"/>
  <c r="T897" i="4"/>
  <c r="S897" i="4"/>
  <c r="U875" i="4"/>
  <c r="V875" i="4" s="1"/>
  <c r="T875" i="4"/>
  <c r="S875" i="4"/>
  <c r="U874" i="4"/>
  <c r="V874" i="4" s="1"/>
  <c r="T874" i="4"/>
  <c r="S874" i="4"/>
  <c r="U810" i="4"/>
  <c r="V810" i="4" s="1"/>
  <c r="T810" i="4"/>
  <c r="S810" i="4"/>
  <c r="U808" i="4"/>
  <c r="V808" i="4" s="1"/>
  <c r="T808" i="4"/>
  <c r="S808" i="4"/>
  <c r="U749" i="4"/>
  <c r="V749" i="4" s="1"/>
  <c r="T749" i="4"/>
  <c r="S749" i="4"/>
  <c r="U748" i="4"/>
  <c r="V748" i="4" s="1"/>
  <c r="T748" i="4"/>
  <c r="S748" i="4"/>
  <c r="U747" i="4"/>
  <c r="V747" i="4" s="1"/>
  <c r="T747" i="4"/>
  <c r="S747" i="4"/>
  <c r="U449" i="4"/>
  <c r="V449" i="4" s="1"/>
  <c r="T449" i="4"/>
  <c r="S449" i="4"/>
  <c r="U448" i="4"/>
  <c r="V448" i="4" s="1"/>
  <c r="T448" i="4"/>
  <c r="S448" i="4"/>
  <c r="U246" i="4"/>
  <c r="V246" i="4" s="1"/>
  <c r="T246" i="4"/>
  <c r="S246" i="4"/>
  <c r="U1428" i="4"/>
  <c r="V1428" i="4" s="1"/>
  <c r="T1428" i="4"/>
  <c r="S1428" i="4"/>
  <c r="U1412" i="4"/>
  <c r="V1412" i="4" s="1"/>
  <c r="T1412" i="4"/>
  <c r="S1412" i="4"/>
  <c r="U1411" i="4"/>
  <c r="V1411" i="4" s="1"/>
  <c r="T1411" i="4"/>
  <c r="S1411" i="4"/>
  <c r="U1410" i="4"/>
  <c r="V1410" i="4" s="1"/>
  <c r="T1410" i="4"/>
  <c r="S1410" i="4"/>
  <c r="U1387" i="4"/>
  <c r="V1387" i="4" s="1"/>
  <c r="T1387" i="4"/>
  <c r="S1387" i="4"/>
  <c r="U1386" i="4"/>
  <c r="V1386" i="4" s="1"/>
  <c r="T1386" i="4"/>
  <c r="S1386" i="4"/>
  <c r="U1357" i="4"/>
  <c r="V1357" i="4" s="1"/>
  <c r="T1357" i="4"/>
  <c r="S1357" i="4"/>
  <c r="U1356" i="4"/>
  <c r="V1356" i="4" s="1"/>
  <c r="T1356" i="4"/>
  <c r="S1356" i="4"/>
  <c r="U1353" i="4"/>
  <c r="V1353" i="4" s="1"/>
  <c r="T1353" i="4"/>
  <c r="S1353" i="4"/>
  <c r="U1352" i="4"/>
  <c r="V1352" i="4" s="1"/>
  <c r="T1352" i="4"/>
  <c r="S1352" i="4"/>
  <c r="U1351" i="4"/>
  <c r="V1351" i="4" s="1"/>
  <c r="T1351" i="4"/>
  <c r="S1351" i="4"/>
  <c r="U1341" i="4"/>
  <c r="V1341" i="4" s="1"/>
  <c r="T1341" i="4"/>
  <c r="S1341" i="4"/>
  <c r="U1340" i="4"/>
  <c r="V1340" i="4" s="1"/>
  <c r="T1340" i="4"/>
  <c r="S1340" i="4"/>
  <c r="U1335" i="4"/>
  <c r="V1335" i="4" s="1"/>
  <c r="T1335" i="4"/>
  <c r="S1335" i="4"/>
  <c r="U1319" i="4"/>
  <c r="V1319" i="4" s="1"/>
  <c r="T1319" i="4"/>
  <c r="S1319" i="4"/>
  <c r="U1295" i="4"/>
  <c r="V1295" i="4" s="1"/>
  <c r="T1295" i="4"/>
  <c r="S1295" i="4"/>
  <c r="U1294" i="4"/>
  <c r="V1294" i="4" s="1"/>
  <c r="T1294" i="4"/>
  <c r="S1294" i="4"/>
  <c r="U1293" i="4"/>
  <c r="V1293" i="4" s="1"/>
  <c r="T1293" i="4"/>
  <c r="S1293" i="4"/>
  <c r="U1266" i="4"/>
  <c r="V1266" i="4" s="1"/>
  <c r="T1266" i="4"/>
  <c r="S1266" i="4"/>
  <c r="U1265" i="4"/>
  <c r="V1265" i="4" s="1"/>
  <c r="T1265" i="4"/>
  <c r="S1265" i="4"/>
  <c r="U1256" i="4"/>
  <c r="V1256" i="4" s="1"/>
  <c r="T1256" i="4"/>
  <c r="S1256" i="4"/>
  <c r="U1253" i="4"/>
  <c r="V1253" i="4" s="1"/>
  <c r="T1253" i="4"/>
  <c r="S1253" i="4"/>
  <c r="U1252" i="4"/>
  <c r="V1252" i="4" s="1"/>
  <c r="T1252" i="4"/>
  <c r="S1252" i="4"/>
  <c r="U1243" i="4"/>
  <c r="V1243" i="4" s="1"/>
  <c r="T1243" i="4"/>
  <c r="S1243" i="4"/>
  <c r="U1240" i="4"/>
  <c r="V1240" i="4" s="1"/>
  <c r="T1240" i="4"/>
  <c r="S1240" i="4"/>
  <c r="U1239" i="4"/>
  <c r="V1239" i="4" s="1"/>
  <c r="T1239" i="4"/>
  <c r="S1239" i="4"/>
  <c r="U1217" i="4"/>
  <c r="V1217" i="4" s="1"/>
  <c r="T1217" i="4"/>
  <c r="S1217" i="4"/>
  <c r="U1210" i="4"/>
  <c r="V1210" i="4" s="1"/>
  <c r="T1210" i="4"/>
  <c r="S1210" i="4"/>
  <c r="U1199" i="4"/>
  <c r="V1199" i="4" s="1"/>
  <c r="T1199" i="4"/>
  <c r="S1199" i="4"/>
  <c r="U1197" i="4"/>
  <c r="V1197" i="4" s="1"/>
  <c r="T1197" i="4"/>
  <c r="S1197" i="4"/>
  <c r="U1191" i="4"/>
  <c r="V1191" i="4" s="1"/>
  <c r="T1191" i="4"/>
  <c r="S1191" i="4"/>
  <c r="U1190" i="4"/>
  <c r="V1190" i="4" s="1"/>
  <c r="T1190" i="4"/>
  <c r="S1190" i="4"/>
  <c r="U1160" i="4"/>
  <c r="V1160" i="4" s="1"/>
  <c r="T1160" i="4"/>
  <c r="S1160" i="4"/>
  <c r="U1158" i="4"/>
  <c r="V1158" i="4" s="1"/>
  <c r="T1158" i="4"/>
  <c r="S1158" i="4"/>
  <c r="U1152" i="4"/>
  <c r="V1152" i="4" s="1"/>
  <c r="T1152" i="4"/>
  <c r="S1152" i="4"/>
  <c r="U1151" i="4"/>
  <c r="V1151" i="4" s="1"/>
  <c r="T1151" i="4"/>
  <c r="S1151" i="4"/>
  <c r="U1124" i="4"/>
  <c r="V1124" i="4" s="1"/>
  <c r="T1124" i="4"/>
  <c r="S1124" i="4"/>
  <c r="U1122" i="4"/>
  <c r="V1122" i="4" s="1"/>
  <c r="T1122" i="4"/>
  <c r="S1122" i="4"/>
  <c r="U1116" i="4"/>
  <c r="V1116" i="4" s="1"/>
  <c r="T1116" i="4"/>
  <c r="S1116" i="4"/>
  <c r="U1115" i="4"/>
  <c r="V1115" i="4" s="1"/>
  <c r="T1115" i="4"/>
  <c r="S1115" i="4"/>
  <c r="U1098" i="4"/>
  <c r="V1098" i="4" s="1"/>
  <c r="T1098" i="4"/>
  <c r="S1098" i="4"/>
  <c r="U1091" i="4"/>
  <c r="V1091" i="4" s="1"/>
  <c r="T1091" i="4"/>
  <c r="S1091" i="4"/>
  <c r="U1090" i="4"/>
  <c r="V1090" i="4" s="1"/>
  <c r="T1090" i="4"/>
  <c r="S1090" i="4"/>
  <c r="U1025" i="4"/>
  <c r="V1025" i="4" s="1"/>
  <c r="T1025" i="4"/>
  <c r="S1025" i="4"/>
  <c r="U1024" i="4"/>
  <c r="V1024" i="4" s="1"/>
  <c r="T1024" i="4"/>
  <c r="S1024" i="4"/>
  <c r="U1023" i="4"/>
  <c r="V1023" i="4" s="1"/>
  <c r="T1023" i="4"/>
  <c r="S1023" i="4"/>
  <c r="U1022" i="4"/>
  <c r="V1022" i="4" s="1"/>
  <c r="T1022" i="4"/>
  <c r="S1022" i="4"/>
  <c r="U1007" i="4"/>
  <c r="V1007" i="4" s="1"/>
  <c r="T1007" i="4"/>
  <c r="S1007" i="4"/>
  <c r="U991" i="4"/>
  <c r="V991" i="4" s="1"/>
  <c r="T991" i="4"/>
  <c r="S991" i="4"/>
  <c r="U990" i="4"/>
  <c r="V990" i="4" s="1"/>
  <c r="T990" i="4"/>
  <c r="S990" i="4"/>
  <c r="U989" i="4"/>
  <c r="V989" i="4" s="1"/>
  <c r="T989" i="4"/>
  <c r="S989" i="4"/>
  <c r="U955" i="4"/>
  <c r="V955" i="4" s="1"/>
  <c r="T955" i="4"/>
  <c r="S955" i="4"/>
  <c r="U954" i="4"/>
  <c r="V954" i="4" s="1"/>
  <c r="T954" i="4"/>
  <c r="S954" i="4"/>
  <c r="U953" i="4"/>
  <c r="V953" i="4" s="1"/>
  <c r="T953" i="4"/>
  <c r="S953" i="4"/>
  <c r="U952" i="4"/>
  <c r="V952" i="4" s="1"/>
  <c r="T952" i="4"/>
  <c r="S952" i="4"/>
  <c r="U942" i="4"/>
  <c r="V942" i="4" s="1"/>
  <c r="T942" i="4"/>
  <c r="S942" i="4"/>
  <c r="U917" i="4"/>
  <c r="V917" i="4" s="1"/>
  <c r="T917" i="4"/>
  <c r="S917" i="4"/>
  <c r="U914" i="4"/>
  <c r="V914" i="4" s="1"/>
  <c r="T914" i="4"/>
  <c r="S914" i="4"/>
  <c r="U905" i="4"/>
  <c r="V905" i="4" s="1"/>
  <c r="T905" i="4"/>
  <c r="S905" i="4"/>
  <c r="U901" i="4"/>
  <c r="V901" i="4" s="1"/>
  <c r="T901" i="4"/>
  <c r="S901" i="4"/>
  <c r="U900" i="4"/>
  <c r="V900" i="4" s="1"/>
  <c r="T900" i="4"/>
  <c r="S900" i="4"/>
  <c r="U899" i="4"/>
  <c r="V899" i="4" s="1"/>
  <c r="T899" i="4"/>
  <c r="S899" i="4"/>
  <c r="U898" i="4"/>
  <c r="V898" i="4" s="1"/>
  <c r="T898" i="4"/>
  <c r="S898" i="4"/>
  <c r="U873" i="4"/>
  <c r="V873" i="4" s="1"/>
  <c r="T873" i="4"/>
  <c r="S873" i="4"/>
  <c r="U872" i="4"/>
  <c r="V872" i="4" s="1"/>
  <c r="T872" i="4"/>
  <c r="S872" i="4"/>
  <c r="U871" i="4"/>
  <c r="V871" i="4" s="1"/>
  <c r="T871" i="4"/>
  <c r="S871" i="4"/>
  <c r="U870" i="4"/>
  <c r="V870" i="4" s="1"/>
  <c r="T870" i="4"/>
  <c r="S870" i="4"/>
  <c r="U863" i="4"/>
  <c r="V863" i="4" s="1"/>
  <c r="T863" i="4"/>
  <c r="S863" i="4"/>
  <c r="U832" i="4"/>
  <c r="V832" i="4" s="1"/>
  <c r="T832" i="4"/>
  <c r="S832" i="4"/>
  <c r="U831" i="4"/>
  <c r="V831" i="4" s="1"/>
  <c r="T831" i="4"/>
  <c r="S831" i="4"/>
  <c r="U815" i="4"/>
  <c r="V815" i="4" s="1"/>
  <c r="T815" i="4"/>
  <c r="S815" i="4"/>
  <c r="U814" i="4"/>
  <c r="V814" i="4" s="1"/>
  <c r="T814" i="4"/>
  <c r="S814" i="4"/>
  <c r="U813" i="4"/>
  <c r="V813" i="4" s="1"/>
  <c r="T813" i="4"/>
  <c r="S813" i="4"/>
  <c r="U812" i="4"/>
  <c r="V812" i="4" s="1"/>
  <c r="T812" i="4"/>
  <c r="S812" i="4"/>
  <c r="U780" i="4"/>
  <c r="V780" i="4" s="1"/>
  <c r="T780" i="4"/>
  <c r="S780" i="4"/>
  <c r="U779" i="4"/>
  <c r="V779" i="4" s="1"/>
  <c r="T779" i="4"/>
  <c r="S779" i="4"/>
  <c r="U778" i="4"/>
  <c r="V778" i="4" s="1"/>
  <c r="T778" i="4"/>
  <c r="S778" i="4"/>
  <c r="U777" i="4"/>
  <c r="V777" i="4" s="1"/>
  <c r="T777" i="4"/>
  <c r="S777" i="4"/>
  <c r="U755" i="4"/>
  <c r="V755" i="4" s="1"/>
  <c r="T755" i="4"/>
  <c r="S755" i="4"/>
  <c r="U751" i="4"/>
  <c r="V751" i="4" s="1"/>
  <c r="T751" i="4"/>
  <c r="S751" i="4"/>
  <c r="U750" i="4"/>
  <c r="V750" i="4" s="1"/>
  <c r="T750" i="4"/>
  <c r="S750" i="4"/>
  <c r="U736" i="4"/>
  <c r="V736" i="4" s="1"/>
  <c r="T736" i="4"/>
  <c r="S736" i="4"/>
  <c r="U735" i="4"/>
  <c r="V735" i="4" s="1"/>
  <c r="T735" i="4"/>
  <c r="S735" i="4"/>
  <c r="U716" i="4"/>
  <c r="V716" i="4" s="1"/>
  <c r="T716" i="4"/>
  <c r="S716" i="4"/>
  <c r="U715" i="4"/>
  <c r="V715" i="4" s="1"/>
  <c r="T715" i="4"/>
  <c r="S715" i="4"/>
  <c r="U689" i="4"/>
  <c r="V689" i="4" s="1"/>
  <c r="T689" i="4"/>
  <c r="S689" i="4"/>
  <c r="U654" i="4"/>
  <c r="V654" i="4" s="1"/>
  <c r="T654" i="4"/>
  <c r="S654" i="4"/>
  <c r="U653" i="4"/>
  <c r="V653" i="4" s="1"/>
  <c r="T653" i="4"/>
  <c r="S653" i="4"/>
  <c r="U635" i="4"/>
  <c r="V635" i="4" s="1"/>
  <c r="T635" i="4"/>
  <c r="S635" i="4"/>
  <c r="U634" i="4"/>
  <c r="V634" i="4" s="1"/>
  <c r="T634" i="4"/>
  <c r="S634" i="4"/>
  <c r="U631" i="4"/>
  <c r="V631" i="4" s="1"/>
  <c r="T631" i="4"/>
  <c r="S631" i="4"/>
  <c r="U612" i="4"/>
  <c r="V612" i="4" s="1"/>
  <c r="T612" i="4"/>
  <c r="S612" i="4"/>
  <c r="U611" i="4"/>
  <c r="V611" i="4" s="1"/>
  <c r="T611" i="4"/>
  <c r="S611" i="4"/>
  <c r="U569" i="4"/>
  <c r="V569" i="4" s="1"/>
  <c r="T569" i="4"/>
  <c r="S569" i="4"/>
  <c r="U568" i="4"/>
  <c r="V568" i="4" s="1"/>
  <c r="T568" i="4"/>
  <c r="S568" i="4"/>
  <c r="U534" i="4"/>
  <c r="V534" i="4" s="1"/>
  <c r="T534" i="4"/>
  <c r="S534" i="4"/>
  <c r="U533" i="4"/>
  <c r="V533" i="4" s="1"/>
  <c r="T533" i="4"/>
  <c r="S533" i="4"/>
  <c r="U502" i="4"/>
  <c r="V502" i="4" s="1"/>
  <c r="T502" i="4"/>
  <c r="S502" i="4"/>
  <c r="U501" i="4"/>
  <c r="V501" i="4" s="1"/>
  <c r="T501" i="4"/>
  <c r="S501" i="4"/>
  <c r="U486" i="4"/>
  <c r="V486" i="4" s="1"/>
  <c r="T486" i="4"/>
  <c r="S486" i="4"/>
  <c r="U470" i="4"/>
  <c r="V470" i="4" s="1"/>
  <c r="T470" i="4"/>
  <c r="S470" i="4"/>
  <c r="U469" i="4"/>
  <c r="V469" i="4" s="1"/>
  <c r="T469" i="4"/>
  <c r="S469" i="4"/>
  <c r="U436" i="4"/>
  <c r="V436" i="4" s="1"/>
  <c r="T436" i="4"/>
  <c r="S436" i="4"/>
  <c r="U433" i="4"/>
  <c r="V433" i="4" s="1"/>
  <c r="T433" i="4"/>
  <c r="S433" i="4"/>
  <c r="U416" i="4"/>
  <c r="V416" i="4" s="1"/>
  <c r="T416" i="4"/>
  <c r="S416" i="4"/>
  <c r="U400" i="4"/>
  <c r="V400" i="4" s="1"/>
  <c r="T400" i="4"/>
  <c r="S400" i="4"/>
  <c r="U383" i="4"/>
  <c r="V383" i="4" s="1"/>
  <c r="T383" i="4"/>
  <c r="S383" i="4"/>
  <c r="U362" i="4"/>
  <c r="V362" i="4" s="1"/>
  <c r="T362" i="4"/>
  <c r="S362" i="4"/>
  <c r="U361" i="4"/>
  <c r="V361" i="4" s="1"/>
  <c r="T361" i="4"/>
  <c r="S361" i="4"/>
  <c r="U360" i="4"/>
  <c r="V360" i="4" s="1"/>
  <c r="T360" i="4"/>
  <c r="S360" i="4"/>
  <c r="U339" i="4"/>
  <c r="V339" i="4" s="1"/>
  <c r="T339" i="4"/>
  <c r="S339" i="4"/>
  <c r="U337" i="4"/>
  <c r="V337" i="4" s="1"/>
  <c r="T337" i="4"/>
  <c r="S337" i="4"/>
  <c r="U308" i="4"/>
  <c r="V308" i="4" s="1"/>
  <c r="T308" i="4"/>
  <c r="S308" i="4"/>
  <c r="U307" i="4"/>
  <c r="V307" i="4" s="1"/>
  <c r="T307" i="4"/>
  <c r="S307" i="4"/>
  <c r="U304" i="4"/>
  <c r="V304" i="4" s="1"/>
  <c r="T304" i="4"/>
  <c r="S304" i="4"/>
  <c r="U283" i="4"/>
  <c r="V283" i="4" s="1"/>
  <c r="T283" i="4"/>
  <c r="S283" i="4"/>
  <c r="U274" i="4"/>
  <c r="V274" i="4" s="1"/>
  <c r="T274" i="4"/>
  <c r="S274" i="4"/>
  <c r="U273" i="4"/>
  <c r="V273" i="4" s="1"/>
  <c r="T273" i="4"/>
  <c r="S273" i="4"/>
  <c r="U229" i="4"/>
  <c r="V229" i="4" s="1"/>
  <c r="T229" i="4"/>
  <c r="S229" i="4"/>
  <c r="U228" i="4"/>
  <c r="V228" i="4" s="1"/>
  <c r="T228" i="4"/>
  <c r="S228" i="4"/>
  <c r="U216" i="4"/>
  <c r="V216" i="4" s="1"/>
  <c r="T216" i="4"/>
  <c r="S216" i="4"/>
  <c r="U215" i="4"/>
  <c r="V215" i="4" s="1"/>
  <c r="T215" i="4"/>
  <c r="S215" i="4"/>
  <c r="U201" i="4"/>
  <c r="V201" i="4" s="1"/>
  <c r="T201" i="4"/>
  <c r="S201" i="4"/>
  <c r="U197" i="4"/>
  <c r="V197" i="4" s="1"/>
  <c r="T197" i="4"/>
  <c r="S197" i="4"/>
  <c r="U179" i="4"/>
  <c r="V179" i="4" s="1"/>
  <c r="T179" i="4"/>
  <c r="S179" i="4"/>
  <c r="U124" i="4"/>
  <c r="V124" i="4" s="1"/>
  <c r="T124" i="4"/>
  <c r="S124" i="4"/>
  <c r="U122" i="4"/>
  <c r="V122" i="4" s="1"/>
  <c r="T122" i="4"/>
  <c r="S122" i="4"/>
  <c r="U93" i="4"/>
  <c r="V93" i="4" s="1"/>
  <c r="T93" i="4"/>
  <c r="S93" i="4"/>
  <c r="U71" i="4"/>
  <c r="V71" i="4" s="1"/>
  <c r="T71" i="4"/>
  <c r="S71" i="4"/>
  <c r="U67" i="4"/>
  <c r="V67" i="4" s="1"/>
  <c r="T67" i="4"/>
  <c r="S67" i="4"/>
  <c r="U37" i="4"/>
  <c r="V37" i="4" s="1"/>
  <c r="T37" i="4"/>
  <c r="S37" i="4"/>
  <c r="U24" i="4"/>
  <c r="V24" i="4" s="1"/>
  <c r="T24" i="4"/>
  <c r="S24" i="4"/>
  <c r="U22" i="4"/>
  <c r="V22" i="4" s="1"/>
  <c r="T22" i="4"/>
  <c r="S22" i="4"/>
  <c r="U437" i="4"/>
  <c r="V437" i="4" s="1"/>
  <c r="T437" i="4"/>
  <c r="S437" i="4"/>
  <c r="U434" i="4"/>
  <c r="V434" i="4" s="1"/>
  <c r="T434" i="4"/>
  <c r="S434" i="4"/>
  <c r="U338" i="4"/>
  <c r="V338" i="4" s="1"/>
  <c r="T338" i="4"/>
  <c r="S338" i="4"/>
  <c r="U202" i="4"/>
  <c r="V202" i="4" s="1"/>
  <c r="T202" i="4"/>
  <c r="S202" i="4"/>
  <c r="U198" i="4"/>
  <c r="V198" i="4" s="1"/>
  <c r="T198" i="4"/>
  <c r="S198" i="4"/>
  <c r="U125" i="4"/>
  <c r="V125" i="4" s="1"/>
  <c r="T125" i="4"/>
  <c r="S125" i="4"/>
  <c r="U123" i="4"/>
  <c r="V123" i="4" s="1"/>
  <c r="T123" i="4"/>
  <c r="S123" i="4"/>
  <c r="U72" i="4"/>
  <c r="V72" i="4" s="1"/>
  <c r="T72" i="4"/>
  <c r="S72" i="4"/>
  <c r="U68" i="4"/>
  <c r="V68" i="4" s="1"/>
  <c r="T68" i="4"/>
  <c r="S68" i="4"/>
  <c r="U25" i="4"/>
  <c r="V25" i="4" s="1"/>
  <c r="T25" i="4"/>
  <c r="S25" i="4"/>
  <c r="U23" i="4"/>
  <c r="V23" i="4" s="1"/>
  <c r="T23" i="4"/>
  <c r="S23" i="4"/>
  <c r="U1345" i="4"/>
  <c r="V1345" i="4" s="1"/>
  <c r="T1345" i="4"/>
  <c r="S1345" i="4"/>
  <c r="U1211" i="4"/>
  <c r="V1211" i="4" s="1"/>
  <c r="T1211" i="4"/>
  <c r="S1211" i="4"/>
  <c r="U1093" i="4"/>
  <c r="V1093" i="4" s="1"/>
  <c r="T1093" i="4"/>
  <c r="S1093" i="4"/>
  <c r="U687" i="4"/>
  <c r="V687" i="4" s="1"/>
  <c r="T687" i="4"/>
  <c r="S687" i="4"/>
  <c r="U225" i="4"/>
  <c r="V225" i="4" s="1"/>
  <c r="T225" i="4"/>
  <c r="S225" i="4"/>
  <c r="U1437" i="4"/>
  <c r="V1437" i="4" s="1"/>
  <c r="T1437" i="4"/>
  <c r="S1437" i="4"/>
  <c r="U1436" i="4"/>
  <c r="V1436" i="4" s="1"/>
  <c r="T1436" i="4"/>
  <c r="S1436" i="4"/>
  <c r="U1429" i="4"/>
  <c r="V1429" i="4" s="1"/>
  <c r="T1429" i="4"/>
  <c r="S1429" i="4"/>
  <c r="U1427" i="4"/>
  <c r="V1427" i="4" s="1"/>
  <c r="T1427" i="4"/>
  <c r="S1427" i="4"/>
  <c r="U1385" i="4"/>
  <c r="V1385" i="4" s="1"/>
  <c r="T1385" i="4"/>
  <c r="S1385" i="4"/>
  <c r="U1379" i="4"/>
  <c r="V1379" i="4" s="1"/>
  <c r="T1379" i="4"/>
  <c r="S1379" i="4"/>
  <c r="U1375" i="4"/>
  <c r="V1375" i="4" s="1"/>
  <c r="T1375" i="4"/>
  <c r="S1375" i="4"/>
  <c r="U1373" i="4"/>
  <c r="V1373" i="4" s="1"/>
  <c r="T1373" i="4"/>
  <c r="S1373" i="4"/>
  <c r="U1367" i="4"/>
  <c r="V1367" i="4" s="1"/>
  <c r="T1367" i="4"/>
  <c r="S1367" i="4"/>
  <c r="U1365" i="4"/>
  <c r="V1365" i="4" s="1"/>
  <c r="T1365" i="4"/>
  <c r="S1365" i="4"/>
  <c r="U1363" i="4"/>
  <c r="V1363" i="4" s="1"/>
  <c r="T1363" i="4"/>
  <c r="S1363" i="4"/>
  <c r="U1355" i="4"/>
  <c r="V1355" i="4" s="1"/>
  <c r="T1355" i="4"/>
  <c r="S1355" i="4"/>
  <c r="U1350" i="4"/>
  <c r="V1350" i="4" s="1"/>
  <c r="T1350" i="4"/>
  <c r="S1350" i="4"/>
  <c r="U1339" i="4"/>
  <c r="V1339" i="4" s="1"/>
  <c r="T1339" i="4"/>
  <c r="S1339" i="4"/>
  <c r="U1332" i="4"/>
  <c r="V1332" i="4" s="1"/>
  <c r="T1332" i="4"/>
  <c r="S1332" i="4"/>
  <c r="U1315" i="4"/>
  <c r="V1315" i="4" s="1"/>
  <c r="T1315" i="4"/>
  <c r="S1315" i="4"/>
  <c r="U1311" i="4"/>
  <c r="V1311" i="4" s="1"/>
  <c r="T1311" i="4"/>
  <c r="S1311" i="4"/>
  <c r="U1285" i="4"/>
  <c r="V1285" i="4" s="1"/>
  <c r="T1285" i="4"/>
  <c r="S1285" i="4"/>
  <c r="U1277" i="4"/>
  <c r="V1277" i="4" s="1"/>
  <c r="T1277" i="4"/>
  <c r="S1277" i="4"/>
  <c r="U1274" i="4"/>
  <c r="V1274" i="4" s="1"/>
  <c r="T1274" i="4"/>
  <c r="S1274" i="4"/>
  <c r="U1267" i="4"/>
  <c r="V1267" i="4" s="1"/>
  <c r="T1267" i="4"/>
  <c r="S1267" i="4"/>
  <c r="U1258" i="4"/>
  <c r="V1258" i="4" s="1"/>
  <c r="T1258" i="4"/>
  <c r="S1258" i="4"/>
  <c r="U1245" i="4"/>
  <c r="V1245" i="4" s="1"/>
  <c r="T1245" i="4"/>
  <c r="S1245" i="4"/>
  <c r="U1244" i="4"/>
  <c r="V1244" i="4" s="1"/>
  <c r="T1244" i="4"/>
  <c r="S1244" i="4"/>
  <c r="U1208" i="4"/>
  <c r="V1208" i="4" s="1"/>
  <c r="T1208" i="4"/>
  <c r="S1208" i="4"/>
  <c r="U1166" i="4"/>
  <c r="V1166" i="4" s="1"/>
  <c r="T1166" i="4"/>
  <c r="S1166" i="4"/>
  <c r="U1165" i="4"/>
  <c r="V1165" i="4" s="1"/>
  <c r="T1165" i="4"/>
  <c r="S1165" i="4"/>
  <c r="U1164" i="4"/>
  <c r="V1164" i="4" s="1"/>
  <c r="T1164" i="4"/>
  <c r="S1164" i="4"/>
  <c r="U1163" i="4"/>
  <c r="V1163" i="4" s="1"/>
  <c r="T1163" i="4"/>
  <c r="S1163" i="4"/>
  <c r="U1162" i="4"/>
  <c r="V1162" i="4" s="1"/>
  <c r="T1162" i="4"/>
  <c r="S1162" i="4"/>
  <c r="U1161" i="4"/>
  <c r="V1161" i="4" s="1"/>
  <c r="T1161" i="4"/>
  <c r="S1161" i="4"/>
  <c r="U1130" i="4"/>
  <c r="V1130" i="4" s="1"/>
  <c r="T1130" i="4"/>
  <c r="S1130" i="4"/>
  <c r="U1129" i="4"/>
  <c r="V1129" i="4" s="1"/>
  <c r="T1129" i="4"/>
  <c r="S1129" i="4"/>
  <c r="U1128" i="4"/>
  <c r="V1128" i="4" s="1"/>
  <c r="T1128" i="4"/>
  <c r="S1128" i="4"/>
  <c r="U1127" i="4"/>
  <c r="V1127" i="4" s="1"/>
  <c r="T1127" i="4"/>
  <c r="S1127" i="4"/>
  <c r="U1126" i="4"/>
  <c r="V1126" i="4" s="1"/>
  <c r="T1126" i="4"/>
  <c r="S1126" i="4"/>
  <c r="U1125" i="4"/>
  <c r="V1125" i="4" s="1"/>
  <c r="T1125" i="4"/>
  <c r="S1125" i="4"/>
  <c r="U1105" i="4"/>
  <c r="V1105" i="4" s="1"/>
  <c r="T1105" i="4"/>
  <c r="S1105" i="4"/>
  <c r="U1104" i="4"/>
  <c r="V1104" i="4" s="1"/>
  <c r="T1104" i="4"/>
  <c r="S1104" i="4"/>
  <c r="U1087" i="4"/>
  <c r="V1087" i="4" s="1"/>
  <c r="T1087" i="4"/>
  <c r="S1087" i="4"/>
  <c r="U1086" i="4"/>
  <c r="V1086" i="4" s="1"/>
  <c r="T1086" i="4"/>
  <c r="S1086" i="4"/>
  <c r="U1073" i="4"/>
  <c r="V1073" i="4" s="1"/>
  <c r="T1073" i="4"/>
  <c r="S1073" i="4"/>
  <c r="U1072" i="4"/>
  <c r="V1072" i="4" s="1"/>
  <c r="T1072" i="4"/>
  <c r="S1072" i="4"/>
  <c r="U1071" i="4"/>
  <c r="V1071" i="4" s="1"/>
  <c r="T1071" i="4"/>
  <c r="S1071" i="4"/>
  <c r="U1070" i="4"/>
  <c r="V1070" i="4" s="1"/>
  <c r="T1070" i="4"/>
  <c r="S1070" i="4"/>
  <c r="U1069" i="4"/>
  <c r="V1069" i="4" s="1"/>
  <c r="T1069" i="4"/>
  <c r="S1069" i="4"/>
  <c r="U1068" i="4"/>
  <c r="V1068" i="4" s="1"/>
  <c r="T1068" i="4"/>
  <c r="S1068" i="4"/>
  <c r="U1042" i="4"/>
  <c r="V1042" i="4" s="1"/>
  <c r="T1042" i="4"/>
  <c r="S1042" i="4"/>
  <c r="R1200" i="4"/>
  <c r="U1040" i="4"/>
  <c r="T1040" i="4"/>
  <c r="T1200" i="4" s="1"/>
  <c r="S1040" i="4"/>
  <c r="S1200" i="4" s="1"/>
  <c r="U1032" i="4"/>
  <c r="V1032" i="4" s="1"/>
  <c r="T1032" i="4"/>
  <c r="S1032" i="4"/>
  <c r="U1031" i="4"/>
  <c r="V1031" i="4" s="1"/>
  <c r="T1031" i="4"/>
  <c r="S1031" i="4"/>
  <c r="U1028" i="4"/>
  <c r="V1028" i="4" s="1"/>
  <c r="T1028" i="4"/>
  <c r="S1028" i="4"/>
  <c r="U1027" i="4"/>
  <c r="V1027" i="4" s="1"/>
  <c r="T1027" i="4"/>
  <c r="S1027" i="4"/>
  <c r="U1018" i="4"/>
  <c r="V1018" i="4" s="1"/>
  <c r="T1018" i="4"/>
  <c r="S1018" i="4"/>
  <c r="U1013" i="4"/>
  <c r="V1013" i="4" s="1"/>
  <c r="T1013" i="4"/>
  <c r="S1013" i="4"/>
  <c r="U1009" i="4"/>
  <c r="V1009" i="4" s="1"/>
  <c r="T1009" i="4"/>
  <c r="S1009" i="4"/>
  <c r="U1003" i="4"/>
  <c r="V1003" i="4" s="1"/>
  <c r="T1003" i="4"/>
  <c r="S1003" i="4"/>
  <c r="U1001" i="4"/>
  <c r="V1001" i="4" s="1"/>
  <c r="T1001" i="4"/>
  <c r="S1001" i="4"/>
  <c r="U996" i="4"/>
  <c r="V996" i="4" s="1"/>
  <c r="T996" i="4"/>
  <c r="S996" i="4"/>
  <c r="U992" i="4"/>
  <c r="V992" i="4" s="1"/>
  <c r="T992" i="4"/>
  <c r="S992" i="4"/>
  <c r="U985" i="4"/>
  <c r="V985" i="4" s="1"/>
  <c r="T985" i="4"/>
  <c r="S985" i="4"/>
  <c r="U984" i="4"/>
  <c r="V984" i="4" s="1"/>
  <c r="T984" i="4"/>
  <c r="S984" i="4"/>
  <c r="U982" i="4"/>
  <c r="V982" i="4" s="1"/>
  <c r="T982" i="4"/>
  <c r="S982" i="4"/>
  <c r="U976" i="4"/>
  <c r="V976" i="4" s="1"/>
  <c r="T976" i="4"/>
  <c r="S976" i="4"/>
  <c r="U967" i="4"/>
  <c r="V967" i="4" s="1"/>
  <c r="T967" i="4"/>
  <c r="S967" i="4"/>
  <c r="U966" i="4"/>
  <c r="V966" i="4" s="1"/>
  <c r="T966" i="4"/>
  <c r="S966" i="4"/>
  <c r="U959" i="4"/>
  <c r="V959" i="4" s="1"/>
  <c r="T959" i="4"/>
  <c r="S959" i="4"/>
  <c r="U918" i="4"/>
  <c r="V918" i="4" s="1"/>
  <c r="T918" i="4"/>
  <c r="S918" i="4"/>
  <c r="U894" i="4"/>
  <c r="V894" i="4" s="1"/>
  <c r="T894" i="4"/>
  <c r="S894" i="4"/>
  <c r="U891" i="4"/>
  <c r="V891" i="4" s="1"/>
  <c r="T891" i="4"/>
  <c r="S891" i="4"/>
  <c r="U890" i="4"/>
  <c r="V890" i="4" s="1"/>
  <c r="T890" i="4"/>
  <c r="S890" i="4"/>
  <c r="U889" i="4"/>
  <c r="V889" i="4" s="1"/>
  <c r="T889" i="4"/>
  <c r="S889" i="4"/>
  <c r="U888" i="4"/>
  <c r="V888" i="4" s="1"/>
  <c r="T888" i="4"/>
  <c r="S888" i="4"/>
  <c r="U887" i="4"/>
  <c r="V887" i="4" s="1"/>
  <c r="T887" i="4"/>
  <c r="S887" i="4"/>
  <c r="U876" i="4"/>
  <c r="V876" i="4" s="1"/>
  <c r="T876" i="4"/>
  <c r="S876" i="4"/>
  <c r="U864" i="4"/>
  <c r="V864" i="4" s="1"/>
  <c r="T864" i="4"/>
  <c r="S864" i="4"/>
  <c r="U816" i="4"/>
  <c r="V816" i="4" s="1"/>
  <c r="T816" i="4"/>
  <c r="S816" i="4"/>
  <c r="U804" i="4"/>
  <c r="V804" i="4" s="1"/>
  <c r="T804" i="4"/>
  <c r="S804" i="4"/>
  <c r="U801" i="4"/>
  <c r="V801" i="4" s="1"/>
  <c r="T801" i="4"/>
  <c r="S801" i="4"/>
  <c r="U800" i="4"/>
  <c r="V800" i="4" s="1"/>
  <c r="T800" i="4"/>
  <c r="S800" i="4"/>
  <c r="U799" i="4"/>
  <c r="V799" i="4" s="1"/>
  <c r="T799" i="4"/>
  <c r="S799" i="4"/>
  <c r="U776" i="4"/>
  <c r="V776" i="4" s="1"/>
  <c r="T776" i="4"/>
  <c r="S776" i="4"/>
  <c r="U775" i="4"/>
  <c r="V775" i="4" s="1"/>
  <c r="T775" i="4"/>
  <c r="S775" i="4"/>
  <c r="U768" i="4"/>
  <c r="V768" i="4" s="1"/>
  <c r="T768" i="4"/>
  <c r="S768" i="4"/>
  <c r="U759" i="4"/>
  <c r="V759" i="4" s="1"/>
  <c r="T759" i="4"/>
  <c r="S759" i="4"/>
  <c r="U746" i="4"/>
  <c r="V746" i="4" s="1"/>
  <c r="T746" i="4"/>
  <c r="S746" i="4"/>
  <c r="U731" i="4"/>
  <c r="V731" i="4" s="1"/>
  <c r="T731" i="4"/>
  <c r="S731" i="4"/>
  <c r="U718" i="4"/>
  <c r="V718" i="4" s="1"/>
  <c r="T718" i="4"/>
  <c r="S718" i="4"/>
  <c r="U708" i="4"/>
  <c r="V708" i="4" s="1"/>
  <c r="T708" i="4"/>
  <c r="S708" i="4"/>
  <c r="U703" i="4"/>
  <c r="V703" i="4" s="1"/>
  <c r="T703" i="4"/>
  <c r="S703" i="4"/>
  <c r="U697" i="4"/>
  <c r="V697" i="4" s="1"/>
  <c r="T697" i="4"/>
  <c r="S697" i="4"/>
  <c r="U693" i="4"/>
  <c r="V693" i="4" s="1"/>
  <c r="T693" i="4"/>
  <c r="S693" i="4"/>
  <c r="U690" i="4"/>
  <c r="V690" i="4" s="1"/>
  <c r="T690" i="4"/>
  <c r="S690" i="4"/>
  <c r="U664" i="4"/>
  <c r="V664" i="4" s="1"/>
  <c r="T664" i="4"/>
  <c r="S664" i="4"/>
  <c r="U645" i="4"/>
  <c r="V645" i="4" s="1"/>
  <c r="T645" i="4"/>
  <c r="S645" i="4"/>
  <c r="U636" i="4"/>
  <c r="V636" i="4" s="1"/>
  <c r="T636" i="4"/>
  <c r="S636" i="4"/>
  <c r="U597" i="4"/>
  <c r="V597" i="4" s="1"/>
  <c r="T597" i="4"/>
  <c r="S597" i="4"/>
  <c r="U596" i="4"/>
  <c r="V596" i="4" s="1"/>
  <c r="T596" i="4"/>
  <c r="S596" i="4"/>
  <c r="U595" i="4"/>
  <c r="V595" i="4" s="1"/>
  <c r="T595" i="4"/>
  <c r="S595" i="4"/>
  <c r="U594" i="4"/>
  <c r="V594" i="4" s="1"/>
  <c r="T594" i="4"/>
  <c r="S594" i="4"/>
  <c r="U593" i="4"/>
  <c r="V593" i="4" s="1"/>
  <c r="T593" i="4"/>
  <c r="S593" i="4"/>
  <c r="U589" i="4"/>
  <c r="V589" i="4" s="1"/>
  <c r="T589" i="4"/>
  <c r="S589" i="4"/>
  <c r="U586" i="4"/>
  <c r="V586" i="4" s="1"/>
  <c r="T586" i="4"/>
  <c r="S586" i="4"/>
  <c r="U575" i="4"/>
  <c r="V575" i="4" s="1"/>
  <c r="T575" i="4"/>
  <c r="S575" i="4"/>
  <c r="U564" i="4"/>
  <c r="V564" i="4" s="1"/>
  <c r="T564" i="4"/>
  <c r="S564" i="4"/>
  <c r="U538" i="4"/>
  <c r="V538" i="4" s="1"/>
  <c r="T538" i="4"/>
  <c r="S538" i="4"/>
  <c r="U513" i="4"/>
  <c r="V513" i="4" s="1"/>
  <c r="T513" i="4"/>
  <c r="S513" i="4"/>
  <c r="U493" i="4"/>
  <c r="V493" i="4" s="1"/>
  <c r="T493" i="4"/>
  <c r="S493" i="4"/>
  <c r="U460" i="4"/>
  <c r="V460" i="4" s="1"/>
  <c r="T460" i="4"/>
  <c r="S460" i="4"/>
  <c r="U457" i="4"/>
  <c r="V457" i="4" s="1"/>
  <c r="T457" i="4"/>
  <c r="S457" i="4"/>
  <c r="U455" i="4"/>
  <c r="V455" i="4" s="1"/>
  <c r="T455" i="4"/>
  <c r="S455" i="4"/>
  <c r="U454" i="4"/>
  <c r="V454" i="4" s="1"/>
  <c r="T454" i="4"/>
  <c r="S454" i="4"/>
  <c r="U443" i="4"/>
  <c r="V443" i="4" s="1"/>
  <c r="T443" i="4"/>
  <c r="S443" i="4"/>
  <c r="U432" i="4"/>
  <c r="V432" i="4" s="1"/>
  <c r="T432" i="4"/>
  <c r="S432" i="4"/>
  <c r="U429" i="4"/>
  <c r="V429" i="4" s="1"/>
  <c r="T429" i="4"/>
  <c r="S429" i="4"/>
  <c r="U398" i="4"/>
  <c r="V398" i="4" s="1"/>
  <c r="T398" i="4"/>
  <c r="S398" i="4"/>
  <c r="U397" i="4"/>
  <c r="V397" i="4" s="1"/>
  <c r="T397" i="4"/>
  <c r="S397" i="4"/>
  <c r="U396" i="4"/>
  <c r="V396" i="4" s="1"/>
  <c r="T396" i="4"/>
  <c r="S396" i="4"/>
  <c r="U381" i="4"/>
  <c r="V381" i="4" s="1"/>
  <c r="T381" i="4"/>
  <c r="S381" i="4"/>
  <c r="U376" i="4"/>
  <c r="V376" i="4" s="1"/>
  <c r="T376" i="4"/>
  <c r="S376" i="4"/>
  <c r="U348" i="4"/>
  <c r="V348" i="4" s="1"/>
  <c r="T348" i="4"/>
  <c r="S348" i="4"/>
  <c r="U347" i="4"/>
  <c r="V347" i="4" s="1"/>
  <c r="T347" i="4"/>
  <c r="S347" i="4"/>
  <c r="U319" i="4"/>
  <c r="V319" i="4" s="1"/>
  <c r="T319" i="4"/>
  <c r="S319" i="4"/>
  <c r="U297" i="4"/>
  <c r="V297" i="4" s="1"/>
  <c r="T297" i="4"/>
  <c r="S297" i="4"/>
  <c r="U258" i="4"/>
  <c r="V258" i="4" s="1"/>
  <c r="T258" i="4"/>
  <c r="S258" i="4"/>
  <c r="U257" i="4"/>
  <c r="V257" i="4" s="1"/>
  <c r="T257" i="4"/>
  <c r="S257" i="4"/>
  <c r="U256" i="4"/>
  <c r="V256" i="4" s="1"/>
  <c r="T256" i="4"/>
  <c r="S256" i="4"/>
  <c r="U255" i="4"/>
  <c r="V255" i="4" s="1"/>
  <c r="T255" i="4"/>
  <c r="S255" i="4"/>
  <c r="U254" i="4"/>
  <c r="V254" i="4" s="1"/>
  <c r="T254" i="4"/>
  <c r="S254" i="4"/>
  <c r="U242" i="4"/>
  <c r="V242" i="4" s="1"/>
  <c r="T242" i="4"/>
  <c r="S242" i="4"/>
  <c r="U241" i="4"/>
  <c r="V241" i="4" s="1"/>
  <c r="T241" i="4"/>
  <c r="S241" i="4"/>
  <c r="U239" i="4"/>
  <c r="V239" i="4" s="1"/>
  <c r="T239" i="4"/>
  <c r="S239" i="4"/>
  <c r="U237" i="4"/>
  <c r="V237" i="4" s="1"/>
  <c r="T237" i="4"/>
  <c r="S237" i="4"/>
  <c r="U235" i="4"/>
  <c r="V235" i="4" s="1"/>
  <c r="T235" i="4"/>
  <c r="S235" i="4"/>
  <c r="U234" i="4"/>
  <c r="V234" i="4" s="1"/>
  <c r="T234" i="4"/>
  <c r="S234" i="4"/>
  <c r="U232" i="4"/>
  <c r="V232" i="4" s="1"/>
  <c r="T232" i="4"/>
  <c r="S232" i="4"/>
  <c r="U231" i="4"/>
  <c r="V231" i="4" s="1"/>
  <c r="T231" i="4"/>
  <c r="S231" i="4"/>
  <c r="U230" i="4"/>
  <c r="V230" i="4" s="1"/>
  <c r="T230" i="4"/>
  <c r="S230" i="4"/>
  <c r="U214" i="4"/>
  <c r="V214" i="4" s="1"/>
  <c r="T214" i="4"/>
  <c r="S214" i="4"/>
  <c r="U183" i="4"/>
  <c r="V183" i="4" s="1"/>
  <c r="T183" i="4"/>
  <c r="S183" i="4"/>
  <c r="U117" i="4"/>
  <c r="V117" i="4" s="1"/>
  <c r="T117" i="4"/>
  <c r="S117" i="4"/>
  <c r="U96" i="4"/>
  <c r="V96" i="4" s="1"/>
  <c r="T96" i="4"/>
  <c r="S96" i="4"/>
  <c r="U85" i="4"/>
  <c r="V85" i="4" s="1"/>
  <c r="T85" i="4"/>
  <c r="S85" i="4"/>
  <c r="U60" i="4"/>
  <c r="V60" i="4" s="1"/>
  <c r="T60" i="4"/>
  <c r="S60" i="4"/>
  <c r="U47" i="4"/>
  <c r="V47" i="4" s="1"/>
  <c r="T47" i="4"/>
  <c r="S47" i="4"/>
  <c r="U31" i="4"/>
  <c r="V31" i="4" s="1"/>
  <c r="T31" i="4"/>
  <c r="S31" i="4"/>
  <c r="U19" i="4"/>
  <c r="V19" i="4" s="1"/>
  <c r="T19" i="4"/>
  <c r="S19" i="4"/>
  <c r="U1289" i="4"/>
  <c r="V1289" i="4" s="1"/>
  <c r="T1289" i="4"/>
  <c r="S1289" i="4"/>
  <c r="U1216" i="4"/>
  <c r="V1216" i="4" s="1"/>
  <c r="T1216" i="4"/>
  <c r="S1216" i="4"/>
  <c r="U1085" i="4"/>
  <c r="V1085" i="4" s="1"/>
  <c r="T1085" i="4"/>
  <c r="S1085" i="4"/>
  <c r="U1067" i="4"/>
  <c r="V1067" i="4" s="1"/>
  <c r="T1067" i="4"/>
  <c r="S1067" i="4"/>
  <c r="U1043" i="4"/>
  <c r="V1043" i="4" s="1"/>
  <c r="T1043" i="4"/>
  <c r="S1043" i="4"/>
  <c r="U1041" i="4"/>
  <c r="V1041" i="4" s="1"/>
  <c r="T1041" i="4"/>
  <c r="S1041" i="4"/>
  <c r="U1000" i="4"/>
  <c r="V1000" i="4" s="1"/>
  <c r="T1000" i="4"/>
  <c r="S1000" i="4"/>
  <c r="U797" i="4"/>
  <c r="V797" i="4" s="1"/>
  <c r="T797" i="4"/>
  <c r="S797" i="4"/>
  <c r="R791" i="4"/>
  <c r="U702" i="4"/>
  <c r="T702" i="4"/>
  <c r="T791" i="4" s="1"/>
  <c r="S702" i="4"/>
  <c r="S791" i="4" s="1"/>
  <c r="U425" i="4"/>
  <c r="V425" i="4" s="1"/>
  <c r="T425" i="4"/>
  <c r="S425" i="4"/>
  <c r="U210" i="4"/>
  <c r="V210" i="4" s="1"/>
  <c r="T210" i="4"/>
  <c r="S210" i="4"/>
  <c r="U79" i="4"/>
  <c r="V79" i="4" s="1"/>
  <c r="T79" i="4"/>
  <c r="S79" i="4"/>
  <c r="U1282" i="4"/>
  <c r="V1282" i="4" s="1"/>
  <c r="T1282" i="4"/>
  <c r="S1282" i="4"/>
  <c r="U1260" i="4"/>
  <c r="V1260" i="4" s="1"/>
  <c r="T1260" i="4"/>
  <c r="S1260" i="4"/>
  <c r="U1246" i="4"/>
  <c r="V1246" i="4" s="1"/>
  <c r="T1246" i="4"/>
  <c r="S1246" i="4"/>
  <c r="U1203" i="4"/>
  <c r="V1203" i="4" s="1"/>
  <c r="T1203" i="4"/>
  <c r="S1203" i="4"/>
  <c r="U798" i="4"/>
  <c r="V798" i="4" s="1"/>
  <c r="T798" i="4"/>
  <c r="S798" i="4"/>
  <c r="U1405" i="4"/>
  <c r="V1405" i="4" s="1"/>
  <c r="T1405" i="4"/>
  <c r="S1405" i="4"/>
  <c r="U1066" i="4"/>
  <c r="V1066" i="4" s="1"/>
  <c r="T1066" i="4"/>
  <c r="S1066" i="4"/>
  <c r="U825" i="4"/>
  <c r="V825" i="4" s="1"/>
  <c r="T825" i="4"/>
  <c r="S825" i="4"/>
  <c r="U734" i="4"/>
  <c r="V734" i="4" s="1"/>
  <c r="T734" i="4"/>
  <c r="S734" i="4"/>
  <c r="U704" i="4"/>
  <c r="V704" i="4" s="1"/>
  <c r="T704" i="4"/>
  <c r="S704" i="4"/>
  <c r="U240" i="4"/>
  <c r="V240" i="4" s="1"/>
  <c r="T240" i="4"/>
  <c r="S240" i="4"/>
  <c r="U118" i="4"/>
  <c r="V118" i="4" s="1"/>
  <c r="T118" i="4"/>
  <c r="S118" i="4"/>
  <c r="U21" i="4"/>
  <c r="V21" i="4" s="1"/>
  <c r="T21" i="4"/>
  <c r="S21" i="4"/>
  <c r="U20" i="4"/>
  <c r="V20" i="4" s="1"/>
  <c r="T20" i="4"/>
  <c r="S20" i="4"/>
  <c r="U1297" i="4"/>
  <c r="V1297" i="4" s="1"/>
  <c r="T1297" i="4"/>
  <c r="S1297" i="4"/>
  <c r="U1241" i="4"/>
  <c r="V1241" i="4" s="1"/>
  <c r="T1241" i="4"/>
  <c r="S1241" i="4"/>
  <c r="U1118" i="4"/>
  <c r="V1118" i="4" s="1"/>
  <c r="T1118" i="4"/>
  <c r="S1118" i="4"/>
  <c r="U911" i="4"/>
  <c r="V911" i="4" s="1"/>
  <c r="T911" i="4"/>
  <c r="S911" i="4"/>
  <c r="U807" i="4"/>
  <c r="V807" i="4" s="1"/>
  <c r="T807" i="4"/>
  <c r="S807" i="4"/>
  <c r="U725" i="4"/>
  <c r="V725" i="4" s="1"/>
  <c r="T725" i="4"/>
  <c r="S725" i="4"/>
  <c r="U244" i="4"/>
  <c r="V244" i="4" s="1"/>
  <c r="T244" i="4"/>
  <c r="S244" i="4"/>
  <c r="U196" i="4"/>
  <c r="V196" i="4" s="1"/>
  <c r="T196" i="4"/>
  <c r="S196" i="4"/>
  <c r="U147" i="4"/>
  <c r="V147" i="4" s="1"/>
  <c r="T147" i="4"/>
  <c r="S147" i="4"/>
  <c r="U38" i="4"/>
  <c r="V38" i="4" s="1"/>
  <c r="T38" i="4"/>
  <c r="S38" i="4"/>
  <c r="U1153" i="4"/>
  <c r="V1153" i="4" s="1"/>
  <c r="T1153" i="4"/>
  <c r="S1153" i="4"/>
  <c r="U1083" i="4"/>
  <c r="V1083" i="4" s="1"/>
  <c r="T1083" i="4"/>
  <c r="S1083" i="4"/>
  <c r="U1304" i="4"/>
  <c r="V1304" i="4" s="1"/>
  <c r="T1304" i="4"/>
  <c r="S1304" i="4"/>
  <c r="U711" i="4"/>
  <c r="V711" i="4" s="1"/>
  <c r="T711" i="4"/>
  <c r="S711" i="4"/>
  <c r="U623" i="4"/>
  <c r="V623" i="4" s="1"/>
  <c r="T623" i="4"/>
  <c r="S623" i="4"/>
  <c r="U1446" i="4"/>
  <c r="V1446" i="4" s="1"/>
  <c r="T1446" i="4"/>
  <c r="S1446" i="4"/>
  <c r="U1445" i="4"/>
  <c r="V1445" i="4" s="1"/>
  <c r="T1445" i="4"/>
  <c r="S1445" i="4"/>
  <c r="U1438" i="4"/>
  <c r="V1438" i="4" s="1"/>
  <c r="T1438" i="4"/>
  <c r="S1438" i="4"/>
  <c r="U1430" i="4"/>
  <c r="V1430" i="4" s="1"/>
  <c r="T1430" i="4"/>
  <c r="S1430" i="4"/>
  <c r="U1377" i="4"/>
  <c r="V1377" i="4" s="1"/>
  <c r="T1377" i="4"/>
  <c r="S1377" i="4"/>
  <c r="U1359" i="4"/>
  <c r="V1359" i="4" s="1"/>
  <c r="T1359" i="4"/>
  <c r="S1359" i="4"/>
  <c r="U1358" i="4"/>
  <c r="V1358" i="4" s="1"/>
  <c r="T1358" i="4"/>
  <c r="S1358" i="4"/>
  <c r="U1354" i="4"/>
  <c r="V1354" i="4" s="1"/>
  <c r="T1354" i="4"/>
  <c r="S1354" i="4"/>
  <c r="U1338" i="4"/>
  <c r="V1338" i="4" s="1"/>
  <c r="T1338" i="4"/>
  <c r="S1338" i="4"/>
  <c r="U1330" i="4"/>
  <c r="V1330" i="4" s="1"/>
  <c r="T1330" i="4"/>
  <c r="S1330" i="4"/>
  <c r="U1322" i="4"/>
  <c r="V1322" i="4" s="1"/>
  <c r="T1322" i="4"/>
  <c r="S1322" i="4"/>
  <c r="U1312" i="4"/>
  <c r="V1312" i="4" s="1"/>
  <c r="T1312" i="4"/>
  <c r="S1312" i="4"/>
  <c r="U1301" i="4"/>
  <c r="V1301" i="4" s="1"/>
  <c r="T1301" i="4"/>
  <c r="S1301" i="4"/>
  <c r="U1284" i="4"/>
  <c r="V1284" i="4" s="1"/>
  <c r="T1284" i="4"/>
  <c r="S1284" i="4"/>
  <c r="U1279" i="4"/>
  <c r="V1279" i="4" s="1"/>
  <c r="T1279" i="4"/>
  <c r="S1279" i="4"/>
  <c r="U1259" i="4"/>
  <c r="V1259" i="4" s="1"/>
  <c r="T1259" i="4"/>
  <c r="S1259" i="4"/>
  <c r="U1257" i="4"/>
  <c r="V1257" i="4" s="1"/>
  <c r="T1257" i="4"/>
  <c r="S1257" i="4"/>
  <c r="U1224" i="4"/>
  <c r="V1224" i="4" s="1"/>
  <c r="T1224" i="4"/>
  <c r="S1224" i="4"/>
  <c r="U1219" i="4"/>
  <c r="V1219" i="4" s="1"/>
  <c r="T1219" i="4"/>
  <c r="S1219" i="4"/>
  <c r="U975" i="4"/>
  <c r="V975" i="4" s="1"/>
  <c r="T975" i="4"/>
  <c r="S975" i="4"/>
  <c r="U973" i="4"/>
  <c r="V973" i="4" s="1"/>
  <c r="T973" i="4"/>
  <c r="S973" i="4"/>
  <c r="U965" i="4"/>
  <c r="V965" i="4" s="1"/>
  <c r="T965" i="4"/>
  <c r="S965" i="4"/>
  <c r="U964" i="4"/>
  <c r="V964" i="4" s="1"/>
  <c r="T964" i="4"/>
  <c r="S964" i="4"/>
  <c r="U963" i="4"/>
  <c r="V963" i="4" s="1"/>
  <c r="T963" i="4"/>
  <c r="S963" i="4"/>
  <c r="U893" i="4"/>
  <c r="V893" i="4" s="1"/>
  <c r="T893" i="4"/>
  <c r="S893" i="4"/>
  <c r="U892" i="4"/>
  <c r="V892" i="4" s="1"/>
  <c r="T892" i="4"/>
  <c r="S892" i="4"/>
  <c r="U806" i="4"/>
  <c r="V806" i="4" s="1"/>
  <c r="T806" i="4"/>
  <c r="S806" i="4"/>
  <c r="U805" i="4"/>
  <c r="V805" i="4" s="1"/>
  <c r="T805" i="4"/>
  <c r="S805" i="4"/>
  <c r="U794" i="4"/>
  <c r="T794" i="4"/>
  <c r="T979" i="4" s="1"/>
  <c r="S794" i="4"/>
  <c r="S979" i="4" s="1"/>
  <c r="U753" i="4"/>
  <c r="V753" i="4" s="1"/>
  <c r="T753" i="4"/>
  <c r="S753" i="4"/>
  <c r="U745" i="4"/>
  <c r="V745" i="4" s="1"/>
  <c r="T745" i="4"/>
  <c r="S745" i="4"/>
  <c r="U699" i="4"/>
  <c r="V699" i="4" s="1"/>
  <c r="T699" i="4"/>
  <c r="S699" i="4"/>
  <c r="U662" i="4"/>
  <c r="V662" i="4" s="1"/>
  <c r="T662" i="4"/>
  <c r="S662" i="4"/>
  <c r="U643" i="4"/>
  <c r="V643" i="4" s="1"/>
  <c r="T643" i="4"/>
  <c r="S643" i="4"/>
  <c r="U606" i="4"/>
  <c r="V606" i="4" s="1"/>
  <c r="T606" i="4"/>
  <c r="S606" i="4"/>
  <c r="U591" i="4"/>
  <c r="V591" i="4" s="1"/>
  <c r="T591" i="4"/>
  <c r="S591" i="4"/>
  <c r="U590" i="4"/>
  <c r="V590" i="4" s="1"/>
  <c r="T590" i="4"/>
  <c r="S590" i="4"/>
  <c r="U585" i="4"/>
  <c r="V585" i="4" s="1"/>
  <c r="T585" i="4"/>
  <c r="S585" i="4"/>
  <c r="U565" i="4"/>
  <c r="V565" i="4" s="1"/>
  <c r="T565" i="4"/>
  <c r="S565" i="4"/>
  <c r="U536" i="4"/>
  <c r="V536" i="4" s="1"/>
  <c r="T536" i="4"/>
  <c r="S536" i="4"/>
  <c r="U511" i="4"/>
  <c r="V511" i="4" s="1"/>
  <c r="T511" i="4"/>
  <c r="S511" i="4"/>
  <c r="U491" i="4"/>
  <c r="V491" i="4" s="1"/>
  <c r="T491" i="4"/>
  <c r="S491" i="4"/>
  <c r="U490" i="4"/>
  <c r="V490" i="4" s="1"/>
  <c r="T490" i="4"/>
  <c r="S490" i="4"/>
  <c r="U453" i="4"/>
  <c r="V453" i="4" s="1"/>
  <c r="T453" i="4"/>
  <c r="S453" i="4"/>
  <c r="U452" i="4"/>
  <c r="V452" i="4" s="1"/>
  <c r="T452" i="4"/>
  <c r="S452" i="4"/>
  <c r="U451" i="4"/>
  <c r="V451" i="4" s="1"/>
  <c r="T451" i="4"/>
  <c r="S451" i="4"/>
  <c r="U450" i="4"/>
  <c r="V450" i="4" s="1"/>
  <c r="T450" i="4"/>
  <c r="S450" i="4"/>
  <c r="U430" i="4"/>
  <c r="V430" i="4" s="1"/>
  <c r="T430" i="4"/>
  <c r="S430" i="4"/>
  <c r="U399" i="4"/>
  <c r="V399" i="4" s="1"/>
  <c r="T399" i="4"/>
  <c r="S399" i="4"/>
  <c r="U345" i="4"/>
  <c r="V345" i="4" s="1"/>
  <c r="T345" i="4"/>
  <c r="S345" i="4"/>
  <c r="U317" i="4"/>
  <c r="V317" i="4" s="1"/>
  <c r="T317" i="4"/>
  <c r="S317" i="4"/>
  <c r="U295" i="4"/>
  <c r="V295" i="4" s="1"/>
  <c r="T295" i="4"/>
  <c r="S295" i="4"/>
  <c r="U294" i="4"/>
  <c r="V294" i="4" s="1"/>
  <c r="T294" i="4"/>
  <c r="S294" i="4"/>
  <c r="U253" i="4"/>
  <c r="V253" i="4" s="1"/>
  <c r="T253" i="4"/>
  <c r="S253" i="4"/>
  <c r="U252" i="4"/>
  <c r="V252" i="4" s="1"/>
  <c r="T252" i="4"/>
  <c r="S252" i="4"/>
  <c r="U250" i="4"/>
  <c r="V250" i="4" s="1"/>
  <c r="T250" i="4"/>
  <c r="S250" i="4"/>
  <c r="U248" i="4"/>
  <c r="V248" i="4" s="1"/>
  <c r="T248" i="4"/>
  <c r="S248" i="4"/>
  <c r="U233" i="4"/>
  <c r="V233" i="4" s="1"/>
  <c r="T233" i="4"/>
  <c r="S233" i="4"/>
  <c r="U223" i="4"/>
  <c r="V223" i="4" s="1"/>
  <c r="T223" i="4"/>
  <c r="S223" i="4"/>
  <c r="U146" i="4"/>
  <c r="V146" i="4" s="1"/>
  <c r="T146" i="4"/>
  <c r="S146" i="4"/>
  <c r="U113" i="4"/>
  <c r="V113" i="4" s="1"/>
  <c r="T113" i="4"/>
  <c r="S113" i="4"/>
  <c r="U82" i="4"/>
  <c r="V82" i="4" s="1"/>
  <c r="T82" i="4"/>
  <c r="S82" i="4"/>
  <c r="U57" i="4"/>
  <c r="V57" i="4" s="1"/>
  <c r="T57" i="4"/>
  <c r="S57" i="4"/>
  <c r="U44" i="4"/>
  <c r="V44" i="4" s="1"/>
  <c r="T44" i="4"/>
  <c r="S44" i="4"/>
  <c r="U13" i="4"/>
  <c r="V13" i="4" s="1"/>
  <c r="T13" i="4"/>
  <c r="S13" i="4"/>
  <c r="U12" i="4"/>
  <c r="T12" i="4"/>
  <c r="T679" i="4" s="1"/>
  <c r="S12" i="4"/>
  <c r="S679" i="4" s="1"/>
  <c r="U15" i="5"/>
  <c r="V15" i="5" s="1"/>
  <c r="T15" i="5"/>
  <c r="S15" i="5"/>
  <c r="U14" i="5"/>
  <c r="V14" i="5" s="1"/>
  <c r="T14" i="5"/>
  <c r="S14" i="5"/>
  <c r="U13" i="5"/>
  <c r="V13" i="5" s="1"/>
  <c r="T13" i="5"/>
  <c r="S13" i="5"/>
  <c r="U12" i="5"/>
  <c r="V12" i="5" s="1"/>
  <c r="T12" i="5"/>
  <c r="S12" i="5"/>
  <c r="U11" i="5"/>
  <c r="V11" i="5" s="1"/>
  <c r="T11" i="5"/>
  <c r="S11" i="5"/>
  <c r="U10" i="5"/>
  <c r="V10" i="5" s="1"/>
  <c r="T10" i="5"/>
  <c r="S10" i="5"/>
  <c r="U9" i="5"/>
  <c r="V9" i="5" s="1"/>
  <c r="T9" i="5"/>
  <c r="S9" i="5"/>
  <c r="U8" i="5"/>
  <c r="V8" i="5" s="1"/>
  <c r="T8" i="5"/>
  <c r="S8" i="5"/>
  <c r="U7" i="5"/>
  <c r="V7" i="5" s="1"/>
  <c r="T7" i="5"/>
  <c r="S7" i="5"/>
  <c r="U6" i="5"/>
  <c r="T6" i="5"/>
  <c r="T16" i="5" s="1"/>
  <c r="S6" i="5"/>
  <c r="S16" i="5" s="1"/>
  <c r="M58" i="3"/>
  <c r="J60" i="3" s="1"/>
  <c r="F19" i="7" s="1"/>
  <c r="N56" i="3"/>
  <c r="N58" i="3" s="1"/>
  <c r="V6" i="5" l="1"/>
  <c r="U16" i="5"/>
  <c r="Q16" i="5" s="1"/>
  <c r="V12" i="4"/>
  <c r="U679" i="4"/>
  <c r="Q679" i="4" s="1"/>
  <c r="V794" i="4"/>
  <c r="U979" i="4"/>
  <c r="Q979" i="4" s="1"/>
  <c r="U791" i="4"/>
  <c r="Q791" i="4" s="1"/>
  <c r="V702" i="4"/>
  <c r="V791" i="4" s="1"/>
  <c r="U1200" i="4"/>
  <c r="Q1200" i="4" s="1"/>
  <c r="V1040" i="4"/>
  <c r="V1200" i="4" s="1"/>
  <c r="U1038" i="4"/>
  <c r="Q1038" i="4" s="1"/>
  <c r="V981" i="4"/>
  <c r="V1038" i="4" s="1"/>
  <c r="U1391" i="4"/>
  <c r="Q1391" i="4" s="1"/>
  <c r="V1231" i="4"/>
  <c r="V1391" i="4" s="1"/>
  <c r="U1225" i="4"/>
  <c r="Q1225" i="4" s="1"/>
  <c r="V1202" i="4"/>
  <c r="V1225" i="4" s="1"/>
  <c r="N63" i="3"/>
  <c r="M63" i="3"/>
  <c r="J52" i="3"/>
  <c r="U700" i="4"/>
  <c r="Q700" i="4" s="1"/>
  <c r="V681" i="4"/>
  <c r="V700" i="4" s="1"/>
  <c r="V16" i="5"/>
  <c r="V979" i="4"/>
  <c r="V679" i="4"/>
  <c r="F14" i="7" l="1"/>
  <c r="F13" i="7"/>
  <c r="F12" i="7"/>
  <c r="F11" i="7"/>
  <c r="F10" i="7"/>
  <c r="F9" i="7"/>
  <c r="F8" i="7"/>
  <c r="F7" i="7"/>
  <c r="F6" i="7"/>
  <c r="I19" i="7"/>
  <c r="L19" i="7"/>
  <c r="L20" i="7"/>
  <c r="H19" i="7"/>
  <c r="J19" i="7"/>
  <c r="J20" i="7"/>
  <c r="G19" i="7"/>
  <c r="K19" i="7"/>
  <c r="K20" i="7"/>
  <c r="C11" i="8"/>
  <c r="B11" i="8"/>
  <c r="I14" i="7"/>
  <c r="L14" i="7"/>
  <c r="K14" i="8"/>
  <c r="K15" i="8"/>
  <c r="K18" i="8"/>
  <c r="H14" i="7"/>
  <c r="J14" i="7"/>
  <c r="K9" i="8"/>
  <c r="G14" i="7"/>
  <c r="K14" i="7"/>
  <c r="K10" i="8"/>
  <c r="K12" i="8"/>
  <c r="K13" i="8"/>
  <c r="I13" i="7"/>
  <c r="L13" i="7"/>
  <c r="J14" i="8"/>
  <c r="J15" i="8"/>
  <c r="J18" i="8"/>
  <c r="H13" i="7"/>
  <c r="J13" i="7"/>
  <c r="J9" i="8"/>
  <c r="G13" i="7"/>
  <c r="K13" i="7"/>
  <c r="J10" i="8"/>
  <c r="J12" i="8"/>
  <c r="J13" i="8"/>
  <c r="I12" i="7"/>
  <c r="L12" i="7"/>
  <c r="I14" i="8"/>
  <c r="I15" i="8"/>
  <c r="I18" i="8"/>
  <c r="H12" i="7"/>
  <c r="J12" i="7"/>
  <c r="I9" i="8"/>
  <c r="G12" i="7"/>
  <c r="K12" i="7"/>
  <c r="I10" i="8"/>
  <c r="I12" i="8"/>
  <c r="I13" i="8"/>
  <c r="I11" i="7"/>
  <c r="L11" i="7"/>
  <c r="H14" i="8"/>
  <c r="H15" i="8"/>
  <c r="H18" i="8"/>
  <c r="H11" i="7"/>
  <c r="J11" i="7"/>
  <c r="H9" i="8"/>
  <c r="G11" i="7"/>
  <c r="K11" i="7"/>
  <c r="H10" i="8"/>
  <c r="H12" i="8"/>
  <c r="H13" i="8"/>
  <c r="I10" i="7"/>
  <c r="L10" i="7"/>
  <c r="G14" i="8"/>
  <c r="G15" i="8"/>
  <c r="G18" i="8"/>
  <c r="H10" i="7"/>
  <c r="J10" i="7"/>
  <c r="G9" i="8"/>
  <c r="G10" i="7"/>
  <c r="K10" i="7"/>
  <c r="G10" i="8"/>
  <c r="G12" i="8"/>
  <c r="G13" i="8"/>
  <c r="I9" i="7"/>
  <c r="L9" i="7"/>
  <c r="F14" i="8"/>
  <c r="F15" i="8"/>
  <c r="F18" i="8"/>
  <c r="H9" i="7"/>
  <c r="J9" i="7"/>
  <c r="F9" i="8"/>
  <c r="G9" i="7"/>
  <c r="K9" i="7"/>
  <c r="F10" i="8"/>
  <c r="F12" i="8"/>
  <c r="F13" i="8"/>
  <c r="I8" i="7"/>
  <c r="L8" i="7"/>
  <c r="E14" i="8"/>
  <c r="E15" i="8"/>
  <c r="E18" i="8"/>
  <c r="H8" i="7"/>
  <c r="J8" i="7"/>
  <c r="E9" i="8"/>
  <c r="G8" i="7"/>
  <c r="K8" i="7"/>
  <c r="E10" i="8"/>
  <c r="E12" i="8"/>
  <c r="E13" i="8"/>
  <c r="I7" i="7"/>
  <c r="L7" i="7"/>
  <c r="D14" i="8"/>
  <c r="D15" i="8"/>
  <c r="D18" i="8"/>
  <c r="H7" i="7"/>
  <c r="J7" i="7"/>
  <c r="D9" i="8"/>
  <c r="G7" i="7"/>
  <c r="K7" i="7"/>
  <c r="D10" i="8"/>
  <c r="D12" i="8"/>
  <c r="D13" i="8"/>
  <c r="I6" i="7"/>
  <c r="L6" i="7"/>
  <c r="L15" i="7"/>
  <c r="L23" i="7"/>
  <c r="L25" i="7"/>
  <c r="C14" i="8"/>
  <c r="C15" i="8"/>
  <c r="B15" i="8"/>
  <c r="C18" i="8"/>
  <c r="B14" i="8"/>
  <c r="D4" i="13"/>
  <c r="E4" i="13"/>
  <c r="E11" i="13"/>
  <c r="D8" i="13"/>
  <c r="E8" i="13"/>
  <c r="H6" i="7"/>
  <c r="J6" i="7"/>
  <c r="J15" i="7"/>
  <c r="J23" i="7"/>
  <c r="C9" i="8"/>
  <c r="B9" i="8"/>
  <c r="C4" i="13"/>
  <c r="C8" i="13"/>
  <c r="G6" i="7"/>
  <c r="K6" i="7"/>
  <c r="K15" i="7"/>
  <c r="K23" i="7"/>
  <c r="B13" i="8"/>
  <c r="C10" i="8"/>
  <c r="C12" i="8"/>
  <c r="B12" i="8"/>
  <c r="B4" i="13"/>
  <c r="B8" i="13"/>
  <c r="B10" i="8"/>
  <c r="C13" i="8"/>
  <c r="B18" i="8"/>
</calcChain>
</file>

<file path=xl/sharedStrings.xml><?xml version="1.0" encoding="utf-8"?>
<sst xmlns="http://schemas.openxmlformats.org/spreadsheetml/2006/main" count="17485" uniqueCount="2112">
  <si>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</si>
  <si>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</si>
  <si>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</si>
  <si>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</si>
  <si>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</si>
  <si>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</si>
  <si>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</si>
  <si>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</si>
  <si>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</si>
  <si>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420J</t>
  </si>
  <si>
    <t>5W</t>
  </si>
  <si>
    <t>210J</t>
  </si>
  <si>
    <t>4W</t>
  </si>
  <si>
    <t>3W</t>
  </si>
  <si>
    <t>126J</t>
  </si>
  <si>
    <t>2W</t>
  </si>
  <si>
    <t>1W</t>
  </si>
  <si>
    <t>42J</t>
  </si>
  <si>
    <t>26J</t>
  </si>
  <si>
    <t>12J</t>
  </si>
  <si>
    <t>10J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</si>
  <si>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</si>
  <si>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</si>
  <si>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</si>
  <si>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</si>
  <si>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</si>
  <si>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</si>
  <si>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</si>
  <si>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</si>
  <si>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</si>
  <si>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</si>
  <si>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</si>
  <si>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</si>
  <si>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</si>
  <si>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</si>
  <si>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</si>
  <si>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</si>
  <si>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GSHB</t>
  </si>
  <si>
    <t xml:space="preserve">G    </t>
  </si>
  <si>
    <t>Gymzalen/sportruimten/toestelberging - harde vloeren (basis)</t>
  </si>
  <si>
    <t>m²/uur</t>
  </si>
  <si>
    <t>GSHV</t>
  </si>
  <si>
    <t>Gymzalen/sportruimten/toestelberging - harde vloeren (volledig)</t>
  </si>
  <si>
    <t>PKHB</t>
  </si>
  <si>
    <t xml:space="preserve">PK   </t>
  </si>
  <si>
    <t>Praktijk keuken - harde vloeren (basis)</t>
  </si>
  <si>
    <t>PKHV</t>
  </si>
  <si>
    <t>Praktijk keuken - harde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</si>
  <si>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</si>
  <si>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</si>
  <si>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</si>
  <si>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</si>
  <si>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</si>
  <si>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</si>
  <si>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</si>
  <si>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</si>
  <si>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</si>
  <si>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</si>
  <si>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</si>
  <si>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</si>
  <si>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</si>
  <si>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</si>
  <si>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</si>
  <si>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</si>
  <si>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</si>
  <si>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</si>
  <si>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SWHB</t>
  </si>
  <si>
    <t>Wasruimten - harde vloeren (basis)</t>
  </si>
  <si>
    <t>SWHV</t>
  </si>
  <si>
    <t>Wasruimten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</si>
  <si>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</si>
  <si>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</si>
  <si>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</si>
  <si>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</si>
  <si>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</si>
  <si>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KAZB</t>
  </si>
  <si>
    <t>Aula/kantine - zachte vloeren (basis)</t>
  </si>
  <si>
    <t>KAZV</t>
  </si>
  <si>
    <t>Aula/kantine - zachte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</si>
  <si>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</si>
  <si>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</si>
  <si>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</si>
  <si>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</si>
  <si>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</si>
  <si>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</si>
  <si>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</si>
  <si>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</si>
  <si>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KPHB</t>
  </si>
  <si>
    <t>Pantry - harde vloeren (basis)</t>
  </si>
  <si>
    <t>KPHV</t>
  </si>
  <si>
    <t>Pantry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</si>
  <si>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</si>
  <si>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</si>
  <si>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</si>
  <si>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</si>
  <si>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</si>
  <si>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</si>
  <si>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</si>
  <si>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</si>
  <si>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</si>
  <si>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</si>
  <si>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</si>
  <si>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</si>
  <si>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</si>
  <si>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</si>
  <si>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</si>
  <si>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</si>
  <si>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</si>
  <si>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</si>
  <si>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</si>
  <si>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</si>
  <si>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VLHB</t>
  </si>
  <si>
    <t>Liften - harde vloeren (basis)</t>
  </si>
  <si>
    <t>VLHV</t>
  </si>
  <si>
    <t>Liften - harde vloeren (volledig)</t>
  </si>
  <si>
    <t>VOHB</t>
  </si>
  <si>
    <t>Verkeer overigen - harde vloeren (basis)</t>
  </si>
  <si>
    <t>VOHV</t>
  </si>
  <si>
    <t>Verkeer overigen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</si>
  <si>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</si>
  <si>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</si>
  <si>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</si>
  <si>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</si>
  <si>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</si>
  <si>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</si>
  <si>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</si>
  <si>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</si>
  <si>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BKHB</t>
  </si>
  <si>
    <t xml:space="preserve">W    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</si>
  <si>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</si>
  <si>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</si>
  <si>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</si>
  <si>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</si>
  <si>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</si>
  <si>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</si>
  <si>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</si>
  <si>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BVHB</t>
  </si>
  <si>
    <t>Vergaderruimten - harde vloeren (basis)</t>
  </si>
  <si>
    <t>BVHV</t>
  </si>
  <si>
    <t>Vergaderruimten - harde vloeren (volledig)</t>
  </si>
  <si>
    <t>BVZB</t>
  </si>
  <si>
    <t>Vergaderruimten - zachte vloeren (basis)</t>
  </si>
  <si>
    <t>BVZV</t>
  </si>
  <si>
    <t>Vergaderruimten - zachte vloeren (volledig)</t>
  </si>
  <si>
    <t>LAHB</t>
  </si>
  <si>
    <t>Auditoria - harde vloeren (basis)</t>
  </si>
  <si>
    <t>LAHV</t>
  </si>
  <si>
    <t>Auditoria - harde vloeren (volledig)</t>
  </si>
  <si>
    <t>LAZB</t>
  </si>
  <si>
    <t>Auditoria - zachte vloeren (basis)</t>
  </si>
  <si>
    <t>LAZV</t>
  </si>
  <si>
    <t>Auditoria - zachte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</si>
  <si>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</si>
  <si>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</si>
  <si>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</si>
  <si>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</si>
  <si>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</si>
  <si>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</si>
  <si>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</si>
  <si>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</si>
  <si>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</si>
  <si>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</si>
  <si>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</si>
  <si>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</si>
  <si>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LOZB</t>
  </si>
  <si>
    <t>Open leerruimten - zachte vloeren (basis)</t>
  </si>
  <si>
    <t>LOZV</t>
  </si>
  <si>
    <t>Open leerruimten - zachte vloeren (volledig)</t>
  </si>
  <si>
    <t>MAHB</t>
  </si>
  <si>
    <t>Mediatheek/bibliotheek- harde vloeren (basis)</t>
  </si>
  <si>
    <t>MAHV</t>
  </si>
  <si>
    <t>Mediatheek/bibliotheek- harde vloeren (volledig)</t>
  </si>
  <si>
    <t>MAZB</t>
  </si>
  <si>
    <t>Mediatheek/bibliotheek- zachte vloeren (basis)</t>
  </si>
  <si>
    <t>MAZV</t>
  </si>
  <si>
    <t>Mediatheek/bibliotheek- zachte vloeren (volledig)</t>
  </si>
  <si>
    <t>PAHB</t>
  </si>
  <si>
    <t>Praktijk atelier - harde vloeren (basis)</t>
  </si>
  <si>
    <t>PAHV</t>
  </si>
  <si>
    <t>Praktijk atelier - harde vloeren (volledig)</t>
  </si>
  <si>
    <t>PLHB</t>
  </si>
  <si>
    <t>Praktijk labs - harde vloeren (basis)</t>
  </si>
  <si>
    <t>PLHV</t>
  </si>
  <si>
    <t>Praktijk labs - harde vloeren (volledig)</t>
  </si>
  <si>
    <t>PSHB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</si>
  <si>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</si>
  <si>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</si>
  <si>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</si>
  <si>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</si>
  <si>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</si>
  <si>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</si>
  <si>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</si>
  <si>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PVHB</t>
  </si>
  <si>
    <t>Praktijk verpleging - harde vloeren (basis)</t>
  </si>
  <si>
    <t>PVHV</t>
  </si>
  <si>
    <t>Praktijk verpleging - harde vloeren (volledig)</t>
  </si>
  <si>
    <t xml:space="preserve">WERKDAG VAKANTIE    </t>
  </si>
  <si>
    <t>STHVB</t>
  </si>
  <si>
    <t>Toiletten - harde vloeren - vakantie (basis)</t>
  </si>
  <si>
    <t>STHVV</t>
  </si>
  <si>
    <t>Toiletten - harde vloeren - vakantie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</si>
  <si>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</si>
  <si>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</si>
  <si>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</si>
  <si>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</si>
  <si>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</si>
  <si>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</si>
  <si>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</si>
  <si>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</si>
  <si>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</si>
  <si>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</si>
  <si>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</si>
  <si>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</si>
  <si>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</si>
  <si>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BVH</t>
  </si>
  <si>
    <t>Vergaderruimten - harde vloeren</t>
  </si>
  <si>
    <t>BVZ</t>
  </si>
  <si>
    <t>Vergaderruimten - zachte vloeren</t>
  </si>
  <si>
    <t>GSH</t>
  </si>
  <si>
    <t>Gymzaal/sportruimten/toestelberging - harde vloeren</t>
  </si>
  <si>
    <t>KAH</t>
  </si>
  <si>
    <t>Aula/kantine - harde vloeren</t>
  </si>
  <si>
    <t>KAZ</t>
  </si>
  <si>
    <t>Aula/kantine - zachte vloeren</t>
  </si>
  <si>
    <t>KDH</t>
  </si>
  <si>
    <t>Docentenkamer - harde vloeren</t>
  </si>
  <si>
    <t>KDZ</t>
  </si>
  <si>
    <t>Docentenkamer - zachte vloeren</t>
  </si>
  <si>
    <t>KPH</t>
  </si>
  <si>
    <t>Pantry - harde vloeren</t>
  </si>
  <si>
    <t>LAH</t>
  </si>
  <si>
    <t>Auditoria - harde vloeren</t>
  </si>
  <si>
    <t>LAZ</t>
  </si>
  <si>
    <t>Auditoria - zachte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</si>
  <si>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</si>
  <si>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</si>
  <si>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</si>
  <si>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</si>
  <si>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</si>
  <si>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</si>
  <si>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LOZ</t>
  </si>
  <si>
    <t>Open studieruimten - zachte vloeren</t>
  </si>
  <si>
    <t>MAH</t>
  </si>
  <si>
    <t>Mediatheek/bibliotheek - harde vloeren</t>
  </si>
  <si>
    <t>MAZ</t>
  </si>
  <si>
    <t>Mediatheek/bibliotheek - zachte vloeren</t>
  </si>
  <si>
    <t>OAH</t>
  </si>
  <si>
    <t>Opslag/archief/magazijn - harde vloeren</t>
  </si>
  <si>
    <t>PAH</t>
  </si>
  <si>
    <t>Praktijklokaal atelier - harde vloeren</t>
  </si>
  <si>
    <t>PKH</t>
  </si>
  <si>
    <t>Praktijklokaal keuken - harde vloeren</t>
  </si>
  <si>
    <t>PLH</t>
  </si>
  <si>
    <t>Praktijklokaal labs - harde vloeren</t>
  </si>
  <si>
    <t>PSH</t>
  </si>
  <si>
    <t>Praktijklokaal standaard - harde vloeren</t>
  </si>
  <si>
    <t>PSZ</t>
  </si>
  <si>
    <t>Praktijklokaal standaard - zachte vloeren</t>
  </si>
  <si>
    <t>PVH</t>
  </si>
  <si>
    <t>Praktijklokaal verpleging - harde vloeren</t>
  </si>
  <si>
    <t>PWH</t>
  </si>
  <si>
    <t>Praktijklokaal werkplaats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</si>
  <si>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</si>
  <si>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</si>
  <si>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</si>
  <si>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</si>
  <si>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</si>
  <si>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</si>
  <si>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STHN</t>
  </si>
  <si>
    <t>Toilet naloop - harde vloeren</t>
  </si>
  <si>
    <t>SWH</t>
  </si>
  <si>
    <t>Wasruimten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</si>
  <si>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</si>
  <si>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</si>
  <si>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</si>
  <si>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</si>
  <si>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</si>
  <si>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</si>
  <si>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</si>
  <si>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</si>
  <si>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</si>
  <si>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</si>
  <si>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VOH</t>
  </si>
  <si>
    <t>Verkeer overigen - harde vloeren</t>
  </si>
  <si>
    <t>VOZ</t>
  </si>
  <si>
    <t>Verkeer overigen - zachte vloeren</t>
  </si>
  <si>
    <t>VTH</t>
  </si>
  <si>
    <t>Trap - harde vloeren</t>
  </si>
  <si>
    <t>E001</t>
  </si>
  <si>
    <t>extra</t>
  </si>
  <si>
    <t>Schoonmaak Buitenterreinen</t>
  </si>
  <si>
    <t>uur</t>
  </si>
  <si>
    <t>Schoonmaak Buitenterreinen (2x per dag)</t>
  </si>
  <si>
    <t>E002</t>
  </si>
  <si>
    <t>Schoonmaak Multifunctionele ruimten</t>
  </si>
  <si>
    <t>E100</t>
  </si>
  <si>
    <t>Schrobben vloer praktijklokaal (incl. verplaatsen meubilair)</t>
  </si>
  <si>
    <t xml:space="preserve">Totaal werkdag             </t>
  </si>
  <si>
    <t xml:space="preserve">Gemiddeld uurtarief werkdag             </t>
  </si>
  <si>
    <t>Toilet - harde vloeren - vakantie</t>
  </si>
  <si>
    <t>E010</t>
  </si>
  <si>
    <t>Naloop vakantie (2x per week) - Afval/verstoringen</t>
  </si>
  <si>
    <t xml:space="preserve">Totaal werkdag vakantie    </t>
  </si>
  <si>
    <t xml:space="preserve">Gemiddeld uurtarief werkdag vakantie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</si>
  <si>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</si>
  <si>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</si>
  <si>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</si>
  <si>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</si>
  <si>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</si>
  <si>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</si>
  <si>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</si>
  <si>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</si>
  <si>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</si>
  <si>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VSR</t>
  </si>
  <si>
    <t>UREN HOOG-FREQUENT/ DAG</t>
  </si>
  <si>
    <t>1000 - Locatie JF Kennedylaan, J.F. Kennedylaan 49, Doetinchem</t>
  </si>
  <si>
    <t>1000</t>
  </si>
  <si>
    <t/>
  </si>
  <si>
    <t>00</t>
  </si>
  <si>
    <t>BUITENTERREIN</t>
  </si>
  <si>
    <t>C000</t>
  </si>
  <si>
    <t>berging</t>
  </si>
  <si>
    <t>beton</t>
  </si>
  <si>
    <t>N.I.O.</t>
  </si>
  <si>
    <t>C000A</t>
  </si>
  <si>
    <t>C000B</t>
  </si>
  <si>
    <t>C000C</t>
  </si>
  <si>
    <t>C000D</t>
  </si>
  <si>
    <t>C000E</t>
  </si>
  <si>
    <t>C001</t>
  </si>
  <si>
    <t>trappenhuis</t>
  </si>
  <si>
    <t>steen</t>
  </si>
  <si>
    <t>C002</t>
  </si>
  <si>
    <t>C003</t>
  </si>
  <si>
    <t>aula/kantine (De Burcht)</t>
  </si>
  <si>
    <t>tegels</t>
  </si>
  <si>
    <t>C003A</t>
  </si>
  <si>
    <t>aula/kantine</t>
  </si>
  <si>
    <t>C005</t>
  </si>
  <si>
    <t>aula/kantine (Foyer)</t>
  </si>
  <si>
    <t>C005A</t>
  </si>
  <si>
    <t>vergaderruimte Foyer</t>
  </si>
  <si>
    <t>C007</t>
  </si>
  <si>
    <t>kantine buffet</t>
  </si>
  <si>
    <t>C008</t>
  </si>
  <si>
    <t>centrale hal Bardetplaats</t>
  </si>
  <si>
    <t>C008A</t>
  </si>
  <si>
    <t>draaideur</t>
  </si>
  <si>
    <t>tapijt</t>
  </si>
  <si>
    <t>C008B</t>
  </si>
  <si>
    <t>Draaideur</t>
  </si>
  <si>
    <t>C009</t>
  </si>
  <si>
    <t>toilet</t>
  </si>
  <si>
    <t>gietvloer</t>
  </si>
  <si>
    <t>C010</t>
  </si>
  <si>
    <t>C011</t>
  </si>
  <si>
    <t>kantoor</t>
  </si>
  <si>
    <t>pvc</t>
  </si>
  <si>
    <t>C012</t>
  </si>
  <si>
    <t>receptie</t>
  </si>
  <si>
    <t>C013</t>
  </si>
  <si>
    <t>C014</t>
  </si>
  <si>
    <t>berging/technische ruimte</t>
  </si>
  <si>
    <t>C015</t>
  </si>
  <si>
    <t>meterruimte</t>
  </si>
  <si>
    <t>lino</t>
  </si>
  <si>
    <t>C016</t>
  </si>
  <si>
    <t>sluis/kelder</t>
  </si>
  <si>
    <t>C017</t>
  </si>
  <si>
    <t>werkkast</t>
  </si>
  <si>
    <t>C017A</t>
  </si>
  <si>
    <t>sluis podium</t>
  </si>
  <si>
    <t>C018</t>
  </si>
  <si>
    <t>C020</t>
  </si>
  <si>
    <t>technische ruimte</t>
  </si>
  <si>
    <t>C021</t>
  </si>
  <si>
    <t>aula/kantine met podium</t>
  </si>
  <si>
    <t>hout</t>
  </si>
  <si>
    <t>C022</t>
  </si>
  <si>
    <t>miva toilet</t>
  </si>
  <si>
    <t>C025</t>
  </si>
  <si>
    <t>lift</t>
  </si>
  <si>
    <t>C026</t>
  </si>
  <si>
    <t>opslag</t>
  </si>
  <si>
    <t>C026A</t>
  </si>
  <si>
    <t>C028</t>
  </si>
  <si>
    <t>C032</t>
  </si>
  <si>
    <t>C033</t>
  </si>
  <si>
    <t>C035</t>
  </si>
  <si>
    <t>rubber</t>
  </si>
  <si>
    <t>C036</t>
  </si>
  <si>
    <t>theorielokaal</t>
  </si>
  <si>
    <t>C037</t>
  </si>
  <si>
    <t>C038</t>
  </si>
  <si>
    <t>gang</t>
  </si>
  <si>
    <t>C039</t>
  </si>
  <si>
    <t>computerlokaal</t>
  </si>
  <si>
    <t>C040</t>
  </si>
  <si>
    <t>werkruimte</t>
  </si>
  <si>
    <t>C041</t>
  </si>
  <si>
    <t>vergaderruimte</t>
  </si>
  <si>
    <t>C042</t>
  </si>
  <si>
    <t>C043</t>
  </si>
  <si>
    <t>C044</t>
  </si>
  <si>
    <t>C045</t>
  </si>
  <si>
    <t>C046</t>
  </si>
  <si>
    <t>C047</t>
  </si>
  <si>
    <t>E001A</t>
  </si>
  <si>
    <t>E001B</t>
  </si>
  <si>
    <t>E003</t>
  </si>
  <si>
    <t>E004</t>
  </si>
  <si>
    <t>computer</t>
  </si>
  <si>
    <t>E005</t>
  </si>
  <si>
    <t>theorie</t>
  </si>
  <si>
    <t>E006</t>
  </si>
  <si>
    <t>E007</t>
  </si>
  <si>
    <t>E009</t>
  </si>
  <si>
    <t>kluis</t>
  </si>
  <si>
    <t>E011</t>
  </si>
  <si>
    <t>E011A</t>
  </si>
  <si>
    <t>E012</t>
  </si>
  <si>
    <t>E013</t>
  </si>
  <si>
    <t>E014</t>
  </si>
  <si>
    <t>E015</t>
  </si>
  <si>
    <t>E016</t>
  </si>
  <si>
    <t>E017</t>
  </si>
  <si>
    <t>E018</t>
  </si>
  <si>
    <t>E019</t>
  </si>
  <si>
    <t>verkeersruimte</t>
  </si>
  <si>
    <t>E020</t>
  </si>
  <si>
    <t>E021</t>
  </si>
  <si>
    <t>doucheruimte</t>
  </si>
  <si>
    <t>tegel</t>
  </si>
  <si>
    <t>G001</t>
  </si>
  <si>
    <t>G001A</t>
  </si>
  <si>
    <t>G001B</t>
  </si>
  <si>
    <t>G002</t>
  </si>
  <si>
    <t>G003</t>
  </si>
  <si>
    <t>spoelkeuken</t>
  </si>
  <si>
    <t>G004</t>
  </si>
  <si>
    <t>voorbereidingsruimte</t>
  </si>
  <si>
    <t>G004A</t>
  </si>
  <si>
    <t>vriescel</t>
  </si>
  <si>
    <t>G004B</t>
  </si>
  <si>
    <t>Koelcel</t>
  </si>
  <si>
    <t>G005</t>
  </si>
  <si>
    <t>G006</t>
  </si>
  <si>
    <t>G007</t>
  </si>
  <si>
    <t>G008</t>
  </si>
  <si>
    <t>G009</t>
  </si>
  <si>
    <t>G009A</t>
  </si>
  <si>
    <t>G011</t>
  </si>
  <si>
    <t>G012</t>
  </si>
  <si>
    <t>douche</t>
  </si>
  <si>
    <t>G013</t>
  </si>
  <si>
    <t>kooklokaal</t>
  </si>
  <si>
    <t>G014</t>
  </si>
  <si>
    <t>G015</t>
  </si>
  <si>
    <t>G016</t>
  </si>
  <si>
    <t>G017</t>
  </si>
  <si>
    <t>G018</t>
  </si>
  <si>
    <t>G019</t>
  </si>
  <si>
    <t>kleedruimte</t>
  </si>
  <si>
    <t>G021</t>
  </si>
  <si>
    <t>G035</t>
  </si>
  <si>
    <t>Transformatorruimte buiten</t>
  </si>
  <si>
    <t>G036</t>
  </si>
  <si>
    <t>technische ruimte buiten</t>
  </si>
  <si>
    <t>G037</t>
  </si>
  <si>
    <t>G038</t>
  </si>
  <si>
    <t>G040</t>
  </si>
  <si>
    <t>berging buiten</t>
  </si>
  <si>
    <t>G044</t>
  </si>
  <si>
    <t>T000</t>
  </si>
  <si>
    <t>T001</t>
  </si>
  <si>
    <t>T001A</t>
  </si>
  <si>
    <t>Kast (technische ruimte)</t>
  </si>
  <si>
    <t>T001B</t>
  </si>
  <si>
    <t>T001C</t>
  </si>
  <si>
    <t>T003</t>
  </si>
  <si>
    <t>centrale hal</t>
  </si>
  <si>
    <t>T003A</t>
  </si>
  <si>
    <t>T003B</t>
  </si>
  <si>
    <t>vergaderruimte Slinge</t>
  </si>
  <si>
    <t>T004</t>
  </si>
  <si>
    <t>T005</t>
  </si>
  <si>
    <t>T006</t>
  </si>
  <si>
    <t>T007</t>
  </si>
  <si>
    <t>T008</t>
  </si>
  <si>
    <t>T009</t>
  </si>
  <si>
    <t>T010</t>
  </si>
  <si>
    <t>T011</t>
  </si>
  <si>
    <t>OLC</t>
  </si>
  <si>
    <t>T011A</t>
  </si>
  <si>
    <t>T012</t>
  </si>
  <si>
    <t>T013</t>
  </si>
  <si>
    <t>T014</t>
  </si>
  <si>
    <t>T016</t>
  </si>
  <si>
    <t>T017</t>
  </si>
  <si>
    <t>T017A</t>
  </si>
  <si>
    <t>T018</t>
  </si>
  <si>
    <t>T019</t>
  </si>
  <si>
    <t>T020</t>
  </si>
  <si>
    <t>T021</t>
  </si>
  <si>
    <t>praktijk/motorvoertuigen</t>
  </si>
  <si>
    <t>T021A</t>
  </si>
  <si>
    <t>Vermogensbank</t>
  </si>
  <si>
    <t>T022</t>
  </si>
  <si>
    <t>T022A</t>
  </si>
  <si>
    <t>trap</t>
  </si>
  <si>
    <t>T022B</t>
  </si>
  <si>
    <t>T022C</t>
  </si>
  <si>
    <t>kelder</t>
  </si>
  <si>
    <t>T023</t>
  </si>
  <si>
    <t>milieuhok</t>
  </si>
  <si>
    <t>T024</t>
  </si>
  <si>
    <t>Magazijn</t>
  </si>
  <si>
    <t>T025</t>
  </si>
  <si>
    <t>praktijklokaal installatietechniek</t>
  </si>
  <si>
    <t>T025A</t>
  </si>
  <si>
    <t>T026</t>
  </si>
  <si>
    <t>T027</t>
  </si>
  <si>
    <t>praktijklokaal presentatieruimte</t>
  </si>
  <si>
    <t>T028</t>
  </si>
  <si>
    <t>T029</t>
  </si>
  <si>
    <t>praktijklokaal electrotechniek</t>
  </si>
  <si>
    <t>T029A</t>
  </si>
  <si>
    <t>verblijfsruimte</t>
  </si>
  <si>
    <t>T030</t>
  </si>
  <si>
    <t>T031</t>
  </si>
  <si>
    <t>T032</t>
  </si>
  <si>
    <t>Theorielokaal</t>
  </si>
  <si>
    <t>T033</t>
  </si>
  <si>
    <t>T034</t>
  </si>
  <si>
    <t>T035</t>
  </si>
  <si>
    <t>T036</t>
  </si>
  <si>
    <t>spreekkamer</t>
  </si>
  <si>
    <t>T037</t>
  </si>
  <si>
    <t>T038</t>
  </si>
  <si>
    <t>T039</t>
  </si>
  <si>
    <t>T040</t>
  </si>
  <si>
    <t>T041</t>
  </si>
  <si>
    <t>T042</t>
  </si>
  <si>
    <t>Berging metaal</t>
  </si>
  <si>
    <t>T043</t>
  </si>
  <si>
    <t>T043A</t>
  </si>
  <si>
    <t>Kantoor TD</t>
  </si>
  <si>
    <t>T043B</t>
  </si>
  <si>
    <t>T044</t>
  </si>
  <si>
    <t>werkkast/opslag san.voorzieningen</t>
  </si>
  <si>
    <t>T044A</t>
  </si>
  <si>
    <t>toilet MIVA</t>
  </si>
  <si>
    <t>T045</t>
  </si>
  <si>
    <t>Berging</t>
  </si>
  <si>
    <t>T045A</t>
  </si>
  <si>
    <t>T046</t>
  </si>
  <si>
    <t>T046A</t>
  </si>
  <si>
    <t>T047</t>
  </si>
  <si>
    <t>T048</t>
  </si>
  <si>
    <t>T049</t>
  </si>
  <si>
    <t>praktijklokaal verspaning</t>
  </si>
  <si>
    <t>T049A</t>
  </si>
  <si>
    <t>Balie</t>
  </si>
  <si>
    <t>T050</t>
  </si>
  <si>
    <t>Praktijklokaal plaatbewerking</t>
  </si>
  <si>
    <t>T051</t>
  </si>
  <si>
    <t>praktijklokaal spuithok</t>
  </si>
  <si>
    <t>T052</t>
  </si>
  <si>
    <t>praktijklokaal slijphok</t>
  </si>
  <si>
    <t>T053</t>
  </si>
  <si>
    <t>schoonmaakkast</t>
  </si>
  <si>
    <t>T053A</t>
  </si>
  <si>
    <t>Lift</t>
  </si>
  <si>
    <t>T054</t>
  </si>
  <si>
    <t>T055</t>
  </si>
  <si>
    <t>SER</t>
  </si>
  <si>
    <t>T056</t>
  </si>
  <si>
    <t>T057</t>
  </si>
  <si>
    <t>Toilet</t>
  </si>
  <si>
    <t>T058</t>
  </si>
  <si>
    <t>I&amp;I servicedesk</t>
  </si>
  <si>
    <t>T059</t>
  </si>
  <si>
    <t>Kantoor</t>
  </si>
  <si>
    <t>T060</t>
  </si>
  <si>
    <t>T061</t>
  </si>
  <si>
    <t>T062</t>
  </si>
  <si>
    <t>T063</t>
  </si>
  <si>
    <t>T064</t>
  </si>
  <si>
    <t>T065</t>
  </si>
  <si>
    <t>T066</t>
  </si>
  <si>
    <t>T069A</t>
  </si>
  <si>
    <t>T071</t>
  </si>
  <si>
    <t>kolfruimte/gebedsruimte</t>
  </si>
  <si>
    <t>T072</t>
  </si>
  <si>
    <t>T073</t>
  </si>
  <si>
    <t>T074</t>
  </si>
  <si>
    <t>T075</t>
  </si>
  <si>
    <t>T076</t>
  </si>
  <si>
    <t>T077</t>
  </si>
  <si>
    <t>kantine medewerkers (Slinge)</t>
  </si>
  <si>
    <t>T078</t>
  </si>
  <si>
    <t>T079</t>
  </si>
  <si>
    <t>T080</t>
  </si>
  <si>
    <t>T081</t>
  </si>
  <si>
    <t>T082</t>
  </si>
  <si>
    <t>T083</t>
  </si>
  <si>
    <t>wasbakken</t>
  </si>
  <si>
    <t>T084</t>
  </si>
  <si>
    <t>T085</t>
  </si>
  <si>
    <t>T086</t>
  </si>
  <si>
    <t>T087</t>
  </si>
  <si>
    <t>T088</t>
  </si>
  <si>
    <t>T089</t>
  </si>
  <si>
    <t>Gang</t>
  </si>
  <si>
    <t>T090</t>
  </si>
  <si>
    <t>T090A</t>
  </si>
  <si>
    <t>T091</t>
  </si>
  <si>
    <t>T092</t>
  </si>
  <si>
    <t>T092A</t>
  </si>
  <si>
    <t>studiecentrum</t>
  </si>
  <si>
    <t>T092B</t>
  </si>
  <si>
    <t>T093</t>
  </si>
  <si>
    <t>T094</t>
  </si>
  <si>
    <t>T095</t>
  </si>
  <si>
    <t>entree</t>
  </si>
  <si>
    <t>T096</t>
  </si>
  <si>
    <t>T097</t>
  </si>
  <si>
    <t>T098</t>
  </si>
  <si>
    <t>gasopslag</t>
  </si>
  <si>
    <t>01</t>
  </si>
  <si>
    <t>B101</t>
  </si>
  <si>
    <t>B102</t>
  </si>
  <si>
    <t>kunststof</t>
  </si>
  <si>
    <t>B103</t>
  </si>
  <si>
    <t>B104</t>
  </si>
  <si>
    <t>B105</t>
  </si>
  <si>
    <t>B106</t>
  </si>
  <si>
    <t>gymzaal</t>
  </si>
  <si>
    <t>B107</t>
  </si>
  <si>
    <t>trappenhuis nooduitgang</t>
  </si>
  <si>
    <t>ijzer</t>
  </si>
  <si>
    <t>C100A</t>
  </si>
  <si>
    <t>C101</t>
  </si>
  <si>
    <t>C102</t>
  </si>
  <si>
    <t>C103</t>
  </si>
  <si>
    <t>C103A</t>
  </si>
  <si>
    <t>C104</t>
  </si>
  <si>
    <t>C105</t>
  </si>
  <si>
    <t>C106</t>
  </si>
  <si>
    <t>C107</t>
  </si>
  <si>
    <t>C107B</t>
  </si>
  <si>
    <t>C108A</t>
  </si>
  <si>
    <t>C108B</t>
  </si>
  <si>
    <t>C108C</t>
  </si>
  <si>
    <t>C108D</t>
  </si>
  <si>
    <t>C109A</t>
  </si>
  <si>
    <t>C109B</t>
  </si>
  <si>
    <t>C109C</t>
  </si>
  <si>
    <t>C109D</t>
  </si>
  <si>
    <t>C110</t>
  </si>
  <si>
    <t>uitgiftecentrum zorg&amp;verpleging</t>
  </si>
  <si>
    <t>C111</t>
  </si>
  <si>
    <t>praktijklokaal verpleegkunde bedden</t>
  </si>
  <si>
    <t>C115</t>
  </si>
  <si>
    <t>meterkast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</si>
  <si>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</si>
  <si>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</si>
  <si>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</si>
  <si>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</si>
  <si>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</si>
  <si>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</si>
  <si>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</si>
  <si>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</si>
  <si>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</si>
  <si>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</si>
  <si>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</si>
  <si>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</si>
  <si>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toilet miva</t>
  </si>
  <si>
    <t>C128</t>
  </si>
  <si>
    <t>C129</t>
  </si>
  <si>
    <t>C130</t>
  </si>
  <si>
    <t>C131</t>
  </si>
  <si>
    <t>C131A</t>
  </si>
  <si>
    <t>C131B</t>
  </si>
  <si>
    <t>C131C</t>
  </si>
  <si>
    <t>C132</t>
  </si>
  <si>
    <t>C133</t>
  </si>
  <si>
    <t>C134</t>
  </si>
  <si>
    <t>C135</t>
  </si>
  <si>
    <t>E101</t>
  </si>
  <si>
    <t>E101A</t>
  </si>
  <si>
    <t>E102</t>
  </si>
  <si>
    <t>E102A</t>
  </si>
  <si>
    <t>pantry</t>
  </si>
  <si>
    <t>E103</t>
  </si>
  <si>
    <t>E104</t>
  </si>
  <si>
    <t>E105</t>
  </si>
  <si>
    <t>E106</t>
  </si>
  <si>
    <t>theoriokaal</t>
  </si>
  <si>
    <t>E107</t>
  </si>
  <si>
    <t>E108</t>
  </si>
  <si>
    <t>E108a</t>
  </si>
  <si>
    <t>E108b</t>
  </si>
  <si>
    <t>E109</t>
  </si>
  <si>
    <t>E110</t>
  </si>
  <si>
    <t>E111</t>
  </si>
  <si>
    <t>E112</t>
  </si>
  <si>
    <t>teamkamer</t>
  </si>
  <si>
    <t>E113</t>
  </si>
  <si>
    <t>E114</t>
  </si>
  <si>
    <t>personeelsruimte</t>
  </si>
  <si>
    <t>E115</t>
  </si>
  <si>
    <t>E116</t>
  </si>
  <si>
    <t>E117</t>
  </si>
  <si>
    <t>theorielookal</t>
  </si>
  <si>
    <t>E118</t>
  </si>
  <si>
    <t>G101</t>
  </si>
  <si>
    <t>G101A</t>
  </si>
  <si>
    <t>G102</t>
  </si>
  <si>
    <t>G103</t>
  </si>
  <si>
    <t>G104</t>
  </si>
  <si>
    <t>G104A</t>
  </si>
  <si>
    <t>G105</t>
  </si>
  <si>
    <t>G106</t>
  </si>
  <si>
    <t>G107</t>
  </si>
  <si>
    <t>G108</t>
  </si>
  <si>
    <t>G109</t>
  </si>
  <si>
    <t>G110</t>
  </si>
  <si>
    <t>G111</t>
  </si>
  <si>
    <t>uitleen zorg</t>
  </si>
  <si>
    <t>G111A</t>
  </si>
  <si>
    <t>G111B</t>
  </si>
  <si>
    <t>G111C</t>
  </si>
  <si>
    <t>G111D</t>
  </si>
  <si>
    <t>G112</t>
  </si>
  <si>
    <t>G113</t>
  </si>
  <si>
    <t>G114</t>
  </si>
  <si>
    <t>G115</t>
  </si>
  <si>
    <t>G116</t>
  </si>
  <si>
    <t>G117</t>
  </si>
  <si>
    <t>G118</t>
  </si>
  <si>
    <t>G119</t>
  </si>
  <si>
    <t>G120</t>
  </si>
  <si>
    <t>G127</t>
  </si>
  <si>
    <t>T101</t>
  </si>
  <si>
    <t>T101A</t>
  </si>
  <si>
    <t>T102</t>
  </si>
  <si>
    <t>T102a</t>
  </si>
  <si>
    <t>T103</t>
  </si>
  <si>
    <t>T104</t>
  </si>
  <si>
    <t>T105</t>
  </si>
  <si>
    <t>T106</t>
  </si>
  <si>
    <t>T107</t>
  </si>
  <si>
    <t>T108</t>
  </si>
  <si>
    <t>T109</t>
  </si>
  <si>
    <t>T110</t>
  </si>
  <si>
    <t>T111</t>
  </si>
  <si>
    <t>T112</t>
  </si>
  <si>
    <t>T113</t>
  </si>
  <si>
    <t>T114</t>
  </si>
  <si>
    <t>T115</t>
  </si>
  <si>
    <t>T116</t>
  </si>
  <si>
    <t>T117</t>
  </si>
  <si>
    <t>T118</t>
  </si>
  <si>
    <t>T119</t>
  </si>
  <si>
    <t>T120</t>
  </si>
  <si>
    <t>T120A</t>
  </si>
  <si>
    <t>archief</t>
  </si>
  <si>
    <t>T121</t>
  </si>
  <si>
    <t>praktijklokaal metaal&amp;techn.industrie</t>
  </si>
  <si>
    <t>T121a</t>
  </si>
  <si>
    <t>T122</t>
  </si>
  <si>
    <t>T123</t>
  </si>
  <si>
    <t>T124</t>
  </si>
  <si>
    <t>T125</t>
  </si>
  <si>
    <t>T126</t>
  </si>
  <si>
    <t>T127</t>
  </si>
  <si>
    <t>T128</t>
  </si>
  <si>
    <t>T129</t>
  </si>
  <si>
    <t>T130</t>
  </si>
  <si>
    <t>T131</t>
  </si>
  <si>
    <t>T131A</t>
  </si>
  <si>
    <t>T132</t>
  </si>
  <si>
    <t>T133</t>
  </si>
  <si>
    <t>T134</t>
  </si>
  <si>
    <t>T135</t>
  </si>
  <si>
    <t>T136</t>
  </si>
  <si>
    <t>T137</t>
  </si>
  <si>
    <t>T138</t>
  </si>
  <si>
    <t>T138A</t>
  </si>
  <si>
    <t>T139</t>
  </si>
  <si>
    <t>T140</t>
  </si>
  <si>
    <t>T141</t>
  </si>
  <si>
    <t>T142</t>
  </si>
  <si>
    <t>T143</t>
  </si>
  <si>
    <t>T144</t>
  </si>
  <si>
    <t>T144A</t>
  </si>
  <si>
    <t>T144B</t>
  </si>
  <si>
    <t>T144C</t>
  </si>
  <si>
    <t>T145</t>
  </si>
  <si>
    <t>T146</t>
  </si>
  <si>
    <t>T147</t>
  </si>
  <si>
    <t>T148</t>
  </si>
  <si>
    <t>T149</t>
  </si>
  <si>
    <t>T150</t>
  </si>
  <si>
    <t>T151</t>
  </si>
  <si>
    <t>T152</t>
  </si>
  <si>
    <t>T153</t>
  </si>
  <si>
    <t>T154</t>
  </si>
  <si>
    <t>T155</t>
  </si>
  <si>
    <t>T156</t>
  </si>
  <si>
    <t>T157</t>
  </si>
  <si>
    <t>T158</t>
  </si>
  <si>
    <t>T159</t>
  </si>
  <si>
    <t>T160</t>
  </si>
  <si>
    <t>T161</t>
  </si>
  <si>
    <t>T162</t>
  </si>
  <si>
    <t>T163</t>
  </si>
  <si>
    <t>T164</t>
  </si>
  <si>
    <t>T165</t>
  </si>
  <si>
    <t>T166</t>
  </si>
  <si>
    <t>T167</t>
  </si>
  <si>
    <t>T168</t>
  </si>
  <si>
    <t>T169</t>
  </si>
  <si>
    <t>T170</t>
  </si>
  <si>
    <t>T171</t>
  </si>
  <si>
    <t>T171A</t>
  </si>
  <si>
    <t>T172</t>
  </si>
  <si>
    <t>T173</t>
  </si>
  <si>
    <t>T173A</t>
  </si>
  <si>
    <t>T174</t>
  </si>
  <si>
    <t>T175</t>
  </si>
  <si>
    <t>T176</t>
  </si>
  <si>
    <t>T177</t>
  </si>
  <si>
    <t>T178</t>
  </si>
  <si>
    <t>T179</t>
  </si>
  <si>
    <t>werkplek</t>
  </si>
  <si>
    <t>T180</t>
  </si>
  <si>
    <t>T181</t>
  </si>
  <si>
    <t>T182</t>
  </si>
  <si>
    <t>T183</t>
  </si>
  <si>
    <t>02</t>
  </si>
  <si>
    <t>B201</t>
  </si>
  <si>
    <t>loopbrug</t>
  </si>
  <si>
    <t>B202</t>
  </si>
  <si>
    <t>B203</t>
  </si>
  <si>
    <t>vide</t>
  </si>
  <si>
    <t>B204</t>
  </si>
  <si>
    <t>B205</t>
  </si>
  <si>
    <t>B206</t>
  </si>
  <si>
    <t>B207</t>
  </si>
  <si>
    <t>B208</t>
  </si>
  <si>
    <t>B209</t>
  </si>
  <si>
    <t>C201</t>
  </si>
  <si>
    <t>C202</t>
  </si>
  <si>
    <t>C203</t>
  </si>
  <si>
    <t>C204</t>
  </si>
  <si>
    <t>C204A</t>
  </si>
  <si>
    <t>Verblijfsruimte</t>
  </si>
  <si>
    <t>C205</t>
  </si>
  <si>
    <t>C206</t>
  </si>
  <si>
    <t>C206A</t>
  </si>
  <si>
    <t>C206B</t>
  </si>
  <si>
    <t>C207</t>
  </si>
  <si>
    <t>C208</t>
  </si>
  <si>
    <t>C209</t>
  </si>
  <si>
    <t>C210</t>
  </si>
  <si>
    <t>C211</t>
  </si>
  <si>
    <t>Spreekkamer</t>
  </si>
  <si>
    <t>C212</t>
  </si>
  <si>
    <t>C214</t>
  </si>
  <si>
    <t>C215</t>
  </si>
  <si>
    <t>C216</t>
  </si>
  <si>
    <t>C217</t>
  </si>
  <si>
    <t>C218</t>
  </si>
  <si>
    <t>C219</t>
  </si>
  <si>
    <t>C219A</t>
  </si>
  <si>
    <t>C220</t>
  </si>
  <si>
    <t>C221</t>
  </si>
  <si>
    <t>C221A</t>
  </si>
  <si>
    <t>C221B</t>
  </si>
  <si>
    <t>verbijfsruimte</t>
  </si>
  <si>
    <t>C222</t>
  </si>
  <si>
    <t>C223</t>
  </si>
  <si>
    <t>C224</t>
  </si>
  <si>
    <t>C225</t>
  </si>
  <si>
    <t>C226</t>
  </si>
  <si>
    <t>C227</t>
  </si>
  <si>
    <t>C227A</t>
  </si>
  <si>
    <t>C228</t>
  </si>
  <si>
    <t>C229</t>
  </si>
  <si>
    <t>toilet Miva</t>
  </si>
  <si>
    <t>C230</t>
  </si>
  <si>
    <t>C231</t>
  </si>
  <si>
    <t>C232</t>
  </si>
  <si>
    <t>C235</t>
  </si>
  <si>
    <t>E201</t>
  </si>
  <si>
    <t>E201A</t>
  </si>
  <si>
    <t>E202</t>
  </si>
  <si>
    <t>E202A</t>
  </si>
  <si>
    <t>E203</t>
  </si>
  <si>
    <t>E204</t>
  </si>
  <si>
    <t>E205</t>
  </si>
  <si>
    <t>E206</t>
  </si>
  <si>
    <t>E207</t>
  </si>
  <si>
    <t>E208</t>
  </si>
  <si>
    <t>E209</t>
  </si>
  <si>
    <t>E210</t>
  </si>
  <si>
    <t>E211</t>
  </si>
  <si>
    <t>E212</t>
  </si>
  <si>
    <t>E213</t>
  </si>
  <si>
    <t>E214</t>
  </si>
  <si>
    <t>E215</t>
  </si>
  <si>
    <t>E216</t>
  </si>
  <si>
    <t>E217</t>
  </si>
  <si>
    <t>E218</t>
  </si>
  <si>
    <t>technische ruime</t>
  </si>
  <si>
    <t>G201</t>
  </si>
  <si>
    <t>G201A</t>
  </si>
  <si>
    <t>G202</t>
  </si>
  <si>
    <t>G202A</t>
  </si>
  <si>
    <t>G203</t>
  </si>
  <si>
    <t>G204</t>
  </si>
  <si>
    <t>G205</t>
  </si>
  <si>
    <t>G206</t>
  </si>
  <si>
    <t>G207</t>
  </si>
  <si>
    <t>G208</t>
  </si>
  <si>
    <t>G209</t>
  </si>
  <si>
    <t>G210</t>
  </si>
  <si>
    <t>G210A</t>
  </si>
  <si>
    <t>verblijfruimte</t>
  </si>
  <si>
    <t>G211</t>
  </si>
  <si>
    <t>G212</t>
  </si>
  <si>
    <t>G213</t>
  </si>
  <si>
    <t>G214</t>
  </si>
  <si>
    <t>G215</t>
  </si>
  <si>
    <t>G216</t>
  </si>
  <si>
    <t>G217</t>
  </si>
  <si>
    <t>G218</t>
  </si>
  <si>
    <t>G219</t>
  </si>
  <si>
    <t>G220</t>
  </si>
  <si>
    <t>G221</t>
  </si>
  <si>
    <t>G227</t>
  </si>
  <si>
    <t>T201</t>
  </si>
  <si>
    <t>T201A</t>
  </si>
  <si>
    <t>T202</t>
  </si>
  <si>
    <t>T203</t>
  </si>
  <si>
    <t>T204</t>
  </si>
  <si>
    <t>T205</t>
  </si>
  <si>
    <t>T206</t>
  </si>
  <si>
    <t>T207</t>
  </si>
  <si>
    <t>T207a</t>
  </si>
  <si>
    <t>T207b</t>
  </si>
  <si>
    <t>T207c</t>
  </si>
  <si>
    <t>T208</t>
  </si>
  <si>
    <t>T209</t>
  </si>
  <si>
    <t>T210</t>
  </si>
  <si>
    <t>T211</t>
  </si>
  <si>
    <t>T212</t>
  </si>
  <si>
    <t>T213</t>
  </si>
  <si>
    <t>T214</t>
  </si>
  <si>
    <t>T215</t>
  </si>
  <si>
    <t>T216</t>
  </si>
  <si>
    <t>T217</t>
  </si>
  <si>
    <t>T218</t>
  </si>
  <si>
    <t>T220</t>
  </si>
  <si>
    <t>werkkamer</t>
  </si>
  <si>
    <t>T221</t>
  </si>
  <si>
    <t>T222</t>
  </si>
  <si>
    <t>T223</t>
  </si>
  <si>
    <t>werkkamer/vergaderruimte</t>
  </si>
  <si>
    <t>T224</t>
  </si>
  <si>
    <t>T225</t>
  </si>
  <si>
    <t>directieraad vergaderruimte</t>
  </si>
  <si>
    <t>T226</t>
  </si>
  <si>
    <t>T226A</t>
  </si>
  <si>
    <t>T227</t>
  </si>
  <si>
    <t>Studiecentrum</t>
  </si>
  <si>
    <t>T228</t>
  </si>
  <si>
    <t>T230</t>
  </si>
  <si>
    <t>toilet Dames</t>
  </si>
  <si>
    <t>T231</t>
  </si>
  <si>
    <t>toilet Heren</t>
  </si>
  <si>
    <t>T232</t>
  </si>
  <si>
    <t>T233</t>
  </si>
  <si>
    <t>T234</t>
  </si>
  <si>
    <t>T235</t>
  </si>
  <si>
    <t>T236</t>
  </si>
  <si>
    <t>03</t>
  </si>
  <si>
    <t>B301</t>
  </si>
  <si>
    <t>B302</t>
  </si>
  <si>
    <t>B303</t>
  </si>
  <si>
    <t>B304</t>
  </si>
  <si>
    <t>praktijklokaal audio visuele vormgeving</t>
  </si>
  <si>
    <t>B305</t>
  </si>
  <si>
    <t>praktijklokaal muziek</t>
  </si>
  <si>
    <t>B306</t>
  </si>
  <si>
    <t>B307</t>
  </si>
  <si>
    <t>praktijklokaal drama</t>
  </si>
  <si>
    <t>B308</t>
  </si>
  <si>
    <t>B309</t>
  </si>
  <si>
    <t>B310</t>
  </si>
  <si>
    <t>B311</t>
  </si>
  <si>
    <t>B312</t>
  </si>
  <si>
    <t>B313</t>
  </si>
  <si>
    <t>praktijklokaal beeldende vorming</t>
  </si>
  <si>
    <t>B314</t>
  </si>
  <si>
    <t>B316</t>
  </si>
  <si>
    <t>C301</t>
  </si>
  <si>
    <t>C302</t>
  </si>
  <si>
    <t>C303</t>
  </si>
  <si>
    <t>C304</t>
  </si>
  <si>
    <t>C305</t>
  </si>
  <si>
    <t>C306</t>
  </si>
  <si>
    <t>C307</t>
  </si>
  <si>
    <t>C308</t>
  </si>
  <si>
    <t>C308A</t>
  </si>
  <si>
    <t>C309</t>
  </si>
  <si>
    <t>C310</t>
  </si>
  <si>
    <t>C311</t>
  </si>
  <si>
    <t>C312</t>
  </si>
  <si>
    <t>C313</t>
  </si>
  <si>
    <t>C314</t>
  </si>
  <si>
    <t>C315</t>
  </si>
  <si>
    <t>C317</t>
  </si>
  <si>
    <t>C318</t>
  </si>
  <si>
    <t>Meterkast</t>
  </si>
  <si>
    <t>C319</t>
  </si>
  <si>
    <t>praktijklokaal art&amp;design</t>
  </si>
  <si>
    <t>C320</t>
  </si>
  <si>
    <t>C322</t>
  </si>
  <si>
    <t>C323</t>
  </si>
  <si>
    <t>C324</t>
  </si>
  <si>
    <t>C325</t>
  </si>
  <si>
    <t>C326</t>
  </si>
  <si>
    <t>C327</t>
  </si>
  <si>
    <t>C327A</t>
  </si>
  <si>
    <t>C327B</t>
  </si>
  <si>
    <t>C327C</t>
  </si>
  <si>
    <t>C327D</t>
  </si>
  <si>
    <t>C328</t>
  </si>
  <si>
    <t>Archief</t>
  </si>
  <si>
    <t>C329</t>
  </si>
  <si>
    <t>C330</t>
  </si>
  <si>
    <t>C330A</t>
  </si>
  <si>
    <t>Printer</t>
  </si>
  <si>
    <t>C330B</t>
  </si>
  <si>
    <t>C331A</t>
  </si>
  <si>
    <t>C332</t>
  </si>
  <si>
    <t>C332A</t>
  </si>
  <si>
    <t>C333</t>
  </si>
  <si>
    <t>C334</t>
  </si>
  <si>
    <t>C335</t>
  </si>
  <si>
    <t>C335A</t>
  </si>
  <si>
    <t>C336</t>
  </si>
  <si>
    <t>C336A</t>
  </si>
  <si>
    <t>C337</t>
  </si>
  <si>
    <t>C338</t>
  </si>
  <si>
    <t>C339</t>
  </si>
  <si>
    <t>C340</t>
  </si>
  <si>
    <t>C342</t>
  </si>
  <si>
    <t>MER</t>
  </si>
  <si>
    <t>C344</t>
  </si>
  <si>
    <t>C345</t>
  </si>
  <si>
    <t>C346</t>
  </si>
  <si>
    <t>C347</t>
  </si>
  <si>
    <t>E301</t>
  </si>
  <si>
    <t>E301A</t>
  </si>
  <si>
    <t>E302</t>
  </si>
  <si>
    <t>E303</t>
  </si>
  <si>
    <t>E304</t>
  </si>
  <si>
    <t>collegezaal</t>
  </si>
  <si>
    <t>E305</t>
  </si>
  <si>
    <t>E306</t>
  </si>
  <si>
    <t>E306A</t>
  </si>
  <si>
    <t>overlegruimte</t>
  </si>
  <si>
    <t>E307</t>
  </si>
  <si>
    <t>E307a</t>
  </si>
  <si>
    <t>E308</t>
  </si>
  <si>
    <t>E309</t>
  </si>
  <si>
    <t>E310</t>
  </si>
  <si>
    <t>E311</t>
  </si>
  <si>
    <t>E312</t>
  </si>
  <si>
    <t>E313</t>
  </si>
  <si>
    <t>E314</t>
  </si>
  <si>
    <t>E315</t>
  </si>
  <si>
    <t>E316</t>
  </si>
  <si>
    <t>T301</t>
  </si>
  <si>
    <t>T301A</t>
  </si>
  <si>
    <t>T302</t>
  </si>
  <si>
    <t>T303</t>
  </si>
  <si>
    <t>T304</t>
  </si>
  <si>
    <t>T305</t>
  </si>
  <si>
    <t>T306</t>
  </si>
  <si>
    <t>T307</t>
  </si>
  <si>
    <t>T308</t>
  </si>
  <si>
    <t>T309</t>
  </si>
  <si>
    <t>T310</t>
  </si>
  <si>
    <t>T311</t>
  </si>
  <si>
    <t>T312</t>
  </si>
  <si>
    <t>T313</t>
  </si>
  <si>
    <t>T314</t>
  </si>
  <si>
    <t>T315</t>
  </si>
  <si>
    <t>lokaal</t>
  </si>
  <si>
    <t>T316</t>
  </si>
  <si>
    <t>Totaal werkdag</t>
  </si>
  <si>
    <t>1010 - Locatie Fabriekstraat, Fabrieksrtaat 12, Doetinchem</t>
  </si>
  <si>
    <t>1010</t>
  </si>
  <si>
    <t>001</t>
  </si>
  <si>
    <t>002</t>
  </si>
  <si>
    <t>praktijklokaal</t>
  </si>
  <si>
    <t>002a</t>
  </si>
  <si>
    <t>003</t>
  </si>
  <si>
    <t>004</t>
  </si>
  <si>
    <t>005</t>
  </si>
  <si>
    <t>Technische ruimte</t>
  </si>
  <si>
    <t>006</t>
  </si>
  <si>
    <t>wasruimte</t>
  </si>
  <si>
    <t>dhgt</t>
  </si>
  <si>
    <t>007</t>
  </si>
  <si>
    <t>008</t>
  </si>
  <si>
    <t>portaal</t>
  </si>
  <si>
    <t>009</t>
  </si>
  <si>
    <t>009a</t>
  </si>
  <si>
    <t>010</t>
  </si>
  <si>
    <t>011</t>
  </si>
  <si>
    <t>012</t>
  </si>
  <si>
    <t>101</t>
  </si>
  <si>
    <t>102</t>
  </si>
  <si>
    <t>103</t>
  </si>
  <si>
    <t>104</t>
  </si>
  <si>
    <t>105</t>
  </si>
  <si>
    <t>1030 - Locatie Julianaplein, Julianaplein 2, Doetinchem</t>
  </si>
  <si>
    <t>1030</t>
  </si>
  <si>
    <t>tochtsluis</t>
  </si>
  <si>
    <t>administratie</t>
  </si>
  <si>
    <t>Spreekkamer 4</t>
  </si>
  <si>
    <t>stilteruimte</t>
  </si>
  <si>
    <t>013</t>
  </si>
  <si>
    <t>014</t>
  </si>
  <si>
    <t>Toilet D&amp;H personeel</t>
  </si>
  <si>
    <t>017</t>
  </si>
  <si>
    <t>Mindervalide toilet</t>
  </si>
  <si>
    <t>018</t>
  </si>
  <si>
    <t>sportzaal</t>
  </si>
  <si>
    <t>sportvloer</t>
  </si>
  <si>
    <t>019</t>
  </si>
  <si>
    <t>020</t>
  </si>
  <si>
    <t>021</t>
  </si>
  <si>
    <t>022</t>
  </si>
  <si>
    <t>023</t>
  </si>
  <si>
    <t>024</t>
  </si>
  <si>
    <t>Lokaal 6</t>
  </si>
  <si>
    <t>025</t>
  </si>
  <si>
    <t>026</t>
  </si>
  <si>
    <t>027</t>
  </si>
  <si>
    <t>opslag sanitaire voorzieningen</t>
  </si>
  <si>
    <t>028</t>
  </si>
  <si>
    <t>Kantine keuken (catering)</t>
  </si>
  <si>
    <t>029A</t>
  </si>
  <si>
    <t>029B</t>
  </si>
  <si>
    <t>030</t>
  </si>
  <si>
    <t>kantine</t>
  </si>
  <si>
    <t>031</t>
  </si>
  <si>
    <t>032</t>
  </si>
  <si>
    <t>033</t>
  </si>
  <si>
    <t>kantoor concierge</t>
  </si>
  <si>
    <t>034</t>
  </si>
  <si>
    <t>035</t>
  </si>
  <si>
    <t>Toilet Heren</t>
  </si>
  <si>
    <t>036</t>
  </si>
  <si>
    <t>Toilet Dames</t>
  </si>
  <si>
    <t>037</t>
  </si>
  <si>
    <t>Werkkast</t>
  </si>
  <si>
    <t>038</t>
  </si>
  <si>
    <t>personeelskamer</t>
  </si>
  <si>
    <t>039</t>
  </si>
  <si>
    <t>Lokaal 2</t>
  </si>
  <si>
    <t>040</t>
  </si>
  <si>
    <t>Lokaal 1</t>
  </si>
  <si>
    <t>041</t>
  </si>
  <si>
    <t>Lokaal 3</t>
  </si>
  <si>
    <t>042</t>
  </si>
  <si>
    <t>Lokaal 4 scheikunde</t>
  </si>
  <si>
    <t>043</t>
  </si>
  <si>
    <t>Lokaal 5 theorielokaal</t>
  </si>
  <si>
    <t>044</t>
  </si>
  <si>
    <t>verdeelkast</t>
  </si>
  <si>
    <t>045</t>
  </si>
  <si>
    <t>050</t>
  </si>
  <si>
    <t>051</t>
  </si>
  <si>
    <t>kleedruimte dames</t>
  </si>
  <si>
    <t>052</t>
  </si>
  <si>
    <t>kleedruimte docent</t>
  </si>
  <si>
    <t>053</t>
  </si>
  <si>
    <t>kleedruimte heren</t>
  </si>
  <si>
    <t>054</t>
  </si>
  <si>
    <t>055</t>
  </si>
  <si>
    <t>056</t>
  </si>
  <si>
    <t>cv ruimte</t>
  </si>
  <si>
    <t>Toilet D&amp;H</t>
  </si>
  <si>
    <t>Lokaal 11: handvaardigheid</t>
  </si>
  <si>
    <t>106</t>
  </si>
  <si>
    <t>107</t>
  </si>
  <si>
    <t>108</t>
  </si>
  <si>
    <t>Spreekkamer 3</t>
  </si>
  <si>
    <t>109</t>
  </si>
  <si>
    <t>Lokaal 12</t>
  </si>
  <si>
    <t>110</t>
  </si>
  <si>
    <t>Lokaal 13</t>
  </si>
  <si>
    <t>111</t>
  </si>
  <si>
    <t>Lokaal 14</t>
  </si>
  <si>
    <t>112</t>
  </si>
  <si>
    <t>Berging / CV</t>
  </si>
  <si>
    <t>113</t>
  </si>
  <si>
    <t>114</t>
  </si>
  <si>
    <t>115</t>
  </si>
  <si>
    <t>116</t>
  </si>
  <si>
    <t>117</t>
  </si>
  <si>
    <t>Lokaal 15</t>
  </si>
  <si>
    <t>118</t>
  </si>
  <si>
    <t>Lokaal 16</t>
  </si>
  <si>
    <t>119</t>
  </si>
  <si>
    <t>Lokaal 17</t>
  </si>
  <si>
    <t>120</t>
  </si>
  <si>
    <t>Lokaal 18</t>
  </si>
  <si>
    <t>121</t>
  </si>
  <si>
    <t>Lokaal 19</t>
  </si>
  <si>
    <t>122</t>
  </si>
  <si>
    <t>Lokaal 20</t>
  </si>
  <si>
    <t>123</t>
  </si>
  <si>
    <t>124</t>
  </si>
  <si>
    <t>125</t>
  </si>
  <si>
    <t>126</t>
  </si>
  <si>
    <t>127</t>
  </si>
  <si>
    <t>Toilet personeel</t>
  </si>
  <si>
    <t>128</t>
  </si>
  <si>
    <t>Toilet dames</t>
  </si>
  <si>
    <t>129</t>
  </si>
  <si>
    <t>Lokaal 21</t>
  </si>
  <si>
    <t>130</t>
  </si>
  <si>
    <t>Teamkamer</t>
  </si>
  <si>
    <t>130A</t>
  </si>
  <si>
    <t>Spreekkamer 1</t>
  </si>
  <si>
    <t>131</t>
  </si>
  <si>
    <t>131A</t>
  </si>
  <si>
    <t>Spreekkamer 2</t>
  </si>
  <si>
    <t>132</t>
  </si>
  <si>
    <t>133</t>
  </si>
  <si>
    <t>Lokaal 22</t>
  </si>
  <si>
    <t>134</t>
  </si>
  <si>
    <t>Lokaal 23</t>
  </si>
  <si>
    <t>135</t>
  </si>
  <si>
    <t>Lokaal 24</t>
  </si>
  <si>
    <t>136</t>
  </si>
  <si>
    <t>Kooklokaal</t>
  </si>
  <si>
    <t>1050 - Locatie Maria Montessoristraat, Maria Montessoristraat 3, Doetinchem</t>
  </si>
  <si>
    <t>1050</t>
  </si>
  <si>
    <t>-1</t>
  </si>
  <si>
    <t>-101</t>
  </si>
  <si>
    <t>trappenhuis parkeergarage</t>
  </si>
  <si>
    <t>-102</t>
  </si>
  <si>
    <t>parkeergarage</t>
  </si>
  <si>
    <t>klinkers</t>
  </si>
  <si>
    <t>-103</t>
  </si>
  <si>
    <t>000</t>
  </si>
  <si>
    <t>Kantine</t>
  </si>
  <si>
    <t>Podium (hoort bij de aula)</t>
  </si>
  <si>
    <t>Trappenhuis</t>
  </si>
  <si>
    <t>Trappenhuis, ingang naar sportzaal</t>
  </si>
  <si>
    <t>Kleedkamer dames</t>
  </si>
  <si>
    <t>Kleedkamer heren</t>
  </si>
  <si>
    <t>015A</t>
  </si>
  <si>
    <t>toilet heren</t>
  </si>
  <si>
    <t>015B</t>
  </si>
  <si>
    <t>toilet dames</t>
  </si>
  <si>
    <t>016</t>
  </si>
  <si>
    <t>kast</t>
  </si>
  <si>
    <t>kast kruipruimte</t>
  </si>
  <si>
    <t>kooklokaal/keuken</t>
  </si>
  <si>
    <t>Horeca: BackOffice</t>
  </si>
  <si>
    <t>restaurant</t>
  </si>
  <si>
    <t>029</t>
  </si>
  <si>
    <t>Computerlokaal</t>
  </si>
  <si>
    <t>tutorruimte</t>
  </si>
  <si>
    <t>046</t>
  </si>
  <si>
    <t>magazijn keuken aula (catering)</t>
  </si>
  <si>
    <t>048</t>
  </si>
  <si>
    <t>Kantine --&gt; keuken (catering)</t>
  </si>
  <si>
    <t>049</t>
  </si>
  <si>
    <t>spoelkeuken (catering)</t>
  </si>
  <si>
    <t>server ruimte</t>
  </si>
  <si>
    <t>Concierge</t>
  </si>
  <si>
    <t>Zorgdecaan</t>
  </si>
  <si>
    <t>spreekkamer/vergaderruimte decanen</t>
  </si>
  <si>
    <t>057</t>
  </si>
  <si>
    <t>058</t>
  </si>
  <si>
    <t>059</t>
  </si>
  <si>
    <t>060</t>
  </si>
  <si>
    <t>061</t>
  </si>
  <si>
    <t>062</t>
  </si>
  <si>
    <t>065</t>
  </si>
  <si>
    <t>Haarverzorging --&gt; praktijklokaal</t>
  </si>
  <si>
    <t>067</t>
  </si>
  <si>
    <t>balie/opslag kapperslokaal</t>
  </si>
  <si>
    <t>068</t>
  </si>
  <si>
    <t>Haarverzorging --&gt; BackOffice</t>
  </si>
  <si>
    <t>069</t>
  </si>
  <si>
    <t>Magazijn kappers</t>
  </si>
  <si>
    <t>070</t>
  </si>
  <si>
    <t>071</t>
  </si>
  <si>
    <t>072</t>
  </si>
  <si>
    <t>gang naar magazijn etc.</t>
  </si>
  <si>
    <t>073</t>
  </si>
  <si>
    <t>074</t>
  </si>
  <si>
    <t>Magazijn/archief</t>
  </si>
  <si>
    <t>075</t>
  </si>
  <si>
    <t>Laagspanningsruimte</t>
  </si>
  <si>
    <t>076</t>
  </si>
  <si>
    <t>Containerruimte</t>
  </si>
  <si>
    <t>077</t>
  </si>
  <si>
    <t>Traforuimte</t>
  </si>
  <si>
    <t>078A</t>
  </si>
  <si>
    <t>078B</t>
  </si>
  <si>
    <t>079</t>
  </si>
  <si>
    <t>080</t>
  </si>
  <si>
    <t>081</t>
  </si>
  <si>
    <t>082</t>
  </si>
  <si>
    <t>Kleerkamer dames</t>
  </si>
  <si>
    <t>083</t>
  </si>
  <si>
    <t>084</t>
  </si>
  <si>
    <t>085</t>
  </si>
  <si>
    <t>086</t>
  </si>
  <si>
    <t>087</t>
  </si>
  <si>
    <t>rvs</t>
  </si>
  <si>
    <t>088</t>
  </si>
  <si>
    <t>praktijklokaal brood bakkers</t>
  </si>
  <si>
    <t>090</t>
  </si>
  <si>
    <t>praktijklokaal Banket</t>
  </si>
  <si>
    <t>091</t>
  </si>
  <si>
    <t>Bakkerij --&gt; backoffice</t>
  </si>
  <si>
    <t>092</t>
  </si>
  <si>
    <t>Winkel bakkerij/Verkoop</t>
  </si>
  <si>
    <t>093</t>
  </si>
  <si>
    <t>Receptie</t>
  </si>
  <si>
    <t>094</t>
  </si>
  <si>
    <t>Werkkamer</t>
  </si>
  <si>
    <t>109A</t>
  </si>
  <si>
    <t>Horeca --&gt;Teamkamer</t>
  </si>
  <si>
    <t>Kleedruimte horeca</t>
  </si>
  <si>
    <t>115A</t>
  </si>
  <si>
    <t>115B</t>
  </si>
  <si>
    <t>ict ruimte</t>
  </si>
  <si>
    <t>kast schoonmaak</t>
  </si>
  <si>
    <t>Toerisme en Recreatie--&gt; Teamkamer</t>
  </si>
  <si>
    <t>Toerisme en Recreatie--&gt; Reisbureau</t>
  </si>
  <si>
    <t>128A</t>
  </si>
  <si>
    <t>128B</t>
  </si>
  <si>
    <t>129A</t>
  </si>
  <si>
    <t>129B</t>
  </si>
  <si>
    <t>groot theorielokaal</t>
  </si>
  <si>
    <t>137</t>
  </si>
  <si>
    <t>138</t>
  </si>
  <si>
    <t>139</t>
  </si>
  <si>
    <t>140</t>
  </si>
  <si>
    <t>141</t>
  </si>
  <si>
    <t>Kantoor --&gt;examenbureau</t>
  </si>
  <si>
    <t>142</t>
  </si>
  <si>
    <t>Opleidingsmanager José Wopereis</t>
  </si>
  <si>
    <t>143</t>
  </si>
  <si>
    <t>144</t>
  </si>
  <si>
    <t>145</t>
  </si>
  <si>
    <t>146</t>
  </si>
  <si>
    <t>150</t>
  </si>
  <si>
    <t>Schoonheidsverzorging--&gt; Teamkamer</t>
  </si>
  <si>
    <t>151</t>
  </si>
  <si>
    <t>wellness ontvangstruimte</t>
  </si>
  <si>
    <t>152</t>
  </si>
  <si>
    <t>153</t>
  </si>
  <si>
    <t>wellnes opslag/kantoortje</t>
  </si>
  <si>
    <t>154</t>
  </si>
  <si>
    <t>behandelkamer</t>
  </si>
  <si>
    <t>155</t>
  </si>
  <si>
    <t>156</t>
  </si>
  <si>
    <t>157</t>
  </si>
  <si>
    <t>158</t>
  </si>
  <si>
    <t>160</t>
  </si>
  <si>
    <t>praktijklokaal schoonheidsverzorging</t>
  </si>
  <si>
    <t>161</t>
  </si>
  <si>
    <t>praktijklokaal SV/overgangsruimte</t>
  </si>
  <si>
    <t>162</t>
  </si>
  <si>
    <t>163</t>
  </si>
  <si>
    <t>kleedruimte schoonheidsverzorging</t>
  </si>
  <si>
    <t>164</t>
  </si>
  <si>
    <t>166</t>
  </si>
  <si>
    <t>167</t>
  </si>
  <si>
    <t>Haarverzorging --&gt; Teamkamer</t>
  </si>
  <si>
    <t>168</t>
  </si>
  <si>
    <t>patio (buitenruimte)</t>
  </si>
  <si>
    <t>173A</t>
  </si>
  <si>
    <t>173B</t>
  </si>
  <si>
    <t>174</t>
  </si>
  <si>
    <t>175</t>
  </si>
  <si>
    <t>176</t>
  </si>
  <si>
    <t>Personeelsruimte</t>
  </si>
  <si>
    <t>177</t>
  </si>
  <si>
    <t>178</t>
  </si>
  <si>
    <t>179</t>
  </si>
  <si>
    <t>180</t>
  </si>
  <si>
    <t>Bakkerij --&gt; Teamkamer</t>
  </si>
  <si>
    <t>181</t>
  </si>
  <si>
    <t>Roosterbureau --&gt; Ria Luesink</t>
  </si>
  <si>
    <t>182</t>
  </si>
  <si>
    <t>Facilitaire dienstverlening --&gt; Teamkame</t>
  </si>
  <si>
    <t>201</t>
  </si>
  <si>
    <t>Trap</t>
  </si>
  <si>
    <t>202</t>
  </si>
  <si>
    <t>203</t>
  </si>
  <si>
    <t>204</t>
  </si>
  <si>
    <t>205</t>
  </si>
  <si>
    <t>206</t>
  </si>
  <si>
    <t>Kast</t>
  </si>
  <si>
    <t>207</t>
  </si>
  <si>
    <t>210a</t>
  </si>
  <si>
    <t>sportzaal (theorielokaal)</t>
  </si>
  <si>
    <t>210b</t>
  </si>
  <si>
    <t>sportzaal (creatieve ruimte)</t>
  </si>
  <si>
    <t>227</t>
  </si>
  <si>
    <t>301</t>
  </si>
  <si>
    <t>302</t>
  </si>
  <si>
    <t>Installaties</t>
  </si>
  <si>
    <t>04</t>
  </si>
  <si>
    <t>401</t>
  </si>
  <si>
    <t>402</t>
  </si>
  <si>
    <t>gang installaties</t>
  </si>
  <si>
    <t>403</t>
  </si>
  <si>
    <t>404</t>
  </si>
  <si>
    <t>Dak</t>
  </si>
  <si>
    <t>rubber/steen</t>
  </si>
  <si>
    <t>1060 - Locatie Notenlaan, Notenlaan 2, Doetinchem</t>
  </si>
  <si>
    <t>1060</t>
  </si>
  <si>
    <t>H</t>
  </si>
  <si>
    <t>H0.12</t>
  </si>
  <si>
    <t>H0.13</t>
  </si>
  <si>
    <t>H0.14</t>
  </si>
  <si>
    <t>praktijklokaal koken</t>
  </si>
  <si>
    <t>H0.15</t>
  </si>
  <si>
    <t>H0.18</t>
  </si>
  <si>
    <t>H0.19</t>
  </si>
  <si>
    <t>H0.19a</t>
  </si>
  <si>
    <t>H0.20</t>
  </si>
  <si>
    <t>H0.21</t>
  </si>
  <si>
    <t>H0.22</t>
  </si>
  <si>
    <t>H0.23</t>
  </si>
  <si>
    <t>H0.26</t>
  </si>
  <si>
    <t>H0.27</t>
  </si>
  <si>
    <t>H0.28</t>
  </si>
  <si>
    <t>H0.29</t>
  </si>
  <si>
    <t>H0.30</t>
  </si>
  <si>
    <t>H0.31</t>
  </si>
  <si>
    <t>H0.31a</t>
  </si>
  <si>
    <t>H0.33</t>
  </si>
  <si>
    <t>NTL</t>
  </si>
  <si>
    <t>NTL001</t>
  </si>
  <si>
    <t>NTL002</t>
  </si>
  <si>
    <t>NTL003</t>
  </si>
  <si>
    <t>NTL004</t>
  </si>
  <si>
    <t>NTL005</t>
  </si>
  <si>
    <t>NTL005a</t>
  </si>
  <si>
    <t>NTL006</t>
  </si>
  <si>
    <t>NTL007</t>
  </si>
  <si>
    <t>NTL008</t>
  </si>
  <si>
    <t>NTL009</t>
  </si>
  <si>
    <t>NTL009a</t>
  </si>
  <si>
    <t>NTL010</t>
  </si>
  <si>
    <t>NTL010a</t>
  </si>
  <si>
    <t>NTL011</t>
  </si>
  <si>
    <t>NTL013</t>
  </si>
  <si>
    <t>NTL014</t>
  </si>
  <si>
    <t>NTL015</t>
  </si>
  <si>
    <t>NTL016</t>
  </si>
  <si>
    <t>NTL016A</t>
  </si>
  <si>
    <t>NTL016B</t>
  </si>
  <si>
    <t>NTL016C</t>
  </si>
  <si>
    <t>NTL017</t>
  </si>
  <si>
    <t>NTL018</t>
  </si>
  <si>
    <t>NTL019</t>
  </si>
  <si>
    <t>NTL019A</t>
  </si>
  <si>
    <t>NTL019B</t>
  </si>
  <si>
    <t>NTL020</t>
  </si>
  <si>
    <t>NTL020A</t>
  </si>
  <si>
    <t>NTL020B</t>
  </si>
  <si>
    <t>NTL020C</t>
  </si>
  <si>
    <t>NTL021</t>
  </si>
  <si>
    <t>NTL021A</t>
  </si>
  <si>
    <t>NTL021B</t>
  </si>
  <si>
    <t>NTL021C</t>
  </si>
  <si>
    <t>NTL022</t>
  </si>
  <si>
    <t>NTL023</t>
  </si>
  <si>
    <t>NTL024</t>
  </si>
  <si>
    <t>NTL025</t>
  </si>
  <si>
    <t>1080 - Locatie Sportweg, Sportweg 3, Doetinchem</t>
  </si>
  <si>
    <t>1080</t>
  </si>
  <si>
    <t>-100a</t>
  </si>
  <si>
    <t>-100b</t>
  </si>
  <si>
    <t>-100c</t>
  </si>
  <si>
    <t>-100d</t>
  </si>
  <si>
    <t>Fietsenstalling</t>
  </si>
  <si>
    <t>VeVa kleedkamer heren</t>
  </si>
  <si>
    <t>VeVa kleedkamer docenten</t>
  </si>
  <si>
    <t>-104</t>
  </si>
  <si>
    <t>VeVa kleedkamer dames</t>
  </si>
  <si>
    <t>-105</t>
  </si>
  <si>
    <t>-106</t>
  </si>
  <si>
    <t>Fietsenstalling docenten</t>
  </si>
  <si>
    <t>-107</t>
  </si>
  <si>
    <t>-108</t>
  </si>
  <si>
    <t>-109</t>
  </si>
  <si>
    <t>VeVa PGU lockerruimte</t>
  </si>
  <si>
    <t>-109a</t>
  </si>
  <si>
    <t>S&amp;B Theorielokaal</t>
  </si>
  <si>
    <t>keuken (catering)</t>
  </si>
  <si>
    <t>008a</t>
  </si>
  <si>
    <t>008b</t>
  </si>
  <si>
    <t>008c</t>
  </si>
  <si>
    <t>008d</t>
  </si>
  <si>
    <t>008e</t>
  </si>
  <si>
    <t>00a</t>
  </si>
  <si>
    <t>00b</t>
  </si>
  <si>
    <t>00c</t>
  </si>
  <si>
    <t>00d</t>
  </si>
  <si>
    <t>00e</t>
  </si>
  <si>
    <t>00f</t>
  </si>
  <si>
    <t>Conciërge</t>
  </si>
  <si>
    <t>010a</t>
  </si>
  <si>
    <t>Roostermaker en administratie</t>
  </si>
  <si>
    <t>S&amp;B berging sport/spel</t>
  </si>
  <si>
    <t>S&amp;B Tutorruimte</t>
  </si>
  <si>
    <t>015</t>
  </si>
  <si>
    <t>Garderobe</t>
  </si>
  <si>
    <t>Berging facilitair</t>
  </si>
  <si>
    <t>020a</t>
  </si>
  <si>
    <t>Tochtportaal</t>
  </si>
  <si>
    <t>020b</t>
  </si>
  <si>
    <t>Wachtruimte</t>
  </si>
  <si>
    <t>Frontoffice</t>
  </si>
  <si>
    <t>Backoffice</t>
  </si>
  <si>
    <t>Opslag</t>
  </si>
  <si>
    <t>Wasruimte</t>
  </si>
  <si>
    <t>Kleedruimte</t>
  </si>
  <si>
    <t>MIVA</t>
  </si>
  <si>
    <t>Behandelkamer</t>
  </si>
  <si>
    <t>Sportarts</t>
  </si>
  <si>
    <t>Fysiotherapeut</t>
  </si>
  <si>
    <t>040a</t>
  </si>
  <si>
    <t>040b</t>
  </si>
  <si>
    <t>Buurtsportcoaches</t>
  </si>
  <si>
    <t>Vergaderruimte</t>
  </si>
  <si>
    <t>Manager</t>
  </si>
  <si>
    <t>047</t>
  </si>
  <si>
    <t>ondersteuning</t>
  </si>
  <si>
    <t>048a</t>
  </si>
  <si>
    <t>052a</t>
  </si>
  <si>
    <t>063</t>
  </si>
  <si>
    <t>064</t>
  </si>
  <si>
    <t>100a</t>
  </si>
  <si>
    <t>100b</t>
  </si>
  <si>
    <t>100c</t>
  </si>
  <si>
    <t>100d</t>
  </si>
  <si>
    <t>100e</t>
  </si>
  <si>
    <t>100f</t>
  </si>
  <si>
    <t>VeVa informatica</t>
  </si>
  <si>
    <t>VeVa theorielokaal</t>
  </si>
  <si>
    <t>VeVa studiecentrum</t>
  </si>
  <si>
    <t>S&amp;B kantoorsimulatie</t>
  </si>
  <si>
    <t>S&amp;B Multifunctionele ruimte</t>
  </si>
  <si>
    <t>VeVa praktijkruimte EHBO</t>
  </si>
  <si>
    <t>VeVa opslag</t>
  </si>
  <si>
    <t>VeVa teamkamer</t>
  </si>
  <si>
    <t>VeVa opleidingsmanager</t>
  </si>
  <si>
    <t>VeVa spreekkamer</t>
  </si>
  <si>
    <t>Kolfruimte Stilteruimte</t>
  </si>
  <si>
    <t>132a</t>
  </si>
  <si>
    <t>200a</t>
  </si>
  <si>
    <t>200b</t>
  </si>
  <si>
    <t>200c</t>
  </si>
  <si>
    <t>200d</t>
  </si>
  <si>
    <t>200e</t>
  </si>
  <si>
    <t>200f</t>
  </si>
  <si>
    <t>208</t>
  </si>
  <si>
    <t>Opleidingsmanager</t>
  </si>
  <si>
    <t>209</t>
  </si>
  <si>
    <t>examenbureau</t>
  </si>
  <si>
    <t>210</t>
  </si>
  <si>
    <t>decaan</t>
  </si>
  <si>
    <t>211a</t>
  </si>
  <si>
    <t>211b</t>
  </si>
  <si>
    <t>211c</t>
  </si>
  <si>
    <t>212</t>
  </si>
  <si>
    <t>coördinator slb/bpv</t>
  </si>
  <si>
    <t>213</t>
  </si>
  <si>
    <t>sportgezondheidsleer</t>
  </si>
  <si>
    <t>214</t>
  </si>
  <si>
    <t>leermiddelen magazijn</t>
  </si>
  <si>
    <t>215</t>
  </si>
  <si>
    <t>animatie en recreatie</t>
  </si>
  <si>
    <t>216</t>
  </si>
  <si>
    <t>217</t>
  </si>
  <si>
    <t>218</t>
  </si>
  <si>
    <t>219</t>
  </si>
  <si>
    <t>220</t>
  </si>
  <si>
    <t>221</t>
  </si>
  <si>
    <t>230</t>
  </si>
  <si>
    <t>231</t>
  </si>
  <si>
    <t>232</t>
  </si>
  <si>
    <t>232a</t>
  </si>
  <si>
    <t>233</t>
  </si>
  <si>
    <t>240</t>
  </si>
  <si>
    <t>241</t>
  </si>
  <si>
    <t>242</t>
  </si>
  <si>
    <t>243</t>
  </si>
  <si>
    <t>244</t>
  </si>
  <si>
    <t>1100 - Villa de Houtkamp (kantoor), Dr. Huber Noodtstraat 105, Doetinchem</t>
  </si>
  <si>
    <t>1100</t>
  </si>
  <si>
    <t>Flexplekken</t>
  </si>
  <si>
    <t>vergader ruimte</t>
  </si>
  <si>
    <t>dhgt/steen</t>
  </si>
  <si>
    <t>hout/tapijt</t>
  </si>
  <si>
    <t>2000 - Locatie Groenlo, Schralenstein 2, Lievelderstraat 40, Groenlo</t>
  </si>
  <si>
    <t>2000</t>
  </si>
  <si>
    <t>L</t>
  </si>
  <si>
    <t>L000</t>
  </si>
  <si>
    <t>L000A</t>
  </si>
  <si>
    <t>L000B</t>
  </si>
  <si>
    <t>L000C</t>
  </si>
  <si>
    <t>L001</t>
  </si>
  <si>
    <t>L002</t>
  </si>
  <si>
    <t>L003</t>
  </si>
  <si>
    <t>Taal/Reken centrum</t>
  </si>
  <si>
    <t>L004</t>
  </si>
  <si>
    <t>L005</t>
  </si>
  <si>
    <t>L006</t>
  </si>
  <si>
    <t>L007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</si>
  <si>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</si>
  <si>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</si>
  <si>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</si>
  <si>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</si>
  <si>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</si>
  <si>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</si>
  <si>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</si>
  <si>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</si>
  <si>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</si>
  <si>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steen/ijzer</t>
  </si>
  <si>
    <t>L101</t>
  </si>
  <si>
    <t>L102</t>
  </si>
  <si>
    <t>L103</t>
  </si>
  <si>
    <t>L104</t>
  </si>
  <si>
    <t>tutor</t>
  </si>
  <si>
    <t>L105</t>
  </si>
  <si>
    <t>L106</t>
  </si>
  <si>
    <t>L107</t>
  </si>
  <si>
    <t>L108</t>
  </si>
  <si>
    <t>L109</t>
  </si>
  <si>
    <t>L110</t>
  </si>
  <si>
    <t>L111</t>
  </si>
  <si>
    <t>L112</t>
  </si>
  <si>
    <t>L113</t>
  </si>
  <si>
    <t>N</t>
  </si>
  <si>
    <t>N001</t>
  </si>
  <si>
    <t>N002</t>
  </si>
  <si>
    <t>N003</t>
  </si>
  <si>
    <t>N004</t>
  </si>
  <si>
    <t>N005</t>
  </si>
  <si>
    <t>N006</t>
  </si>
  <si>
    <t>N007</t>
  </si>
  <si>
    <t>N101</t>
  </si>
  <si>
    <t>N102</t>
  </si>
  <si>
    <t>kapel podium</t>
  </si>
  <si>
    <t>N103</t>
  </si>
  <si>
    <t>N104</t>
  </si>
  <si>
    <t>kapel</t>
  </si>
  <si>
    <t>N105</t>
  </si>
  <si>
    <t>N106</t>
  </si>
  <si>
    <t>N107</t>
  </si>
  <si>
    <t>N108</t>
  </si>
  <si>
    <t>hal</t>
  </si>
  <si>
    <t>N109</t>
  </si>
  <si>
    <t>N110</t>
  </si>
  <si>
    <t>N111</t>
  </si>
  <si>
    <t>S</t>
  </si>
  <si>
    <t>S0002</t>
  </si>
  <si>
    <t>S0003</t>
  </si>
  <si>
    <t>S0004</t>
  </si>
  <si>
    <t>S0005</t>
  </si>
  <si>
    <t>S001</t>
  </si>
  <si>
    <t>S002</t>
  </si>
  <si>
    <t>tapijt/lino</t>
  </si>
  <si>
    <t>S003</t>
  </si>
  <si>
    <t>steen/dhgt</t>
  </si>
  <si>
    <t>S005</t>
  </si>
  <si>
    <t>S006</t>
  </si>
  <si>
    <t>S007</t>
  </si>
  <si>
    <t>praktijklokaal handvaardigheid</t>
  </si>
  <si>
    <t>S008</t>
  </si>
  <si>
    <t>S009</t>
  </si>
  <si>
    <t>S010</t>
  </si>
  <si>
    <t>S011</t>
  </si>
  <si>
    <t>S012</t>
  </si>
  <si>
    <t>S013</t>
  </si>
  <si>
    <t>MIVA toilet</t>
  </si>
  <si>
    <t>S014</t>
  </si>
  <si>
    <t>S015</t>
  </si>
  <si>
    <t>S016</t>
  </si>
  <si>
    <t>lino en tapijt</t>
  </si>
  <si>
    <t>S017</t>
  </si>
  <si>
    <t>S021</t>
  </si>
  <si>
    <t>S022</t>
  </si>
  <si>
    <t>S023</t>
  </si>
  <si>
    <t>S024</t>
  </si>
  <si>
    <t>S025</t>
  </si>
  <si>
    <t>congiërge</t>
  </si>
  <si>
    <t>S026</t>
  </si>
  <si>
    <t>S028</t>
  </si>
  <si>
    <t>garderobe</t>
  </si>
  <si>
    <t>S029</t>
  </si>
  <si>
    <t>podium</t>
  </si>
  <si>
    <t>S030</t>
  </si>
  <si>
    <t>S030a</t>
  </si>
  <si>
    <t>S031</t>
  </si>
  <si>
    <t>catering (door catering zelf)</t>
  </si>
  <si>
    <t>S032</t>
  </si>
  <si>
    <t>S033</t>
  </si>
  <si>
    <t>S037</t>
  </si>
  <si>
    <t>S038</t>
  </si>
  <si>
    <t>S039</t>
  </si>
  <si>
    <t>Nio Magazijn Tekenen</t>
  </si>
  <si>
    <t>S039b</t>
  </si>
  <si>
    <t>S040</t>
  </si>
  <si>
    <t>S040a</t>
  </si>
  <si>
    <t>S040b</t>
  </si>
  <si>
    <t>S041</t>
  </si>
  <si>
    <t>Douche</t>
  </si>
  <si>
    <t>S041a</t>
  </si>
  <si>
    <t>S042</t>
  </si>
  <si>
    <t>S044</t>
  </si>
  <si>
    <t>S045</t>
  </si>
  <si>
    <t>S045a</t>
  </si>
  <si>
    <t>S046</t>
  </si>
  <si>
    <t>S048</t>
  </si>
  <si>
    <t>berging/trap</t>
  </si>
  <si>
    <t>S049</t>
  </si>
  <si>
    <t>S050</t>
  </si>
  <si>
    <t>S051</t>
  </si>
  <si>
    <t>S104</t>
  </si>
  <si>
    <t>praktijklokaal tekenlokaal</t>
  </si>
  <si>
    <t>S106</t>
  </si>
  <si>
    <t>S107</t>
  </si>
  <si>
    <t>S108</t>
  </si>
  <si>
    <t>S109</t>
  </si>
  <si>
    <t>S110</t>
  </si>
  <si>
    <t>S112</t>
  </si>
  <si>
    <t>S113</t>
  </si>
  <si>
    <t>S115</t>
  </si>
  <si>
    <t>S116</t>
  </si>
  <si>
    <t>S117</t>
  </si>
  <si>
    <t>S118</t>
  </si>
  <si>
    <t>S119</t>
  </si>
  <si>
    <t>S121</t>
  </si>
  <si>
    <t>S122</t>
  </si>
  <si>
    <t>S123</t>
  </si>
  <si>
    <t>S124</t>
  </si>
  <si>
    <t>S126</t>
  </si>
  <si>
    <t>S128</t>
  </si>
  <si>
    <t>S130</t>
  </si>
  <si>
    <t>S131</t>
  </si>
  <si>
    <t>S132</t>
  </si>
  <si>
    <t>S132a</t>
  </si>
  <si>
    <t>S132b</t>
  </si>
  <si>
    <t>S132c</t>
  </si>
  <si>
    <t>S134</t>
  </si>
  <si>
    <t>S201</t>
  </si>
  <si>
    <t>S201a</t>
  </si>
  <si>
    <t>S201b</t>
  </si>
  <si>
    <t>S202</t>
  </si>
  <si>
    <t>S202a</t>
  </si>
  <si>
    <t>S203</t>
  </si>
  <si>
    <t>S204</t>
  </si>
  <si>
    <t>S205</t>
  </si>
  <si>
    <t>S206</t>
  </si>
  <si>
    <t>S207</t>
  </si>
  <si>
    <t>magazijn</t>
  </si>
  <si>
    <t>S208</t>
  </si>
  <si>
    <t>Gang/trap</t>
  </si>
  <si>
    <t>lino/dhgt</t>
  </si>
  <si>
    <t>S209</t>
  </si>
  <si>
    <t>S210</t>
  </si>
  <si>
    <t>S211a</t>
  </si>
  <si>
    <t>Open Leercentrum</t>
  </si>
  <si>
    <t>S211b</t>
  </si>
  <si>
    <t>S215</t>
  </si>
  <si>
    <t>S216</t>
  </si>
  <si>
    <t>S217</t>
  </si>
  <si>
    <t>S218</t>
  </si>
  <si>
    <t>S220</t>
  </si>
  <si>
    <t>Seniorenwoning (praktijkomgeving)</t>
  </si>
  <si>
    <t>S221</t>
  </si>
  <si>
    <t>S222</t>
  </si>
  <si>
    <t>S223</t>
  </si>
  <si>
    <t>S224</t>
  </si>
  <si>
    <t>Uitleencentrum</t>
  </si>
  <si>
    <t>S225</t>
  </si>
  <si>
    <t>S226a</t>
  </si>
  <si>
    <t>praktijklokaal zorg en welzijn</t>
  </si>
  <si>
    <t>S226b</t>
  </si>
  <si>
    <t>S226c</t>
  </si>
  <si>
    <t>S227</t>
  </si>
  <si>
    <t>S228</t>
  </si>
  <si>
    <t>S301</t>
  </si>
  <si>
    <t>S301a</t>
  </si>
  <si>
    <t>S301b</t>
  </si>
  <si>
    <t>S303</t>
  </si>
  <si>
    <t>Cv ruimte</t>
  </si>
  <si>
    <t>S304</t>
  </si>
  <si>
    <t>S305</t>
  </si>
  <si>
    <t>2030 - Civon (Ulft), Hutteweg 32, Ulft</t>
  </si>
  <si>
    <t>2030</t>
  </si>
  <si>
    <t>ALGEMENE WERKZAAMHEDEN</t>
  </si>
  <si>
    <t>Serre (voor exposities)</t>
  </si>
  <si>
    <t>straatsteen</t>
  </si>
  <si>
    <t>Multifunctionele ruimte (Giethal)</t>
  </si>
  <si>
    <t>Multifunctionele ruimte (Fab lab)</t>
  </si>
  <si>
    <t>003a</t>
  </si>
  <si>
    <t>Vuile ruimte Fab lab</t>
  </si>
  <si>
    <t>Podium</t>
  </si>
  <si>
    <t>Pantry</t>
  </si>
  <si>
    <t>Werkplaats: Hok van Kok</t>
  </si>
  <si>
    <t>Mediatheek</t>
  </si>
  <si>
    <t>Entree</t>
  </si>
  <si>
    <t>Compressorlokaal</t>
  </si>
  <si>
    <t>Opslag sanitaire voorzieningen</t>
  </si>
  <si>
    <t>010b</t>
  </si>
  <si>
    <t>Dames Toilet Afbramerij</t>
  </si>
  <si>
    <t>Heren Toilet Afbramerij</t>
  </si>
  <si>
    <t>Miva Toilet</t>
  </si>
  <si>
    <t>Koffiecorner</t>
  </si>
  <si>
    <t>014a</t>
  </si>
  <si>
    <t>Gashok</t>
  </si>
  <si>
    <t>014b</t>
  </si>
  <si>
    <t>Elektrahok</t>
  </si>
  <si>
    <t>014c</t>
  </si>
  <si>
    <t>Multifunctionele ruimte (Afbramerij)</t>
  </si>
  <si>
    <t>015a</t>
  </si>
  <si>
    <t>Multifunctionele ruimte (TZA- Achterhoek</t>
  </si>
  <si>
    <t>Multifunctionele ruimte (Bazenhok)</t>
  </si>
  <si>
    <t>Multifunctionele ruimte (Commiesruimte)</t>
  </si>
  <si>
    <t>018a</t>
  </si>
  <si>
    <t>Natte ruimte</t>
  </si>
  <si>
    <t>Werkplaats: Smederij-links</t>
  </si>
  <si>
    <t>Werkplaats: Smederij-rechts</t>
  </si>
  <si>
    <t>Toiletten Smederij</t>
  </si>
  <si>
    <t>023a</t>
  </si>
  <si>
    <t>Berging (Kolenhok)</t>
  </si>
  <si>
    <t>Vergaderruimte (Applebox-Links</t>
  </si>
  <si>
    <t>Vergaderruimte (Applebox-Rechts)</t>
  </si>
  <si>
    <t>kleine vergaderruimte</t>
  </si>
  <si>
    <t>Hal</t>
  </si>
  <si>
    <t>106a</t>
  </si>
  <si>
    <t>107a</t>
  </si>
  <si>
    <t>Entresol (kantoor)</t>
  </si>
  <si>
    <t>Theorielokaal (Hub)</t>
  </si>
  <si>
    <t>109a</t>
  </si>
  <si>
    <t>Opslag Smederij</t>
  </si>
  <si>
    <t>111a</t>
  </si>
  <si>
    <t>ALGEMEEN - VAKANTIEPERIODE</t>
  </si>
  <si>
    <t>Totaal werkdag vakantie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</si>
  <si>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</si>
  <si>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</si>
  <si>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</si>
  <si>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</si>
  <si>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</si>
  <si>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</si>
  <si>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</si>
  <si>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</si>
  <si>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1000</t>
  </si>
  <si>
    <t xml:space="preserve">    1010</t>
  </si>
  <si>
    <t xml:space="preserve">    1030</t>
  </si>
  <si>
    <t xml:space="preserve">    1050</t>
  </si>
  <si>
    <t xml:space="preserve">    1060</t>
  </si>
  <si>
    <t xml:space="preserve">    1080</t>
  </si>
  <si>
    <t xml:space="preserve">    1100</t>
  </si>
  <si>
    <t xml:space="preserve">    2000</t>
  </si>
  <si>
    <t xml:space="preserve">    2030</t>
  </si>
  <si>
    <t>werkdag</t>
  </si>
  <si>
    <t>werkdag vakantie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</si>
  <si>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</si>
  <si>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</si>
  <si>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</si>
  <si>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</si>
  <si>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</si>
  <si>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</si>
  <si>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</si>
  <si>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</si>
  <si>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Locatie JF Kennedylaan</t>
  </si>
  <si>
    <t>J.F. Kennedylaan 49</t>
  </si>
  <si>
    <t>Doetinchem</t>
  </si>
  <si>
    <t>Locatie Fabriekstraat</t>
  </si>
  <si>
    <t>Fabrieksrtaat 12</t>
  </si>
  <si>
    <t>Locatie Julianaplein</t>
  </si>
  <si>
    <t>Julianaplein 2</t>
  </si>
  <si>
    <t>Locatie Maria Montessoristraat</t>
  </si>
  <si>
    <t>Maria Montessoristraat 3</t>
  </si>
  <si>
    <t>Locatie Notenlaan</t>
  </si>
  <si>
    <t>Notenlaan 2</t>
  </si>
  <si>
    <t>Locatie Sportweg</t>
  </si>
  <si>
    <t>Sportweg 3</t>
  </si>
  <si>
    <t>Villa de Houtkamp (kantoor)</t>
  </si>
  <si>
    <t>Dr. Huber Noodtstraat 105</t>
  </si>
  <si>
    <t>Locatie Groenlo</t>
  </si>
  <si>
    <t>Schralenstein 2, Lievelderstraat 40</t>
  </si>
  <si>
    <t>Groenlo</t>
  </si>
  <si>
    <t>Civon (Ulft)</t>
  </si>
  <si>
    <t>Hutteweg 32</t>
  </si>
  <si>
    <t>Ulft</t>
  </si>
  <si>
    <t>Totaal regulier werk incl. suppleties (excl. BTW)</t>
  </si>
  <si>
    <t>Totaal regulier werk incl. suppleties (incl. BTW)</t>
  </si>
  <si>
    <t>Object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</si>
  <si>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</si>
  <si>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</si>
  <si>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</si>
  <si>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</si>
  <si>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</si>
  <si>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</si>
  <si>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Uren/ jaar werkdag vakantie    </t>
  </si>
  <si>
    <t>Uren/ jaar totaal</t>
  </si>
  <si>
    <t xml:space="preserve">Gemiddelde productienorm werkdag             </t>
  </si>
  <si>
    <t>Prijs/ jaar</t>
  </si>
  <si>
    <t>Prijs/ jaar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</si>
  <si>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</si>
  <si>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</si>
  <si>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</si>
  <si>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</si>
  <si>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</si>
  <si>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</si>
  <si>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</si>
  <si>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</si>
  <si>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</si>
  <si>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</si>
  <si>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</si>
  <si>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</si>
  <si>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</si>
  <si>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</si>
  <si>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</si>
  <si>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</si>
  <si>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</si>
  <si>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</si>
  <si>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</si>
  <si>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</si>
  <si>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</si>
  <si>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</si>
  <si>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</si>
  <si>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</si>
  <si>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</si>
  <si>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</si>
  <si>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</si>
  <si>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</si>
  <si>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</si>
  <si>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</si>
  <si>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</si>
  <si>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</si>
  <si>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</si>
  <si>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</si>
  <si>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</si>
  <si>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</si>
  <si>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</si>
  <si>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</si>
  <si>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</si>
  <si>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</si>
  <si>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</si>
  <si>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</si>
  <si>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</si>
  <si>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</si>
  <si>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</si>
  <si>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</si>
  <si>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</si>
  <si>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</si>
  <si>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</si>
  <si>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</si>
  <si>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</si>
  <si>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</si>
  <si>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</si>
  <si>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</si>
  <si>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</si>
  <si>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</si>
  <si>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</si>
  <si>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</si>
  <si>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</si>
  <si>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</si>
  <si>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</si>
  <si>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</si>
  <si>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</si>
  <si>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</si>
  <si>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</si>
  <si>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</si>
  <si>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</si>
  <si>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</si>
  <si>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</si>
  <si>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</si>
  <si>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 excl. uitruimen/inruimen</t>
  </si>
  <si>
    <t>4030B</t>
  </si>
  <si>
    <t>4030C</t>
  </si>
  <si>
    <t>4030D</t>
  </si>
  <si>
    <t>4031A</t>
  </si>
  <si>
    <t>Linoleum vloeren strippen/conserveren incl. uitruimen/inruimen</t>
  </si>
  <si>
    <t>4031B</t>
  </si>
  <si>
    <t>4031C</t>
  </si>
  <si>
    <t>4031D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</si>
  <si>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</si>
  <si>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</si>
  <si>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</si>
  <si>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</si>
  <si>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</si>
  <si>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</si>
  <si>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</si>
  <si>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</si>
  <si>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</si>
  <si>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</si>
  <si>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</si>
  <si>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 excl. uitruimen/inruimen</t>
  </si>
  <si>
    <t>4060B</t>
  </si>
  <si>
    <t>4060C</t>
  </si>
  <si>
    <t>4060D</t>
  </si>
  <si>
    <t>4061A</t>
  </si>
  <si>
    <t>Tapijt reinigen sproei/extractie methode incl. uitruimen/inruimen</t>
  </si>
  <si>
    <t>4061B</t>
  </si>
  <si>
    <t>4061C</t>
  </si>
  <si>
    <t>4061D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</si>
  <si>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</si>
  <si>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</si>
  <si>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</si>
  <si>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</si>
  <si>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</si>
  <si>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</si>
  <si>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</si>
  <si>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</si>
  <si>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</si>
  <si>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</si>
  <si>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4100A</t>
  </si>
  <si>
    <t>Vloer strippen/permanent coaten (incl. uit/inruimen)</t>
  </si>
  <si>
    <t>4100B</t>
  </si>
  <si>
    <t>4100C</t>
  </si>
  <si>
    <t>4100D</t>
  </si>
  <si>
    <t>4101A</t>
  </si>
  <si>
    <t>Vloer strippen/permanent coaten (excl. uit/inruimen)</t>
  </si>
  <si>
    <t>4101B</t>
  </si>
  <si>
    <t>4101C</t>
  </si>
  <si>
    <t>4101D</t>
  </si>
  <si>
    <t>4110A</t>
  </si>
  <si>
    <t>Vloer permanent coaten (incl. uit/inruimen)</t>
  </si>
  <si>
    <t>4110B</t>
  </si>
  <si>
    <t>4110C</t>
  </si>
  <si>
    <t>4110D</t>
  </si>
  <si>
    <t>4111A</t>
  </si>
  <si>
    <t>Vloer permanent coaten (excl. uit/inruimen)</t>
  </si>
  <si>
    <t>4111B</t>
  </si>
  <si>
    <t>4111C</t>
  </si>
  <si>
    <t>4111D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</si>
  <si>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</si>
  <si>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</si>
  <si>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</si>
  <si>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</si>
  <si>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</si>
  <si>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</si>
  <si>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</si>
  <si>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</si>
  <si>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</si>
  <si>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</si>
  <si>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</si>
  <si>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</si>
  <si>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</si>
  <si>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8000</t>
  </si>
  <si>
    <t>Gevelglas buitenzijde</t>
  </si>
  <si>
    <t>8002</t>
  </si>
  <si>
    <t>Gevelglas (dakglas) buitenzijde</t>
  </si>
  <si>
    <t>8010</t>
  </si>
  <si>
    <t>Gevelglas binnenzijde</t>
  </si>
  <si>
    <t>8012</t>
  </si>
  <si>
    <t>Gevelglas (dakglas) binnenzijde</t>
  </si>
  <si>
    <t>8020</t>
  </si>
  <si>
    <t>Separatieglas (m² is totaal)</t>
  </si>
  <si>
    <t>8040</t>
  </si>
  <si>
    <t>Hoogwerker</t>
  </si>
  <si>
    <t>prijs per dag</t>
  </si>
  <si>
    <t>Totaal glas excl. BTW</t>
  </si>
  <si>
    <t>Totaal 1000 - Locatie JF Kennedylaan, J.F. Kennedylaan 49, Doetinchem</t>
  </si>
  <si>
    <t>Totaal 1010 - Locatie Fabriekstraat, Fabrieksrtaat 12, Doetinchem</t>
  </si>
  <si>
    <t>Totaal 1030 - Locatie Julianaplein, Julianaplein 2, Doetinchem</t>
  </si>
  <si>
    <t>Totaal 1050 - Locatie Maria Montessoristraat, Maria Montessoristraat 3, Doetinchem</t>
  </si>
  <si>
    <t>Totaal 1060 - Locatie Notenlaan, Notenlaan 2, Doetinchem</t>
  </si>
  <si>
    <t>Totaal 1080 - Locatie Sportweg, Sportweg 3, Doetinchem</t>
  </si>
  <si>
    <t>Totaal 1100 - Villa de Houtkamp (kantoor), Dr. Huber Noodtstraat 105, Doetinchem</t>
  </si>
  <si>
    <t>Totaal 2000 - Locatie Groenlo, Schralenstein 2, Lievelderstraat 40, Groenlo</t>
  </si>
  <si>
    <t>Totaal 2030 - Civon (Ulft), Hutteweg 32, Ulft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</si>
  <si>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</si>
  <si>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</si>
  <si>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</si>
  <si>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</si>
  <si>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</si>
  <si>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</si>
  <si>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Regie (geschat)</t>
  </si>
  <si>
    <t>Glas</t>
  </si>
  <si>
    <t>Totaal generaal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</si>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</sst>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165" fontId="0" fillId="2" borderId="16" xfId="0" applyNumberFormat="1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0" fontId="0" fillId="2" borderId="27" xfId="0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0" fontId="0" fillId="2" borderId="30" xfId="0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0" fontId="0" fillId="2" borderId="24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164" fontId="0" fillId="2" borderId="6" xfId="0" applyNumberFormat="1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4" fontId="0" fillId="3" borderId="15" xfId="0" applyNumberFormat="1" applyFill="1" applyBorder="1"/>
    <xf numFmtId="0" fontId="0" fillId="3" borderId="15" xfId="0" applyFill="1" applyBorder="1"/>
    <xf numFmtId="4" fontId="0" fillId="0" borderId="15" xfId="0" applyNumberFormat="1" applyBorder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4" borderId="16" xfId="0" applyNumberFormat="1" applyFill="1" applyBorder="1"/>
    <xf numFmtId="4" fontId="0" fillId="3" borderId="16" xfId="0" applyNumberFormat="1" applyFill="1" applyBorder="1" applyProtection="1"/>
    <xf numFmtId="4" fontId="0" fillId="0" borderId="14" xfId="0" applyNumberFormat="1" applyBorder="1"/>
    <xf numFmtId="4" fontId="0" fillId="0" borderId="16" xfId="0" applyNumberFormat="1" applyBorder="1"/>
    <xf numFmtId="0" fontId="0" fillId="3" borderId="10" xfId="0" applyFill="1" applyBorder="1" applyAlignment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49" fontId="0" fillId="3" borderId="10" xfId="0" applyNumberFormat="1" applyFill="1" applyBorder="1" applyAlignment="1"/>
    <xf numFmtId="4" fontId="0" fillId="3" borderId="1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8CDC-301A-4197-B265-7F4F85083063}">
  <dimension ref="A1:H29"/>
  <sheetViews>
    <sheetView workbookViewId="0"/>
  </sheetViews>
  <sheetFormatPr defaultRowHeight="14.4" x14ac:dyDescent="0.3"/>
  <sheetData>
    <row r="1" spans="1:8" x14ac:dyDescent="0.3">
      <c r="A1" s="1" t="s">
        <v>0</v>
      </c>
    </row>
    <row r="3" spans="1:8" x14ac:dyDescent="0.3">
      <c r="A3" t="s">
        <v>1</v>
      </c>
    </row>
    <row r="5" spans="1:8" x14ac:dyDescent="0.3">
      <c r="A5" t="s">
        <v>2</v>
      </c>
      <c r="B5" t="s">
        <v>3</v>
      </c>
    </row>
    <row r="7" spans="1:8" x14ac:dyDescent="0.3">
      <c r="A7" s="4" t="s">
        <v>4</v>
      </c>
      <c r="B7" s="5"/>
      <c r="D7" s="4" t="s">
        <v>26</v>
      </c>
      <c r="E7" s="5"/>
      <c r="G7" s="4" t="s">
        <v>27</v>
      </c>
      <c r="H7" s="5"/>
    </row>
    <row r="8" spans="1:8" x14ac:dyDescent="0.3">
      <c r="A8" s="2"/>
      <c r="B8" s="3"/>
      <c r="D8" s="2"/>
      <c r="E8" s="3"/>
      <c r="G8" s="2"/>
      <c r="H8" s="3"/>
    </row>
    <row r="9" spans="1:8" x14ac:dyDescent="0.3">
      <c r="A9" s="2" t="s">
        <v>5</v>
      </c>
      <c r="B9" s="3">
        <v>210</v>
      </c>
      <c r="D9" s="2" t="s">
        <v>5</v>
      </c>
      <c r="E9" s="3">
        <v>25</v>
      </c>
      <c r="G9" s="2" t="s">
        <v>5</v>
      </c>
      <c r="H9" s="3">
        <v>102</v>
      </c>
    </row>
    <row r="10" spans="1:8" x14ac:dyDescent="0.3">
      <c r="A10" s="2" t="s">
        <v>6</v>
      </c>
      <c r="B10" s="3">
        <v>5</v>
      </c>
      <c r="D10" s="2" t="s">
        <v>6</v>
      </c>
      <c r="E10" s="3">
        <v>5</v>
      </c>
      <c r="G10" s="2" t="s">
        <v>6</v>
      </c>
      <c r="H10" s="3">
        <v>2</v>
      </c>
    </row>
    <row r="11" spans="1:8" x14ac:dyDescent="0.3">
      <c r="A11" s="2"/>
      <c r="B11" s="3"/>
      <c r="D11" s="2"/>
      <c r="E11" s="3"/>
      <c r="G11" s="2"/>
      <c r="H11" s="3"/>
    </row>
    <row r="12" spans="1:8" x14ac:dyDescent="0.3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3">
      <c r="A13" s="2" t="s">
        <v>9</v>
      </c>
      <c r="B13" s="3">
        <f t="shared" ref="B13:B29" si="0">IF(A13="2½W",2.5/dagenperweek1,IF(RIGHT(A13,1)="W",VALUE(LEFT(A13,LEN(A13)-1))/dagenperweek1,IF(RIGHT(A13,1)="J",VALUE(LEFT(A13,LEN(A13)-1))/dagenperjaar1,"handmatig!")))</f>
        <v>2</v>
      </c>
      <c r="D13" s="2" t="s">
        <v>10</v>
      </c>
      <c r="E13" s="3">
        <f t="shared" ref="E13:E25" si="1">IF(D13="2½W",2.5/dagenperweek2,IF(RIGHT(D13,1)="W",VALUE(LEFT(D13,LEN(D13)-1))/dagenperweek2,IF(RIGHT(D13,1)="J",VALUE(LEFT(D13,LEN(D13)-1))/dagenperjaar2,"handmatig!")))</f>
        <v>1</v>
      </c>
      <c r="G13" s="2" t="s">
        <v>15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3">
      <c r="A14" s="2" t="s">
        <v>10</v>
      </c>
      <c r="B14" s="3">
        <f t="shared" si="0"/>
        <v>1</v>
      </c>
      <c r="D14" s="2" t="s">
        <v>12</v>
      </c>
      <c r="E14" s="3">
        <f t="shared" si="1"/>
        <v>0.8</v>
      </c>
      <c r="G14" s="2" t="s">
        <v>16</v>
      </c>
      <c r="H14" s="3">
        <f>IF(G14="2½W",2.5/dagenperweek3,IF(RIGHT(G14,1)="W",VALUE(LEFT(G14,LEN(G14)-1))/dagenperweek3,IF(RIGHT(G14,1)="J",VALUE(LEFT(G14,LEN(G14)-1))/dagenperjaar3,"handmatig!")))</f>
        <v>0.5</v>
      </c>
    </row>
    <row r="15" spans="1:8" x14ac:dyDescent="0.3">
      <c r="A15" s="2" t="s">
        <v>11</v>
      </c>
      <c r="B15" s="3">
        <f t="shared" si="0"/>
        <v>1</v>
      </c>
      <c r="D15" s="2" t="s">
        <v>13</v>
      </c>
      <c r="E15" s="3">
        <f t="shared" si="1"/>
        <v>0.6</v>
      </c>
      <c r="G15" s="6" t="s">
        <v>25</v>
      </c>
      <c r="H15" s="7">
        <f>IF(G15="2½W",2.5/dagenperweek3,IF(RIGHT(G15,1)="W",VALUE(LEFT(G15,LEN(G15)-1))/dagenperweek3,IF(RIGHT(G15,1)="J",VALUE(LEFT(G15,LEN(G15)-1))/dagenperjaar3,"handmatig!")))</f>
        <v>9.8039215686274508E-3</v>
      </c>
    </row>
    <row r="16" spans="1:8" x14ac:dyDescent="0.3">
      <c r="A16" s="2" t="s">
        <v>12</v>
      </c>
      <c r="B16" s="3">
        <f t="shared" si="0"/>
        <v>0.8</v>
      </c>
      <c r="D16" s="2" t="s">
        <v>15</v>
      </c>
      <c r="E16" s="3">
        <f t="shared" si="1"/>
        <v>0.4</v>
      </c>
    </row>
    <row r="17" spans="1:5" x14ac:dyDescent="0.3">
      <c r="A17" s="2" t="s">
        <v>13</v>
      </c>
      <c r="B17" s="3">
        <f t="shared" si="0"/>
        <v>0.6</v>
      </c>
      <c r="D17" s="2" t="s">
        <v>20</v>
      </c>
      <c r="E17" s="3">
        <f t="shared" si="1"/>
        <v>0.4</v>
      </c>
    </row>
    <row r="18" spans="1:5" x14ac:dyDescent="0.3">
      <c r="A18" s="2" t="s">
        <v>14</v>
      </c>
      <c r="B18" s="3">
        <f t="shared" si="0"/>
        <v>0.6</v>
      </c>
      <c r="D18" s="2" t="s">
        <v>16</v>
      </c>
      <c r="E18" s="3">
        <f t="shared" si="1"/>
        <v>0.2</v>
      </c>
    </row>
    <row r="19" spans="1:5" x14ac:dyDescent="0.3">
      <c r="A19" s="2" t="s">
        <v>15</v>
      </c>
      <c r="B19" s="3">
        <f t="shared" si="0"/>
        <v>0.4</v>
      </c>
      <c r="D19" s="2" t="s">
        <v>18</v>
      </c>
      <c r="E19" s="3">
        <f t="shared" si="1"/>
        <v>1.04</v>
      </c>
    </row>
    <row r="20" spans="1:5" x14ac:dyDescent="0.3">
      <c r="A20" s="2" t="s">
        <v>16</v>
      </c>
      <c r="B20" s="3">
        <f t="shared" si="0"/>
        <v>0.2</v>
      </c>
      <c r="D20" s="2" t="s">
        <v>19</v>
      </c>
      <c r="E20" s="3">
        <f t="shared" si="1"/>
        <v>0.48</v>
      </c>
    </row>
    <row r="21" spans="1:5" x14ac:dyDescent="0.3">
      <c r="A21" s="2" t="s">
        <v>17</v>
      </c>
      <c r="B21" s="3">
        <f t="shared" si="0"/>
        <v>0.2</v>
      </c>
      <c r="D21" s="2" t="s">
        <v>21</v>
      </c>
      <c r="E21" s="3">
        <f t="shared" si="1"/>
        <v>0.24</v>
      </c>
    </row>
    <row r="22" spans="1:5" x14ac:dyDescent="0.3">
      <c r="A22" s="2" t="s">
        <v>18</v>
      </c>
      <c r="B22" s="3">
        <f t="shared" si="0"/>
        <v>0.12380952380952381</v>
      </c>
      <c r="D22" s="2" t="s">
        <v>22</v>
      </c>
      <c r="E22" s="3">
        <f t="shared" si="1"/>
        <v>0.16</v>
      </c>
    </row>
    <row r="23" spans="1:5" x14ac:dyDescent="0.3">
      <c r="A23" s="2" t="s">
        <v>19</v>
      </c>
      <c r="B23" s="3">
        <f t="shared" si="0"/>
        <v>5.7142857142857141E-2</v>
      </c>
      <c r="D23" s="2" t="s">
        <v>23</v>
      </c>
      <c r="E23" s="3">
        <f t="shared" si="1"/>
        <v>0.12</v>
      </c>
    </row>
    <row r="24" spans="1:5" x14ac:dyDescent="0.3">
      <c r="A24" s="2" t="s">
        <v>20</v>
      </c>
      <c r="B24" s="3">
        <f t="shared" si="0"/>
        <v>4.7619047619047616E-2</v>
      </c>
      <c r="D24" s="2" t="s">
        <v>24</v>
      </c>
      <c r="E24" s="3">
        <f t="shared" si="1"/>
        <v>0.08</v>
      </c>
    </row>
    <row r="25" spans="1:5" x14ac:dyDescent="0.3">
      <c r="A25" s="2" t="s">
        <v>21</v>
      </c>
      <c r="B25" s="3">
        <f t="shared" si="0"/>
        <v>2.8571428571428571E-2</v>
      </c>
      <c r="D25" s="6" t="s">
        <v>25</v>
      </c>
      <c r="E25" s="7">
        <f t="shared" si="1"/>
        <v>0.04</v>
      </c>
    </row>
    <row r="26" spans="1:5" x14ac:dyDescent="0.3">
      <c r="A26" s="2" t="s">
        <v>22</v>
      </c>
      <c r="B26" s="3">
        <f t="shared" si="0"/>
        <v>1.9047619047619049E-2</v>
      </c>
    </row>
    <row r="27" spans="1:5" x14ac:dyDescent="0.3">
      <c r="A27" s="2" t="s">
        <v>23</v>
      </c>
      <c r="B27" s="3">
        <f t="shared" si="0"/>
        <v>1.4285714285714285E-2</v>
      </c>
    </row>
    <row r="28" spans="1:5" x14ac:dyDescent="0.3">
      <c r="A28" s="2" t="s">
        <v>24</v>
      </c>
      <c r="B28" s="3">
        <f t="shared" si="0"/>
        <v>9.5238095238095247E-3</v>
      </c>
    </row>
    <row r="29" spans="1:5" x14ac:dyDescent="0.3">
      <c r="A29" s="6" t="s">
        <v>25</v>
      </c>
      <c r="B29" s="7">
        <f t="shared" si="0"/>
        <v>4.7619047619047623E-3</v>
      </c>
    </row>
  </sheetData>
  <sheetProtection algorithmName="SHA-512" hashValue="cA0Vx1gxF64h7nsAUd/jNn1Txq5MCx8CCZD6hXXjkRcMLl0ymnmsZ6c4LUMYgdYpuz5gBS0/uvoFOjkDOII8tA==" saltValue="NzY1uNZ8eYLYRxSoqqUyzw==" spinCount="100000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30A5-9850-4505-B996-3C7D0FC3ACE5}">
  <dimension ref="A1:K11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50.77734375" customWidth="1"/>
    <col min="5" max="6" width="14.77734375" customWidth="1"/>
    <col min="7" max="9" width="11.77734375" customWidth="1"/>
    <col min="10" max="10" width="12.77734375" customWidth="1"/>
    <col min="11" max="11" width="14.77734375" customWidth="1"/>
  </cols>
  <sheetData>
    <row r="1" spans="1:11" x14ac:dyDescent="0.3">
      <c r="A1" s="1" t="str">
        <f>CONCATENATE("Bijlage G.1.8: ",tabeltype," regiewerk")</f>
        <v>Bijlage G.1.8: Invultabel regiewerk</v>
      </c>
    </row>
    <row r="3" spans="1:11" ht="43.2" x14ac:dyDescent="0.3">
      <c r="A3" s="8" t="s">
        <v>1939</v>
      </c>
      <c r="B3" s="8" t="s">
        <v>7</v>
      </c>
      <c r="C3" s="8" t="s">
        <v>2067</v>
      </c>
      <c r="D3" s="8" t="s">
        <v>31</v>
      </c>
      <c r="E3" s="8" t="s">
        <v>34</v>
      </c>
      <c r="F3" s="8" t="s">
        <v>2068</v>
      </c>
      <c r="G3" s="8" t="s">
        <v>2069</v>
      </c>
      <c r="H3" s="8" t="s">
        <v>2070</v>
      </c>
      <c r="I3" s="8" t="s">
        <v>1941</v>
      </c>
      <c r="J3" s="8" t="s">
        <v>2071</v>
      </c>
      <c r="K3" s="8" t="s">
        <v>208</v>
      </c>
    </row>
    <row r="4" spans="1:11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3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3">
      <c r="A6" s="15" t="s">
        <v>2072</v>
      </c>
      <c r="B6" s="15" t="s">
        <v>25</v>
      </c>
      <c r="C6" s="16">
        <f>IF(ISBLANK(B6),0,IF(ISERROR(VALUE(B6)),VLOOKUP(B6,dagsoorttabel1,2,FALSE)*dagenperjaar1,VALUE(B6)))</f>
        <v>1</v>
      </c>
      <c r="D6" s="15" t="s">
        <v>2073</v>
      </c>
      <c r="E6" s="15" t="s">
        <v>1986</v>
      </c>
      <c r="F6" s="107">
        <v>24</v>
      </c>
      <c r="G6" s="19"/>
      <c r="H6" s="108"/>
      <c r="I6" s="19"/>
      <c r="J6" s="33">
        <f>IF(ISBLANK(F6),0,F6)*ROUND(I6,2)</f>
        <v>0</v>
      </c>
      <c r="K6" s="33">
        <f>C6*J6</f>
        <v>0</v>
      </c>
    </row>
    <row r="7" spans="1:11" x14ac:dyDescent="0.3">
      <c r="A7" s="20" t="s">
        <v>2074</v>
      </c>
      <c r="B7" s="20" t="s">
        <v>25</v>
      </c>
      <c r="C7" s="21">
        <f>IF(ISBLANK(B7),0,IF(ISERROR(VALUE(B7)),VLOOKUP(B7,dagsoorttabel1,2,FALSE)*dagenperjaar1,VALUE(B7)))</f>
        <v>1</v>
      </c>
      <c r="D7" s="20" t="s">
        <v>2075</v>
      </c>
      <c r="E7" s="20" t="s">
        <v>1986</v>
      </c>
      <c r="F7" s="109">
        <v>4</v>
      </c>
      <c r="G7" s="24"/>
      <c r="H7" s="110"/>
      <c r="I7" s="24"/>
      <c r="J7" s="37">
        <f>IF(ISBLANK(F7),0,F7)*ROUND(I7,2)</f>
        <v>0</v>
      </c>
      <c r="K7" s="37">
        <f>C7*J7</f>
        <v>0</v>
      </c>
    </row>
    <row r="8" spans="1:11" x14ac:dyDescent="0.3">
      <c r="A8" s="25" t="s">
        <v>2076</v>
      </c>
      <c r="B8" s="25" t="s">
        <v>25</v>
      </c>
      <c r="C8" s="26">
        <f>IF(ISBLANK(B8),0,IF(ISERROR(VALUE(B8)),VLOOKUP(B8,dagsoorttabel1,2,FALSE)*dagenperjaar1,VALUE(B8)))</f>
        <v>1</v>
      </c>
      <c r="D8" s="25" t="s">
        <v>2077</v>
      </c>
      <c r="E8" s="25" t="s">
        <v>1986</v>
      </c>
      <c r="F8" s="111">
        <v>5</v>
      </c>
      <c r="G8" s="29"/>
      <c r="H8" s="112"/>
      <c r="I8" s="29"/>
      <c r="J8" s="40">
        <f>IF(ISBLANK(F8),0,F8)*ROUND(I8,2)</f>
        <v>0</v>
      </c>
      <c r="K8" s="40">
        <f>C8*J8</f>
        <v>0</v>
      </c>
    </row>
    <row r="9" spans="1:11" x14ac:dyDescent="0.3">
      <c r="A9" s="42" t="s">
        <v>297</v>
      </c>
      <c r="B9" s="43"/>
      <c r="C9" s="43"/>
      <c r="D9" s="43"/>
      <c r="E9" s="43"/>
      <c r="F9" s="43"/>
      <c r="G9" s="43"/>
      <c r="H9" s="43"/>
      <c r="I9" s="43"/>
      <c r="J9" s="43"/>
      <c r="K9" s="45">
        <f>SUM(K6:K8)</f>
        <v>0</v>
      </c>
    </row>
    <row r="11" spans="1:11" x14ac:dyDescent="0.3">
      <c r="A11" s="42" t="s">
        <v>2078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prijsjaarregie1</f>
        <v>0</v>
      </c>
    </row>
  </sheetData>
  <sheetProtection algorithmName="SHA-512" hashValue="dGh0eGQtw05lvEqPnHw7VohudVNQhEVBgvyeTfercvigZbOBU2pHzSTYraVPricdTd7o8RFwbtTkwCphBOuzrw==" saltValue="PljM6QP4uH5opOmtRzS1KQ==" spinCount="100000" sheet="1" objects="1" scenarios="1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30C8-BCD4-4004-B8B6-22EAA5194351}">
  <dimension ref="A1:K14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50.77734375" customWidth="1"/>
    <col min="5" max="6" width="14.77734375" customWidth="1"/>
    <col min="7" max="9" width="11.77734375" customWidth="1"/>
    <col min="10" max="10" width="12.77734375" customWidth="1"/>
    <col min="11" max="11" width="14.77734375" customWidth="1"/>
  </cols>
  <sheetData>
    <row r="1" spans="1:11" x14ac:dyDescent="0.3">
      <c r="A1" s="1" t="str">
        <f>CONCATENATE("Bijlage G.1.9: ",tabeltype," glas")</f>
        <v>Bijlage G.1.9: Invultabel glas</v>
      </c>
    </row>
    <row r="3" spans="1:11" ht="43.2" x14ac:dyDescent="0.3">
      <c r="A3" s="8" t="s">
        <v>1939</v>
      </c>
      <c r="B3" s="8" t="s">
        <v>7</v>
      </c>
      <c r="C3" s="8" t="s">
        <v>2067</v>
      </c>
      <c r="D3" s="8" t="s">
        <v>31</v>
      </c>
      <c r="E3" s="8" t="s">
        <v>34</v>
      </c>
      <c r="F3" s="8" t="s">
        <v>2068</v>
      </c>
      <c r="G3" s="8" t="s">
        <v>2069</v>
      </c>
      <c r="H3" s="8" t="s">
        <v>2070</v>
      </c>
      <c r="I3" s="8" t="s">
        <v>1941</v>
      </c>
      <c r="J3" s="8" t="s">
        <v>2071</v>
      </c>
      <c r="K3" s="8" t="s">
        <v>208</v>
      </c>
    </row>
    <row r="4" spans="1:11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3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3">
      <c r="A6" s="15" t="s">
        <v>2079</v>
      </c>
      <c r="B6" s="15" t="s">
        <v>24</v>
      </c>
      <c r="C6" s="16">
        <f t="shared" ref="C6:C11" si="0">IF(ISBLANK(B6),0,IF(ISERROR(VALUE(B6)),VLOOKUP(B6,dagsoorttabel1,2,FALSE)*dagenperjaar1,VALUE(B6)))</f>
        <v>2</v>
      </c>
      <c r="D6" s="15" t="s">
        <v>2080</v>
      </c>
      <c r="E6" s="15" t="s">
        <v>1964</v>
      </c>
      <c r="F6" s="113"/>
      <c r="G6" s="19"/>
      <c r="H6" s="108"/>
      <c r="I6" s="19"/>
      <c r="J6" s="33">
        <f t="shared" ref="J6:J11" si="1">IF(ISBLANK(F6),0,F6)*ROUND(I6,2)</f>
        <v>0</v>
      </c>
      <c r="K6" s="33">
        <f t="shared" ref="K6:K11" si="2">C6*J6</f>
        <v>0</v>
      </c>
    </row>
    <row r="7" spans="1:11" x14ac:dyDescent="0.3">
      <c r="A7" s="20" t="s">
        <v>2081</v>
      </c>
      <c r="B7" s="20" t="s">
        <v>25</v>
      </c>
      <c r="C7" s="21">
        <f t="shared" si="0"/>
        <v>1</v>
      </c>
      <c r="D7" s="20" t="s">
        <v>2082</v>
      </c>
      <c r="E7" s="20" t="s">
        <v>1964</v>
      </c>
      <c r="F7" s="106"/>
      <c r="G7" s="24"/>
      <c r="H7" s="110"/>
      <c r="I7" s="24"/>
      <c r="J7" s="37">
        <f t="shared" si="1"/>
        <v>0</v>
      </c>
      <c r="K7" s="37">
        <f t="shared" si="2"/>
        <v>0</v>
      </c>
    </row>
    <row r="8" spans="1:11" x14ac:dyDescent="0.3">
      <c r="A8" s="20" t="s">
        <v>2083</v>
      </c>
      <c r="B8" s="20" t="s">
        <v>24</v>
      </c>
      <c r="C8" s="21">
        <f t="shared" si="0"/>
        <v>2</v>
      </c>
      <c r="D8" s="20" t="s">
        <v>2084</v>
      </c>
      <c r="E8" s="20" t="s">
        <v>1964</v>
      </c>
      <c r="F8" s="109">
        <v>11032.050000000001</v>
      </c>
      <c r="G8" s="24"/>
      <c r="H8" s="110"/>
      <c r="I8" s="24"/>
      <c r="J8" s="37">
        <f t="shared" si="1"/>
        <v>0</v>
      </c>
      <c r="K8" s="37">
        <f t="shared" si="2"/>
        <v>0</v>
      </c>
    </row>
    <row r="9" spans="1:11" x14ac:dyDescent="0.3">
      <c r="A9" s="20" t="s">
        <v>2085</v>
      </c>
      <c r="B9" s="20" t="s">
        <v>25</v>
      </c>
      <c r="C9" s="21">
        <f t="shared" si="0"/>
        <v>1</v>
      </c>
      <c r="D9" s="20" t="s">
        <v>2086</v>
      </c>
      <c r="E9" s="20" t="s">
        <v>1964</v>
      </c>
      <c r="F9" s="109">
        <v>234</v>
      </c>
      <c r="G9" s="24"/>
      <c r="H9" s="110"/>
      <c r="I9" s="24"/>
      <c r="J9" s="37">
        <f t="shared" si="1"/>
        <v>0</v>
      </c>
      <c r="K9" s="37">
        <f t="shared" si="2"/>
        <v>0</v>
      </c>
    </row>
    <row r="10" spans="1:11" x14ac:dyDescent="0.3">
      <c r="A10" s="20" t="s">
        <v>2087</v>
      </c>
      <c r="B10" s="20" t="s">
        <v>24</v>
      </c>
      <c r="C10" s="21">
        <f t="shared" si="0"/>
        <v>2</v>
      </c>
      <c r="D10" s="20" t="s">
        <v>2088</v>
      </c>
      <c r="E10" s="20" t="s">
        <v>1964</v>
      </c>
      <c r="F10" s="109">
        <v>10845.419999999998</v>
      </c>
      <c r="G10" s="24"/>
      <c r="H10" s="110"/>
      <c r="I10" s="24"/>
      <c r="J10" s="37">
        <f t="shared" si="1"/>
        <v>0</v>
      </c>
      <c r="K10" s="37">
        <f t="shared" si="2"/>
        <v>0</v>
      </c>
    </row>
    <row r="11" spans="1:11" x14ac:dyDescent="0.3">
      <c r="A11" s="25" t="s">
        <v>2089</v>
      </c>
      <c r="B11" s="25" t="s">
        <v>24</v>
      </c>
      <c r="C11" s="26">
        <f t="shared" si="0"/>
        <v>2</v>
      </c>
      <c r="D11" s="25" t="s">
        <v>2090</v>
      </c>
      <c r="E11" s="25" t="s">
        <v>2091</v>
      </c>
      <c r="F11" s="114"/>
      <c r="G11" s="29"/>
      <c r="H11" s="112"/>
      <c r="I11" s="29"/>
      <c r="J11" s="40">
        <f t="shared" si="1"/>
        <v>0</v>
      </c>
      <c r="K11" s="40">
        <f t="shared" si="2"/>
        <v>0</v>
      </c>
    </row>
    <row r="12" spans="1:11" x14ac:dyDescent="0.3">
      <c r="A12" s="42" t="s">
        <v>297</v>
      </c>
      <c r="B12" s="43"/>
      <c r="C12" s="43"/>
      <c r="D12" s="43"/>
      <c r="E12" s="43"/>
      <c r="F12" s="43"/>
      <c r="G12" s="43"/>
      <c r="H12" s="43"/>
      <c r="I12" s="43"/>
      <c r="J12" s="43"/>
      <c r="K12" s="45">
        <f>SUM(K6:K11)</f>
        <v>0</v>
      </c>
    </row>
    <row r="14" spans="1:11" x14ac:dyDescent="0.3">
      <c r="A14" s="42" t="s">
        <v>2092</v>
      </c>
      <c r="B14" s="43"/>
      <c r="C14" s="43"/>
      <c r="D14" s="43"/>
      <c r="E14" s="43"/>
      <c r="F14" s="43"/>
      <c r="G14" s="43"/>
      <c r="H14" s="43"/>
      <c r="I14" s="43"/>
      <c r="J14" s="43"/>
      <c r="K14" s="45">
        <f>prijsjaarglas1</f>
        <v>0</v>
      </c>
    </row>
  </sheetData>
  <sheetProtection algorithmName="SHA-512" hashValue="tWhzHlbTFphsZjMcIG1AoSYWLrcP4t0Ar6abkhgOgLNCITcTWmjHqjP0Vk2yoDcPut4O0IcmmQzOzFCmUsRrdA==" saltValue="FzpwJZ2pQBeUtp+5BxhJTw==" spinCount="100000" sheet="1" objects="1" scenarios="1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AA06-1A3A-440C-8C31-D2004E25D56F}">
  <dimension ref="A1:L59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1" sqref="E11"/>
    </sheetView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11.77734375" customWidth="1"/>
    <col min="5" max="5" width="50.77734375" customWidth="1"/>
    <col min="6" max="7" width="14.77734375" customWidth="1"/>
    <col min="8" max="10" width="11.77734375" customWidth="1"/>
    <col min="11" max="11" width="12.77734375" customWidth="1"/>
    <col min="12" max="12" width="14.77734375" customWidth="1"/>
  </cols>
  <sheetData>
    <row r="1" spans="1:12" x14ac:dyDescent="0.3">
      <c r="A1" s="1" t="str">
        <f>CONCATENATE("Bijlage G.1.10: ",tabeltype," glas per locatie")</f>
        <v>Bijlage G.1.10: Invultabel glas per locatie</v>
      </c>
    </row>
    <row r="3" spans="1:12" ht="43.2" x14ac:dyDescent="0.3">
      <c r="A3" s="8" t="s">
        <v>1939</v>
      </c>
      <c r="B3" s="8" t="s">
        <v>7</v>
      </c>
      <c r="C3" s="8" t="s">
        <v>2067</v>
      </c>
      <c r="D3" s="8" t="s">
        <v>1876</v>
      </c>
      <c r="E3" s="8" t="s">
        <v>31</v>
      </c>
      <c r="F3" s="8" t="s">
        <v>34</v>
      </c>
      <c r="G3" s="8" t="s">
        <v>2068</v>
      </c>
      <c r="H3" s="8" t="s">
        <v>2069</v>
      </c>
      <c r="I3" s="8" t="s">
        <v>2070</v>
      </c>
      <c r="J3" s="8" t="s">
        <v>1941</v>
      </c>
      <c r="K3" s="8" t="s">
        <v>2071</v>
      </c>
      <c r="L3" s="8" t="s">
        <v>208</v>
      </c>
    </row>
    <row r="5" spans="1:12" x14ac:dyDescent="0.3">
      <c r="A5" s="115" t="s">
        <v>315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101"/>
    </row>
    <row r="6" spans="1:12" x14ac:dyDescent="0.3">
      <c r="A6" s="15" t="s">
        <v>2079</v>
      </c>
      <c r="B6" s="15" t="s">
        <v>24</v>
      </c>
      <c r="C6" s="16">
        <f>IF(ISBLANK(B6),0,IF(ISERROR(VALUE(B6)),VLOOKUP(B6,dagsoorttabel1,2,FALSE)*dagenperjaar1,VALUE(B6)))</f>
        <v>2</v>
      </c>
      <c r="D6" s="15" t="s">
        <v>1892</v>
      </c>
      <c r="E6" s="15" t="s">
        <v>2080</v>
      </c>
      <c r="F6" s="15" t="s">
        <v>1964</v>
      </c>
      <c r="G6" s="113"/>
      <c r="H6" s="116">
        <f>Glas!G6</f>
        <v>0</v>
      </c>
      <c r="I6" s="108"/>
      <c r="J6" s="116">
        <f>Glas!I6</f>
        <v>0</v>
      </c>
      <c r="K6" s="33">
        <f>IF(ISBLANK(G6),0,G6)*ROUND(J6,2)</f>
        <v>0</v>
      </c>
      <c r="L6" s="33">
        <f>C6*K6</f>
        <v>0</v>
      </c>
    </row>
    <row r="7" spans="1:12" x14ac:dyDescent="0.3">
      <c r="A7" s="20" t="s">
        <v>2081</v>
      </c>
      <c r="B7" s="20" t="s">
        <v>25</v>
      </c>
      <c r="C7" s="21">
        <f>IF(ISBLANK(B7),0,IF(ISERROR(VALUE(B7)),VLOOKUP(B7,dagsoorttabel1,2,FALSE)*dagenperjaar1,VALUE(B7)))</f>
        <v>1</v>
      </c>
      <c r="D7" s="20" t="s">
        <v>1892</v>
      </c>
      <c r="E7" s="20" t="s">
        <v>2082</v>
      </c>
      <c r="F7" s="20" t="s">
        <v>1964</v>
      </c>
      <c r="G7" s="106"/>
      <c r="H7" s="117">
        <f>Glas!G7</f>
        <v>0</v>
      </c>
      <c r="I7" s="110"/>
      <c r="J7" s="117">
        <f>Glas!I7</f>
        <v>0</v>
      </c>
      <c r="K7" s="37">
        <f>IF(ISBLANK(G7),0,G7)*ROUND(J7,2)</f>
        <v>0</v>
      </c>
      <c r="L7" s="37">
        <f>C7*K7</f>
        <v>0</v>
      </c>
    </row>
    <row r="8" spans="1:12" x14ac:dyDescent="0.3">
      <c r="A8" s="20" t="s">
        <v>2083</v>
      </c>
      <c r="B8" s="20" t="s">
        <v>24</v>
      </c>
      <c r="C8" s="21">
        <f>IF(ISBLANK(B8),0,IF(ISERROR(VALUE(B8)),VLOOKUP(B8,dagsoorttabel1,2,FALSE)*dagenperjaar1,VALUE(B8)))</f>
        <v>2</v>
      </c>
      <c r="D8" s="20" t="s">
        <v>1892</v>
      </c>
      <c r="E8" s="20" t="s">
        <v>2084</v>
      </c>
      <c r="F8" s="20" t="s">
        <v>1964</v>
      </c>
      <c r="G8" s="109">
        <v>6556.1500000000005</v>
      </c>
      <c r="H8" s="117">
        <f>Glas!G8</f>
        <v>0</v>
      </c>
      <c r="I8" s="110"/>
      <c r="J8" s="117">
        <f>Glas!I8</f>
        <v>0</v>
      </c>
      <c r="K8" s="37">
        <f>IF(ISBLANK(G8),0,G8)*ROUND(J8,2)</f>
        <v>0</v>
      </c>
      <c r="L8" s="37">
        <f>C8*K8</f>
        <v>0</v>
      </c>
    </row>
    <row r="9" spans="1:12" x14ac:dyDescent="0.3">
      <c r="A9" s="20" t="s">
        <v>2085</v>
      </c>
      <c r="B9" s="20" t="s">
        <v>25</v>
      </c>
      <c r="C9" s="21">
        <f>IF(ISBLANK(B9),0,IF(ISERROR(VALUE(B9)),VLOOKUP(B9,dagsoorttabel1,2,FALSE)*dagenperjaar1,VALUE(B9)))</f>
        <v>1</v>
      </c>
      <c r="D9" s="20" t="s">
        <v>1892</v>
      </c>
      <c r="E9" s="20" t="s">
        <v>2086</v>
      </c>
      <c r="F9" s="20" t="s">
        <v>1964</v>
      </c>
      <c r="G9" s="109">
        <v>234</v>
      </c>
      <c r="H9" s="117">
        <f>Glas!G9</f>
        <v>0</v>
      </c>
      <c r="I9" s="110"/>
      <c r="J9" s="117">
        <f>Glas!I9</f>
        <v>0</v>
      </c>
      <c r="K9" s="37">
        <f>IF(ISBLANK(G9),0,G9)*ROUND(J9,2)</f>
        <v>0</v>
      </c>
      <c r="L9" s="37">
        <f>C9*K9</f>
        <v>0</v>
      </c>
    </row>
    <row r="10" spans="1:12" x14ac:dyDescent="0.3">
      <c r="A10" s="25" t="s">
        <v>2087</v>
      </c>
      <c r="B10" s="25" t="s">
        <v>24</v>
      </c>
      <c r="C10" s="26">
        <f>IF(ISBLANK(B10),0,IF(ISERROR(VALUE(B10)),VLOOKUP(B10,dagsoorttabel1,2,FALSE)*dagenperjaar1,VALUE(B10)))</f>
        <v>2</v>
      </c>
      <c r="D10" s="25" t="s">
        <v>1892</v>
      </c>
      <c r="E10" s="25" t="s">
        <v>2088</v>
      </c>
      <c r="F10" s="25" t="s">
        <v>1964</v>
      </c>
      <c r="G10" s="111">
        <v>6783.68</v>
      </c>
      <c r="H10" s="118">
        <f>Glas!G10</f>
        <v>0</v>
      </c>
      <c r="I10" s="112"/>
      <c r="J10" s="118">
        <f>Glas!I10</f>
        <v>0</v>
      </c>
      <c r="K10" s="40">
        <f>IF(ISBLANK(G10),0,G10)*ROUND(J10,2)</f>
        <v>0</v>
      </c>
      <c r="L10" s="40">
        <f>C10*K10</f>
        <v>0</v>
      </c>
    </row>
    <row r="11" spans="1:12" x14ac:dyDescent="0.3">
      <c r="A11" s="119" t="s">
        <v>2093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SUM(K6:K10)</f>
        <v>0</v>
      </c>
      <c r="L11" s="45">
        <f>SUM(L6:L10)</f>
        <v>0</v>
      </c>
    </row>
    <row r="13" spans="1:12" x14ac:dyDescent="0.3">
      <c r="A13" s="115" t="s">
        <v>1106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101"/>
    </row>
    <row r="14" spans="1:12" x14ac:dyDescent="0.3">
      <c r="A14" s="15" t="s">
        <v>2079</v>
      </c>
      <c r="B14" s="15" t="s">
        <v>24</v>
      </c>
      <c r="C14" s="16">
        <f>IF(ISBLANK(B14),0,IF(ISERROR(VALUE(B14)),VLOOKUP(B14,dagsoorttabel1,2,FALSE)*dagenperjaar1,VALUE(B14)))</f>
        <v>2</v>
      </c>
      <c r="D14" s="15" t="s">
        <v>1892</v>
      </c>
      <c r="E14" s="15" t="s">
        <v>2080</v>
      </c>
      <c r="F14" s="15" t="s">
        <v>1964</v>
      </c>
      <c r="G14" s="113"/>
      <c r="H14" s="116">
        <f>Glas!G6</f>
        <v>0</v>
      </c>
      <c r="I14" s="108"/>
      <c r="J14" s="116">
        <f>Glas!I6</f>
        <v>0</v>
      </c>
      <c r="K14" s="33">
        <f>IF(ISBLANK(G14),0,G14)*ROUND(J14,2)</f>
        <v>0</v>
      </c>
      <c r="L14" s="33">
        <f>C14*K14</f>
        <v>0</v>
      </c>
    </row>
    <row r="15" spans="1:12" x14ac:dyDescent="0.3">
      <c r="A15" s="20" t="s">
        <v>2083</v>
      </c>
      <c r="B15" s="20" t="s">
        <v>24</v>
      </c>
      <c r="C15" s="21">
        <f>IF(ISBLANK(B15),0,IF(ISERROR(VALUE(B15)),VLOOKUP(B15,dagsoorttabel1,2,FALSE)*dagenperjaar1,VALUE(B15)))</f>
        <v>2</v>
      </c>
      <c r="D15" s="20" t="s">
        <v>1892</v>
      </c>
      <c r="E15" s="20" t="s">
        <v>2084</v>
      </c>
      <c r="F15" s="20" t="s">
        <v>1964</v>
      </c>
      <c r="G15" s="109">
        <v>96</v>
      </c>
      <c r="H15" s="117">
        <f>Glas!G8</f>
        <v>0</v>
      </c>
      <c r="I15" s="110"/>
      <c r="J15" s="117">
        <f>Glas!I8</f>
        <v>0</v>
      </c>
      <c r="K15" s="37">
        <f>IF(ISBLANK(G15),0,G15)*ROUND(J15,2)</f>
        <v>0</v>
      </c>
      <c r="L15" s="37">
        <f>C15*K15</f>
        <v>0</v>
      </c>
    </row>
    <row r="16" spans="1:12" x14ac:dyDescent="0.3">
      <c r="A16" s="25" t="s">
        <v>2087</v>
      </c>
      <c r="B16" s="25" t="s">
        <v>24</v>
      </c>
      <c r="C16" s="26">
        <f>IF(ISBLANK(B16),0,IF(ISERROR(VALUE(B16)),VLOOKUP(B16,dagsoorttabel1,2,FALSE)*dagenperjaar1,VALUE(B16)))</f>
        <v>2</v>
      </c>
      <c r="D16" s="25" t="s">
        <v>1892</v>
      </c>
      <c r="E16" s="25" t="s">
        <v>2088</v>
      </c>
      <c r="F16" s="25" t="s">
        <v>1964</v>
      </c>
      <c r="G16" s="111">
        <v>56</v>
      </c>
      <c r="H16" s="118">
        <f>Glas!G10</f>
        <v>0</v>
      </c>
      <c r="I16" s="112"/>
      <c r="J16" s="118">
        <f>Glas!I10</f>
        <v>0</v>
      </c>
      <c r="K16" s="40">
        <f>IF(ISBLANK(G16),0,G16)*ROUND(J16,2)</f>
        <v>0</v>
      </c>
      <c r="L16" s="40">
        <f>C16*K16</f>
        <v>0</v>
      </c>
    </row>
    <row r="17" spans="1:12" x14ac:dyDescent="0.3">
      <c r="A17" s="119" t="s">
        <v>2094</v>
      </c>
      <c r="B17" s="43"/>
      <c r="C17" s="43"/>
      <c r="D17" s="43"/>
      <c r="E17" s="43"/>
      <c r="F17" s="43"/>
      <c r="G17" s="43"/>
      <c r="H17" s="43"/>
      <c r="I17" s="43"/>
      <c r="J17" s="43"/>
      <c r="K17" s="45">
        <f>SUM(K14:K16)</f>
        <v>0</v>
      </c>
      <c r="L17" s="45">
        <f>SUM(L14:L16)</f>
        <v>0</v>
      </c>
    </row>
    <row r="19" spans="1:12" x14ac:dyDescent="0.3">
      <c r="A19" s="115" t="s">
        <v>1132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101"/>
    </row>
    <row r="20" spans="1:12" x14ac:dyDescent="0.3">
      <c r="A20" s="15" t="s">
        <v>2079</v>
      </c>
      <c r="B20" s="15" t="s">
        <v>24</v>
      </c>
      <c r="C20" s="16">
        <f>IF(ISBLANK(B20),0,IF(ISERROR(VALUE(B20)),VLOOKUP(B20,dagsoorttabel1,2,FALSE)*dagenperjaar1,VALUE(B20)))</f>
        <v>2</v>
      </c>
      <c r="D20" s="15" t="s">
        <v>1892</v>
      </c>
      <c r="E20" s="15" t="s">
        <v>2080</v>
      </c>
      <c r="F20" s="15" t="s">
        <v>1964</v>
      </c>
      <c r="G20" s="113"/>
      <c r="H20" s="116">
        <f>Glas!G6</f>
        <v>0</v>
      </c>
      <c r="I20" s="108"/>
      <c r="J20" s="116">
        <f>Glas!I6</f>
        <v>0</v>
      </c>
      <c r="K20" s="33">
        <f>IF(ISBLANK(G20),0,G20)*ROUND(J20,2)</f>
        <v>0</v>
      </c>
      <c r="L20" s="33">
        <f>C20*K20</f>
        <v>0</v>
      </c>
    </row>
    <row r="21" spans="1:12" x14ac:dyDescent="0.3">
      <c r="A21" s="20" t="s">
        <v>2083</v>
      </c>
      <c r="B21" s="20" t="s">
        <v>24</v>
      </c>
      <c r="C21" s="21">
        <f>IF(ISBLANK(B21),0,IF(ISERROR(VALUE(B21)),VLOOKUP(B21,dagsoorttabel1,2,FALSE)*dagenperjaar1,VALUE(B21)))</f>
        <v>2</v>
      </c>
      <c r="D21" s="20" t="s">
        <v>1892</v>
      </c>
      <c r="E21" s="20" t="s">
        <v>2084</v>
      </c>
      <c r="F21" s="20" t="s">
        <v>1964</v>
      </c>
      <c r="G21" s="109">
        <v>716.95999999999992</v>
      </c>
      <c r="H21" s="117">
        <f>Glas!G8</f>
        <v>0</v>
      </c>
      <c r="I21" s="110"/>
      <c r="J21" s="117">
        <f>Glas!I8</f>
        <v>0</v>
      </c>
      <c r="K21" s="37">
        <f>IF(ISBLANK(G21),0,G21)*ROUND(J21,2)</f>
        <v>0</v>
      </c>
      <c r="L21" s="37">
        <f>C21*K21</f>
        <v>0</v>
      </c>
    </row>
    <row r="22" spans="1:12" x14ac:dyDescent="0.3">
      <c r="A22" s="25" t="s">
        <v>2087</v>
      </c>
      <c r="B22" s="25" t="s">
        <v>24</v>
      </c>
      <c r="C22" s="26">
        <f>IF(ISBLANK(B22),0,IF(ISERROR(VALUE(B22)),VLOOKUP(B22,dagsoorttabel1,2,FALSE)*dagenperjaar1,VALUE(B22)))</f>
        <v>2</v>
      </c>
      <c r="D22" s="25" t="s">
        <v>1892</v>
      </c>
      <c r="E22" s="25" t="s">
        <v>2088</v>
      </c>
      <c r="F22" s="25" t="s">
        <v>1964</v>
      </c>
      <c r="G22" s="111">
        <v>390.02</v>
      </c>
      <c r="H22" s="118">
        <f>Glas!G10</f>
        <v>0</v>
      </c>
      <c r="I22" s="112"/>
      <c r="J22" s="118">
        <f>Glas!I10</f>
        <v>0</v>
      </c>
      <c r="K22" s="40">
        <f>IF(ISBLANK(G22),0,G22)*ROUND(J22,2)</f>
        <v>0</v>
      </c>
      <c r="L22" s="40">
        <f>C22*K22</f>
        <v>0</v>
      </c>
    </row>
    <row r="23" spans="1:12" x14ac:dyDescent="0.3">
      <c r="A23" s="119" t="s">
        <v>2095</v>
      </c>
      <c r="B23" s="43"/>
      <c r="C23" s="43"/>
      <c r="D23" s="43"/>
      <c r="E23" s="43"/>
      <c r="F23" s="43"/>
      <c r="G23" s="43"/>
      <c r="H23" s="43"/>
      <c r="I23" s="43"/>
      <c r="J23" s="43"/>
      <c r="K23" s="45">
        <f>SUM(K20:K22)</f>
        <v>0</v>
      </c>
      <c r="L23" s="45">
        <f>SUM(L20:L22)</f>
        <v>0</v>
      </c>
    </row>
    <row r="25" spans="1:12" x14ac:dyDescent="0.3">
      <c r="A25" s="115" t="s">
        <v>1256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101"/>
    </row>
    <row r="26" spans="1:12" x14ac:dyDescent="0.3">
      <c r="A26" s="15" t="s">
        <v>2079</v>
      </c>
      <c r="B26" s="15" t="s">
        <v>24</v>
      </c>
      <c r="C26" s="16">
        <f>IF(ISBLANK(B26),0,IF(ISERROR(VALUE(B26)),VLOOKUP(B26,dagsoorttabel1,2,FALSE)*dagenperjaar1,VALUE(B26)))</f>
        <v>2</v>
      </c>
      <c r="D26" s="15" t="s">
        <v>1892</v>
      </c>
      <c r="E26" s="15" t="s">
        <v>2080</v>
      </c>
      <c r="F26" s="15" t="s">
        <v>1964</v>
      </c>
      <c r="G26" s="113"/>
      <c r="H26" s="116">
        <f>Glas!G6</f>
        <v>0</v>
      </c>
      <c r="I26" s="108"/>
      <c r="J26" s="116">
        <f>Glas!I6</f>
        <v>0</v>
      </c>
      <c r="K26" s="33">
        <f>IF(ISBLANK(G26),0,G26)*ROUND(J26,2)</f>
        <v>0</v>
      </c>
      <c r="L26" s="33">
        <f>C26*K26</f>
        <v>0</v>
      </c>
    </row>
    <row r="27" spans="1:12" x14ac:dyDescent="0.3">
      <c r="A27" s="20" t="s">
        <v>2083</v>
      </c>
      <c r="B27" s="20" t="s">
        <v>24</v>
      </c>
      <c r="C27" s="21">
        <f>IF(ISBLANK(B27),0,IF(ISERROR(VALUE(B27)),VLOOKUP(B27,dagsoorttabel1,2,FALSE)*dagenperjaar1,VALUE(B27)))</f>
        <v>2</v>
      </c>
      <c r="D27" s="20" t="s">
        <v>1892</v>
      </c>
      <c r="E27" s="20" t="s">
        <v>2084</v>
      </c>
      <c r="F27" s="20" t="s">
        <v>1964</v>
      </c>
      <c r="G27" s="109">
        <v>1197.22</v>
      </c>
      <c r="H27" s="117">
        <f>Glas!G8</f>
        <v>0</v>
      </c>
      <c r="I27" s="110"/>
      <c r="J27" s="117">
        <f>Glas!I8</f>
        <v>0</v>
      </c>
      <c r="K27" s="37">
        <f>IF(ISBLANK(G27),0,G27)*ROUND(J27,2)</f>
        <v>0</v>
      </c>
      <c r="L27" s="37">
        <f>C27*K27</f>
        <v>0</v>
      </c>
    </row>
    <row r="28" spans="1:12" x14ac:dyDescent="0.3">
      <c r="A28" s="25" t="s">
        <v>2087</v>
      </c>
      <c r="B28" s="25" t="s">
        <v>24</v>
      </c>
      <c r="C28" s="26">
        <f>IF(ISBLANK(B28),0,IF(ISERROR(VALUE(B28)),VLOOKUP(B28,dagsoorttabel1,2,FALSE)*dagenperjaar1,VALUE(B28)))</f>
        <v>2</v>
      </c>
      <c r="D28" s="25" t="s">
        <v>1892</v>
      </c>
      <c r="E28" s="25" t="s">
        <v>2088</v>
      </c>
      <c r="F28" s="25" t="s">
        <v>1964</v>
      </c>
      <c r="G28" s="111">
        <v>882.04</v>
      </c>
      <c r="H28" s="118">
        <f>Glas!G10</f>
        <v>0</v>
      </c>
      <c r="I28" s="112"/>
      <c r="J28" s="118">
        <f>Glas!I10</f>
        <v>0</v>
      </c>
      <c r="K28" s="40">
        <f>IF(ISBLANK(G28),0,G28)*ROUND(J28,2)</f>
        <v>0</v>
      </c>
      <c r="L28" s="40">
        <f>C28*K28</f>
        <v>0</v>
      </c>
    </row>
    <row r="29" spans="1:12" x14ac:dyDescent="0.3">
      <c r="A29" s="119" t="s">
        <v>2096</v>
      </c>
      <c r="B29" s="43"/>
      <c r="C29" s="43"/>
      <c r="D29" s="43"/>
      <c r="E29" s="43"/>
      <c r="F29" s="43"/>
      <c r="G29" s="43"/>
      <c r="H29" s="43"/>
      <c r="I29" s="43"/>
      <c r="J29" s="43"/>
      <c r="K29" s="45">
        <f>SUM(K26:K28)</f>
        <v>0</v>
      </c>
      <c r="L29" s="45">
        <f>SUM(L26:L28)</f>
        <v>0</v>
      </c>
    </row>
    <row r="31" spans="1:12" x14ac:dyDescent="0.3">
      <c r="A31" s="115" t="s">
        <v>1439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101"/>
    </row>
    <row r="32" spans="1:12" x14ac:dyDescent="0.3">
      <c r="A32" s="15" t="s">
        <v>2079</v>
      </c>
      <c r="B32" s="15" t="s">
        <v>24</v>
      </c>
      <c r="C32" s="16">
        <f>IF(ISBLANK(B32),0,IF(ISERROR(VALUE(B32)),VLOOKUP(B32,dagsoorttabel1,2,FALSE)*dagenperjaar1,VALUE(B32)))</f>
        <v>2</v>
      </c>
      <c r="D32" s="15" t="s">
        <v>1892</v>
      </c>
      <c r="E32" s="15" t="s">
        <v>2080</v>
      </c>
      <c r="F32" s="15" t="s">
        <v>1964</v>
      </c>
      <c r="G32" s="113"/>
      <c r="H32" s="116">
        <f>Glas!G6</f>
        <v>0</v>
      </c>
      <c r="I32" s="108"/>
      <c r="J32" s="116">
        <f>Glas!I6</f>
        <v>0</v>
      </c>
      <c r="K32" s="33">
        <f>IF(ISBLANK(G32),0,G32)*ROUND(J32,2)</f>
        <v>0</v>
      </c>
      <c r="L32" s="33">
        <f>C32*K32</f>
        <v>0</v>
      </c>
    </row>
    <row r="33" spans="1:12" x14ac:dyDescent="0.3">
      <c r="A33" s="20" t="s">
        <v>2083</v>
      </c>
      <c r="B33" s="20" t="s">
        <v>24</v>
      </c>
      <c r="C33" s="21">
        <f>IF(ISBLANK(B33),0,IF(ISERROR(VALUE(B33)),VLOOKUP(B33,dagsoorttabel1,2,FALSE)*dagenperjaar1,VALUE(B33)))</f>
        <v>2</v>
      </c>
      <c r="D33" s="20" t="s">
        <v>1892</v>
      </c>
      <c r="E33" s="20" t="s">
        <v>2084</v>
      </c>
      <c r="F33" s="20" t="s">
        <v>1964</v>
      </c>
      <c r="G33" s="109">
        <v>122.35</v>
      </c>
      <c r="H33" s="117">
        <f>Glas!G8</f>
        <v>0</v>
      </c>
      <c r="I33" s="110"/>
      <c r="J33" s="117">
        <f>Glas!I8</f>
        <v>0</v>
      </c>
      <c r="K33" s="37">
        <f>IF(ISBLANK(G33),0,G33)*ROUND(J33,2)</f>
        <v>0</v>
      </c>
      <c r="L33" s="37">
        <f>C33*K33</f>
        <v>0</v>
      </c>
    </row>
    <row r="34" spans="1:12" x14ac:dyDescent="0.3">
      <c r="A34" s="25" t="s">
        <v>2087</v>
      </c>
      <c r="B34" s="25" t="s">
        <v>24</v>
      </c>
      <c r="C34" s="26">
        <f>IF(ISBLANK(B34),0,IF(ISERROR(VALUE(B34)),VLOOKUP(B34,dagsoorttabel1,2,FALSE)*dagenperjaar1,VALUE(B34)))</f>
        <v>2</v>
      </c>
      <c r="D34" s="25" t="s">
        <v>1892</v>
      </c>
      <c r="E34" s="25" t="s">
        <v>2088</v>
      </c>
      <c r="F34" s="25" t="s">
        <v>1964</v>
      </c>
      <c r="G34" s="111">
        <v>55.48</v>
      </c>
      <c r="H34" s="118">
        <f>Glas!G10</f>
        <v>0</v>
      </c>
      <c r="I34" s="112"/>
      <c r="J34" s="118">
        <f>Glas!I10</f>
        <v>0</v>
      </c>
      <c r="K34" s="40">
        <f>IF(ISBLANK(G34),0,G34)*ROUND(J34,2)</f>
        <v>0</v>
      </c>
      <c r="L34" s="40">
        <f>C34*K34</f>
        <v>0</v>
      </c>
    </row>
    <row r="35" spans="1:12" x14ac:dyDescent="0.3">
      <c r="A35" s="119" t="s">
        <v>2097</v>
      </c>
      <c r="B35" s="43"/>
      <c r="C35" s="43"/>
      <c r="D35" s="43"/>
      <c r="E35" s="43"/>
      <c r="F35" s="43"/>
      <c r="G35" s="43"/>
      <c r="H35" s="43"/>
      <c r="I35" s="43"/>
      <c r="J35" s="43"/>
      <c r="K35" s="45">
        <f>SUM(K32:K34)</f>
        <v>0</v>
      </c>
      <c r="L35" s="45">
        <f>SUM(L32:L34)</f>
        <v>0</v>
      </c>
    </row>
    <row r="37" spans="1:12" x14ac:dyDescent="0.3">
      <c r="A37" s="115" t="s">
        <v>1501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101"/>
    </row>
    <row r="38" spans="1:12" x14ac:dyDescent="0.3">
      <c r="A38" s="15" t="s">
        <v>2079</v>
      </c>
      <c r="B38" s="15" t="s">
        <v>24</v>
      </c>
      <c r="C38" s="16">
        <f>IF(ISBLANK(B38),0,IF(ISERROR(VALUE(B38)),VLOOKUP(B38,dagsoorttabel1,2,FALSE)*dagenperjaar1,VALUE(B38)))</f>
        <v>2</v>
      </c>
      <c r="D38" s="15" t="s">
        <v>1892</v>
      </c>
      <c r="E38" s="15" t="s">
        <v>2080</v>
      </c>
      <c r="F38" s="15" t="s">
        <v>1964</v>
      </c>
      <c r="G38" s="113"/>
      <c r="H38" s="116">
        <f>Glas!G6</f>
        <v>0</v>
      </c>
      <c r="I38" s="108"/>
      <c r="J38" s="116">
        <f>Glas!I6</f>
        <v>0</v>
      </c>
      <c r="K38" s="33">
        <f>IF(ISBLANK(G38),0,G38)*ROUND(J38,2)</f>
        <v>0</v>
      </c>
      <c r="L38" s="33">
        <f>C38*K38</f>
        <v>0</v>
      </c>
    </row>
    <row r="39" spans="1:12" x14ac:dyDescent="0.3">
      <c r="A39" s="20" t="s">
        <v>2083</v>
      </c>
      <c r="B39" s="20" t="s">
        <v>24</v>
      </c>
      <c r="C39" s="21">
        <f>IF(ISBLANK(B39),0,IF(ISERROR(VALUE(B39)),VLOOKUP(B39,dagsoorttabel1,2,FALSE)*dagenperjaar1,VALUE(B39)))</f>
        <v>2</v>
      </c>
      <c r="D39" s="20" t="s">
        <v>1892</v>
      </c>
      <c r="E39" s="20" t="s">
        <v>2084</v>
      </c>
      <c r="F39" s="20" t="s">
        <v>1964</v>
      </c>
      <c r="G39" s="109">
        <v>978</v>
      </c>
      <c r="H39" s="117">
        <f>Glas!G8</f>
        <v>0</v>
      </c>
      <c r="I39" s="110"/>
      <c r="J39" s="117">
        <f>Glas!I8</f>
        <v>0</v>
      </c>
      <c r="K39" s="37">
        <f>IF(ISBLANK(G39),0,G39)*ROUND(J39,2)</f>
        <v>0</v>
      </c>
      <c r="L39" s="37">
        <f>C39*K39</f>
        <v>0</v>
      </c>
    </row>
    <row r="40" spans="1:12" x14ac:dyDescent="0.3">
      <c r="A40" s="25" t="s">
        <v>2087</v>
      </c>
      <c r="B40" s="25" t="s">
        <v>24</v>
      </c>
      <c r="C40" s="26">
        <f>IF(ISBLANK(B40),0,IF(ISERROR(VALUE(B40)),VLOOKUP(B40,dagsoorttabel1,2,FALSE)*dagenperjaar1,VALUE(B40)))</f>
        <v>2</v>
      </c>
      <c r="D40" s="25" t="s">
        <v>1892</v>
      </c>
      <c r="E40" s="25" t="s">
        <v>2088</v>
      </c>
      <c r="F40" s="25" t="s">
        <v>1964</v>
      </c>
      <c r="G40" s="111">
        <v>1836.34</v>
      </c>
      <c r="H40" s="118">
        <f>Glas!G10</f>
        <v>0</v>
      </c>
      <c r="I40" s="112"/>
      <c r="J40" s="118">
        <f>Glas!I10</f>
        <v>0</v>
      </c>
      <c r="K40" s="40">
        <f>IF(ISBLANK(G40),0,G40)*ROUND(J40,2)</f>
        <v>0</v>
      </c>
      <c r="L40" s="40">
        <f>C40*K40</f>
        <v>0</v>
      </c>
    </row>
    <row r="41" spans="1:12" x14ac:dyDescent="0.3">
      <c r="A41" s="119" t="s">
        <v>2098</v>
      </c>
      <c r="B41" s="43"/>
      <c r="C41" s="43"/>
      <c r="D41" s="43"/>
      <c r="E41" s="43"/>
      <c r="F41" s="43"/>
      <c r="G41" s="43"/>
      <c r="H41" s="43"/>
      <c r="I41" s="43"/>
      <c r="J41" s="43"/>
      <c r="K41" s="45">
        <f>SUM(K38:K40)</f>
        <v>0</v>
      </c>
      <c r="L41" s="45">
        <f>SUM(L38:L40)</f>
        <v>0</v>
      </c>
    </row>
    <row r="43" spans="1:12" x14ac:dyDescent="0.3">
      <c r="A43" s="115" t="s">
        <v>1622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101"/>
    </row>
    <row r="44" spans="1:12" x14ac:dyDescent="0.3">
      <c r="A44" s="15" t="s">
        <v>2079</v>
      </c>
      <c r="B44" s="15" t="s">
        <v>24</v>
      </c>
      <c r="C44" s="16">
        <f>IF(ISBLANK(B44),0,IF(ISERROR(VALUE(B44)),VLOOKUP(B44,dagsoorttabel1,2,FALSE)*dagenperjaar1,VALUE(B44)))</f>
        <v>2</v>
      </c>
      <c r="D44" s="15" t="s">
        <v>1892</v>
      </c>
      <c r="E44" s="15" t="s">
        <v>2080</v>
      </c>
      <c r="F44" s="15" t="s">
        <v>1964</v>
      </c>
      <c r="G44" s="113"/>
      <c r="H44" s="116">
        <f>Glas!G6</f>
        <v>0</v>
      </c>
      <c r="I44" s="108"/>
      <c r="J44" s="116">
        <f>Glas!I6</f>
        <v>0</v>
      </c>
      <c r="K44" s="33">
        <f>IF(ISBLANK(G44),0,G44)*ROUND(J44,2)</f>
        <v>0</v>
      </c>
      <c r="L44" s="33">
        <f>C44*K44</f>
        <v>0</v>
      </c>
    </row>
    <row r="45" spans="1:12" x14ac:dyDescent="0.3">
      <c r="A45" s="20" t="s">
        <v>2083</v>
      </c>
      <c r="B45" s="20" t="s">
        <v>24</v>
      </c>
      <c r="C45" s="21">
        <f>IF(ISBLANK(B45),0,IF(ISERROR(VALUE(B45)),VLOOKUP(B45,dagsoorttabel1,2,FALSE)*dagenperjaar1,VALUE(B45)))</f>
        <v>2</v>
      </c>
      <c r="D45" s="20" t="s">
        <v>1892</v>
      </c>
      <c r="E45" s="20" t="s">
        <v>2084</v>
      </c>
      <c r="F45" s="20" t="s">
        <v>1964</v>
      </c>
      <c r="G45" s="109">
        <v>42.53</v>
      </c>
      <c r="H45" s="117">
        <f>Glas!G8</f>
        <v>0</v>
      </c>
      <c r="I45" s="110"/>
      <c r="J45" s="117">
        <f>Glas!I8</f>
        <v>0</v>
      </c>
      <c r="K45" s="37">
        <f>IF(ISBLANK(G45),0,G45)*ROUND(J45,2)</f>
        <v>0</v>
      </c>
      <c r="L45" s="37">
        <f>C45*K45</f>
        <v>0</v>
      </c>
    </row>
    <row r="46" spans="1:12" x14ac:dyDescent="0.3">
      <c r="A46" s="25" t="s">
        <v>2087</v>
      </c>
      <c r="B46" s="25" t="s">
        <v>24</v>
      </c>
      <c r="C46" s="26">
        <f>IF(ISBLANK(B46),0,IF(ISERROR(VALUE(B46)),VLOOKUP(B46,dagsoorttabel1,2,FALSE)*dagenperjaar1,VALUE(B46)))</f>
        <v>2</v>
      </c>
      <c r="D46" s="25" t="s">
        <v>1892</v>
      </c>
      <c r="E46" s="25" t="s">
        <v>2088</v>
      </c>
      <c r="F46" s="25" t="s">
        <v>1964</v>
      </c>
      <c r="G46" s="111">
        <v>24.38</v>
      </c>
      <c r="H46" s="118">
        <f>Glas!G10</f>
        <v>0</v>
      </c>
      <c r="I46" s="112"/>
      <c r="J46" s="118">
        <f>Glas!I10</f>
        <v>0</v>
      </c>
      <c r="K46" s="40">
        <f>IF(ISBLANK(G46),0,G46)*ROUND(J46,2)</f>
        <v>0</v>
      </c>
      <c r="L46" s="40">
        <f>C46*K46</f>
        <v>0</v>
      </c>
    </row>
    <row r="47" spans="1:12" x14ac:dyDescent="0.3">
      <c r="A47" s="119" t="s">
        <v>2099</v>
      </c>
      <c r="B47" s="43"/>
      <c r="C47" s="43"/>
      <c r="D47" s="43"/>
      <c r="E47" s="43"/>
      <c r="F47" s="43"/>
      <c r="G47" s="43"/>
      <c r="H47" s="43"/>
      <c r="I47" s="43"/>
      <c r="J47" s="43"/>
      <c r="K47" s="45">
        <f>SUM(K44:K46)</f>
        <v>0</v>
      </c>
      <c r="L47" s="45">
        <f>SUM(L44:L46)</f>
        <v>0</v>
      </c>
    </row>
    <row r="49" spans="1:12" x14ac:dyDescent="0.3">
      <c r="A49" s="115" t="s">
        <v>1628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101"/>
    </row>
    <row r="50" spans="1:12" x14ac:dyDescent="0.3">
      <c r="A50" s="15" t="s">
        <v>2079</v>
      </c>
      <c r="B50" s="15" t="s">
        <v>24</v>
      </c>
      <c r="C50" s="16">
        <f>IF(ISBLANK(B50),0,IF(ISERROR(VALUE(B50)),VLOOKUP(B50,dagsoorttabel1,2,FALSE)*dagenperjaar1,VALUE(B50)))</f>
        <v>2</v>
      </c>
      <c r="D50" s="15" t="s">
        <v>1892</v>
      </c>
      <c r="E50" s="15" t="s">
        <v>2080</v>
      </c>
      <c r="F50" s="15" t="s">
        <v>1964</v>
      </c>
      <c r="G50" s="113"/>
      <c r="H50" s="116">
        <f>Glas!G6</f>
        <v>0</v>
      </c>
      <c r="I50" s="108"/>
      <c r="J50" s="116">
        <f>Glas!I6</f>
        <v>0</v>
      </c>
      <c r="K50" s="33">
        <f>IF(ISBLANK(G50),0,G50)*ROUND(J50,2)</f>
        <v>0</v>
      </c>
      <c r="L50" s="33">
        <f>C50*K50</f>
        <v>0</v>
      </c>
    </row>
    <row r="51" spans="1:12" x14ac:dyDescent="0.3">
      <c r="A51" s="20" t="s">
        <v>2083</v>
      </c>
      <c r="B51" s="20" t="s">
        <v>24</v>
      </c>
      <c r="C51" s="21">
        <f>IF(ISBLANK(B51),0,IF(ISERROR(VALUE(B51)),VLOOKUP(B51,dagsoorttabel1,2,FALSE)*dagenperjaar1,VALUE(B51)))</f>
        <v>2</v>
      </c>
      <c r="D51" s="20" t="s">
        <v>1892</v>
      </c>
      <c r="E51" s="20" t="s">
        <v>2084</v>
      </c>
      <c r="F51" s="20" t="s">
        <v>1964</v>
      </c>
      <c r="G51" s="109">
        <v>938.52</v>
      </c>
      <c r="H51" s="117">
        <f>Glas!G8</f>
        <v>0</v>
      </c>
      <c r="I51" s="110"/>
      <c r="J51" s="117">
        <f>Glas!I8</f>
        <v>0</v>
      </c>
      <c r="K51" s="37">
        <f>IF(ISBLANK(G51),0,G51)*ROUND(J51,2)</f>
        <v>0</v>
      </c>
      <c r="L51" s="37">
        <f>C51*K51</f>
        <v>0</v>
      </c>
    </row>
    <row r="52" spans="1:12" x14ac:dyDescent="0.3">
      <c r="A52" s="25" t="s">
        <v>2087</v>
      </c>
      <c r="B52" s="25" t="s">
        <v>24</v>
      </c>
      <c r="C52" s="26">
        <f>IF(ISBLANK(B52),0,IF(ISERROR(VALUE(B52)),VLOOKUP(B52,dagsoorttabel1,2,FALSE)*dagenperjaar1,VALUE(B52)))</f>
        <v>2</v>
      </c>
      <c r="D52" s="25" t="s">
        <v>1892</v>
      </c>
      <c r="E52" s="25" t="s">
        <v>2088</v>
      </c>
      <c r="F52" s="25" t="s">
        <v>1964</v>
      </c>
      <c r="G52" s="111">
        <v>287.76</v>
      </c>
      <c r="H52" s="118">
        <f>Glas!G10</f>
        <v>0</v>
      </c>
      <c r="I52" s="112"/>
      <c r="J52" s="118">
        <f>Glas!I10</f>
        <v>0</v>
      </c>
      <c r="K52" s="40">
        <f>IF(ISBLANK(G52),0,G52)*ROUND(J52,2)</f>
        <v>0</v>
      </c>
      <c r="L52" s="40">
        <f>C52*K52</f>
        <v>0</v>
      </c>
    </row>
    <row r="53" spans="1:12" x14ac:dyDescent="0.3">
      <c r="A53" s="119" t="s">
        <v>2100</v>
      </c>
      <c r="B53" s="43"/>
      <c r="C53" s="43"/>
      <c r="D53" s="43"/>
      <c r="E53" s="43"/>
      <c r="F53" s="43"/>
      <c r="G53" s="43"/>
      <c r="H53" s="43"/>
      <c r="I53" s="43"/>
      <c r="J53" s="43"/>
      <c r="K53" s="45">
        <f>SUM(K50:K52)</f>
        <v>0</v>
      </c>
      <c r="L53" s="45">
        <f>SUM(L50:L52)</f>
        <v>0</v>
      </c>
    </row>
    <row r="55" spans="1:12" x14ac:dyDescent="0.3">
      <c r="A55" s="115" t="s">
        <v>1824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101"/>
    </row>
    <row r="56" spans="1:12" x14ac:dyDescent="0.3">
      <c r="A56" s="15" t="s">
        <v>2079</v>
      </c>
      <c r="B56" s="15" t="s">
        <v>24</v>
      </c>
      <c r="C56" s="16">
        <f>IF(ISBLANK(B56),0,IF(ISERROR(VALUE(B56)),VLOOKUP(B56,dagsoorttabel1,2,FALSE)*dagenperjaar1,VALUE(B56)))</f>
        <v>2</v>
      </c>
      <c r="D56" s="15" t="s">
        <v>1892</v>
      </c>
      <c r="E56" s="15" t="s">
        <v>2080</v>
      </c>
      <c r="F56" s="15" t="s">
        <v>1964</v>
      </c>
      <c r="G56" s="113"/>
      <c r="H56" s="116">
        <f>Glas!G6</f>
        <v>0</v>
      </c>
      <c r="I56" s="108"/>
      <c r="J56" s="116">
        <f>Glas!I6</f>
        <v>0</v>
      </c>
      <c r="K56" s="33">
        <f>IF(ISBLANK(G56),0,G56)*ROUND(J56,2)</f>
        <v>0</v>
      </c>
      <c r="L56" s="33">
        <f>C56*K56</f>
        <v>0</v>
      </c>
    </row>
    <row r="57" spans="1:12" x14ac:dyDescent="0.3">
      <c r="A57" s="20" t="s">
        <v>2083</v>
      </c>
      <c r="B57" s="20" t="s">
        <v>24</v>
      </c>
      <c r="C57" s="21">
        <f>IF(ISBLANK(B57),0,IF(ISERROR(VALUE(B57)),VLOOKUP(B57,dagsoorttabel1,2,FALSE)*dagenperjaar1,VALUE(B57)))</f>
        <v>2</v>
      </c>
      <c r="D57" s="20" t="s">
        <v>1892</v>
      </c>
      <c r="E57" s="20" t="s">
        <v>2084</v>
      </c>
      <c r="F57" s="20" t="s">
        <v>1964</v>
      </c>
      <c r="G57" s="109">
        <v>384.32</v>
      </c>
      <c r="H57" s="117">
        <f>Glas!G8</f>
        <v>0</v>
      </c>
      <c r="I57" s="110"/>
      <c r="J57" s="117">
        <f>Glas!I8</f>
        <v>0</v>
      </c>
      <c r="K57" s="37">
        <f>IF(ISBLANK(G57),0,G57)*ROUND(J57,2)</f>
        <v>0</v>
      </c>
      <c r="L57" s="37">
        <f>C57*K57</f>
        <v>0</v>
      </c>
    </row>
    <row r="58" spans="1:12" x14ac:dyDescent="0.3">
      <c r="A58" s="25" t="s">
        <v>2087</v>
      </c>
      <c r="B58" s="25" t="s">
        <v>24</v>
      </c>
      <c r="C58" s="26">
        <f>IF(ISBLANK(B58),0,IF(ISERROR(VALUE(B58)),VLOOKUP(B58,dagsoorttabel1,2,FALSE)*dagenperjaar1,VALUE(B58)))</f>
        <v>2</v>
      </c>
      <c r="D58" s="25" t="s">
        <v>1892</v>
      </c>
      <c r="E58" s="25" t="s">
        <v>2088</v>
      </c>
      <c r="F58" s="25" t="s">
        <v>1964</v>
      </c>
      <c r="G58" s="111">
        <v>529.72</v>
      </c>
      <c r="H58" s="118">
        <f>Glas!G10</f>
        <v>0</v>
      </c>
      <c r="I58" s="112"/>
      <c r="J58" s="118">
        <f>Glas!I10</f>
        <v>0</v>
      </c>
      <c r="K58" s="40">
        <f>IF(ISBLANK(G58),0,G58)*ROUND(J58,2)</f>
        <v>0</v>
      </c>
      <c r="L58" s="40">
        <f>C58*K58</f>
        <v>0</v>
      </c>
    </row>
    <row r="59" spans="1:12" x14ac:dyDescent="0.3">
      <c r="A59" s="119" t="s">
        <v>2101</v>
      </c>
      <c r="B59" s="43"/>
      <c r="C59" s="43"/>
      <c r="D59" s="43"/>
      <c r="E59" s="43"/>
      <c r="F59" s="43"/>
      <c r="G59" s="43"/>
      <c r="H59" s="43"/>
      <c r="I59" s="43"/>
      <c r="J59" s="43"/>
      <c r="K59" s="45">
        <f>SUM(K56:K58)</f>
        <v>0</v>
      </c>
      <c r="L59" s="45">
        <f>SUM(L56:L58)</f>
        <v>0</v>
      </c>
    </row>
  </sheetData>
  <sheetProtection algorithmName="SHA-512" hashValue="F+QFpl5lmlisZKJQ636bKLINfD+rUBwCW+3Gcv7cMwh/gs9oq/eH26v6xWuHhyicGlPoe6s3jM4OoP2/YPjsWQ==" saltValue="+cFowuiGt8MYcEUpBYOtMw==" spinCount="100000" sheet="1" objects="1" scenarios="1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5578-86DC-4D21-9D4C-4E4CF12F348C}">
  <dimension ref="A1:E11"/>
  <sheetViews>
    <sheetView workbookViewId="0"/>
  </sheetViews>
  <sheetFormatPr defaultRowHeight="14.4" x14ac:dyDescent="0.3"/>
  <cols>
    <col min="1" max="1" width="30.77734375" customWidth="1"/>
    <col min="2" max="5" width="20.77734375" customWidth="1"/>
  </cols>
  <sheetData>
    <row r="1" spans="1:5" x14ac:dyDescent="0.3">
      <c r="A1" s="1" t="str">
        <f>CONCATENATE("Bijlage G.1.11: ",tabeltype," totaalblad schoonmaakwerk")</f>
        <v>Bijlage G.1.11: Invultabel totaalblad schoonmaakwerk</v>
      </c>
    </row>
    <row r="3" spans="1:5" ht="28.8" x14ac:dyDescent="0.3">
      <c r="A3" s="8" t="s">
        <v>2102</v>
      </c>
      <c r="B3" s="8" t="s">
        <v>2103</v>
      </c>
      <c r="C3" s="8" t="s">
        <v>2104</v>
      </c>
      <c r="D3" s="8" t="s">
        <v>2105</v>
      </c>
      <c r="E3" s="8" t="s">
        <v>2106</v>
      </c>
    </row>
    <row r="4" spans="1:5" x14ac:dyDescent="0.3">
      <c r="A4" s="98" t="s">
        <v>2107</v>
      </c>
      <c r="B4" s="30">
        <f>urenjaartotaaloverzicht</f>
        <v>535</v>
      </c>
      <c r="C4" s="30">
        <f>urenjaartotaaloverzichthf</f>
        <v>0</v>
      </c>
      <c r="D4" s="33">
        <f>prijsjaartotaaloverzicht</f>
        <v>0</v>
      </c>
      <c r="E4" s="33">
        <f>D4*1.21</f>
        <v>0</v>
      </c>
    </row>
    <row r="5" spans="1:5" x14ac:dyDescent="0.3">
      <c r="A5" s="99" t="s">
        <v>2108</v>
      </c>
      <c r="B5" s="104"/>
      <c r="C5" s="104"/>
      <c r="D5" s="37">
        <f>prijsjaarregie</f>
        <v>0</v>
      </c>
      <c r="E5" s="37">
        <f>D5*1.21</f>
        <v>0</v>
      </c>
    </row>
    <row r="6" spans="1:5" x14ac:dyDescent="0.3">
      <c r="A6" s="100" t="s">
        <v>2109</v>
      </c>
      <c r="B6" s="120"/>
      <c r="C6" s="120"/>
      <c r="D6" s="40">
        <f>prijsjaarglas</f>
        <v>0</v>
      </c>
      <c r="E6" s="40">
        <f>D6*1.21</f>
        <v>0</v>
      </c>
    </row>
    <row r="8" spans="1:5" x14ac:dyDescent="0.3">
      <c r="A8" s="8" t="s">
        <v>2110</v>
      </c>
      <c r="B8" s="44">
        <f>SUM(B4:B6)</f>
        <v>535</v>
      </c>
      <c r="C8" s="44">
        <f>SUM(C4:C6)</f>
        <v>0</v>
      </c>
      <c r="D8" s="45">
        <f>SUM(D4:D6)</f>
        <v>0</v>
      </c>
      <c r="E8" s="45">
        <f>D8*1.21</f>
        <v>0</v>
      </c>
    </row>
    <row r="11" spans="1:5" x14ac:dyDescent="0.3">
      <c r="A11" s="121" t="s">
        <v>2111</v>
      </c>
      <c r="B11" s="44"/>
      <c r="C11" s="86"/>
      <c r="D11" s="86"/>
      <c r="E11" s="122">
        <f>ROUND(SUM(vp_regulier,vp_regie,vp_glas),2)</f>
        <v>0</v>
      </c>
    </row>
  </sheetData>
  <sheetProtection algorithmName="SHA-512" hashValue="ZCYvokPP1WntqBtPwYrBdmyNoHduiiHb+cmnfzkhdb+3pUiysGz00dZtnmsZdQiyAQzvYgUXhYln0+TJ6jQSoQ==" saltValue="ehiYO8y9YeYJztVue/6bMw==" spinCount="100000" sheet="1" objects="1" scenarios="1"/>
  <pageMargins left="0.7" right="0.7" top="0.75" bottom="0.75" header="0.3" footer="0.3"/>
  <pageSetup paperSize="9" scale="70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1F7F9-01B5-4BFD-BA69-3C545D6E8982}">
  <dimension ref="A1:H86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RowHeight="14.4" x14ac:dyDescent="0.3"/>
  <cols>
    <col min="1" max="1" width="7.77734375" customWidth="1"/>
    <col min="2" max="2" width="6.77734375" customWidth="1"/>
    <col min="3" max="3" width="4.77734375" customWidth="1"/>
    <col min="4" max="4" width="50.77734375" customWidth="1"/>
    <col min="5" max="6" width="11.77734375" customWidth="1"/>
    <col min="7" max="7" width="9.77734375" customWidth="1"/>
    <col min="8" max="8" width="11.77734375" customWidth="1"/>
  </cols>
  <sheetData>
    <row r="1" spans="1:8" x14ac:dyDescent="0.3">
      <c r="A1" s="1" t="str">
        <f>CONCATENATE("Bijlage G.1.1: ",tabeltype," categorienormen")</f>
        <v>Bijlage G.1.1: Invultabel categorienormen</v>
      </c>
    </row>
    <row r="3" spans="1:8" ht="43.2" x14ac:dyDescent="0.3">
      <c r="A3" s="8" t="s">
        <v>28</v>
      </c>
      <c r="B3" s="8" t="s">
        <v>29</v>
      </c>
      <c r="C3" s="8" t="s">
        <v>30</v>
      </c>
      <c r="D3" s="8" t="s">
        <v>31</v>
      </c>
      <c r="E3" s="8" t="s">
        <v>32</v>
      </c>
      <c r="F3" s="8" t="s">
        <v>33</v>
      </c>
      <c r="G3" s="8" t="s">
        <v>34</v>
      </c>
      <c r="H3" s="8" t="s">
        <v>35</v>
      </c>
    </row>
    <row r="4" spans="1:8" x14ac:dyDescent="0.3">
      <c r="A4" s="9"/>
      <c r="B4" s="10"/>
      <c r="C4" s="10"/>
      <c r="D4" s="10"/>
      <c r="E4" s="10"/>
      <c r="F4" s="10"/>
      <c r="G4" s="10"/>
      <c r="H4" s="11"/>
    </row>
    <row r="5" spans="1:8" x14ac:dyDescent="0.3">
      <c r="A5" s="12" t="s">
        <v>36</v>
      </c>
      <c r="B5" s="13"/>
      <c r="C5" s="13"/>
      <c r="D5" s="13"/>
      <c r="E5" s="13"/>
      <c r="F5" s="13"/>
      <c r="G5" s="13"/>
      <c r="H5" s="14"/>
    </row>
    <row r="6" spans="1:8" x14ac:dyDescent="0.3">
      <c r="A6" s="15" t="s">
        <v>37</v>
      </c>
      <c r="B6" s="16" t="s">
        <v>38</v>
      </c>
      <c r="C6" s="15">
        <v>1</v>
      </c>
      <c r="D6" s="15" t="s">
        <v>39</v>
      </c>
      <c r="E6" s="17"/>
      <c r="F6" s="18"/>
      <c r="G6" s="15" t="s">
        <v>40</v>
      </c>
      <c r="H6" s="19"/>
    </row>
    <row r="7" spans="1:8" x14ac:dyDescent="0.3">
      <c r="A7" s="20" t="s">
        <v>41</v>
      </c>
      <c r="B7" s="21" t="s">
        <v>38</v>
      </c>
      <c r="C7" s="20">
        <v>42</v>
      </c>
      <c r="D7" s="20" t="s">
        <v>42</v>
      </c>
      <c r="E7" s="22"/>
      <c r="F7" s="23"/>
      <c r="G7" s="20" t="s">
        <v>40</v>
      </c>
      <c r="H7" s="24"/>
    </row>
    <row r="8" spans="1:8" x14ac:dyDescent="0.3">
      <c r="A8" s="20" t="s">
        <v>43</v>
      </c>
      <c r="B8" s="21" t="s">
        <v>44</v>
      </c>
      <c r="C8" s="20">
        <v>1</v>
      </c>
      <c r="D8" s="20" t="s">
        <v>45</v>
      </c>
      <c r="E8" s="22"/>
      <c r="F8" s="23"/>
      <c r="G8" s="20" t="s">
        <v>40</v>
      </c>
      <c r="H8" s="24"/>
    </row>
    <row r="9" spans="1:8" x14ac:dyDescent="0.3">
      <c r="A9" s="20" t="s">
        <v>46</v>
      </c>
      <c r="B9" s="21" t="s">
        <v>44</v>
      </c>
      <c r="C9" s="20">
        <v>42</v>
      </c>
      <c r="D9" s="20" t="s">
        <v>47</v>
      </c>
      <c r="E9" s="22"/>
      <c r="F9" s="23"/>
      <c r="G9" s="20" t="s">
        <v>40</v>
      </c>
      <c r="H9" s="24"/>
    </row>
    <row r="10" spans="1:8" x14ac:dyDescent="0.3">
      <c r="A10" s="20" t="s">
        <v>48</v>
      </c>
      <c r="B10" s="21" t="s">
        <v>49</v>
      </c>
      <c r="C10" s="20">
        <v>1</v>
      </c>
      <c r="D10" s="20" t="s">
        <v>50</v>
      </c>
      <c r="E10" s="22"/>
      <c r="F10" s="23"/>
      <c r="G10" s="20" t="s">
        <v>40</v>
      </c>
      <c r="H10" s="24"/>
    </row>
    <row r="11" spans="1:8" x14ac:dyDescent="0.3">
      <c r="A11" s="20" t="s">
        <v>51</v>
      </c>
      <c r="B11" s="21" t="s">
        <v>49</v>
      </c>
      <c r="C11" s="20">
        <v>42</v>
      </c>
      <c r="D11" s="20" t="s">
        <v>52</v>
      </c>
      <c r="E11" s="22"/>
      <c r="F11" s="23"/>
      <c r="G11" s="20" t="s">
        <v>40</v>
      </c>
      <c r="H11" s="24"/>
    </row>
    <row r="12" spans="1:8" x14ac:dyDescent="0.3">
      <c r="A12" s="20" t="s">
        <v>53</v>
      </c>
      <c r="B12" s="21" t="s">
        <v>54</v>
      </c>
      <c r="C12" s="20">
        <v>1</v>
      </c>
      <c r="D12" s="20" t="s">
        <v>55</v>
      </c>
      <c r="E12" s="22"/>
      <c r="F12" s="23"/>
      <c r="G12" s="20" t="s">
        <v>40</v>
      </c>
      <c r="H12" s="24"/>
    </row>
    <row r="13" spans="1:8" x14ac:dyDescent="0.3">
      <c r="A13" s="20" t="s">
        <v>56</v>
      </c>
      <c r="B13" s="21" t="s">
        <v>54</v>
      </c>
      <c r="C13" s="20">
        <v>42</v>
      </c>
      <c r="D13" s="20" t="s">
        <v>57</v>
      </c>
      <c r="E13" s="22"/>
      <c r="F13" s="23"/>
      <c r="G13" s="20" t="s">
        <v>40</v>
      </c>
      <c r="H13" s="24"/>
    </row>
    <row r="14" spans="1:8" x14ac:dyDescent="0.3">
      <c r="A14" s="20" t="s">
        <v>58</v>
      </c>
      <c r="B14" s="21" t="s">
        <v>54</v>
      </c>
      <c r="C14" s="20">
        <v>1</v>
      </c>
      <c r="D14" s="20" t="s">
        <v>59</v>
      </c>
      <c r="E14" s="22"/>
      <c r="F14" s="23"/>
      <c r="G14" s="20" t="s">
        <v>40</v>
      </c>
      <c r="H14" s="24"/>
    </row>
    <row r="15" spans="1:8" x14ac:dyDescent="0.3">
      <c r="A15" s="20" t="s">
        <v>60</v>
      </c>
      <c r="B15" s="21" t="s">
        <v>54</v>
      </c>
      <c r="C15" s="20">
        <v>42</v>
      </c>
      <c r="D15" s="20" t="s">
        <v>61</v>
      </c>
      <c r="E15" s="22"/>
      <c r="F15" s="23"/>
      <c r="G15" s="20" t="s">
        <v>40</v>
      </c>
      <c r="H15" s="24"/>
    </row>
    <row r="16" spans="1:8" x14ac:dyDescent="0.3">
      <c r="A16" s="20" t="s">
        <v>62</v>
      </c>
      <c r="B16" s="21" t="s">
        <v>54</v>
      </c>
      <c r="C16" s="20">
        <v>1</v>
      </c>
      <c r="D16" s="20" t="s">
        <v>63</v>
      </c>
      <c r="E16" s="22"/>
      <c r="F16" s="23"/>
      <c r="G16" s="20" t="s">
        <v>40</v>
      </c>
      <c r="H16" s="24"/>
    </row>
    <row r="17" spans="1:8" x14ac:dyDescent="0.3">
      <c r="A17" s="20" t="s">
        <v>64</v>
      </c>
      <c r="B17" s="21" t="s">
        <v>54</v>
      </c>
      <c r="C17" s="20">
        <v>42</v>
      </c>
      <c r="D17" s="20" t="s">
        <v>65</v>
      </c>
      <c r="E17" s="22"/>
      <c r="F17" s="23"/>
      <c r="G17" s="20" t="s">
        <v>40</v>
      </c>
      <c r="H17" s="24"/>
    </row>
    <row r="18" spans="1:8" x14ac:dyDescent="0.3">
      <c r="A18" s="20" t="s">
        <v>66</v>
      </c>
      <c r="B18" s="21" t="s">
        <v>54</v>
      </c>
      <c r="C18" s="20">
        <v>1</v>
      </c>
      <c r="D18" s="20" t="s">
        <v>67</v>
      </c>
      <c r="E18" s="22"/>
      <c r="F18" s="23"/>
      <c r="G18" s="20" t="s">
        <v>40</v>
      </c>
      <c r="H18" s="24"/>
    </row>
    <row r="19" spans="1:8" x14ac:dyDescent="0.3">
      <c r="A19" s="20" t="s">
        <v>68</v>
      </c>
      <c r="B19" s="21" t="s">
        <v>54</v>
      </c>
      <c r="C19" s="20">
        <v>42</v>
      </c>
      <c r="D19" s="20" t="s">
        <v>69</v>
      </c>
      <c r="E19" s="22"/>
      <c r="F19" s="23"/>
      <c r="G19" s="20" t="s">
        <v>40</v>
      </c>
      <c r="H19" s="24"/>
    </row>
    <row r="20" spans="1:8" x14ac:dyDescent="0.3">
      <c r="A20" s="20" t="s">
        <v>70</v>
      </c>
      <c r="B20" s="21" t="s">
        <v>71</v>
      </c>
      <c r="C20" s="20">
        <v>1</v>
      </c>
      <c r="D20" s="20" t="s">
        <v>72</v>
      </c>
      <c r="E20" s="22"/>
      <c r="F20" s="23"/>
      <c r="G20" s="20" t="s">
        <v>40</v>
      </c>
      <c r="H20" s="24"/>
    </row>
    <row r="21" spans="1:8" x14ac:dyDescent="0.3">
      <c r="A21" s="20" t="s">
        <v>73</v>
      </c>
      <c r="B21" s="21" t="s">
        <v>71</v>
      </c>
      <c r="C21" s="20">
        <v>42</v>
      </c>
      <c r="D21" s="20" t="s">
        <v>74</v>
      </c>
      <c r="E21" s="22"/>
      <c r="F21" s="23"/>
      <c r="G21" s="20" t="s">
        <v>40</v>
      </c>
      <c r="H21" s="24"/>
    </row>
    <row r="22" spans="1:8" x14ac:dyDescent="0.3">
      <c r="A22" s="20" t="s">
        <v>75</v>
      </c>
      <c r="B22" s="21" t="s">
        <v>71</v>
      </c>
      <c r="C22" s="20">
        <v>1</v>
      </c>
      <c r="D22" s="20" t="s">
        <v>76</v>
      </c>
      <c r="E22" s="22"/>
      <c r="F22" s="23"/>
      <c r="G22" s="20" t="s">
        <v>40</v>
      </c>
      <c r="H22" s="24"/>
    </row>
    <row r="23" spans="1:8" x14ac:dyDescent="0.3">
      <c r="A23" s="20" t="s">
        <v>77</v>
      </c>
      <c r="B23" s="21" t="s">
        <v>71</v>
      </c>
      <c r="C23" s="20">
        <v>42</v>
      </c>
      <c r="D23" s="20" t="s">
        <v>78</v>
      </c>
      <c r="E23" s="22"/>
      <c r="F23" s="23"/>
      <c r="G23" s="20" t="s">
        <v>40</v>
      </c>
      <c r="H23" s="24"/>
    </row>
    <row r="24" spans="1:8" x14ac:dyDescent="0.3">
      <c r="A24" s="20" t="s">
        <v>79</v>
      </c>
      <c r="B24" s="21" t="s">
        <v>71</v>
      </c>
      <c r="C24" s="20">
        <v>1</v>
      </c>
      <c r="D24" s="20" t="s">
        <v>80</v>
      </c>
      <c r="E24" s="22"/>
      <c r="F24" s="23"/>
      <c r="G24" s="20" t="s">
        <v>40</v>
      </c>
      <c r="H24" s="24"/>
    </row>
    <row r="25" spans="1:8" x14ac:dyDescent="0.3">
      <c r="A25" s="20" t="s">
        <v>81</v>
      </c>
      <c r="B25" s="21" t="s">
        <v>71</v>
      </c>
      <c r="C25" s="20">
        <v>42</v>
      </c>
      <c r="D25" s="20" t="s">
        <v>82</v>
      </c>
      <c r="E25" s="22"/>
      <c r="F25" s="23"/>
      <c r="G25" s="20" t="s">
        <v>40</v>
      </c>
      <c r="H25" s="24"/>
    </row>
    <row r="26" spans="1:8" x14ac:dyDescent="0.3">
      <c r="A26" s="20" t="s">
        <v>83</v>
      </c>
      <c r="B26" s="21" t="s">
        <v>71</v>
      </c>
      <c r="C26" s="20">
        <v>1</v>
      </c>
      <c r="D26" s="20" t="s">
        <v>84</v>
      </c>
      <c r="E26" s="22"/>
      <c r="F26" s="23"/>
      <c r="G26" s="20" t="s">
        <v>40</v>
      </c>
      <c r="H26" s="24"/>
    </row>
    <row r="27" spans="1:8" x14ac:dyDescent="0.3">
      <c r="A27" s="20" t="s">
        <v>85</v>
      </c>
      <c r="B27" s="21" t="s">
        <v>71</v>
      </c>
      <c r="C27" s="20">
        <v>42</v>
      </c>
      <c r="D27" s="20" t="s">
        <v>86</v>
      </c>
      <c r="E27" s="22"/>
      <c r="F27" s="23"/>
      <c r="G27" s="20" t="s">
        <v>40</v>
      </c>
      <c r="H27" s="24"/>
    </row>
    <row r="28" spans="1:8" x14ac:dyDescent="0.3">
      <c r="A28" s="20" t="s">
        <v>87</v>
      </c>
      <c r="B28" s="21" t="s">
        <v>71</v>
      </c>
      <c r="C28" s="20">
        <v>1</v>
      </c>
      <c r="D28" s="20" t="s">
        <v>88</v>
      </c>
      <c r="E28" s="22"/>
      <c r="F28" s="23"/>
      <c r="G28" s="20" t="s">
        <v>40</v>
      </c>
      <c r="H28" s="24"/>
    </row>
    <row r="29" spans="1:8" x14ac:dyDescent="0.3">
      <c r="A29" s="20" t="s">
        <v>89</v>
      </c>
      <c r="B29" s="21" t="s">
        <v>71</v>
      </c>
      <c r="C29" s="20">
        <v>42</v>
      </c>
      <c r="D29" s="20" t="s">
        <v>90</v>
      </c>
      <c r="E29" s="22"/>
      <c r="F29" s="23"/>
      <c r="G29" s="20" t="s">
        <v>40</v>
      </c>
      <c r="H29" s="24"/>
    </row>
    <row r="30" spans="1:8" x14ac:dyDescent="0.3">
      <c r="A30" s="20" t="s">
        <v>91</v>
      </c>
      <c r="B30" s="21" t="s">
        <v>71</v>
      </c>
      <c r="C30" s="20">
        <v>1</v>
      </c>
      <c r="D30" s="20" t="s">
        <v>92</v>
      </c>
      <c r="E30" s="22"/>
      <c r="F30" s="23"/>
      <c r="G30" s="20" t="s">
        <v>40</v>
      </c>
      <c r="H30" s="24"/>
    </row>
    <row r="31" spans="1:8" x14ac:dyDescent="0.3">
      <c r="A31" s="20" t="s">
        <v>93</v>
      </c>
      <c r="B31" s="21" t="s">
        <v>71</v>
      </c>
      <c r="C31" s="20">
        <v>10</v>
      </c>
      <c r="D31" s="20" t="s">
        <v>94</v>
      </c>
      <c r="E31" s="22"/>
      <c r="F31" s="23"/>
      <c r="G31" s="20" t="s">
        <v>40</v>
      </c>
      <c r="H31" s="24"/>
    </row>
    <row r="32" spans="1:8" x14ac:dyDescent="0.3">
      <c r="A32" s="20" t="s">
        <v>93</v>
      </c>
      <c r="B32" s="21" t="s">
        <v>71</v>
      </c>
      <c r="C32" s="20">
        <v>12</v>
      </c>
      <c r="D32" s="20" t="s">
        <v>94</v>
      </c>
      <c r="E32" s="22"/>
      <c r="F32" s="23"/>
      <c r="G32" s="20" t="s">
        <v>40</v>
      </c>
      <c r="H32" s="24"/>
    </row>
    <row r="33" spans="1:8" x14ac:dyDescent="0.3">
      <c r="A33" s="20" t="s">
        <v>95</v>
      </c>
      <c r="B33" s="21" t="s">
        <v>71</v>
      </c>
      <c r="C33" s="20">
        <v>1</v>
      </c>
      <c r="D33" s="20" t="s">
        <v>96</v>
      </c>
      <c r="E33" s="22"/>
      <c r="F33" s="23"/>
      <c r="G33" s="20" t="s">
        <v>40</v>
      </c>
      <c r="H33" s="24"/>
    </row>
    <row r="34" spans="1:8" x14ac:dyDescent="0.3">
      <c r="A34" s="20" t="s">
        <v>97</v>
      </c>
      <c r="B34" s="21" t="s">
        <v>71</v>
      </c>
      <c r="C34" s="20">
        <v>42</v>
      </c>
      <c r="D34" s="20" t="s">
        <v>98</v>
      </c>
      <c r="E34" s="22"/>
      <c r="F34" s="23"/>
      <c r="G34" s="20" t="s">
        <v>40</v>
      </c>
      <c r="H34" s="24"/>
    </row>
    <row r="35" spans="1:8" x14ac:dyDescent="0.3">
      <c r="A35" s="20" t="s">
        <v>99</v>
      </c>
      <c r="B35" s="21" t="s">
        <v>71</v>
      </c>
      <c r="C35" s="20">
        <v>1</v>
      </c>
      <c r="D35" s="20" t="s">
        <v>100</v>
      </c>
      <c r="E35" s="22"/>
      <c r="F35" s="23"/>
      <c r="G35" s="20" t="s">
        <v>40</v>
      </c>
      <c r="H35" s="24"/>
    </row>
    <row r="36" spans="1:8" x14ac:dyDescent="0.3">
      <c r="A36" s="20" t="s">
        <v>101</v>
      </c>
      <c r="B36" s="21" t="s">
        <v>71</v>
      </c>
      <c r="C36" s="20">
        <v>42</v>
      </c>
      <c r="D36" s="20" t="s">
        <v>102</v>
      </c>
      <c r="E36" s="22"/>
      <c r="F36" s="23"/>
      <c r="G36" s="20" t="s">
        <v>40</v>
      </c>
      <c r="H36" s="24"/>
    </row>
    <row r="37" spans="1:8" x14ac:dyDescent="0.3">
      <c r="A37" s="20" t="s">
        <v>103</v>
      </c>
      <c r="B37" s="21" t="s">
        <v>71</v>
      </c>
      <c r="C37" s="20">
        <v>1</v>
      </c>
      <c r="D37" s="20" t="s">
        <v>104</v>
      </c>
      <c r="E37" s="22"/>
      <c r="F37" s="23"/>
      <c r="G37" s="20" t="s">
        <v>40</v>
      </c>
      <c r="H37" s="24"/>
    </row>
    <row r="38" spans="1:8" x14ac:dyDescent="0.3">
      <c r="A38" s="20" t="s">
        <v>105</v>
      </c>
      <c r="B38" s="21" t="s">
        <v>71</v>
      </c>
      <c r="C38" s="20">
        <v>42</v>
      </c>
      <c r="D38" s="20" t="s">
        <v>106</v>
      </c>
      <c r="E38" s="22"/>
      <c r="F38" s="23"/>
      <c r="G38" s="20" t="s">
        <v>40</v>
      </c>
      <c r="H38" s="24"/>
    </row>
    <row r="39" spans="1:8" x14ac:dyDescent="0.3">
      <c r="A39" s="20" t="s">
        <v>107</v>
      </c>
      <c r="B39" s="21" t="s">
        <v>71</v>
      </c>
      <c r="C39" s="20">
        <v>1</v>
      </c>
      <c r="D39" s="20" t="s">
        <v>108</v>
      </c>
      <c r="E39" s="22"/>
      <c r="F39" s="23"/>
      <c r="G39" s="20" t="s">
        <v>40</v>
      </c>
      <c r="H39" s="24"/>
    </row>
    <row r="40" spans="1:8" x14ac:dyDescent="0.3">
      <c r="A40" s="20" t="s">
        <v>109</v>
      </c>
      <c r="B40" s="21" t="s">
        <v>71</v>
      </c>
      <c r="C40" s="20">
        <v>42</v>
      </c>
      <c r="D40" s="20" t="s">
        <v>110</v>
      </c>
      <c r="E40" s="22"/>
      <c r="F40" s="23"/>
      <c r="G40" s="20" t="s">
        <v>40</v>
      </c>
      <c r="H40" s="24"/>
    </row>
    <row r="41" spans="1:8" x14ac:dyDescent="0.3">
      <c r="A41" s="20" t="s">
        <v>111</v>
      </c>
      <c r="B41" s="21" t="s">
        <v>71</v>
      </c>
      <c r="C41" s="20">
        <v>1</v>
      </c>
      <c r="D41" s="20" t="s">
        <v>112</v>
      </c>
      <c r="E41" s="22"/>
      <c r="F41" s="23"/>
      <c r="G41" s="20" t="s">
        <v>40</v>
      </c>
      <c r="H41" s="24"/>
    </row>
    <row r="42" spans="1:8" x14ac:dyDescent="0.3">
      <c r="A42" s="20" t="s">
        <v>113</v>
      </c>
      <c r="B42" s="21" t="s">
        <v>71</v>
      </c>
      <c r="C42" s="20">
        <v>42</v>
      </c>
      <c r="D42" s="20" t="s">
        <v>114</v>
      </c>
      <c r="E42" s="22"/>
      <c r="F42" s="23"/>
      <c r="G42" s="20" t="s">
        <v>40</v>
      </c>
      <c r="H42" s="24"/>
    </row>
    <row r="43" spans="1:8" x14ac:dyDescent="0.3">
      <c r="A43" s="20" t="s">
        <v>115</v>
      </c>
      <c r="B43" s="21" t="s">
        <v>71</v>
      </c>
      <c r="C43" s="20">
        <v>1</v>
      </c>
      <c r="D43" s="20" t="s">
        <v>116</v>
      </c>
      <c r="E43" s="22"/>
      <c r="F43" s="23"/>
      <c r="G43" s="20" t="s">
        <v>40</v>
      </c>
      <c r="H43" s="24"/>
    </row>
    <row r="44" spans="1:8" x14ac:dyDescent="0.3">
      <c r="A44" s="20" t="s">
        <v>117</v>
      </c>
      <c r="B44" s="21" t="s">
        <v>71</v>
      </c>
      <c r="C44" s="20">
        <v>42</v>
      </c>
      <c r="D44" s="20" t="s">
        <v>118</v>
      </c>
      <c r="E44" s="22"/>
      <c r="F44" s="23"/>
      <c r="G44" s="20" t="s">
        <v>40</v>
      </c>
      <c r="H44" s="24"/>
    </row>
    <row r="45" spans="1:8" x14ac:dyDescent="0.3">
      <c r="A45" s="20" t="s">
        <v>119</v>
      </c>
      <c r="B45" s="21" t="s">
        <v>71</v>
      </c>
      <c r="C45" s="20">
        <v>1</v>
      </c>
      <c r="D45" s="20" t="s">
        <v>120</v>
      </c>
      <c r="E45" s="22"/>
      <c r="F45" s="23"/>
      <c r="G45" s="20" t="s">
        <v>40</v>
      </c>
      <c r="H45" s="24"/>
    </row>
    <row r="46" spans="1:8" x14ac:dyDescent="0.3">
      <c r="A46" s="20" t="s">
        <v>121</v>
      </c>
      <c r="B46" s="21" t="s">
        <v>71</v>
      </c>
      <c r="C46" s="20">
        <v>42</v>
      </c>
      <c r="D46" s="20" t="s">
        <v>122</v>
      </c>
      <c r="E46" s="22"/>
      <c r="F46" s="23"/>
      <c r="G46" s="20" t="s">
        <v>40</v>
      </c>
      <c r="H46" s="24"/>
    </row>
    <row r="47" spans="1:8" x14ac:dyDescent="0.3">
      <c r="A47" s="20" t="s">
        <v>123</v>
      </c>
      <c r="B47" s="21" t="s">
        <v>71</v>
      </c>
      <c r="C47" s="20">
        <v>1</v>
      </c>
      <c r="D47" s="20" t="s">
        <v>124</v>
      </c>
      <c r="E47" s="22"/>
      <c r="F47" s="23"/>
      <c r="G47" s="20" t="s">
        <v>40</v>
      </c>
      <c r="H47" s="24"/>
    </row>
    <row r="48" spans="1:8" x14ac:dyDescent="0.3">
      <c r="A48" s="20" t="s">
        <v>125</v>
      </c>
      <c r="B48" s="21" t="s">
        <v>71</v>
      </c>
      <c r="C48" s="20">
        <v>42</v>
      </c>
      <c r="D48" s="20" t="s">
        <v>126</v>
      </c>
      <c r="E48" s="22"/>
      <c r="F48" s="23"/>
      <c r="G48" s="20" t="s">
        <v>40</v>
      </c>
      <c r="H48" s="24"/>
    </row>
    <row r="49" spans="1:8" x14ac:dyDescent="0.3">
      <c r="A49" s="20" t="s">
        <v>127</v>
      </c>
      <c r="B49" s="21" t="s">
        <v>128</v>
      </c>
      <c r="C49" s="20">
        <v>1</v>
      </c>
      <c r="D49" s="20" t="s">
        <v>129</v>
      </c>
      <c r="E49" s="22"/>
      <c r="F49" s="23"/>
      <c r="G49" s="20" t="s">
        <v>40</v>
      </c>
      <c r="H49" s="24"/>
    </row>
    <row r="50" spans="1:8" x14ac:dyDescent="0.3">
      <c r="A50" s="20" t="s">
        <v>130</v>
      </c>
      <c r="B50" s="21" t="s">
        <v>128</v>
      </c>
      <c r="C50" s="20">
        <v>42</v>
      </c>
      <c r="D50" s="20" t="s">
        <v>131</v>
      </c>
      <c r="E50" s="22"/>
      <c r="F50" s="23"/>
      <c r="G50" s="20" t="s">
        <v>40</v>
      </c>
      <c r="H50" s="24"/>
    </row>
    <row r="51" spans="1:8" x14ac:dyDescent="0.3">
      <c r="A51" s="20" t="s">
        <v>132</v>
      </c>
      <c r="B51" s="21" t="s">
        <v>128</v>
      </c>
      <c r="C51" s="20">
        <v>1</v>
      </c>
      <c r="D51" s="20" t="s">
        <v>133</v>
      </c>
      <c r="E51" s="22"/>
      <c r="F51" s="23"/>
      <c r="G51" s="20" t="s">
        <v>40</v>
      </c>
      <c r="H51" s="24"/>
    </row>
    <row r="52" spans="1:8" x14ac:dyDescent="0.3">
      <c r="A52" s="20" t="s">
        <v>134</v>
      </c>
      <c r="B52" s="21" t="s">
        <v>128</v>
      </c>
      <c r="C52" s="20">
        <v>42</v>
      </c>
      <c r="D52" s="20" t="s">
        <v>135</v>
      </c>
      <c r="E52" s="22"/>
      <c r="F52" s="23"/>
      <c r="G52" s="20" t="s">
        <v>40</v>
      </c>
      <c r="H52" s="24"/>
    </row>
    <row r="53" spans="1:8" x14ac:dyDescent="0.3">
      <c r="A53" s="20" t="s">
        <v>136</v>
      </c>
      <c r="B53" s="21" t="s">
        <v>128</v>
      </c>
      <c r="C53" s="20">
        <v>1</v>
      </c>
      <c r="D53" s="20" t="s">
        <v>137</v>
      </c>
      <c r="E53" s="22"/>
      <c r="F53" s="23"/>
      <c r="G53" s="20" t="s">
        <v>40</v>
      </c>
      <c r="H53" s="24"/>
    </row>
    <row r="54" spans="1:8" x14ac:dyDescent="0.3">
      <c r="A54" s="20" t="s">
        <v>138</v>
      </c>
      <c r="B54" s="21" t="s">
        <v>128</v>
      </c>
      <c r="C54" s="20">
        <v>42</v>
      </c>
      <c r="D54" s="20" t="s">
        <v>139</v>
      </c>
      <c r="E54" s="22"/>
      <c r="F54" s="23"/>
      <c r="G54" s="20" t="s">
        <v>40</v>
      </c>
      <c r="H54" s="24"/>
    </row>
    <row r="55" spans="1:8" x14ac:dyDescent="0.3">
      <c r="A55" s="20" t="s">
        <v>140</v>
      </c>
      <c r="B55" s="21" t="s">
        <v>128</v>
      </c>
      <c r="C55" s="20">
        <v>1</v>
      </c>
      <c r="D55" s="20" t="s">
        <v>141</v>
      </c>
      <c r="E55" s="22"/>
      <c r="F55" s="23"/>
      <c r="G55" s="20" t="s">
        <v>40</v>
      </c>
      <c r="H55" s="24"/>
    </row>
    <row r="56" spans="1:8" x14ac:dyDescent="0.3">
      <c r="A56" s="20" t="s">
        <v>142</v>
      </c>
      <c r="B56" s="21" t="s">
        <v>128</v>
      </c>
      <c r="C56" s="20">
        <v>42</v>
      </c>
      <c r="D56" s="20" t="s">
        <v>143</v>
      </c>
      <c r="E56" s="22"/>
      <c r="F56" s="23"/>
      <c r="G56" s="20" t="s">
        <v>40</v>
      </c>
      <c r="H56" s="24"/>
    </row>
    <row r="57" spans="1:8" x14ac:dyDescent="0.3">
      <c r="A57" s="20" t="s">
        <v>144</v>
      </c>
      <c r="B57" s="21" t="s">
        <v>128</v>
      </c>
      <c r="C57" s="20">
        <v>1</v>
      </c>
      <c r="D57" s="20" t="s">
        <v>145</v>
      </c>
      <c r="E57" s="22"/>
      <c r="F57" s="23"/>
      <c r="G57" s="20" t="s">
        <v>40</v>
      </c>
      <c r="H57" s="24"/>
    </row>
    <row r="58" spans="1:8" x14ac:dyDescent="0.3">
      <c r="A58" s="20" t="s">
        <v>146</v>
      </c>
      <c r="B58" s="21" t="s">
        <v>128</v>
      </c>
      <c r="C58" s="20">
        <v>42</v>
      </c>
      <c r="D58" s="20" t="s">
        <v>147</v>
      </c>
      <c r="E58" s="22"/>
      <c r="F58" s="23"/>
      <c r="G58" s="20" t="s">
        <v>40</v>
      </c>
      <c r="H58" s="24"/>
    </row>
    <row r="59" spans="1:8" x14ac:dyDescent="0.3">
      <c r="A59" s="20" t="s">
        <v>148</v>
      </c>
      <c r="B59" s="21" t="s">
        <v>128</v>
      </c>
      <c r="C59" s="20">
        <v>1</v>
      </c>
      <c r="D59" s="20" t="s">
        <v>149</v>
      </c>
      <c r="E59" s="22"/>
      <c r="F59" s="23"/>
      <c r="G59" s="20" t="s">
        <v>40</v>
      </c>
      <c r="H59" s="24"/>
    </row>
    <row r="60" spans="1:8" x14ac:dyDescent="0.3">
      <c r="A60" s="20" t="s">
        <v>150</v>
      </c>
      <c r="B60" s="21" t="s">
        <v>128</v>
      </c>
      <c r="C60" s="20">
        <v>42</v>
      </c>
      <c r="D60" s="20" t="s">
        <v>151</v>
      </c>
      <c r="E60" s="22"/>
      <c r="F60" s="23"/>
      <c r="G60" s="20" t="s">
        <v>40</v>
      </c>
      <c r="H60" s="24"/>
    </row>
    <row r="61" spans="1:8" x14ac:dyDescent="0.3">
      <c r="A61" s="20" t="s">
        <v>152</v>
      </c>
      <c r="B61" s="21" t="s">
        <v>128</v>
      </c>
      <c r="C61" s="20">
        <v>1</v>
      </c>
      <c r="D61" s="20" t="s">
        <v>153</v>
      </c>
      <c r="E61" s="22"/>
      <c r="F61" s="23"/>
      <c r="G61" s="20" t="s">
        <v>40</v>
      </c>
      <c r="H61" s="24"/>
    </row>
    <row r="62" spans="1:8" x14ac:dyDescent="0.3">
      <c r="A62" s="20" t="s">
        <v>154</v>
      </c>
      <c r="B62" s="21" t="s">
        <v>128</v>
      </c>
      <c r="C62" s="20">
        <v>42</v>
      </c>
      <c r="D62" s="20" t="s">
        <v>155</v>
      </c>
      <c r="E62" s="22"/>
      <c r="F62" s="23"/>
      <c r="G62" s="20" t="s">
        <v>40</v>
      </c>
      <c r="H62" s="24"/>
    </row>
    <row r="63" spans="1:8" x14ac:dyDescent="0.3">
      <c r="A63" s="20" t="s">
        <v>156</v>
      </c>
      <c r="B63" s="21" t="s">
        <v>128</v>
      </c>
      <c r="C63" s="20">
        <v>1</v>
      </c>
      <c r="D63" s="20" t="s">
        <v>157</v>
      </c>
      <c r="E63" s="22"/>
      <c r="F63" s="23"/>
      <c r="G63" s="20" t="s">
        <v>40</v>
      </c>
      <c r="H63" s="24"/>
    </row>
    <row r="64" spans="1:8" x14ac:dyDescent="0.3">
      <c r="A64" s="20" t="s">
        <v>158</v>
      </c>
      <c r="B64" s="21" t="s">
        <v>128</v>
      </c>
      <c r="C64" s="20">
        <v>42</v>
      </c>
      <c r="D64" s="20" t="s">
        <v>159</v>
      </c>
      <c r="E64" s="22"/>
      <c r="F64" s="23"/>
      <c r="G64" s="20" t="s">
        <v>40</v>
      </c>
      <c r="H64" s="24"/>
    </row>
    <row r="65" spans="1:8" x14ac:dyDescent="0.3">
      <c r="A65" s="20" t="s">
        <v>160</v>
      </c>
      <c r="B65" s="21" t="s">
        <v>128</v>
      </c>
      <c r="C65" s="20">
        <v>1</v>
      </c>
      <c r="D65" s="20" t="s">
        <v>161</v>
      </c>
      <c r="E65" s="22"/>
      <c r="F65" s="23"/>
      <c r="G65" s="20" t="s">
        <v>40</v>
      </c>
      <c r="H65" s="24"/>
    </row>
    <row r="66" spans="1:8" x14ac:dyDescent="0.3">
      <c r="A66" s="20" t="s">
        <v>162</v>
      </c>
      <c r="B66" s="21" t="s">
        <v>128</v>
      </c>
      <c r="C66" s="20">
        <v>42</v>
      </c>
      <c r="D66" s="20" t="s">
        <v>163</v>
      </c>
      <c r="E66" s="22"/>
      <c r="F66" s="23"/>
      <c r="G66" s="20" t="s">
        <v>40</v>
      </c>
      <c r="H66" s="24"/>
    </row>
    <row r="67" spans="1:8" x14ac:dyDescent="0.3">
      <c r="A67" s="20" t="s">
        <v>164</v>
      </c>
      <c r="B67" s="21" t="s">
        <v>128</v>
      </c>
      <c r="C67" s="20">
        <v>1</v>
      </c>
      <c r="D67" s="20" t="s">
        <v>165</v>
      </c>
      <c r="E67" s="22"/>
      <c r="F67" s="23"/>
      <c r="G67" s="20" t="s">
        <v>40</v>
      </c>
      <c r="H67" s="24"/>
    </row>
    <row r="68" spans="1:8" x14ac:dyDescent="0.3">
      <c r="A68" s="20" t="s">
        <v>166</v>
      </c>
      <c r="B68" s="21" t="s">
        <v>128</v>
      </c>
      <c r="C68" s="20">
        <v>42</v>
      </c>
      <c r="D68" s="20" t="s">
        <v>167</v>
      </c>
      <c r="E68" s="22"/>
      <c r="F68" s="23"/>
      <c r="G68" s="20" t="s">
        <v>40</v>
      </c>
      <c r="H68" s="24"/>
    </row>
    <row r="69" spans="1:8" x14ac:dyDescent="0.3">
      <c r="A69" s="20" t="s">
        <v>168</v>
      </c>
      <c r="B69" s="21" t="s">
        <v>128</v>
      </c>
      <c r="C69" s="20">
        <v>1</v>
      </c>
      <c r="D69" s="20" t="s">
        <v>169</v>
      </c>
      <c r="E69" s="22"/>
      <c r="F69" s="23"/>
      <c r="G69" s="20" t="s">
        <v>40</v>
      </c>
      <c r="H69" s="24"/>
    </row>
    <row r="70" spans="1:8" x14ac:dyDescent="0.3">
      <c r="A70" s="20" t="s">
        <v>170</v>
      </c>
      <c r="B70" s="21" t="s">
        <v>128</v>
      </c>
      <c r="C70" s="20">
        <v>42</v>
      </c>
      <c r="D70" s="20" t="s">
        <v>171</v>
      </c>
      <c r="E70" s="22"/>
      <c r="F70" s="23"/>
      <c r="G70" s="20" t="s">
        <v>40</v>
      </c>
      <c r="H70" s="24"/>
    </row>
    <row r="71" spans="1:8" x14ac:dyDescent="0.3">
      <c r="A71" s="20" t="s">
        <v>172</v>
      </c>
      <c r="B71" s="21" t="s">
        <v>128</v>
      </c>
      <c r="C71" s="20">
        <v>1</v>
      </c>
      <c r="D71" s="20" t="s">
        <v>173</v>
      </c>
      <c r="E71" s="22"/>
      <c r="F71" s="23"/>
      <c r="G71" s="20" t="s">
        <v>40</v>
      </c>
      <c r="H71" s="24"/>
    </row>
    <row r="72" spans="1:8" x14ac:dyDescent="0.3">
      <c r="A72" s="20" t="s">
        <v>174</v>
      </c>
      <c r="B72" s="21" t="s">
        <v>128</v>
      </c>
      <c r="C72" s="20">
        <v>42</v>
      </c>
      <c r="D72" s="20" t="s">
        <v>175</v>
      </c>
      <c r="E72" s="22"/>
      <c r="F72" s="23"/>
      <c r="G72" s="20" t="s">
        <v>40</v>
      </c>
      <c r="H72" s="24"/>
    </row>
    <row r="73" spans="1:8" x14ac:dyDescent="0.3">
      <c r="A73" s="20" t="s">
        <v>176</v>
      </c>
      <c r="B73" s="21" t="s">
        <v>128</v>
      </c>
      <c r="C73" s="20">
        <v>1</v>
      </c>
      <c r="D73" s="20" t="s">
        <v>177</v>
      </c>
      <c r="E73" s="22"/>
      <c r="F73" s="23"/>
      <c r="G73" s="20" t="s">
        <v>40</v>
      </c>
      <c r="H73" s="24"/>
    </row>
    <row r="74" spans="1:8" x14ac:dyDescent="0.3">
      <c r="A74" s="20" t="s">
        <v>178</v>
      </c>
      <c r="B74" s="21" t="s">
        <v>128</v>
      </c>
      <c r="C74" s="20">
        <v>42</v>
      </c>
      <c r="D74" s="20" t="s">
        <v>179</v>
      </c>
      <c r="E74" s="22"/>
      <c r="F74" s="23"/>
      <c r="G74" s="20" t="s">
        <v>40</v>
      </c>
      <c r="H74" s="24"/>
    </row>
    <row r="75" spans="1:8" x14ac:dyDescent="0.3">
      <c r="A75" s="20" t="s">
        <v>180</v>
      </c>
      <c r="B75" s="21" t="s">
        <v>128</v>
      </c>
      <c r="C75" s="20">
        <v>1</v>
      </c>
      <c r="D75" s="20" t="s">
        <v>181</v>
      </c>
      <c r="E75" s="22"/>
      <c r="F75" s="23"/>
      <c r="G75" s="20" t="s">
        <v>40</v>
      </c>
      <c r="H75" s="24"/>
    </row>
    <row r="76" spans="1:8" x14ac:dyDescent="0.3">
      <c r="A76" s="20" t="s">
        <v>182</v>
      </c>
      <c r="B76" s="21" t="s">
        <v>128</v>
      </c>
      <c r="C76" s="20">
        <v>42</v>
      </c>
      <c r="D76" s="20" t="s">
        <v>183</v>
      </c>
      <c r="E76" s="22"/>
      <c r="F76" s="23"/>
      <c r="G76" s="20" t="s">
        <v>40</v>
      </c>
      <c r="H76" s="24"/>
    </row>
    <row r="77" spans="1:8" x14ac:dyDescent="0.3">
      <c r="A77" s="20" t="s">
        <v>184</v>
      </c>
      <c r="B77" s="21" t="s">
        <v>128</v>
      </c>
      <c r="C77" s="20">
        <v>1</v>
      </c>
      <c r="D77" s="20" t="s">
        <v>185</v>
      </c>
      <c r="E77" s="22"/>
      <c r="F77" s="23"/>
      <c r="G77" s="20" t="s">
        <v>40</v>
      </c>
      <c r="H77" s="24"/>
    </row>
    <row r="78" spans="1:8" x14ac:dyDescent="0.3">
      <c r="A78" s="20" t="s">
        <v>186</v>
      </c>
      <c r="B78" s="21" t="s">
        <v>128</v>
      </c>
      <c r="C78" s="20">
        <v>42</v>
      </c>
      <c r="D78" s="20" t="s">
        <v>187</v>
      </c>
      <c r="E78" s="22"/>
      <c r="F78" s="23"/>
      <c r="G78" s="20" t="s">
        <v>40</v>
      </c>
      <c r="H78" s="24"/>
    </row>
    <row r="79" spans="1:8" x14ac:dyDescent="0.3">
      <c r="A79" s="20" t="s">
        <v>188</v>
      </c>
      <c r="B79" s="21" t="s">
        <v>128</v>
      </c>
      <c r="C79" s="20">
        <v>1</v>
      </c>
      <c r="D79" s="20" t="s">
        <v>189</v>
      </c>
      <c r="E79" s="22"/>
      <c r="F79" s="23"/>
      <c r="G79" s="20" t="s">
        <v>40</v>
      </c>
      <c r="H79" s="24"/>
    </row>
    <row r="80" spans="1:8" x14ac:dyDescent="0.3">
      <c r="A80" s="20" t="s">
        <v>190</v>
      </c>
      <c r="B80" s="21" t="s">
        <v>128</v>
      </c>
      <c r="C80" s="20">
        <v>42</v>
      </c>
      <c r="D80" s="20" t="s">
        <v>191</v>
      </c>
      <c r="E80" s="22"/>
      <c r="F80" s="23"/>
      <c r="G80" s="20" t="s">
        <v>40</v>
      </c>
      <c r="H80" s="24"/>
    </row>
    <row r="81" spans="1:8" x14ac:dyDescent="0.3">
      <c r="A81" s="20" t="s">
        <v>192</v>
      </c>
      <c r="B81" s="21" t="s">
        <v>128</v>
      </c>
      <c r="C81" s="20">
        <v>1</v>
      </c>
      <c r="D81" s="20" t="s">
        <v>193</v>
      </c>
      <c r="E81" s="22"/>
      <c r="F81" s="23"/>
      <c r="G81" s="20" t="s">
        <v>40</v>
      </c>
      <c r="H81" s="24"/>
    </row>
    <row r="82" spans="1:8" x14ac:dyDescent="0.3">
      <c r="A82" s="25" t="s">
        <v>194</v>
      </c>
      <c r="B82" s="26" t="s">
        <v>128</v>
      </c>
      <c r="C82" s="25">
        <v>42</v>
      </c>
      <c r="D82" s="25" t="s">
        <v>195</v>
      </c>
      <c r="E82" s="27"/>
      <c r="F82" s="28"/>
      <c r="G82" s="25" t="s">
        <v>40</v>
      </c>
      <c r="H82" s="29"/>
    </row>
    <row r="83" spans="1:8" x14ac:dyDescent="0.3">
      <c r="A83" s="9"/>
      <c r="B83" s="10"/>
      <c r="C83" s="10"/>
      <c r="D83" s="10"/>
      <c r="E83" s="10"/>
      <c r="F83" s="10"/>
      <c r="G83" s="10"/>
      <c r="H83" s="11"/>
    </row>
    <row r="84" spans="1:8" x14ac:dyDescent="0.3">
      <c r="A84" s="12" t="s">
        <v>196</v>
      </c>
      <c r="B84" s="13"/>
      <c r="C84" s="13"/>
      <c r="D84" s="13"/>
      <c r="E84" s="13"/>
      <c r="F84" s="13"/>
      <c r="G84" s="13"/>
      <c r="H84" s="14"/>
    </row>
    <row r="85" spans="1:8" x14ac:dyDescent="0.3">
      <c r="A85" s="15" t="s">
        <v>197</v>
      </c>
      <c r="B85" s="16" t="s">
        <v>54</v>
      </c>
      <c r="C85" s="15">
        <v>1</v>
      </c>
      <c r="D85" s="15" t="s">
        <v>198</v>
      </c>
      <c r="E85" s="17"/>
      <c r="F85" s="18"/>
      <c r="G85" s="15" t="s">
        <v>40</v>
      </c>
      <c r="H85" s="19"/>
    </row>
    <row r="86" spans="1:8" x14ac:dyDescent="0.3">
      <c r="A86" s="25" t="s">
        <v>199</v>
      </c>
      <c r="B86" s="26" t="s">
        <v>54</v>
      </c>
      <c r="C86" s="25">
        <v>5</v>
      </c>
      <c r="D86" s="25" t="s">
        <v>200</v>
      </c>
      <c r="E86" s="27"/>
      <c r="F86" s="28"/>
      <c r="G86" s="25" t="s">
        <v>40</v>
      </c>
      <c r="H86" s="29"/>
    </row>
  </sheetData>
  <sheetProtection algorithmName="SHA-512" hashValue="xPLgUmySlUt0/5aGghr53wQVVF6pchxJhj16YTcyuy5OPjWljvU9aRB1NIp3Mje1UMzclivt6j6fi8u9a2/Xrg==" saltValue="CebytqiuHAu47Dp3EnzMkg==" spinCount="100000" sheet="1" objects="1" scenarios="1"/>
  <pageMargins left="0.7" right="0.7" top="0.75" bottom="0.75" header="0.3" footer="0.3"/>
  <pageSetup paperSize="9" scale="70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8C59-9296-464C-807D-E45F4435AB5B}">
  <dimension ref="A1:N6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4" x14ac:dyDescent="0.3"/>
  <cols>
    <col min="1" max="1" width="7.77734375" customWidth="1"/>
    <col min="2" max="2" width="6.77734375" customWidth="1"/>
    <col min="3" max="3" width="12.77734375" customWidth="1"/>
    <col min="4" max="4" width="35.77734375" customWidth="1"/>
    <col min="5" max="5" width="12.77734375" customWidth="1"/>
    <col min="6" max="8" width="11.77734375" customWidth="1"/>
    <col min="9" max="9" width="9.77734375" customWidth="1"/>
    <col min="10" max="12" width="11.77734375" customWidth="1"/>
    <col min="13" max="13" width="12.77734375" customWidth="1"/>
    <col min="14" max="14" width="14.77734375" customWidth="1"/>
  </cols>
  <sheetData>
    <row r="1" spans="1:14" x14ac:dyDescent="0.3">
      <c r="A1" s="1" t="str">
        <f>CONCATENATE("Bijlage G.1.2: ",tabeltype," regulier werk")</f>
        <v>Bijlage G.1.2: Invultabel regulier werk</v>
      </c>
    </row>
    <row r="3" spans="1:14" ht="43.2" x14ac:dyDescent="0.3">
      <c r="A3" s="8" t="s">
        <v>201</v>
      </c>
      <c r="B3" s="8" t="s">
        <v>7</v>
      </c>
      <c r="C3" s="8" t="s">
        <v>202</v>
      </c>
      <c r="D3" s="8" t="s">
        <v>31</v>
      </c>
      <c r="E3" s="8" t="s">
        <v>203</v>
      </c>
      <c r="F3" s="8" t="s">
        <v>204</v>
      </c>
      <c r="G3" s="8" t="s">
        <v>32</v>
      </c>
      <c r="H3" s="8" t="s">
        <v>33</v>
      </c>
      <c r="I3" s="8" t="s">
        <v>34</v>
      </c>
      <c r="J3" s="8" t="s">
        <v>35</v>
      </c>
      <c r="K3" s="8" t="s">
        <v>205</v>
      </c>
      <c r="L3" s="8" t="s">
        <v>206</v>
      </c>
      <c r="M3" s="8" t="s">
        <v>207</v>
      </c>
      <c r="N3" s="8" t="s">
        <v>208</v>
      </c>
    </row>
    <row r="4" spans="1:14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3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3">
      <c r="A6" s="15" t="s">
        <v>209</v>
      </c>
      <c r="B6" s="15" t="s">
        <v>17</v>
      </c>
      <c r="C6" s="15" t="s">
        <v>210</v>
      </c>
      <c r="D6" s="15" t="s">
        <v>211</v>
      </c>
      <c r="E6" s="30">
        <v>1127.4099999999999</v>
      </c>
      <c r="F6" s="30">
        <f t="shared" ref="F6:F49" si="0">E6*VLOOKUP(B6,dagsoorttabel1,2,FALSE)</f>
        <v>225.48199999999997</v>
      </c>
      <c r="G6" s="31">
        <f>IF(AND(catpn_1_BKHB_1&gt;0,catpn_1_BKHV_42&gt;0),(dagenperjaar1*VLOOKUP(B6,dagsoorttabel1,2,FALSE))/(((dagenperjaar1*VLOOKUP(B6,dagsoorttabel1,2,FALSE))-catfd_1_BKHV_42)/catpn_1_BKHB_1+catfd_1_BKHV_42/catpn_1_BKHV_42),0)</f>
        <v>0</v>
      </c>
      <c r="H6" s="32">
        <f>IF(AND(catpn_1_BKHB_1&gt;0,catpn_1_BKHV_42&gt;0),(catdw_1_BKHB_1*((dagenperjaar1-VLOOKUP(B6,dagsoorttabel1,2,FALSE))-catfd_1_BKHV_42)/catpn_1_BKHB_1+catdw_1_BKHV_42*catfd_1_BKHV_42/catpn_1_BKHV_42)/(((dagenperjaar1-VLOOKUP(B6,dagsoorttabel1,2,FALSE))-catfd_1_BKHV_42)/catpn_1_BKHB_1+catfd_1_BKHV_42/catpn_1_BKHV_42),0)</f>
        <v>0</v>
      </c>
      <c r="I6" s="15" t="s">
        <v>40</v>
      </c>
      <c r="J6" s="33">
        <f>IF(AND(catpn_1_BKHB_1&gt;0,catpn_1_BKHV_42&gt;0),(cattf_1_BKHB_1*((dagenperjaar1*VLOOKUP(B6,dagsoorttabel1,2,FALSE))-catfd_1_BKHV_42)/catpn_1_BKHB_1+cattf_1_BKHV_42*catfd_1_BKHV_42/catpn_1_BKHV_42)/(((dagenperjaar1*VLOOKUP(B6,dagsoorttabel1,2,FALSE))-catfd_1_BKHV_42)/catpn_1_BKHB_1+catfd_1_BKHV_42/catpn_1_BKHV_42),0)</f>
        <v>0</v>
      </c>
      <c r="K6" s="30">
        <f t="shared" ref="K6:K45" si="1">IF(OR(ISBLANK(G6),G6=0),0,F6/ROUND(G6,4))</f>
        <v>0</v>
      </c>
      <c r="L6" s="33">
        <f t="shared" ref="L6:L49" si="2">ROUND(J6,2)*K6</f>
        <v>0</v>
      </c>
      <c r="M6" s="30">
        <f t="shared" ref="M6:M49" si="3">K6*dagenperjaar1</f>
        <v>0</v>
      </c>
      <c r="N6" s="33">
        <f t="shared" ref="N6:N49" si="4">M6*ROUND(J6,2)</f>
        <v>0</v>
      </c>
    </row>
    <row r="7" spans="1:14" x14ac:dyDescent="0.3">
      <c r="A7" s="20" t="s">
        <v>212</v>
      </c>
      <c r="B7" s="20" t="s">
        <v>17</v>
      </c>
      <c r="C7" s="20" t="s">
        <v>210</v>
      </c>
      <c r="D7" s="20" t="s">
        <v>213</v>
      </c>
      <c r="E7" s="34">
        <v>3032.3500000000008</v>
      </c>
      <c r="F7" s="34">
        <f t="shared" si="0"/>
        <v>606.47000000000014</v>
      </c>
      <c r="G7" s="35">
        <f>IF(AND(catpn_1_BKZB_1&gt;0,catpn_1_BKZV_42&gt;0),(dagenperjaar1*VLOOKUP(B7,dagsoorttabel1,2,FALSE))/(((dagenperjaar1*VLOOKUP(B7,dagsoorttabel1,2,FALSE))-catfd_1_BKZV_42)/catpn_1_BKZB_1+catfd_1_BKZV_42/catpn_1_BKZV_42),0)</f>
        <v>0</v>
      </c>
      <c r="H7" s="36">
        <f>IF(AND(catpn_1_BKZB_1&gt;0,catpn_1_BKZV_42&gt;0),(catdw_1_BKZB_1*((dagenperjaar1-VLOOKUP(B7,dagsoorttabel1,2,FALSE))-catfd_1_BKZV_42)/catpn_1_BKZB_1+catdw_1_BKZV_42*catfd_1_BKZV_42/catpn_1_BKZV_42)/(((dagenperjaar1-VLOOKUP(B7,dagsoorttabel1,2,FALSE))-catfd_1_BKZV_42)/catpn_1_BKZB_1+catfd_1_BKZV_42/catpn_1_BKZV_42),0)</f>
        <v>0</v>
      </c>
      <c r="I7" s="20" t="s">
        <v>40</v>
      </c>
      <c r="J7" s="37">
        <f>IF(AND(catpn_1_BKZB_1&gt;0,catpn_1_BKZV_42&gt;0),(cattf_1_BKZB_1*((dagenperjaar1*VLOOKUP(B7,dagsoorttabel1,2,FALSE))-catfd_1_BKZV_42)/catpn_1_BKZB_1+cattf_1_BKZV_42*catfd_1_BKZV_42/catpn_1_BKZV_42)/(((dagenperjaar1*VLOOKUP(B7,dagsoorttabel1,2,FALSE))-catfd_1_BKZV_42)/catpn_1_BKZB_1+catfd_1_BKZV_42/catpn_1_BKZV_42)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3">
      <c r="A8" s="20" t="s">
        <v>214</v>
      </c>
      <c r="B8" s="20" t="s">
        <v>14</v>
      </c>
      <c r="C8" s="20" t="s">
        <v>210</v>
      </c>
      <c r="D8" s="20" t="s">
        <v>215</v>
      </c>
      <c r="E8" s="34">
        <v>531.41</v>
      </c>
      <c r="F8" s="34">
        <f t="shared" si="0"/>
        <v>318.84599999999995</v>
      </c>
      <c r="G8" s="35">
        <f>IF(AND(catpn_1_BVHB_1&gt;0,catpn_1_BVHV_42&gt;0),(dagenperjaar1*VLOOKUP(B8,dagsoorttabel1,2,FALSE))/(((dagenperjaar1*VLOOKUP(B8,dagsoorttabel1,2,FALSE))-catfd_1_BVHV_42)/catpn_1_BVHB_1+catfd_1_BVHV_42/catpn_1_BVHV_42),0)</f>
        <v>0</v>
      </c>
      <c r="H8" s="36">
        <f>IF(AND(catpn_1_BVHB_1&gt;0,catpn_1_BVHV_42&gt;0),(catdw_1_BVHB_1*((dagenperjaar1-VLOOKUP(B8,dagsoorttabel1,2,FALSE))-catfd_1_BVHV_42)/catpn_1_BVHB_1+catdw_1_BVHV_42*catfd_1_BVHV_42/catpn_1_BVHV_42)/(((dagenperjaar1-VLOOKUP(B8,dagsoorttabel1,2,FALSE))-catfd_1_BVHV_42)/catpn_1_BVHB_1+catfd_1_BVHV_42/catpn_1_BVHV_42),0)</f>
        <v>0</v>
      </c>
      <c r="I8" s="20" t="s">
        <v>40</v>
      </c>
      <c r="J8" s="37">
        <f>IF(AND(catpn_1_BVHB_1&gt;0,catpn_1_BVHV_42&gt;0),(cattf_1_BVHB_1*((dagenperjaar1*VLOOKUP(B8,dagsoorttabel1,2,FALSE))-catfd_1_BVHV_42)/catpn_1_BVHB_1+cattf_1_BVHV_42*catfd_1_BVHV_42/catpn_1_BVHV_42)/(((dagenperjaar1*VLOOKUP(B8,dagsoorttabel1,2,FALSE))-catfd_1_BVHV_42)/catpn_1_BVHB_1+catfd_1_BVHV_42/catpn_1_BVHV_42)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3">
      <c r="A9" s="20" t="s">
        <v>216</v>
      </c>
      <c r="B9" s="20" t="s">
        <v>14</v>
      </c>
      <c r="C9" s="20" t="s">
        <v>210</v>
      </c>
      <c r="D9" s="20" t="s">
        <v>217</v>
      </c>
      <c r="E9" s="34">
        <v>1078.8300000000002</v>
      </c>
      <c r="F9" s="34">
        <f t="shared" si="0"/>
        <v>647.29800000000012</v>
      </c>
      <c r="G9" s="35">
        <f>IF(AND(catpn_1_BVZB_1&gt;0,catpn_1_BVZV_42&gt;0),(dagenperjaar1*VLOOKUP(B9,dagsoorttabel1,2,FALSE))/(((dagenperjaar1*VLOOKUP(B9,dagsoorttabel1,2,FALSE))-catfd_1_BVZV_42)/catpn_1_BVZB_1+catfd_1_BVZV_42/catpn_1_BVZV_42),0)</f>
        <v>0</v>
      </c>
      <c r="H9" s="36">
        <f>IF(AND(catpn_1_BVZB_1&gt;0,catpn_1_BVZV_42&gt;0),(catdw_1_BVZB_1*((dagenperjaar1-VLOOKUP(B9,dagsoorttabel1,2,FALSE))-catfd_1_BVZV_42)/catpn_1_BVZB_1+catdw_1_BVZV_42*catfd_1_BVZV_42/catpn_1_BVZV_42)/(((dagenperjaar1-VLOOKUP(B9,dagsoorttabel1,2,FALSE))-catfd_1_BVZV_42)/catpn_1_BVZB_1+catfd_1_BVZV_42/catpn_1_BVZV_42),0)</f>
        <v>0</v>
      </c>
      <c r="I9" s="20" t="s">
        <v>40</v>
      </c>
      <c r="J9" s="37">
        <f>IF(AND(catpn_1_BVZB_1&gt;0,catpn_1_BVZV_42&gt;0),(cattf_1_BVZB_1*((dagenperjaar1*VLOOKUP(B9,dagsoorttabel1,2,FALSE))-catfd_1_BVZV_42)/catpn_1_BVZB_1+cattf_1_BVZV_42*catfd_1_BVZV_42/catpn_1_BVZV_42)/(((dagenperjaar1*VLOOKUP(B9,dagsoorttabel1,2,FALSE))-catfd_1_BVZV_42)/catpn_1_BVZB_1+catfd_1_BVZV_42/catpn_1_BVZV_42)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3">
      <c r="A10" s="20" t="s">
        <v>218</v>
      </c>
      <c r="B10" s="20" t="s">
        <v>11</v>
      </c>
      <c r="C10" s="20" t="s">
        <v>210</v>
      </c>
      <c r="D10" s="20" t="s">
        <v>219</v>
      </c>
      <c r="E10" s="34">
        <v>529.48</v>
      </c>
      <c r="F10" s="34">
        <f t="shared" si="0"/>
        <v>529.48</v>
      </c>
      <c r="G10" s="35">
        <f>IF(AND(catpn_1_GSHB_1&gt;0,catpn_1_GSHV_42&gt;0),(dagenperjaar1*VLOOKUP(B10,dagsoorttabel1,2,FALSE))/(((dagenperjaar1*VLOOKUP(B10,dagsoorttabel1,2,FALSE))-catfd_1_GSHV_42)/catpn_1_GSHB_1+catfd_1_GSHV_42/catpn_1_GSHV_42),0)</f>
        <v>0</v>
      </c>
      <c r="H10" s="36">
        <f>IF(AND(catpn_1_GSHB_1&gt;0,catpn_1_GSHV_42&gt;0),(catdw_1_GSHB_1*((dagenperjaar1-VLOOKUP(B10,dagsoorttabel1,2,FALSE))-catfd_1_GSHV_42)/catpn_1_GSHB_1+catdw_1_GSHV_42*catfd_1_GSHV_42/catpn_1_GSHV_42)/(((dagenperjaar1-VLOOKUP(B10,dagsoorttabel1,2,FALSE))-catfd_1_GSHV_42)/catpn_1_GSHB_1+catfd_1_GSHV_42/catpn_1_GSHV_42),0)</f>
        <v>0</v>
      </c>
      <c r="I10" s="20" t="s">
        <v>40</v>
      </c>
      <c r="J10" s="37">
        <f>IF(AND(catpn_1_GSHB_1&gt;0,catpn_1_GSHV_42&gt;0),(cattf_1_GSHB_1*((dagenperjaar1*VLOOKUP(B10,dagsoorttabel1,2,FALSE))-catfd_1_GSHV_42)/catpn_1_GSHB_1+cattf_1_GSHV_42*catfd_1_GSHV_42/catpn_1_GSHV_42)/(((dagenperjaar1*VLOOKUP(B10,dagsoorttabel1,2,FALSE))-catfd_1_GSHV_42)/catpn_1_GSHB_1+catfd_1_GSHV_42/catpn_1_GSHV_42)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3">
      <c r="A11" s="20" t="s">
        <v>220</v>
      </c>
      <c r="B11" s="20" t="s">
        <v>11</v>
      </c>
      <c r="C11" s="20" t="s">
        <v>210</v>
      </c>
      <c r="D11" s="20" t="s">
        <v>221</v>
      </c>
      <c r="E11" s="34">
        <v>2618.0999999999995</v>
      </c>
      <c r="F11" s="34">
        <f t="shared" si="0"/>
        <v>2618.0999999999995</v>
      </c>
      <c r="G11" s="35">
        <f>IF(AND(catpn_1_KAHB_1&gt;0,catpn_1_KAHV_42&gt;0),(dagenperjaar1*VLOOKUP(B11,dagsoorttabel1,2,FALSE))/(((dagenperjaar1*VLOOKUP(B11,dagsoorttabel1,2,FALSE))-catfd_1_KAHV_42)/catpn_1_KAHB_1+catfd_1_KAHV_42/catpn_1_KAHV_42),0)</f>
        <v>0</v>
      </c>
      <c r="H11" s="36">
        <f>IF(AND(catpn_1_KAHB_1&gt;0,catpn_1_KAHV_42&gt;0),(catdw_1_KAHB_1*((dagenperjaar1-VLOOKUP(B11,dagsoorttabel1,2,FALSE))-catfd_1_KAHV_42)/catpn_1_KAHB_1+catdw_1_KAHV_42*catfd_1_KAHV_42/catpn_1_KAHV_42)/(((dagenperjaar1-VLOOKUP(B11,dagsoorttabel1,2,FALSE))-catfd_1_KAHV_42)/catpn_1_KAHB_1+catfd_1_KAHV_42/catpn_1_KAHV_42),0)</f>
        <v>0</v>
      </c>
      <c r="I11" s="20" t="s">
        <v>40</v>
      </c>
      <c r="J11" s="37">
        <f>IF(AND(catpn_1_KAHB_1&gt;0,catpn_1_KAHV_42&gt;0),(cattf_1_KAHB_1*((dagenperjaar1*VLOOKUP(B11,dagsoorttabel1,2,FALSE))-catfd_1_KAHV_42)/catpn_1_KAHB_1+cattf_1_KAHV_42*catfd_1_KAHV_42/catpn_1_KAHV_42)/(((dagenperjaar1*VLOOKUP(B11,dagsoorttabel1,2,FALSE))-catfd_1_KAHV_42)/catpn_1_KAHB_1+catfd_1_KAHV_42/catpn_1_KAHV_42)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3">
      <c r="A12" s="20" t="s">
        <v>222</v>
      </c>
      <c r="B12" s="20" t="s">
        <v>11</v>
      </c>
      <c r="C12" s="20" t="s">
        <v>210</v>
      </c>
      <c r="D12" s="20" t="s">
        <v>223</v>
      </c>
      <c r="E12" s="34">
        <v>73.87</v>
      </c>
      <c r="F12" s="34">
        <f t="shared" si="0"/>
        <v>73.87</v>
      </c>
      <c r="G12" s="35">
        <f>IF(AND(catpn_1_KAZB_1&gt;0,catpn_1_KAZV_42&gt;0),(dagenperjaar1*VLOOKUP(B12,dagsoorttabel1,2,FALSE))/(((dagenperjaar1*VLOOKUP(B12,dagsoorttabel1,2,FALSE))-catfd_1_KAZV_42)/catpn_1_KAZB_1+catfd_1_KAZV_42/catpn_1_KAZV_42),0)</f>
        <v>0</v>
      </c>
      <c r="H12" s="36">
        <f>IF(AND(catpn_1_KAZB_1&gt;0,catpn_1_KAZV_42&gt;0),(catdw_1_KAZB_1*((dagenperjaar1-VLOOKUP(B12,dagsoorttabel1,2,FALSE))-catfd_1_KAZV_42)/catpn_1_KAZB_1+catdw_1_KAZV_42*catfd_1_KAZV_42/catpn_1_KAZV_42)/(((dagenperjaar1-VLOOKUP(B12,dagsoorttabel1,2,FALSE))-catfd_1_KAZV_42)/catpn_1_KAZB_1+catfd_1_KAZV_42/catpn_1_KAZV_42),0)</f>
        <v>0</v>
      </c>
      <c r="I12" s="20" t="s">
        <v>40</v>
      </c>
      <c r="J12" s="37">
        <f>IF(AND(catpn_1_KAZB_1&gt;0,catpn_1_KAZV_42&gt;0),(cattf_1_KAZB_1*((dagenperjaar1*VLOOKUP(B12,dagsoorttabel1,2,FALSE))-catfd_1_KAZV_42)/catpn_1_KAZB_1+cattf_1_KAZV_42*catfd_1_KAZV_42/catpn_1_KAZV_42)/(((dagenperjaar1*VLOOKUP(B12,dagsoorttabel1,2,FALSE))-catfd_1_KAZV_42)/catpn_1_KAZB_1+catfd_1_KAZV_42/catpn_1_KAZV_42)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3">
      <c r="A13" s="20" t="s">
        <v>224</v>
      </c>
      <c r="B13" s="20" t="s">
        <v>14</v>
      </c>
      <c r="C13" s="20" t="s">
        <v>210</v>
      </c>
      <c r="D13" s="20" t="s">
        <v>225</v>
      </c>
      <c r="E13" s="34">
        <v>1158</v>
      </c>
      <c r="F13" s="34">
        <f t="shared" si="0"/>
        <v>694.8</v>
      </c>
      <c r="G13" s="35">
        <f>IF(AND(catpn_1_KDHB_1&gt;0,catpn_1_KDHV_42&gt;0),(dagenperjaar1*VLOOKUP(B13,dagsoorttabel1,2,FALSE))/(((dagenperjaar1*VLOOKUP(B13,dagsoorttabel1,2,FALSE))-catfd_1_KDHV_42)/catpn_1_KDHB_1+catfd_1_KDHV_42/catpn_1_KDHV_42),0)</f>
        <v>0</v>
      </c>
      <c r="H13" s="36">
        <f>IF(AND(catpn_1_KDHB_1&gt;0,catpn_1_KDHV_42&gt;0),(catdw_1_KDHB_1*((dagenperjaar1-VLOOKUP(B13,dagsoorttabel1,2,FALSE))-catfd_1_KDHV_42)/catpn_1_KDHB_1+catdw_1_KDHV_42*catfd_1_KDHV_42/catpn_1_KDHV_42)/(((dagenperjaar1-VLOOKUP(B13,dagsoorttabel1,2,FALSE))-catfd_1_KDHV_42)/catpn_1_KDHB_1+catfd_1_KDHV_42/catpn_1_KDHV_42),0)</f>
        <v>0</v>
      </c>
      <c r="I13" s="20" t="s">
        <v>40</v>
      </c>
      <c r="J13" s="37">
        <f>IF(AND(catpn_1_KDHB_1&gt;0,catpn_1_KDHV_42&gt;0),(cattf_1_KDHB_1*((dagenperjaar1*VLOOKUP(B13,dagsoorttabel1,2,FALSE))-catfd_1_KDHV_42)/catpn_1_KDHB_1+cattf_1_KDHV_42*catfd_1_KDHV_42/catpn_1_KDHV_42)/(((dagenperjaar1*VLOOKUP(B13,dagsoorttabel1,2,FALSE))-catfd_1_KDHV_42)/catpn_1_KDHB_1+catfd_1_KDHV_42/catpn_1_KDHV_42)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3">
      <c r="A14" s="20" t="s">
        <v>226</v>
      </c>
      <c r="B14" s="20" t="s">
        <v>14</v>
      </c>
      <c r="C14" s="20" t="s">
        <v>210</v>
      </c>
      <c r="D14" s="20" t="s">
        <v>227</v>
      </c>
      <c r="E14" s="34">
        <v>689.02</v>
      </c>
      <c r="F14" s="34">
        <f t="shared" si="0"/>
        <v>413.41199999999998</v>
      </c>
      <c r="G14" s="35">
        <f>IF(AND(catpn_1_KDZB_1&gt;0,catpn_1_KDZV_42&gt;0),(dagenperjaar1*VLOOKUP(B14,dagsoorttabel1,2,FALSE))/(((dagenperjaar1*VLOOKUP(B14,dagsoorttabel1,2,FALSE))-catfd_1_KDZV_42)/catpn_1_KDZB_1+catfd_1_KDZV_42/catpn_1_KDZV_42),0)</f>
        <v>0</v>
      </c>
      <c r="H14" s="36">
        <f>IF(AND(catpn_1_KDZB_1&gt;0,catpn_1_KDZV_42&gt;0),(catdw_1_KDZB_1*((dagenperjaar1-VLOOKUP(B14,dagsoorttabel1,2,FALSE))-catfd_1_KDZV_42)/catpn_1_KDZB_1+catdw_1_KDZV_42*catfd_1_KDZV_42/catpn_1_KDZV_42)/(((dagenperjaar1-VLOOKUP(B14,dagsoorttabel1,2,FALSE))-catfd_1_KDZV_42)/catpn_1_KDZB_1+catfd_1_KDZV_42/catpn_1_KDZV_42),0)</f>
        <v>0</v>
      </c>
      <c r="I14" s="20" t="s">
        <v>40</v>
      </c>
      <c r="J14" s="37">
        <f>IF(AND(catpn_1_KDZB_1&gt;0,catpn_1_KDZV_42&gt;0),(cattf_1_KDZB_1*((dagenperjaar1*VLOOKUP(B14,dagsoorttabel1,2,FALSE))-catfd_1_KDZV_42)/catpn_1_KDZB_1+cattf_1_KDZV_42*catfd_1_KDZV_42/catpn_1_KDZV_42)/(((dagenperjaar1*VLOOKUP(B14,dagsoorttabel1,2,FALSE))-catfd_1_KDZV_42)/catpn_1_KDZB_1+catfd_1_KDZV_42/catpn_1_KDZV_42)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3">
      <c r="A15" s="20" t="s">
        <v>228</v>
      </c>
      <c r="B15" s="20" t="s">
        <v>11</v>
      </c>
      <c r="C15" s="20" t="s">
        <v>210</v>
      </c>
      <c r="D15" s="20" t="s">
        <v>229</v>
      </c>
      <c r="E15" s="34">
        <v>61.57</v>
      </c>
      <c r="F15" s="34">
        <f t="shared" si="0"/>
        <v>61.57</v>
      </c>
      <c r="G15" s="35">
        <f>IF(AND(catpn_1_KPHB_1&gt;0,catpn_1_KPHV_42&gt;0),(dagenperjaar1*VLOOKUP(B15,dagsoorttabel1,2,FALSE))/(((dagenperjaar1*VLOOKUP(B15,dagsoorttabel1,2,FALSE))-catfd_1_KPHV_42)/catpn_1_KPHB_1+catfd_1_KPHV_42/catpn_1_KPHV_42),0)</f>
        <v>0</v>
      </c>
      <c r="H15" s="36">
        <f>IF(AND(catpn_1_KPHB_1&gt;0,catpn_1_KPHV_42&gt;0),(catdw_1_KPHB_1*((dagenperjaar1-VLOOKUP(B15,dagsoorttabel1,2,FALSE))-catfd_1_KPHV_42)/catpn_1_KPHB_1+catdw_1_KPHV_42*catfd_1_KPHV_42/catpn_1_KPHV_42)/(((dagenperjaar1-VLOOKUP(B15,dagsoorttabel1,2,FALSE))-catfd_1_KPHV_42)/catpn_1_KPHB_1+catfd_1_KPHV_42/catpn_1_KPHV_42),0)</f>
        <v>0</v>
      </c>
      <c r="I15" s="20" t="s">
        <v>40</v>
      </c>
      <c r="J15" s="37">
        <f>IF(AND(catpn_1_KPHB_1&gt;0,catpn_1_KPHV_42&gt;0),(cattf_1_KPHB_1*((dagenperjaar1*VLOOKUP(B15,dagsoorttabel1,2,FALSE))-catfd_1_KPHV_42)/catpn_1_KPHB_1+cattf_1_KPHV_42*catfd_1_KPHV_42/catpn_1_KPHV_42)/(((dagenperjaar1*VLOOKUP(B15,dagsoorttabel1,2,FALSE))-catfd_1_KPHV_42)/catpn_1_KPHB_1+catfd_1_KPHV_42/catpn_1_KPHV_42)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3">
      <c r="A16" s="20" t="s">
        <v>230</v>
      </c>
      <c r="B16" s="20" t="s">
        <v>11</v>
      </c>
      <c r="C16" s="20" t="s">
        <v>210</v>
      </c>
      <c r="D16" s="20" t="s">
        <v>231</v>
      </c>
      <c r="E16" s="34">
        <v>25.27</v>
      </c>
      <c r="F16" s="34">
        <f t="shared" si="0"/>
        <v>25.27</v>
      </c>
      <c r="G16" s="35">
        <f>IF(AND(catpn_1_LAHB_1&gt;0,catpn_1_LAHV_42&gt;0),(dagenperjaar1*VLOOKUP(B16,dagsoorttabel1,2,FALSE))/(((dagenperjaar1*VLOOKUP(B16,dagsoorttabel1,2,FALSE))-catfd_1_LAHV_42)/catpn_1_LAHB_1+catfd_1_LAHV_42/catpn_1_LAHV_42),0)</f>
        <v>0</v>
      </c>
      <c r="H16" s="36">
        <f>IF(AND(catpn_1_LAHB_1&gt;0,catpn_1_LAHV_42&gt;0),(catdw_1_LAHB_1*((dagenperjaar1-VLOOKUP(B16,dagsoorttabel1,2,FALSE))-catfd_1_LAHV_42)/catpn_1_LAHB_1+catdw_1_LAHV_42*catfd_1_LAHV_42/catpn_1_LAHV_42)/(((dagenperjaar1-VLOOKUP(B16,dagsoorttabel1,2,FALSE))-catfd_1_LAHV_42)/catpn_1_LAHB_1+catfd_1_LAHV_42/catpn_1_LAHV_42),0)</f>
        <v>0</v>
      </c>
      <c r="I16" s="20" t="s">
        <v>40</v>
      </c>
      <c r="J16" s="37">
        <f>IF(AND(catpn_1_LAHB_1&gt;0,catpn_1_LAHV_42&gt;0),(cattf_1_LAHB_1*((dagenperjaar1*VLOOKUP(B16,dagsoorttabel1,2,FALSE))-catfd_1_LAHV_42)/catpn_1_LAHB_1+cattf_1_LAHV_42*catfd_1_LAHV_42/catpn_1_LAHV_42)/(((dagenperjaar1*VLOOKUP(B16,dagsoorttabel1,2,FALSE))-catfd_1_LAHV_42)/catpn_1_LAHB_1+catfd_1_LAHV_42/catpn_1_LAHV_42)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3">
      <c r="A17" s="20" t="s">
        <v>232</v>
      </c>
      <c r="B17" s="20" t="s">
        <v>11</v>
      </c>
      <c r="C17" s="20" t="s">
        <v>210</v>
      </c>
      <c r="D17" s="20" t="s">
        <v>233</v>
      </c>
      <c r="E17" s="34">
        <v>95.89</v>
      </c>
      <c r="F17" s="34">
        <f t="shared" si="0"/>
        <v>95.89</v>
      </c>
      <c r="G17" s="35">
        <f>IF(AND(catpn_1_LAZB_1&gt;0,catpn_1_LAZV_42&gt;0),(dagenperjaar1*VLOOKUP(B17,dagsoorttabel1,2,FALSE))/(((dagenperjaar1*VLOOKUP(B17,dagsoorttabel1,2,FALSE))-catfd_1_LAZV_42)/catpn_1_LAZB_1+catfd_1_LAZV_42/catpn_1_LAZV_42),0)</f>
        <v>0</v>
      </c>
      <c r="H17" s="36">
        <f>IF(AND(catpn_1_LAZB_1&gt;0,catpn_1_LAZV_42&gt;0),(catdw_1_LAZB_1*((dagenperjaar1-VLOOKUP(B17,dagsoorttabel1,2,FALSE))-catfd_1_LAZV_42)/catpn_1_LAZB_1+catdw_1_LAZV_42*catfd_1_LAZV_42/catpn_1_LAZV_42)/(((dagenperjaar1-VLOOKUP(B17,dagsoorttabel1,2,FALSE))-catfd_1_LAZV_42)/catpn_1_LAZB_1+catfd_1_LAZV_42/catpn_1_LAZV_42),0)</f>
        <v>0</v>
      </c>
      <c r="I17" s="20" t="s">
        <v>40</v>
      </c>
      <c r="J17" s="37">
        <f>IF(AND(catpn_1_LAZB_1&gt;0,catpn_1_LAZV_42&gt;0),(cattf_1_LAZB_1*((dagenperjaar1*VLOOKUP(B17,dagsoorttabel1,2,FALSE))-catfd_1_LAZV_42)/catpn_1_LAZB_1+cattf_1_LAZV_42*catfd_1_LAZV_42/catpn_1_LAZV_42)/(((dagenperjaar1*VLOOKUP(B17,dagsoorttabel1,2,FALSE))-catfd_1_LAZV_42)/catpn_1_LAZB_1+catfd_1_LAZV_42/catpn_1_LAZV_42)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3">
      <c r="A18" s="20" t="s">
        <v>234</v>
      </c>
      <c r="B18" s="20" t="s">
        <v>14</v>
      </c>
      <c r="C18" s="20" t="s">
        <v>210</v>
      </c>
      <c r="D18" s="20" t="s">
        <v>235</v>
      </c>
      <c r="E18" s="34">
        <v>6823.2599999999993</v>
      </c>
      <c r="F18" s="34">
        <f t="shared" si="0"/>
        <v>4093.9559999999992</v>
      </c>
      <c r="G18" s="35">
        <f>IF(AND(catpn_1_LLHB_1&gt;0,catpn_1_LLHV_42&gt;0),(dagenperjaar1*VLOOKUP(B18,dagsoorttabel1,2,FALSE))/(((dagenperjaar1*VLOOKUP(B18,dagsoorttabel1,2,FALSE))-catfd_1_LLHV_42)/catpn_1_LLHB_1+catfd_1_LLHV_42/catpn_1_LLHV_42),0)</f>
        <v>0</v>
      </c>
      <c r="H18" s="36">
        <f>IF(AND(catpn_1_LLHB_1&gt;0,catpn_1_LLHV_42&gt;0),(catdw_1_LLHB_1*((dagenperjaar1-VLOOKUP(B18,dagsoorttabel1,2,FALSE))-catfd_1_LLHV_42)/catpn_1_LLHB_1+catdw_1_LLHV_42*catfd_1_LLHV_42/catpn_1_LLHV_42)/(((dagenperjaar1-VLOOKUP(B18,dagsoorttabel1,2,FALSE))-catfd_1_LLHV_42)/catpn_1_LLHB_1+catfd_1_LLHV_42/catpn_1_LLHV_42),0)</f>
        <v>0</v>
      </c>
      <c r="I18" s="20" t="s">
        <v>40</v>
      </c>
      <c r="J18" s="37">
        <f>IF(AND(catpn_1_LLHB_1&gt;0,catpn_1_LLHV_42&gt;0),(cattf_1_LLHB_1*((dagenperjaar1*VLOOKUP(B18,dagsoorttabel1,2,FALSE))-catfd_1_LLHV_42)/catpn_1_LLHB_1+cattf_1_LLHV_42*catfd_1_LLHV_42/catpn_1_LLHV_42)/(((dagenperjaar1*VLOOKUP(B18,dagsoorttabel1,2,FALSE))-catfd_1_LLHV_42)/catpn_1_LLHB_1+catfd_1_LLHV_42/catpn_1_LLHV_42)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3">
      <c r="A19" s="20" t="s">
        <v>236</v>
      </c>
      <c r="B19" s="20" t="s">
        <v>14</v>
      </c>
      <c r="C19" s="20" t="s">
        <v>210</v>
      </c>
      <c r="D19" s="20" t="s">
        <v>237</v>
      </c>
      <c r="E19" s="34">
        <v>3745.6800000000007</v>
      </c>
      <c r="F19" s="34">
        <f t="shared" si="0"/>
        <v>2247.4080000000004</v>
      </c>
      <c r="G19" s="35">
        <f>IF(AND(catpn_1_LLZB_1&gt;0,catpn_1_LLZV_42&gt;0),(dagenperjaar1*VLOOKUP(B19,dagsoorttabel1,2,FALSE))/(((dagenperjaar1*VLOOKUP(B19,dagsoorttabel1,2,FALSE))-catfd_1_LLZV_42)/catpn_1_LLZB_1+catfd_1_LLZV_42/catpn_1_LLZV_42),0)</f>
        <v>0</v>
      </c>
      <c r="H19" s="36">
        <f>IF(AND(catpn_1_LLZB_1&gt;0,catpn_1_LLZV_42&gt;0),(catdw_1_LLZB_1*((dagenperjaar1-VLOOKUP(B19,dagsoorttabel1,2,FALSE))-catfd_1_LLZV_42)/catpn_1_LLZB_1+catdw_1_LLZV_42*catfd_1_LLZV_42/catpn_1_LLZV_42)/(((dagenperjaar1-VLOOKUP(B19,dagsoorttabel1,2,FALSE))-catfd_1_LLZV_42)/catpn_1_LLZB_1+catfd_1_LLZV_42/catpn_1_LLZV_42),0)</f>
        <v>0</v>
      </c>
      <c r="I19" s="20" t="s">
        <v>40</v>
      </c>
      <c r="J19" s="37">
        <f>IF(AND(catpn_1_LLZB_1&gt;0,catpn_1_LLZV_42&gt;0),(cattf_1_LLZB_1*((dagenperjaar1*VLOOKUP(B19,dagsoorttabel1,2,FALSE))-catfd_1_LLZV_42)/catpn_1_LLZB_1+cattf_1_LLZV_42*catfd_1_LLZV_42/catpn_1_LLZV_42)/(((dagenperjaar1*VLOOKUP(B19,dagsoorttabel1,2,FALSE))-catfd_1_LLZV_42)/catpn_1_LLZB_1+catfd_1_LLZV_42/catpn_1_LLZV_42)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3">
      <c r="A20" s="20" t="s">
        <v>238</v>
      </c>
      <c r="B20" s="20" t="s">
        <v>11</v>
      </c>
      <c r="C20" s="20" t="s">
        <v>210</v>
      </c>
      <c r="D20" s="20" t="s">
        <v>239</v>
      </c>
      <c r="E20" s="34">
        <v>2255.15</v>
      </c>
      <c r="F20" s="34">
        <f t="shared" si="0"/>
        <v>2255.15</v>
      </c>
      <c r="G20" s="35">
        <f>IF(AND(catpn_1_LOHB_1&gt;0,catpn_1_LOHV_42&gt;0),(dagenperjaar1*VLOOKUP(B20,dagsoorttabel1,2,FALSE))/(((dagenperjaar1*VLOOKUP(B20,dagsoorttabel1,2,FALSE))-catfd_1_LOHV_42)/catpn_1_LOHB_1+catfd_1_LOHV_42/catpn_1_LOHV_42),0)</f>
        <v>0</v>
      </c>
      <c r="H20" s="36">
        <f>IF(AND(catpn_1_LOHB_1&gt;0,catpn_1_LOHV_42&gt;0),(catdw_1_LOHB_1*((dagenperjaar1-VLOOKUP(B20,dagsoorttabel1,2,FALSE))-catfd_1_LOHV_42)/catpn_1_LOHB_1+catdw_1_LOHV_42*catfd_1_LOHV_42/catpn_1_LOHV_42)/(((dagenperjaar1-VLOOKUP(B20,dagsoorttabel1,2,FALSE))-catfd_1_LOHV_42)/catpn_1_LOHB_1+catfd_1_LOHV_42/catpn_1_LOHV_42),0)</f>
        <v>0</v>
      </c>
      <c r="I20" s="20" t="s">
        <v>40</v>
      </c>
      <c r="J20" s="37">
        <f>IF(AND(catpn_1_LOHB_1&gt;0,catpn_1_LOHV_42&gt;0),(cattf_1_LOHB_1*((dagenperjaar1*VLOOKUP(B20,dagsoorttabel1,2,FALSE))-catfd_1_LOHV_42)/catpn_1_LOHB_1+cattf_1_LOHV_42*catfd_1_LOHV_42/catpn_1_LOHV_42)/(((dagenperjaar1*VLOOKUP(B20,dagsoorttabel1,2,FALSE))-catfd_1_LOHV_42)/catpn_1_LOHB_1+catfd_1_LOHV_42/catpn_1_LOHV_42)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3">
      <c r="A21" s="20" t="s">
        <v>240</v>
      </c>
      <c r="B21" s="20" t="s">
        <v>11</v>
      </c>
      <c r="C21" s="20" t="s">
        <v>210</v>
      </c>
      <c r="D21" s="20" t="s">
        <v>241</v>
      </c>
      <c r="E21" s="34">
        <v>1252.49</v>
      </c>
      <c r="F21" s="34">
        <f t="shared" si="0"/>
        <v>1252.49</v>
      </c>
      <c r="G21" s="35">
        <f>IF(AND(catpn_1_LOZB_1&gt;0,catpn_1_LOZV_42&gt;0),(dagenperjaar1*VLOOKUP(B21,dagsoorttabel1,2,FALSE))/(((dagenperjaar1*VLOOKUP(B21,dagsoorttabel1,2,FALSE))-catfd_1_LOZV_42)/catpn_1_LOZB_1+catfd_1_LOZV_42/catpn_1_LOZV_42),0)</f>
        <v>0</v>
      </c>
      <c r="H21" s="36">
        <f>IF(AND(catpn_1_LOZB_1&gt;0,catpn_1_LOZV_42&gt;0),(catdw_1_LOZB_1*((dagenperjaar1-VLOOKUP(B21,dagsoorttabel1,2,FALSE))-catfd_1_LOZV_42)/catpn_1_LOZB_1+catdw_1_LOZV_42*catfd_1_LOZV_42/catpn_1_LOZV_42)/(((dagenperjaar1-VLOOKUP(B21,dagsoorttabel1,2,FALSE))-catfd_1_LOZV_42)/catpn_1_LOZB_1+catfd_1_LOZV_42/catpn_1_LOZV_42),0)</f>
        <v>0</v>
      </c>
      <c r="I21" s="20" t="s">
        <v>40</v>
      </c>
      <c r="J21" s="37">
        <f>IF(AND(catpn_1_LOZB_1&gt;0,catpn_1_LOZV_42&gt;0),(cattf_1_LOZB_1*((dagenperjaar1*VLOOKUP(B21,dagsoorttabel1,2,FALSE))-catfd_1_LOZV_42)/catpn_1_LOZB_1+cattf_1_LOZV_42*catfd_1_LOZV_42/catpn_1_LOZV_42)/(((dagenperjaar1*VLOOKUP(B21,dagsoorttabel1,2,FALSE))-catfd_1_LOZV_42)/catpn_1_LOZB_1+catfd_1_LOZV_42/catpn_1_LOZV_42)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3">
      <c r="A22" s="20" t="s">
        <v>242</v>
      </c>
      <c r="B22" s="20" t="s">
        <v>11</v>
      </c>
      <c r="C22" s="20" t="s">
        <v>210</v>
      </c>
      <c r="D22" s="20" t="s">
        <v>243</v>
      </c>
      <c r="E22" s="34">
        <v>210.33999999999997</v>
      </c>
      <c r="F22" s="34">
        <f t="shared" si="0"/>
        <v>210.33999999999997</v>
      </c>
      <c r="G22" s="35">
        <f>IF(AND(catpn_1_MAHB_1&gt;0,catpn_1_MAHV_42&gt;0),(dagenperjaar1*VLOOKUP(B22,dagsoorttabel1,2,FALSE))/(((dagenperjaar1*VLOOKUP(B22,dagsoorttabel1,2,FALSE))-catfd_1_MAHV_42)/catpn_1_MAHB_1+catfd_1_MAHV_42/catpn_1_MAHV_42),0)</f>
        <v>0</v>
      </c>
      <c r="H22" s="36">
        <f>IF(AND(catpn_1_MAHB_1&gt;0,catpn_1_MAHV_42&gt;0),(catdw_1_MAHB_1*((dagenperjaar1-VLOOKUP(B22,dagsoorttabel1,2,FALSE))-catfd_1_MAHV_42)/catpn_1_MAHB_1+catdw_1_MAHV_42*catfd_1_MAHV_42/catpn_1_MAHV_42)/(((dagenperjaar1-VLOOKUP(B22,dagsoorttabel1,2,FALSE))-catfd_1_MAHV_42)/catpn_1_MAHB_1+catfd_1_MAHV_42/catpn_1_MAHV_42),0)</f>
        <v>0</v>
      </c>
      <c r="I22" s="20" t="s">
        <v>40</v>
      </c>
      <c r="J22" s="37">
        <f>IF(AND(catpn_1_MAHB_1&gt;0,catpn_1_MAHV_42&gt;0),(cattf_1_MAHB_1*((dagenperjaar1*VLOOKUP(B22,dagsoorttabel1,2,FALSE))-catfd_1_MAHV_42)/catpn_1_MAHB_1+cattf_1_MAHV_42*catfd_1_MAHV_42/catpn_1_MAHV_42)/(((dagenperjaar1*VLOOKUP(B22,dagsoorttabel1,2,FALSE))-catfd_1_MAHV_42)/catpn_1_MAHB_1+catfd_1_MAHV_42/catpn_1_MAHV_42)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3">
      <c r="A23" s="20" t="s">
        <v>244</v>
      </c>
      <c r="B23" s="20" t="s">
        <v>11</v>
      </c>
      <c r="C23" s="20" t="s">
        <v>210</v>
      </c>
      <c r="D23" s="20" t="s">
        <v>245</v>
      </c>
      <c r="E23" s="34">
        <v>0</v>
      </c>
      <c r="F23" s="34">
        <f t="shared" si="0"/>
        <v>0</v>
      </c>
      <c r="G23" s="35">
        <f>IF(AND(catpn_1_MAZB_1&gt;0,catpn_1_MAZV_42&gt;0),(dagenperjaar1*VLOOKUP(B23,dagsoorttabel1,2,FALSE))/(((dagenperjaar1*VLOOKUP(B23,dagsoorttabel1,2,FALSE))-catfd_1_MAZV_42)/catpn_1_MAZB_1+catfd_1_MAZV_42/catpn_1_MAZV_42),0)</f>
        <v>0</v>
      </c>
      <c r="H23" s="36">
        <f>IF(AND(catpn_1_MAZB_1&gt;0,catpn_1_MAZV_42&gt;0),(catdw_1_MAZB_1*((dagenperjaar1-VLOOKUP(B23,dagsoorttabel1,2,FALSE))-catfd_1_MAZV_42)/catpn_1_MAZB_1+catdw_1_MAZV_42*catfd_1_MAZV_42/catpn_1_MAZV_42)/(((dagenperjaar1-VLOOKUP(B23,dagsoorttabel1,2,FALSE))-catfd_1_MAZV_42)/catpn_1_MAZB_1+catfd_1_MAZV_42/catpn_1_MAZV_42),0)</f>
        <v>0</v>
      </c>
      <c r="I23" s="20" t="s">
        <v>40</v>
      </c>
      <c r="J23" s="37">
        <f>IF(AND(catpn_1_MAZB_1&gt;0,catpn_1_MAZV_42&gt;0),(cattf_1_MAZB_1*((dagenperjaar1*VLOOKUP(B23,dagsoorttabel1,2,FALSE))-catfd_1_MAZV_42)/catpn_1_MAZB_1+cattf_1_MAZV_42*catfd_1_MAZV_42/catpn_1_MAZV_42)/(((dagenperjaar1*VLOOKUP(B23,dagsoorttabel1,2,FALSE))-catfd_1_MAZV_42)/catpn_1_MAZB_1+catfd_1_MAZV_42/catpn_1_MAZV_42)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3">
      <c r="A24" s="20" t="s">
        <v>246</v>
      </c>
      <c r="B24" s="20" t="s">
        <v>20</v>
      </c>
      <c r="C24" s="20" t="s">
        <v>210</v>
      </c>
      <c r="D24" s="20" t="s">
        <v>247</v>
      </c>
      <c r="E24" s="34">
        <v>45.919999999999995</v>
      </c>
      <c r="F24" s="34">
        <f t="shared" si="0"/>
        <v>2.1866666666666661</v>
      </c>
      <c r="G24" s="35">
        <f>IF(AND(catpn_1_OAHB_1&gt;0,catpn_1_OAHV_10&gt;0),(dagenperjaar1*VLOOKUP(B24,dagsoorttabel1,2,FALSE))/(((dagenperjaar1*VLOOKUP(B24,dagsoorttabel1,2,FALSE))-catfd_1_OAHV_10)/catpn_1_OAHB_1+catfd_1_OAHV_10/catpn_1_OAHV_10),0)</f>
        <v>0</v>
      </c>
      <c r="H24" s="36">
        <f>IF(AND(catpn_1_OAHB_1&gt;0,catpn_1_OAHV_10&gt;0),(catdw_1_OAHB_1*((dagenperjaar1-VLOOKUP(B24,dagsoorttabel1,2,FALSE))-catfd_1_OAHV_10)/catpn_1_OAHB_1+catdw_1_OAHV_10*catfd_1_OAHV_10/catpn_1_OAHV_10)/(((dagenperjaar1-VLOOKUP(B24,dagsoorttabel1,2,FALSE))-catfd_1_OAHV_10)/catpn_1_OAHB_1+catfd_1_OAHV_10/catpn_1_OAHV_10),0)</f>
        <v>0</v>
      </c>
      <c r="I24" s="20" t="s">
        <v>40</v>
      </c>
      <c r="J24" s="37">
        <f>IF(AND(catpn_1_OAHB_1&gt;0,catpn_1_OAHV_10&gt;0),(cattf_1_OAHB_1*((dagenperjaar1*VLOOKUP(B24,dagsoorttabel1,2,FALSE))-catfd_1_OAHV_10)/catpn_1_OAHB_1+cattf_1_OAHV_10*catfd_1_OAHV_10/catpn_1_OAHV_10)/(((dagenperjaar1*VLOOKUP(B24,dagsoorttabel1,2,FALSE))-catfd_1_OAHV_10)/catpn_1_OAHB_1+catfd_1_OAHV_10/catpn_1_OAHV_10)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3">
      <c r="A25" s="20" t="s">
        <v>246</v>
      </c>
      <c r="B25" s="20" t="s">
        <v>19</v>
      </c>
      <c r="C25" s="20" t="s">
        <v>210</v>
      </c>
      <c r="D25" s="20" t="s">
        <v>247</v>
      </c>
      <c r="E25" s="34">
        <v>0</v>
      </c>
      <c r="F25" s="34">
        <f t="shared" si="0"/>
        <v>0</v>
      </c>
      <c r="G25" s="35">
        <f>IF(AND(catpn_1_OAHB_1&gt;0,catpn_1_OAHV_12&gt;0),(dagenperjaar1*VLOOKUP(B25,dagsoorttabel1,2,FALSE))/(((dagenperjaar1*VLOOKUP(B25,dagsoorttabel1,2,FALSE))-catfd_1_OAHV_12)/catpn_1_OAHB_1+catfd_1_OAHV_12/catpn_1_OAHV_12),0)</f>
        <v>0</v>
      </c>
      <c r="H25" s="36">
        <f>IF(AND(catpn_1_OAHB_1&gt;0,catpn_1_OAHV_12&gt;0),(catdw_1_OAHB_1*((dagenperjaar1-VLOOKUP(B25,dagsoorttabel1,2,FALSE))-catfd_1_OAHV_12)/catpn_1_OAHB_1+catdw_1_OAHV_12*catfd_1_OAHV_12/catpn_1_OAHV_12)/(((dagenperjaar1-VLOOKUP(B25,dagsoorttabel1,2,FALSE))-catfd_1_OAHV_12)/catpn_1_OAHB_1+catfd_1_OAHV_12/catpn_1_OAHV_12),0)</f>
        <v>0</v>
      </c>
      <c r="I25" s="20" t="s">
        <v>40</v>
      </c>
      <c r="J25" s="37">
        <f>IF(AND(catpn_1_OAHB_1&gt;0,catpn_1_OAHV_12&gt;0),(cattf_1_OAHB_1*((dagenperjaar1*VLOOKUP(B25,dagsoorttabel1,2,FALSE))-catfd_1_OAHV_12)/catpn_1_OAHB_1+cattf_1_OAHV_12*catfd_1_OAHV_12/catpn_1_OAHV_12)/(((dagenperjaar1*VLOOKUP(B25,dagsoorttabel1,2,FALSE))-catfd_1_OAHV_12)/catpn_1_OAHB_1+catfd_1_OAHV_12/catpn_1_OAHV_12)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3">
      <c r="A26" s="20" t="s">
        <v>248</v>
      </c>
      <c r="B26" s="20" t="s">
        <v>11</v>
      </c>
      <c r="C26" s="20" t="s">
        <v>210</v>
      </c>
      <c r="D26" s="20" t="s">
        <v>249</v>
      </c>
      <c r="E26" s="34">
        <v>594.79999999999995</v>
      </c>
      <c r="F26" s="34">
        <f t="shared" si="0"/>
        <v>594.79999999999995</v>
      </c>
      <c r="G26" s="35">
        <f>IF(AND(catpn_1_PAHB_1&gt;0,catpn_1_PAHV_42&gt;0),(dagenperjaar1*VLOOKUP(B26,dagsoorttabel1,2,FALSE))/(((dagenperjaar1*VLOOKUP(B26,dagsoorttabel1,2,FALSE))-catfd_1_PAHV_42)/catpn_1_PAHB_1+catfd_1_PAHV_42/catpn_1_PAHV_42),0)</f>
        <v>0</v>
      </c>
      <c r="H26" s="36">
        <f>IF(AND(catpn_1_PAHB_1&gt;0,catpn_1_PAHV_42&gt;0),(catdw_1_PAHB_1*((dagenperjaar1-VLOOKUP(B26,dagsoorttabel1,2,FALSE))-catfd_1_PAHV_42)/catpn_1_PAHB_1+catdw_1_PAHV_42*catfd_1_PAHV_42/catpn_1_PAHV_42)/(((dagenperjaar1-VLOOKUP(B26,dagsoorttabel1,2,FALSE))-catfd_1_PAHV_42)/catpn_1_PAHB_1+catfd_1_PAHV_42/catpn_1_PAHV_42),0)</f>
        <v>0</v>
      </c>
      <c r="I26" s="20" t="s">
        <v>40</v>
      </c>
      <c r="J26" s="37">
        <f>IF(AND(catpn_1_PAHB_1&gt;0,catpn_1_PAHV_42&gt;0),(cattf_1_PAHB_1*((dagenperjaar1*VLOOKUP(B26,dagsoorttabel1,2,FALSE))-catfd_1_PAHV_42)/catpn_1_PAHB_1+cattf_1_PAHV_42*catfd_1_PAHV_42/catpn_1_PAHV_42)/(((dagenperjaar1*VLOOKUP(B26,dagsoorttabel1,2,FALSE))-catfd_1_PAHV_42)/catpn_1_PAHB_1+catfd_1_PAHV_42/catpn_1_PAHV_42)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3">
      <c r="A27" s="20" t="s">
        <v>250</v>
      </c>
      <c r="B27" s="20" t="s">
        <v>11</v>
      </c>
      <c r="C27" s="20" t="s">
        <v>210</v>
      </c>
      <c r="D27" s="20" t="s">
        <v>251</v>
      </c>
      <c r="E27" s="34">
        <v>796.11999999999989</v>
      </c>
      <c r="F27" s="34">
        <f t="shared" si="0"/>
        <v>796.11999999999989</v>
      </c>
      <c r="G27" s="35">
        <f>IF(AND(catpn_1_PKHB_1&gt;0,catpn_1_PKHV_42&gt;0),(dagenperjaar1*VLOOKUP(B27,dagsoorttabel1,2,FALSE))/(((dagenperjaar1*VLOOKUP(B27,dagsoorttabel1,2,FALSE))-catfd_1_PKHV_42)/catpn_1_PKHB_1+catfd_1_PKHV_42/catpn_1_PKHV_42),0)</f>
        <v>0</v>
      </c>
      <c r="H27" s="36">
        <f>IF(AND(catpn_1_PKHB_1&gt;0,catpn_1_PKHV_42&gt;0),(catdw_1_PKHB_1*((dagenperjaar1-VLOOKUP(B27,dagsoorttabel1,2,FALSE))-catfd_1_PKHV_42)/catpn_1_PKHB_1+catdw_1_PKHV_42*catfd_1_PKHV_42/catpn_1_PKHV_42)/(((dagenperjaar1-VLOOKUP(B27,dagsoorttabel1,2,FALSE))-catfd_1_PKHV_42)/catpn_1_PKHB_1+catfd_1_PKHV_42/catpn_1_PKHV_42),0)</f>
        <v>0</v>
      </c>
      <c r="I27" s="20" t="s">
        <v>40</v>
      </c>
      <c r="J27" s="37">
        <f>IF(AND(catpn_1_PKHB_1&gt;0,catpn_1_PKHV_42&gt;0),(cattf_1_PKHB_1*((dagenperjaar1*VLOOKUP(B27,dagsoorttabel1,2,FALSE))-catfd_1_PKHV_42)/catpn_1_PKHB_1+cattf_1_PKHV_42*catfd_1_PKHV_42/catpn_1_PKHV_42)/(((dagenperjaar1*VLOOKUP(B27,dagsoorttabel1,2,FALSE))-catfd_1_PKHV_42)/catpn_1_PKHB_1+catfd_1_PKHV_42/catpn_1_PKHV_42)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3">
      <c r="A28" s="20" t="s">
        <v>252</v>
      </c>
      <c r="B28" s="20" t="s">
        <v>11</v>
      </c>
      <c r="C28" s="20" t="s">
        <v>210</v>
      </c>
      <c r="D28" s="20" t="s">
        <v>253</v>
      </c>
      <c r="E28" s="34">
        <v>38.07</v>
      </c>
      <c r="F28" s="34">
        <f t="shared" si="0"/>
        <v>38.07</v>
      </c>
      <c r="G28" s="35">
        <f>IF(AND(catpn_1_PLHB_1&gt;0,catpn_1_PLHV_42&gt;0),(dagenperjaar1*VLOOKUP(B28,dagsoorttabel1,2,FALSE))/(((dagenperjaar1*VLOOKUP(B28,dagsoorttabel1,2,FALSE))-catfd_1_PLHV_42)/catpn_1_PLHB_1+catfd_1_PLHV_42/catpn_1_PLHV_42),0)</f>
        <v>0</v>
      </c>
      <c r="H28" s="36">
        <f>IF(AND(catpn_1_PLHB_1&gt;0,catpn_1_PLHV_42&gt;0),(catdw_1_PLHB_1*((dagenperjaar1-VLOOKUP(B28,dagsoorttabel1,2,FALSE))-catfd_1_PLHV_42)/catpn_1_PLHB_1+catdw_1_PLHV_42*catfd_1_PLHV_42/catpn_1_PLHV_42)/(((dagenperjaar1-VLOOKUP(B28,dagsoorttabel1,2,FALSE))-catfd_1_PLHV_42)/catpn_1_PLHB_1+catfd_1_PLHV_42/catpn_1_PLHV_42),0)</f>
        <v>0</v>
      </c>
      <c r="I28" s="20" t="s">
        <v>40</v>
      </c>
      <c r="J28" s="37">
        <f>IF(AND(catpn_1_PLHB_1&gt;0,catpn_1_PLHV_42&gt;0),(cattf_1_PLHB_1*((dagenperjaar1*VLOOKUP(B28,dagsoorttabel1,2,FALSE))-catfd_1_PLHV_42)/catpn_1_PLHB_1+cattf_1_PLHV_42*catfd_1_PLHV_42/catpn_1_PLHV_42)/(((dagenperjaar1*VLOOKUP(B28,dagsoorttabel1,2,FALSE))-catfd_1_PLHV_42)/catpn_1_PLHB_1+catfd_1_PLHV_42/catpn_1_PLHV_42)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3">
      <c r="A29" s="20" t="s">
        <v>254</v>
      </c>
      <c r="B29" s="20" t="s">
        <v>11</v>
      </c>
      <c r="C29" s="20" t="s">
        <v>210</v>
      </c>
      <c r="D29" s="20" t="s">
        <v>255</v>
      </c>
      <c r="E29" s="34">
        <v>1935.75</v>
      </c>
      <c r="F29" s="34">
        <f t="shared" si="0"/>
        <v>1935.75</v>
      </c>
      <c r="G29" s="35">
        <f>IF(AND(catpn_1_PSHB_1&gt;0,catpn_1_PSHV_42&gt;0),(dagenperjaar1*VLOOKUP(B29,dagsoorttabel1,2,FALSE))/(((dagenperjaar1*VLOOKUP(B29,dagsoorttabel1,2,FALSE))-catfd_1_PSHV_42)/catpn_1_PSHB_1+catfd_1_PSHV_42/catpn_1_PSHV_42),0)</f>
        <v>0</v>
      </c>
      <c r="H29" s="36">
        <f>IF(AND(catpn_1_PSHB_1&gt;0,catpn_1_PSHV_42&gt;0),(catdw_1_PSHB_1*((dagenperjaar1-VLOOKUP(B29,dagsoorttabel1,2,FALSE))-catfd_1_PSHV_42)/catpn_1_PSHB_1+catdw_1_PSHV_42*catfd_1_PSHV_42/catpn_1_PSHV_42)/(((dagenperjaar1-VLOOKUP(B29,dagsoorttabel1,2,FALSE))-catfd_1_PSHV_42)/catpn_1_PSHB_1+catfd_1_PSHV_42/catpn_1_PSHV_42),0)</f>
        <v>0</v>
      </c>
      <c r="I29" s="20" t="s">
        <v>40</v>
      </c>
      <c r="J29" s="37">
        <f>IF(AND(catpn_1_PSHB_1&gt;0,catpn_1_PSHV_42&gt;0),(cattf_1_PSHB_1*((dagenperjaar1*VLOOKUP(B29,dagsoorttabel1,2,FALSE))-catfd_1_PSHV_42)/catpn_1_PSHB_1+cattf_1_PSHV_42*catfd_1_PSHV_42/catpn_1_PSHV_42)/(((dagenperjaar1*VLOOKUP(B29,dagsoorttabel1,2,FALSE))-catfd_1_PSHV_42)/catpn_1_PSHB_1+catfd_1_PSHV_42/catpn_1_PSHV_42)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3">
      <c r="A30" s="20" t="s">
        <v>256</v>
      </c>
      <c r="B30" s="20" t="s">
        <v>11</v>
      </c>
      <c r="C30" s="20" t="s">
        <v>210</v>
      </c>
      <c r="D30" s="20" t="s">
        <v>257</v>
      </c>
      <c r="E30" s="34">
        <v>127.67999999999999</v>
      </c>
      <c r="F30" s="34">
        <f t="shared" si="0"/>
        <v>127.67999999999999</v>
      </c>
      <c r="G30" s="35">
        <f>IF(AND(catpn_1_PSZB_1&gt;0,catpn_1_PSZV_42&gt;0),(dagenperjaar1*VLOOKUP(B30,dagsoorttabel1,2,FALSE))/(((dagenperjaar1*VLOOKUP(B30,dagsoorttabel1,2,FALSE))-catfd_1_PSZV_42)/catpn_1_PSZB_1+catfd_1_PSZV_42/catpn_1_PSZV_42),0)</f>
        <v>0</v>
      </c>
      <c r="H30" s="36">
        <f>IF(AND(catpn_1_PSZB_1&gt;0,catpn_1_PSZV_42&gt;0),(catdw_1_PSZB_1*((dagenperjaar1-VLOOKUP(B30,dagsoorttabel1,2,FALSE))-catfd_1_PSZV_42)/catpn_1_PSZB_1+catdw_1_PSZV_42*catfd_1_PSZV_42/catpn_1_PSZV_42)/(((dagenperjaar1-VLOOKUP(B30,dagsoorttabel1,2,FALSE))-catfd_1_PSZV_42)/catpn_1_PSZB_1+catfd_1_PSZV_42/catpn_1_PSZV_42),0)</f>
        <v>0</v>
      </c>
      <c r="I30" s="20" t="s">
        <v>40</v>
      </c>
      <c r="J30" s="37">
        <f>IF(AND(catpn_1_PSZB_1&gt;0,catpn_1_PSZV_42&gt;0),(cattf_1_PSZB_1*((dagenperjaar1*VLOOKUP(B30,dagsoorttabel1,2,FALSE))-catfd_1_PSZV_42)/catpn_1_PSZB_1+cattf_1_PSZV_42*catfd_1_PSZV_42/catpn_1_PSZV_42)/(((dagenperjaar1*VLOOKUP(B30,dagsoorttabel1,2,FALSE))-catfd_1_PSZV_42)/catpn_1_PSZB_1+catfd_1_PSZV_42/catpn_1_PSZV_42)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3">
      <c r="A31" s="20" t="s">
        <v>258</v>
      </c>
      <c r="B31" s="20" t="s">
        <v>11</v>
      </c>
      <c r="C31" s="20" t="s">
        <v>210</v>
      </c>
      <c r="D31" s="20" t="s">
        <v>259</v>
      </c>
      <c r="E31" s="34">
        <v>320.64999999999998</v>
      </c>
      <c r="F31" s="34">
        <f t="shared" si="0"/>
        <v>320.64999999999998</v>
      </c>
      <c r="G31" s="35">
        <f>IF(AND(catpn_1_PVHB_1&gt;0,catpn_1_PVHV_42&gt;0),(dagenperjaar1*VLOOKUP(B31,dagsoorttabel1,2,FALSE))/(((dagenperjaar1*VLOOKUP(B31,dagsoorttabel1,2,FALSE))-catfd_1_PVHV_42)/catpn_1_PVHB_1+catfd_1_PVHV_42/catpn_1_PVHV_42),0)</f>
        <v>0</v>
      </c>
      <c r="H31" s="36">
        <f>IF(AND(catpn_1_PVHB_1&gt;0,catpn_1_PVHV_42&gt;0),(catdw_1_PVHB_1*((dagenperjaar1-VLOOKUP(B31,dagsoorttabel1,2,FALSE))-catfd_1_PVHV_42)/catpn_1_PVHB_1+catdw_1_PVHV_42*catfd_1_PVHV_42/catpn_1_PVHV_42)/(((dagenperjaar1-VLOOKUP(B31,dagsoorttabel1,2,FALSE))-catfd_1_PVHV_42)/catpn_1_PVHB_1+catfd_1_PVHV_42/catpn_1_PVHV_42),0)</f>
        <v>0</v>
      </c>
      <c r="I31" s="20" t="s">
        <v>40</v>
      </c>
      <c r="J31" s="37">
        <f>IF(AND(catpn_1_PVHB_1&gt;0,catpn_1_PVHV_42&gt;0),(cattf_1_PVHB_1*((dagenperjaar1*VLOOKUP(B31,dagsoorttabel1,2,FALSE))-catfd_1_PVHV_42)/catpn_1_PVHB_1+cattf_1_PVHV_42*catfd_1_PVHV_42/catpn_1_PVHV_42)/(((dagenperjaar1*VLOOKUP(B31,dagsoorttabel1,2,FALSE))-catfd_1_PVHV_42)/catpn_1_PVHB_1+catfd_1_PVHV_42/catpn_1_PVHV_42),0)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3">
      <c r="A32" s="20" t="s">
        <v>260</v>
      </c>
      <c r="B32" s="20" t="s">
        <v>11</v>
      </c>
      <c r="C32" s="20" t="s">
        <v>210</v>
      </c>
      <c r="D32" s="20" t="s">
        <v>261</v>
      </c>
      <c r="E32" s="34">
        <v>2913.73</v>
      </c>
      <c r="F32" s="34">
        <f t="shared" si="0"/>
        <v>2913.73</v>
      </c>
      <c r="G32" s="35">
        <f>IF(AND(catpn_1_PWHB_1&gt;0,catpn_1_PWHV_42&gt;0),(dagenperjaar1*VLOOKUP(B32,dagsoorttabel1,2,FALSE))/(((dagenperjaar1*VLOOKUP(B32,dagsoorttabel1,2,FALSE))-catfd_1_PWHV_42)/catpn_1_PWHB_1+catfd_1_PWHV_42/catpn_1_PWHV_42),0)</f>
        <v>0</v>
      </c>
      <c r="H32" s="36">
        <f>IF(AND(catpn_1_PWHB_1&gt;0,catpn_1_PWHV_42&gt;0),(catdw_1_PWHB_1*((dagenperjaar1-VLOOKUP(B32,dagsoorttabel1,2,FALSE))-catfd_1_PWHV_42)/catpn_1_PWHB_1+catdw_1_PWHV_42*catfd_1_PWHV_42/catpn_1_PWHV_42)/(((dagenperjaar1-VLOOKUP(B32,dagsoorttabel1,2,FALSE))-catfd_1_PWHV_42)/catpn_1_PWHB_1+catfd_1_PWHV_42/catpn_1_PWHV_42),0)</f>
        <v>0</v>
      </c>
      <c r="I32" s="20" t="s">
        <v>40</v>
      </c>
      <c r="J32" s="37">
        <f>IF(AND(catpn_1_PWHB_1&gt;0,catpn_1_PWHV_42&gt;0),(cattf_1_PWHB_1*((dagenperjaar1*VLOOKUP(B32,dagsoorttabel1,2,FALSE))-catfd_1_PWHV_42)/catpn_1_PWHB_1+cattf_1_PWHV_42*catfd_1_PWHV_42/catpn_1_PWHV_42)/(((dagenperjaar1*VLOOKUP(B32,dagsoorttabel1,2,FALSE))-catfd_1_PWHV_42)/catpn_1_PWHB_1+catfd_1_PWHV_42/catpn_1_PWHV_42),0)</f>
        <v>0</v>
      </c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3">
      <c r="A33" s="20" t="s">
        <v>262</v>
      </c>
      <c r="B33" s="20" t="s">
        <v>11</v>
      </c>
      <c r="C33" s="20" t="s">
        <v>210</v>
      </c>
      <c r="D33" s="20" t="s">
        <v>263</v>
      </c>
      <c r="E33" s="34">
        <v>44.650000000000006</v>
      </c>
      <c r="F33" s="34">
        <f t="shared" si="0"/>
        <v>44.650000000000006</v>
      </c>
      <c r="G33" s="35">
        <f>IF(AND(catpn_1_SDHB_1&gt;0,catpn_1_SDHV_42&gt;0),(dagenperjaar1*VLOOKUP(B33,dagsoorttabel1,2,FALSE))/(((dagenperjaar1*VLOOKUP(B33,dagsoorttabel1,2,FALSE))-catfd_1_SDHV_42)/catpn_1_SDHB_1+catfd_1_SDHV_42/catpn_1_SDHV_42),0)</f>
        <v>0</v>
      </c>
      <c r="H33" s="36">
        <f>IF(AND(catpn_1_SDHB_1&gt;0,catpn_1_SDHV_42&gt;0),(catdw_1_SDHB_1*((dagenperjaar1-VLOOKUP(B33,dagsoorttabel1,2,FALSE))-catfd_1_SDHV_42)/catpn_1_SDHB_1+catdw_1_SDHV_42*catfd_1_SDHV_42/catpn_1_SDHV_42)/(((dagenperjaar1-VLOOKUP(B33,dagsoorttabel1,2,FALSE))-catfd_1_SDHV_42)/catpn_1_SDHB_1+catfd_1_SDHV_42/catpn_1_SDHV_42),0)</f>
        <v>0</v>
      </c>
      <c r="I33" s="20" t="s">
        <v>40</v>
      </c>
      <c r="J33" s="37">
        <f>IF(AND(catpn_1_SDHB_1&gt;0,catpn_1_SDHV_42&gt;0),(cattf_1_SDHB_1*((dagenperjaar1*VLOOKUP(B33,dagsoorttabel1,2,FALSE))-catfd_1_SDHV_42)/catpn_1_SDHB_1+cattf_1_SDHV_42*catfd_1_SDHV_42/catpn_1_SDHV_42)/(((dagenperjaar1*VLOOKUP(B33,dagsoorttabel1,2,FALSE))-catfd_1_SDHV_42)/catpn_1_SDHB_1+catfd_1_SDHV_42/catpn_1_SDHV_42),0)</f>
        <v>0</v>
      </c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3">
      <c r="A34" s="20" t="s">
        <v>264</v>
      </c>
      <c r="B34" s="20" t="s">
        <v>11</v>
      </c>
      <c r="C34" s="20" t="s">
        <v>210</v>
      </c>
      <c r="D34" s="20" t="s">
        <v>265</v>
      </c>
      <c r="E34" s="34">
        <v>458.68999999999994</v>
      </c>
      <c r="F34" s="34">
        <f t="shared" si="0"/>
        <v>458.68999999999994</v>
      </c>
      <c r="G34" s="35">
        <f>IF(AND(catpn_1_SKHB_1&gt;0,catpn_1_SKHV_42&gt;0),(dagenperjaar1*VLOOKUP(B34,dagsoorttabel1,2,FALSE))/(((dagenperjaar1*VLOOKUP(B34,dagsoorttabel1,2,FALSE))-catfd_1_SKHV_42)/catpn_1_SKHB_1+catfd_1_SKHV_42/catpn_1_SKHV_42),0)</f>
        <v>0</v>
      </c>
      <c r="H34" s="36">
        <f>IF(AND(catpn_1_SKHB_1&gt;0,catpn_1_SKHV_42&gt;0),(catdw_1_SKHB_1*((dagenperjaar1-VLOOKUP(B34,dagsoorttabel1,2,FALSE))-catfd_1_SKHV_42)/catpn_1_SKHB_1+catdw_1_SKHV_42*catfd_1_SKHV_42/catpn_1_SKHV_42)/(((dagenperjaar1-VLOOKUP(B34,dagsoorttabel1,2,FALSE))-catfd_1_SKHV_42)/catpn_1_SKHB_1+catfd_1_SKHV_42/catpn_1_SKHV_42),0)</f>
        <v>0</v>
      </c>
      <c r="I34" s="20" t="s">
        <v>40</v>
      </c>
      <c r="J34" s="37">
        <f>IF(AND(catpn_1_SKHB_1&gt;0,catpn_1_SKHV_42&gt;0),(cattf_1_SKHB_1*((dagenperjaar1*VLOOKUP(B34,dagsoorttabel1,2,FALSE))-catfd_1_SKHV_42)/catpn_1_SKHB_1+cattf_1_SKHV_42*catfd_1_SKHV_42/catpn_1_SKHV_42)/(((dagenperjaar1*VLOOKUP(B34,dagsoorttabel1,2,FALSE))-catfd_1_SKHV_42)/catpn_1_SKHB_1+catfd_1_SKHV_42/catpn_1_SKHV_42),0)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3">
      <c r="A35" s="20" t="s">
        <v>266</v>
      </c>
      <c r="B35" s="20" t="s">
        <v>11</v>
      </c>
      <c r="C35" s="20" t="s">
        <v>210</v>
      </c>
      <c r="D35" s="20" t="s">
        <v>267</v>
      </c>
      <c r="E35" s="34">
        <v>999.36999999999989</v>
      </c>
      <c r="F35" s="34">
        <f t="shared" si="0"/>
        <v>999.36999999999989</v>
      </c>
      <c r="G35" s="35">
        <f>IF(AND(catpn_1_STHB_1&gt;0,catpn_1_STHV_42&gt;0),(dagenperjaar1*VLOOKUP(B35,dagsoorttabel1,2,FALSE))/(((dagenperjaar1*VLOOKUP(B35,dagsoorttabel1,2,FALSE))-catfd_1_STHV_42)/catpn_1_STHB_1+catfd_1_STHV_42/catpn_1_STHV_42),0)</f>
        <v>0</v>
      </c>
      <c r="H35" s="36">
        <f>IF(AND(catpn_1_STHB_1&gt;0,catpn_1_STHV_42&gt;0),(catdw_1_STHB_1*((dagenperjaar1-VLOOKUP(B35,dagsoorttabel1,2,FALSE))-catfd_1_STHV_42)/catpn_1_STHB_1+catdw_1_STHV_42*catfd_1_STHV_42/catpn_1_STHV_42)/(((dagenperjaar1-VLOOKUP(B35,dagsoorttabel1,2,FALSE))-catfd_1_STHV_42)/catpn_1_STHB_1+catfd_1_STHV_42/catpn_1_STHV_42),0)</f>
        <v>0</v>
      </c>
      <c r="I35" s="20" t="s">
        <v>40</v>
      </c>
      <c r="J35" s="37">
        <f>IF(AND(catpn_1_STHB_1&gt;0,catpn_1_STHV_42&gt;0),(cattf_1_STHB_1*((dagenperjaar1*VLOOKUP(B35,dagsoorttabel1,2,FALSE))-catfd_1_STHV_42)/catpn_1_STHB_1+cattf_1_STHV_42*catfd_1_STHV_42/catpn_1_STHV_42)/(((dagenperjaar1*VLOOKUP(B35,dagsoorttabel1,2,FALSE))-catfd_1_STHV_42)/catpn_1_STHB_1+catfd_1_STHV_42/catpn_1_STHV_42),0)</f>
        <v>0</v>
      </c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3">
      <c r="A36" s="20" t="s">
        <v>268</v>
      </c>
      <c r="B36" s="20" t="s">
        <v>11</v>
      </c>
      <c r="C36" s="20" t="s">
        <v>210</v>
      </c>
      <c r="D36" s="20" t="s">
        <v>269</v>
      </c>
      <c r="E36" s="34">
        <v>163.72</v>
      </c>
      <c r="F36" s="34">
        <f t="shared" si="0"/>
        <v>163.72</v>
      </c>
      <c r="G36" s="35">
        <f>catpn_1_STHB_1</f>
        <v>0</v>
      </c>
      <c r="H36" s="36">
        <f>catdw_1_STHB_1</f>
        <v>0</v>
      </c>
      <c r="I36" s="20" t="s">
        <v>40</v>
      </c>
      <c r="J36" s="37">
        <f>cattf_1_STHB_1</f>
        <v>0</v>
      </c>
      <c r="K36" s="34">
        <f t="shared" si="1"/>
        <v>0</v>
      </c>
      <c r="L36" s="37">
        <f t="shared" si="2"/>
        <v>0</v>
      </c>
      <c r="M36" s="34">
        <f t="shared" si="3"/>
        <v>0</v>
      </c>
      <c r="N36" s="37">
        <f t="shared" si="4"/>
        <v>0</v>
      </c>
    </row>
    <row r="37" spans="1:14" x14ac:dyDescent="0.3">
      <c r="A37" s="20" t="s">
        <v>270</v>
      </c>
      <c r="B37" s="20" t="s">
        <v>11</v>
      </c>
      <c r="C37" s="20" t="s">
        <v>210</v>
      </c>
      <c r="D37" s="20" t="s">
        <v>271</v>
      </c>
      <c r="E37" s="34">
        <v>36.880000000000003</v>
      </c>
      <c r="F37" s="34">
        <f t="shared" si="0"/>
        <v>36.880000000000003</v>
      </c>
      <c r="G37" s="35">
        <f>IF(AND(catpn_1_SWHB_1&gt;0,catpn_1_SWHV_42&gt;0),(dagenperjaar1*VLOOKUP(B37,dagsoorttabel1,2,FALSE))/(((dagenperjaar1*VLOOKUP(B37,dagsoorttabel1,2,FALSE))-catfd_1_SWHV_42)/catpn_1_SWHB_1+catfd_1_SWHV_42/catpn_1_SWHV_42),0)</f>
        <v>0</v>
      </c>
      <c r="H37" s="36">
        <f>IF(AND(catpn_1_SWHB_1&gt;0,catpn_1_SWHV_42&gt;0),(catdw_1_SWHB_1*((dagenperjaar1-VLOOKUP(B37,dagsoorttabel1,2,FALSE))-catfd_1_SWHV_42)/catpn_1_SWHB_1+catdw_1_SWHV_42*catfd_1_SWHV_42/catpn_1_SWHV_42)/(((dagenperjaar1-VLOOKUP(B37,dagsoorttabel1,2,FALSE))-catfd_1_SWHV_42)/catpn_1_SWHB_1+catfd_1_SWHV_42/catpn_1_SWHV_42),0)</f>
        <v>0</v>
      </c>
      <c r="I37" s="20" t="s">
        <v>40</v>
      </c>
      <c r="J37" s="37">
        <f>IF(AND(catpn_1_SWHB_1&gt;0,catpn_1_SWHV_42&gt;0),(cattf_1_SWHB_1*((dagenperjaar1*VLOOKUP(B37,dagsoorttabel1,2,FALSE))-catfd_1_SWHV_42)/catpn_1_SWHB_1+cattf_1_SWHV_42*catfd_1_SWHV_42/catpn_1_SWHV_42)/(((dagenperjaar1*VLOOKUP(B37,dagsoorttabel1,2,FALSE))-catfd_1_SWHV_42)/catpn_1_SWHB_1+catfd_1_SWHV_42/catpn_1_SWHV_42),0)</f>
        <v>0</v>
      </c>
      <c r="K37" s="34">
        <f t="shared" si="1"/>
        <v>0</v>
      </c>
      <c r="L37" s="37">
        <f t="shared" si="2"/>
        <v>0</v>
      </c>
      <c r="M37" s="34">
        <f t="shared" si="3"/>
        <v>0</v>
      </c>
      <c r="N37" s="37">
        <f t="shared" si="4"/>
        <v>0</v>
      </c>
    </row>
    <row r="38" spans="1:14" x14ac:dyDescent="0.3">
      <c r="A38" s="20" t="s">
        <v>272</v>
      </c>
      <c r="B38" s="20" t="s">
        <v>11</v>
      </c>
      <c r="C38" s="20" t="s">
        <v>210</v>
      </c>
      <c r="D38" s="20" t="s">
        <v>273</v>
      </c>
      <c r="E38" s="34">
        <v>8513.41</v>
      </c>
      <c r="F38" s="34">
        <f t="shared" si="0"/>
        <v>8513.41</v>
      </c>
      <c r="G38" s="35">
        <f>IF(AND(catpn_1_VAHB_1&gt;0,catpn_1_VAHV_42&gt;0),(dagenperjaar1*VLOOKUP(B38,dagsoorttabel1,2,FALSE))/(((dagenperjaar1*VLOOKUP(B38,dagsoorttabel1,2,FALSE))-catfd_1_VAHV_42)/catpn_1_VAHB_1+catfd_1_VAHV_42/catpn_1_VAHV_42),0)</f>
        <v>0</v>
      </c>
      <c r="H38" s="36">
        <f>IF(AND(catpn_1_VAHB_1&gt;0,catpn_1_VAHV_42&gt;0),(catdw_1_VAHB_1*((dagenperjaar1-VLOOKUP(B38,dagsoorttabel1,2,FALSE))-catfd_1_VAHV_42)/catpn_1_VAHB_1+catdw_1_VAHV_42*catfd_1_VAHV_42/catpn_1_VAHV_42)/(((dagenperjaar1-VLOOKUP(B38,dagsoorttabel1,2,FALSE))-catfd_1_VAHV_42)/catpn_1_VAHB_1+catfd_1_VAHV_42/catpn_1_VAHV_42),0)</f>
        <v>0</v>
      </c>
      <c r="I38" s="20" t="s">
        <v>40</v>
      </c>
      <c r="J38" s="37">
        <f>IF(AND(catpn_1_VAHB_1&gt;0,catpn_1_VAHV_42&gt;0),(cattf_1_VAHB_1*((dagenperjaar1*VLOOKUP(B38,dagsoorttabel1,2,FALSE))-catfd_1_VAHV_42)/catpn_1_VAHB_1+cattf_1_VAHV_42*catfd_1_VAHV_42/catpn_1_VAHV_42)/(((dagenperjaar1*VLOOKUP(B38,dagsoorttabel1,2,FALSE))-catfd_1_VAHV_42)/catpn_1_VAHB_1+catfd_1_VAHV_42/catpn_1_VAHV_42),0)</f>
        <v>0</v>
      </c>
      <c r="K38" s="34">
        <f t="shared" si="1"/>
        <v>0</v>
      </c>
      <c r="L38" s="37">
        <f t="shared" si="2"/>
        <v>0</v>
      </c>
      <c r="M38" s="34">
        <f t="shared" si="3"/>
        <v>0</v>
      </c>
      <c r="N38" s="37">
        <f t="shared" si="4"/>
        <v>0</v>
      </c>
    </row>
    <row r="39" spans="1:14" x14ac:dyDescent="0.3">
      <c r="A39" s="20" t="s">
        <v>274</v>
      </c>
      <c r="B39" s="20" t="s">
        <v>11</v>
      </c>
      <c r="C39" s="20" t="s">
        <v>210</v>
      </c>
      <c r="D39" s="20" t="s">
        <v>275</v>
      </c>
      <c r="E39" s="34">
        <v>269.27999999999997</v>
      </c>
      <c r="F39" s="34">
        <f t="shared" si="0"/>
        <v>269.27999999999997</v>
      </c>
      <c r="G39" s="35">
        <f>IF(AND(catpn_1_VAZB_1&gt;0,catpn_1_VAZV_42&gt;0),(dagenperjaar1*VLOOKUP(B39,dagsoorttabel1,2,FALSE))/(((dagenperjaar1*VLOOKUP(B39,dagsoorttabel1,2,FALSE))-catfd_1_VAZV_42)/catpn_1_VAZB_1+catfd_1_VAZV_42/catpn_1_VAZV_42),0)</f>
        <v>0</v>
      </c>
      <c r="H39" s="36">
        <f>IF(AND(catpn_1_VAZB_1&gt;0,catpn_1_VAZV_42&gt;0),(catdw_1_VAZB_1*((dagenperjaar1-VLOOKUP(B39,dagsoorttabel1,2,FALSE))-catfd_1_VAZV_42)/catpn_1_VAZB_1+catdw_1_VAZV_42*catfd_1_VAZV_42/catpn_1_VAZV_42)/(((dagenperjaar1-VLOOKUP(B39,dagsoorttabel1,2,FALSE))-catfd_1_VAZV_42)/catpn_1_VAZB_1+catfd_1_VAZV_42/catpn_1_VAZV_42),0)</f>
        <v>0</v>
      </c>
      <c r="I39" s="20" t="s">
        <v>40</v>
      </c>
      <c r="J39" s="37">
        <f>IF(AND(catpn_1_VAZB_1&gt;0,catpn_1_VAZV_42&gt;0),(cattf_1_VAZB_1*((dagenperjaar1*VLOOKUP(B39,dagsoorttabel1,2,FALSE))-catfd_1_VAZV_42)/catpn_1_VAZB_1+cattf_1_VAZV_42*catfd_1_VAZV_42/catpn_1_VAZV_42)/(((dagenperjaar1*VLOOKUP(B39,dagsoorttabel1,2,FALSE))-catfd_1_VAZV_42)/catpn_1_VAZB_1+catfd_1_VAZV_42/catpn_1_VAZV_42),0)</f>
        <v>0</v>
      </c>
      <c r="K39" s="34">
        <f t="shared" si="1"/>
        <v>0</v>
      </c>
      <c r="L39" s="37">
        <f t="shared" si="2"/>
        <v>0</v>
      </c>
      <c r="M39" s="34">
        <f t="shared" si="3"/>
        <v>0</v>
      </c>
      <c r="N39" s="37">
        <f t="shared" si="4"/>
        <v>0</v>
      </c>
    </row>
    <row r="40" spans="1:14" x14ac:dyDescent="0.3">
      <c r="A40" s="20" t="s">
        <v>276</v>
      </c>
      <c r="B40" s="20" t="s">
        <v>11</v>
      </c>
      <c r="C40" s="20" t="s">
        <v>210</v>
      </c>
      <c r="D40" s="20" t="s">
        <v>277</v>
      </c>
      <c r="E40" s="34">
        <v>135.41</v>
      </c>
      <c r="F40" s="34">
        <f t="shared" si="0"/>
        <v>135.41</v>
      </c>
      <c r="G40" s="35">
        <f>IF(AND(catpn_1_VEHB_1&gt;0,catpn_1_VEHV_42&gt;0),(dagenperjaar1*VLOOKUP(B40,dagsoorttabel1,2,FALSE))/(((dagenperjaar1*VLOOKUP(B40,dagsoorttabel1,2,FALSE))-catfd_1_VEHV_42)/catpn_1_VEHB_1+catfd_1_VEHV_42/catpn_1_VEHV_42),0)</f>
        <v>0</v>
      </c>
      <c r="H40" s="36">
        <f>IF(AND(catpn_1_VEHB_1&gt;0,catpn_1_VEHV_42&gt;0),(catdw_1_VEHB_1*((dagenperjaar1-VLOOKUP(B40,dagsoorttabel1,2,FALSE))-catfd_1_VEHV_42)/catpn_1_VEHB_1+catdw_1_VEHV_42*catfd_1_VEHV_42/catpn_1_VEHV_42)/(((dagenperjaar1-VLOOKUP(B40,dagsoorttabel1,2,FALSE))-catfd_1_VEHV_42)/catpn_1_VEHB_1+catfd_1_VEHV_42/catpn_1_VEHV_42),0)</f>
        <v>0</v>
      </c>
      <c r="I40" s="20" t="s">
        <v>40</v>
      </c>
      <c r="J40" s="37">
        <f>IF(AND(catpn_1_VEHB_1&gt;0,catpn_1_VEHV_42&gt;0),(cattf_1_VEHB_1*((dagenperjaar1*VLOOKUP(B40,dagsoorttabel1,2,FALSE))-catfd_1_VEHV_42)/catpn_1_VEHB_1+cattf_1_VEHV_42*catfd_1_VEHV_42/catpn_1_VEHV_42)/(((dagenperjaar1*VLOOKUP(B40,dagsoorttabel1,2,FALSE))-catfd_1_VEHV_42)/catpn_1_VEHB_1+catfd_1_VEHV_42/catpn_1_VEHV_42),0)</f>
        <v>0</v>
      </c>
      <c r="K40" s="34">
        <f t="shared" si="1"/>
        <v>0</v>
      </c>
      <c r="L40" s="37">
        <f t="shared" si="2"/>
        <v>0</v>
      </c>
      <c r="M40" s="34">
        <f t="shared" si="3"/>
        <v>0</v>
      </c>
      <c r="N40" s="37">
        <f t="shared" si="4"/>
        <v>0</v>
      </c>
    </row>
    <row r="41" spans="1:14" x14ac:dyDescent="0.3">
      <c r="A41" s="20" t="s">
        <v>278</v>
      </c>
      <c r="B41" s="20" t="s">
        <v>11</v>
      </c>
      <c r="C41" s="20" t="s">
        <v>210</v>
      </c>
      <c r="D41" s="20" t="s">
        <v>279</v>
      </c>
      <c r="E41" s="34">
        <v>148.27999999999997</v>
      </c>
      <c r="F41" s="34">
        <f t="shared" si="0"/>
        <v>148.27999999999997</v>
      </c>
      <c r="G41" s="35">
        <f>IF(AND(catpn_1_VEZB_1&gt;0,catpn_1_VEZV_42&gt;0),(dagenperjaar1*VLOOKUP(B41,dagsoorttabel1,2,FALSE))/(((dagenperjaar1*VLOOKUP(B41,dagsoorttabel1,2,FALSE))-catfd_1_VEZV_42)/catpn_1_VEZB_1+catfd_1_VEZV_42/catpn_1_VEZV_42),0)</f>
        <v>0</v>
      </c>
      <c r="H41" s="36">
        <f>IF(AND(catpn_1_VEZB_1&gt;0,catpn_1_VEZV_42&gt;0),(catdw_1_VEZB_1*((dagenperjaar1-VLOOKUP(B41,dagsoorttabel1,2,FALSE))-catfd_1_VEZV_42)/catpn_1_VEZB_1+catdw_1_VEZV_42*catfd_1_VEZV_42/catpn_1_VEZV_42)/(((dagenperjaar1-VLOOKUP(B41,dagsoorttabel1,2,FALSE))-catfd_1_VEZV_42)/catpn_1_VEZB_1+catfd_1_VEZV_42/catpn_1_VEZV_42),0)</f>
        <v>0</v>
      </c>
      <c r="I41" s="20" t="s">
        <v>40</v>
      </c>
      <c r="J41" s="37">
        <f>IF(AND(catpn_1_VEZB_1&gt;0,catpn_1_VEZV_42&gt;0),(cattf_1_VEZB_1*((dagenperjaar1*VLOOKUP(B41,dagsoorttabel1,2,FALSE))-catfd_1_VEZV_42)/catpn_1_VEZB_1+cattf_1_VEZV_42*catfd_1_VEZV_42/catpn_1_VEZV_42)/(((dagenperjaar1*VLOOKUP(B41,dagsoorttabel1,2,FALSE))-catfd_1_VEZV_42)/catpn_1_VEZB_1+catfd_1_VEZV_42/catpn_1_VEZV_42),0)</f>
        <v>0</v>
      </c>
      <c r="K41" s="34">
        <f t="shared" si="1"/>
        <v>0</v>
      </c>
      <c r="L41" s="37">
        <f t="shared" si="2"/>
        <v>0</v>
      </c>
      <c r="M41" s="34">
        <f t="shared" si="3"/>
        <v>0</v>
      </c>
      <c r="N41" s="37">
        <f t="shared" si="4"/>
        <v>0</v>
      </c>
    </row>
    <row r="42" spans="1:14" x14ac:dyDescent="0.3">
      <c r="A42" s="20" t="s">
        <v>280</v>
      </c>
      <c r="B42" s="20" t="s">
        <v>11</v>
      </c>
      <c r="C42" s="20" t="s">
        <v>210</v>
      </c>
      <c r="D42" s="20" t="s">
        <v>281</v>
      </c>
      <c r="E42" s="34">
        <v>26.220000000000002</v>
      </c>
      <c r="F42" s="34">
        <f t="shared" si="0"/>
        <v>26.220000000000002</v>
      </c>
      <c r="G42" s="35">
        <f>IF(AND(catpn_1_VLHB_1&gt;0,catpn_1_VLHV_42&gt;0),(dagenperjaar1*VLOOKUP(B42,dagsoorttabel1,2,FALSE))/(((dagenperjaar1*VLOOKUP(B42,dagsoorttabel1,2,FALSE))-catfd_1_VLHV_42)/catpn_1_VLHB_1+catfd_1_VLHV_42/catpn_1_VLHV_42),0)</f>
        <v>0</v>
      </c>
      <c r="H42" s="36">
        <f>IF(AND(catpn_1_VLHB_1&gt;0,catpn_1_VLHV_42&gt;0),(catdw_1_VLHB_1*((dagenperjaar1-VLOOKUP(B42,dagsoorttabel1,2,FALSE))-catfd_1_VLHV_42)/catpn_1_VLHB_1+catdw_1_VLHV_42*catfd_1_VLHV_42/catpn_1_VLHV_42)/(((dagenperjaar1-VLOOKUP(B42,dagsoorttabel1,2,FALSE))-catfd_1_VLHV_42)/catpn_1_VLHB_1+catfd_1_VLHV_42/catpn_1_VLHV_42),0)</f>
        <v>0</v>
      </c>
      <c r="I42" s="20" t="s">
        <v>40</v>
      </c>
      <c r="J42" s="37">
        <f>IF(AND(catpn_1_VLHB_1&gt;0,catpn_1_VLHV_42&gt;0),(cattf_1_VLHB_1*((dagenperjaar1*VLOOKUP(B42,dagsoorttabel1,2,FALSE))-catfd_1_VLHV_42)/catpn_1_VLHB_1+cattf_1_VLHV_42*catfd_1_VLHV_42/catpn_1_VLHV_42)/(((dagenperjaar1*VLOOKUP(B42,dagsoorttabel1,2,FALSE))-catfd_1_VLHV_42)/catpn_1_VLHB_1+catfd_1_VLHV_42/catpn_1_VLHV_42),0)</f>
        <v>0</v>
      </c>
      <c r="K42" s="34">
        <f t="shared" si="1"/>
        <v>0</v>
      </c>
      <c r="L42" s="37">
        <f t="shared" si="2"/>
        <v>0</v>
      </c>
      <c r="M42" s="34">
        <f t="shared" si="3"/>
        <v>0</v>
      </c>
      <c r="N42" s="37">
        <f t="shared" si="4"/>
        <v>0</v>
      </c>
    </row>
    <row r="43" spans="1:14" x14ac:dyDescent="0.3">
      <c r="A43" s="20" t="s">
        <v>282</v>
      </c>
      <c r="B43" s="20" t="s">
        <v>11</v>
      </c>
      <c r="C43" s="20" t="s">
        <v>210</v>
      </c>
      <c r="D43" s="20" t="s">
        <v>283</v>
      </c>
      <c r="E43" s="34">
        <v>69.349999999999994</v>
      </c>
      <c r="F43" s="34">
        <f t="shared" si="0"/>
        <v>69.349999999999994</v>
      </c>
      <c r="G43" s="35">
        <f>IF(AND(catpn_1_VOHB_1&gt;0,catpn_1_VOHV_42&gt;0),(dagenperjaar1*VLOOKUP(B43,dagsoorttabel1,2,FALSE))/(((dagenperjaar1*VLOOKUP(B43,dagsoorttabel1,2,FALSE))-catfd_1_VOHV_42)/catpn_1_VOHB_1+catfd_1_VOHV_42/catpn_1_VOHV_42),0)</f>
        <v>0</v>
      </c>
      <c r="H43" s="36">
        <f>IF(AND(catpn_1_VOHB_1&gt;0,catpn_1_VOHV_42&gt;0),(catdw_1_VOHB_1*((dagenperjaar1-VLOOKUP(B43,dagsoorttabel1,2,FALSE))-catfd_1_VOHV_42)/catpn_1_VOHB_1+catdw_1_VOHV_42*catfd_1_VOHV_42/catpn_1_VOHV_42)/(((dagenperjaar1-VLOOKUP(B43,dagsoorttabel1,2,FALSE))-catfd_1_VOHV_42)/catpn_1_VOHB_1+catfd_1_VOHV_42/catpn_1_VOHV_42),0)</f>
        <v>0</v>
      </c>
      <c r="I43" s="20" t="s">
        <v>40</v>
      </c>
      <c r="J43" s="37">
        <f>IF(AND(catpn_1_VOHB_1&gt;0,catpn_1_VOHV_42&gt;0),(cattf_1_VOHB_1*((dagenperjaar1*VLOOKUP(B43,dagsoorttabel1,2,FALSE))-catfd_1_VOHV_42)/catpn_1_VOHB_1+cattf_1_VOHV_42*catfd_1_VOHV_42/catpn_1_VOHV_42)/(((dagenperjaar1*VLOOKUP(B43,dagsoorttabel1,2,FALSE))-catfd_1_VOHV_42)/catpn_1_VOHB_1+catfd_1_VOHV_42/catpn_1_VOHV_42),0)</f>
        <v>0</v>
      </c>
      <c r="K43" s="34">
        <f t="shared" si="1"/>
        <v>0</v>
      </c>
      <c r="L43" s="37">
        <f t="shared" si="2"/>
        <v>0</v>
      </c>
      <c r="M43" s="34">
        <f t="shared" si="3"/>
        <v>0</v>
      </c>
      <c r="N43" s="37">
        <f t="shared" si="4"/>
        <v>0</v>
      </c>
    </row>
    <row r="44" spans="1:14" x14ac:dyDescent="0.3">
      <c r="A44" s="20" t="s">
        <v>284</v>
      </c>
      <c r="B44" s="20" t="s">
        <v>11</v>
      </c>
      <c r="C44" s="20" t="s">
        <v>210</v>
      </c>
      <c r="D44" s="20" t="s">
        <v>285</v>
      </c>
      <c r="E44" s="34">
        <v>42.23</v>
      </c>
      <c r="F44" s="34">
        <f t="shared" si="0"/>
        <v>42.23</v>
      </c>
      <c r="G44" s="35">
        <f>IF(AND(catpn_1_VOZB_1&gt;0,catpn_1_VOZV_42&gt;0),(dagenperjaar1*VLOOKUP(B44,dagsoorttabel1,2,FALSE))/(((dagenperjaar1*VLOOKUP(B44,dagsoorttabel1,2,FALSE))-catfd_1_VOZV_42)/catpn_1_VOZB_1+catfd_1_VOZV_42/catpn_1_VOZV_42),0)</f>
        <v>0</v>
      </c>
      <c r="H44" s="36">
        <f>IF(AND(catpn_1_VOZB_1&gt;0,catpn_1_VOZV_42&gt;0),(catdw_1_VOZB_1*((dagenperjaar1-VLOOKUP(B44,dagsoorttabel1,2,FALSE))-catfd_1_VOZV_42)/catpn_1_VOZB_1+catdw_1_VOZV_42*catfd_1_VOZV_42/catpn_1_VOZV_42)/(((dagenperjaar1-VLOOKUP(B44,dagsoorttabel1,2,FALSE))-catfd_1_VOZV_42)/catpn_1_VOZB_1+catfd_1_VOZV_42/catpn_1_VOZV_42),0)</f>
        <v>0</v>
      </c>
      <c r="I44" s="20" t="s">
        <v>40</v>
      </c>
      <c r="J44" s="37">
        <f>IF(AND(catpn_1_VOZB_1&gt;0,catpn_1_VOZV_42&gt;0),(cattf_1_VOZB_1*((dagenperjaar1*VLOOKUP(B44,dagsoorttabel1,2,FALSE))-catfd_1_VOZV_42)/catpn_1_VOZB_1+cattf_1_VOZV_42*catfd_1_VOZV_42/catpn_1_VOZV_42)/(((dagenperjaar1*VLOOKUP(B44,dagsoorttabel1,2,FALSE))-catfd_1_VOZV_42)/catpn_1_VOZB_1+catfd_1_VOZV_42/catpn_1_VOZV_42),0)</f>
        <v>0</v>
      </c>
      <c r="K44" s="34">
        <f t="shared" si="1"/>
        <v>0</v>
      </c>
      <c r="L44" s="37">
        <f t="shared" si="2"/>
        <v>0</v>
      </c>
      <c r="M44" s="34">
        <f t="shared" si="3"/>
        <v>0</v>
      </c>
      <c r="N44" s="37">
        <f t="shared" si="4"/>
        <v>0</v>
      </c>
    </row>
    <row r="45" spans="1:14" x14ac:dyDescent="0.3">
      <c r="A45" s="20" t="s">
        <v>286</v>
      </c>
      <c r="B45" s="20" t="s">
        <v>11</v>
      </c>
      <c r="C45" s="20" t="s">
        <v>210</v>
      </c>
      <c r="D45" s="20" t="s">
        <v>287</v>
      </c>
      <c r="E45" s="34">
        <v>1109.9799999999998</v>
      </c>
      <c r="F45" s="34">
        <f t="shared" si="0"/>
        <v>1109.9799999999998</v>
      </c>
      <c r="G45" s="35">
        <f>IF(AND(catpn_1_VTHB_1&gt;0,catpn_1_VTHV_42&gt;0),(dagenperjaar1*VLOOKUP(B45,dagsoorttabel1,2,FALSE))/(((dagenperjaar1*VLOOKUP(B45,dagsoorttabel1,2,FALSE))-catfd_1_VTHV_42)/catpn_1_VTHB_1+catfd_1_VTHV_42/catpn_1_VTHV_42),0)</f>
        <v>0</v>
      </c>
      <c r="H45" s="36">
        <f>IF(AND(catpn_1_VTHB_1&gt;0,catpn_1_VTHV_42&gt;0),(catdw_1_VTHB_1*((dagenperjaar1-VLOOKUP(B45,dagsoorttabel1,2,FALSE))-catfd_1_VTHV_42)/catpn_1_VTHB_1+catdw_1_VTHV_42*catfd_1_VTHV_42/catpn_1_VTHV_42)/(((dagenperjaar1-VLOOKUP(B45,dagsoorttabel1,2,FALSE))-catfd_1_VTHV_42)/catpn_1_VTHB_1+catfd_1_VTHV_42/catpn_1_VTHV_42),0)</f>
        <v>0</v>
      </c>
      <c r="I45" s="20" t="s">
        <v>40</v>
      </c>
      <c r="J45" s="37">
        <f>IF(AND(catpn_1_VTHB_1&gt;0,catpn_1_VTHV_42&gt;0),(cattf_1_VTHB_1*((dagenperjaar1*VLOOKUP(B45,dagsoorttabel1,2,FALSE))-catfd_1_VTHV_42)/catpn_1_VTHB_1+cattf_1_VTHV_42*catfd_1_VTHV_42/catpn_1_VTHV_42)/(((dagenperjaar1*VLOOKUP(B45,dagsoorttabel1,2,FALSE))-catfd_1_VTHV_42)/catpn_1_VTHB_1+catfd_1_VTHV_42/catpn_1_VTHV_42),0)</f>
        <v>0</v>
      </c>
      <c r="K45" s="34">
        <f t="shared" si="1"/>
        <v>0</v>
      </c>
      <c r="L45" s="37">
        <f t="shared" si="2"/>
        <v>0</v>
      </c>
      <c r="M45" s="34">
        <f t="shared" si="3"/>
        <v>0</v>
      </c>
      <c r="N45" s="37">
        <f t="shared" si="4"/>
        <v>0</v>
      </c>
    </row>
    <row r="46" spans="1:14" x14ac:dyDescent="0.3">
      <c r="A46" s="20" t="s">
        <v>288</v>
      </c>
      <c r="B46" s="20" t="s">
        <v>11</v>
      </c>
      <c r="C46" s="20" t="s">
        <v>289</v>
      </c>
      <c r="D46" s="20" t="s">
        <v>290</v>
      </c>
      <c r="E46" s="34">
        <v>0.25</v>
      </c>
      <c r="F46" s="34">
        <f t="shared" si="0"/>
        <v>0.25</v>
      </c>
      <c r="G46" s="35"/>
      <c r="H46" s="23"/>
      <c r="I46" s="20" t="s">
        <v>291</v>
      </c>
      <c r="J46" s="24"/>
      <c r="K46" s="34">
        <f>F46</f>
        <v>0.25</v>
      </c>
      <c r="L46" s="37">
        <f t="shared" si="2"/>
        <v>0</v>
      </c>
      <c r="M46" s="34">
        <f t="shared" si="3"/>
        <v>52.5</v>
      </c>
      <c r="N46" s="37">
        <f t="shared" si="4"/>
        <v>0</v>
      </c>
    </row>
    <row r="47" spans="1:14" x14ac:dyDescent="0.3">
      <c r="A47" s="20" t="s">
        <v>288</v>
      </c>
      <c r="B47" s="20" t="s">
        <v>9</v>
      </c>
      <c r="C47" s="20" t="s">
        <v>289</v>
      </c>
      <c r="D47" s="20" t="s">
        <v>292</v>
      </c>
      <c r="E47" s="34">
        <v>0.5</v>
      </c>
      <c r="F47" s="34">
        <f t="shared" si="0"/>
        <v>1</v>
      </c>
      <c r="G47" s="35"/>
      <c r="H47" s="23"/>
      <c r="I47" s="20" t="s">
        <v>291</v>
      </c>
      <c r="J47" s="24"/>
      <c r="K47" s="34">
        <f>F47</f>
        <v>1</v>
      </c>
      <c r="L47" s="37">
        <f t="shared" si="2"/>
        <v>0</v>
      </c>
      <c r="M47" s="34">
        <f t="shared" si="3"/>
        <v>210</v>
      </c>
      <c r="N47" s="37">
        <f t="shared" si="4"/>
        <v>0</v>
      </c>
    </row>
    <row r="48" spans="1:14" x14ac:dyDescent="0.3">
      <c r="A48" s="20" t="s">
        <v>293</v>
      </c>
      <c r="B48" s="20" t="s">
        <v>11</v>
      </c>
      <c r="C48" s="20" t="s">
        <v>289</v>
      </c>
      <c r="D48" s="20" t="s">
        <v>294</v>
      </c>
      <c r="E48" s="34">
        <v>1.25</v>
      </c>
      <c r="F48" s="34">
        <f t="shared" si="0"/>
        <v>1.25</v>
      </c>
      <c r="G48" s="35"/>
      <c r="H48" s="23"/>
      <c r="I48" s="20" t="s">
        <v>291</v>
      </c>
      <c r="J48" s="24"/>
      <c r="K48" s="34">
        <f>F48</f>
        <v>1.25</v>
      </c>
      <c r="L48" s="37">
        <f t="shared" si="2"/>
        <v>0</v>
      </c>
      <c r="M48" s="34">
        <f t="shared" si="3"/>
        <v>262.5</v>
      </c>
      <c r="N48" s="37">
        <f t="shared" si="4"/>
        <v>0</v>
      </c>
    </row>
    <row r="49" spans="1:14" x14ac:dyDescent="0.3">
      <c r="A49" s="25" t="s">
        <v>295</v>
      </c>
      <c r="B49" s="25" t="s">
        <v>24</v>
      </c>
      <c r="C49" s="25" t="s">
        <v>289</v>
      </c>
      <c r="D49" s="25" t="s">
        <v>296</v>
      </c>
      <c r="E49" s="38">
        <v>2913.73</v>
      </c>
      <c r="F49" s="38">
        <f t="shared" si="0"/>
        <v>27.749809523809528</v>
      </c>
      <c r="G49" s="39"/>
      <c r="H49" s="28"/>
      <c r="I49" s="25" t="s">
        <v>40</v>
      </c>
      <c r="J49" s="29"/>
      <c r="K49" s="38">
        <f>IF(OR(ISBLANK(G49),G49=0),0,F49/ROUND(G49,4))</f>
        <v>0</v>
      </c>
      <c r="L49" s="40">
        <f t="shared" si="2"/>
        <v>0</v>
      </c>
      <c r="M49" s="38">
        <f t="shared" si="3"/>
        <v>0</v>
      </c>
      <c r="N49" s="40">
        <f t="shared" si="4"/>
        <v>0</v>
      </c>
    </row>
    <row r="50" spans="1:14" x14ac:dyDescent="0.3">
      <c r="A50" s="42" t="s">
        <v>297</v>
      </c>
      <c r="B50" s="43"/>
      <c r="C50" s="43"/>
      <c r="D50" s="43"/>
      <c r="E50" s="43"/>
      <c r="F50" s="43"/>
      <c r="G50" s="43"/>
      <c r="H50" s="43"/>
      <c r="I50" s="43"/>
      <c r="J50" s="43"/>
      <c r="K50" s="44">
        <f>SUM(K6:K49)</f>
        <v>2.5</v>
      </c>
      <c r="L50" s="45">
        <f>SUM(L6:L49)</f>
        <v>0</v>
      </c>
      <c r="M50" s="44">
        <f>SUM(M6:M49)</f>
        <v>525</v>
      </c>
      <c r="N50" s="46">
        <f>SUM(N6:N49)</f>
        <v>0</v>
      </c>
    </row>
    <row r="51" spans="1:14" x14ac:dyDescent="0.3">
      <c r="A51" s="47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8"/>
    </row>
    <row r="52" spans="1:14" x14ac:dyDescent="0.3">
      <c r="A52" s="42" t="s">
        <v>298</v>
      </c>
      <c r="B52" s="43"/>
      <c r="C52" s="43"/>
      <c r="D52" s="43"/>
      <c r="E52" s="43"/>
      <c r="F52" s="43"/>
      <c r="G52" s="43"/>
      <c r="H52" s="43"/>
      <c r="I52" s="43"/>
      <c r="J52" s="45">
        <f>IF(urenjaar1&gt;0,SUMIF(M6:M49,"&gt;0",N6:N49)/urenjaar1,0)</f>
        <v>0</v>
      </c>
      <c r="K52" s="43"/>
      <c r="L52" s="43"/>
      <c r="M52" s="43"/>
      <c r="N52" s="48"/>
    </row>
    <row r="53" spans="1:14" x14ac:dyDescent="0.3">
      <c r="A53" s="47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8"/>
    </row>
    <row r="54" spans="1:14" x14ac:dyDescent="0.3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</row>
    <row r="55" spans="1:14" x14ac:dyDescent="0.3">
      <c r="A55" s="12" t="s">
        <v>196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4"/>
    </row>
    <row r="56" spans="1:14" x14ac:dyDescent="0.3">
      <c r="A56" s="15" t="s">
        <v>64</v>
      </c>
      <c r="B56" s="15" t="s">
        <v>20</v>
      </c>
      <c r="C56" s="15" t="s">
        <v>210</v>
      </c>
      <c r="D56" s="15" t="s">
        <v>299</v>
      </c>
      <c r="E56" s="30">
        <v>110.83</v>
      </c>
      <c r="F56" s="30">
        <f>E56*VLOOKUP(B56,dagsoorttabel2,2,FALSE)</f>
        <v>44.332000000000001</v>
      </c>
      <c r="G56" s="31">
        <f>IF(AND(catpn_2_STHVB_1&gt;0,catpn_2_STHVV_5&gt;0),(dagenperjaar2*VLOOKUP(B56,dagsoorttabel2,2,FALSE))/(((dagenperjaar2*VLOOKUP(B56,dagsoorttabel2,2,FALSE))-catfd_2_STHVV_5)/catpn_2_STHVB_1+catfd_2_STHVV_5/catpn_2_STHVV_5),0)</f>
        <v>0</v>
      </c>
      <c r="H56" s="32">
        <f>IF(AND(catpn_2_STHVB_1&gt;0,catpn_2_STHVV_5&gt;0),(catdw_2_STHVB_1*((dagenperjaar2-VLOOKUP(B56,dagsoorttabel2,2,FALSE))-catfd_2_STHVV_5)/catpn_2_STHVB_1+catdw_2_STHVV_5*catfd_2_STHVV_5/catpn_2_STHVV_5)/(((dagenperjaar2-VLOOKUP(B56,dagsoorttabel2,2,FALSE))-catfd_2_STHVV_5)/catpn_2_STHVB_1+catfd_2_STHVV_5/catpn_2_STHVV_5),0)</f>
        <v>0</v>
      </c>
      <c r="I56" s="15" t="s">
        <v>40</v>
      </c>
      <c r="J56" s="33">
        <f>IF(AND(catpn_2_STHVB_1&gt;0,catpn_2_STHVV_5&gt;0),(cattf_2_STHVB_1*((dagenperjaar2*VLOOKUP(B56,dagsoorttabel2,2,FALSE))-catfd_2_STHVV_5)/catpn_2_STHVB_1+cattf_2_STHVV_5*catfd_2_STHVV_5/catpn_2_STHVV_5)/(((dagenperjaar2*VLOOKUP(B56,dagsoorttabel2,2,FALSE))-catfd_2_STHVV_5)/catpn_2_STHVB_1+catfd_2_STHVV_5/catpn_2_STHVV_5),0)</f>
        <v>0</v>
      </c>
      <c r="K56" s="30">
        <f>IF(OR(ISBLANK(G56),G56=0),0,F56/ROUND(G56,4))</f>
        <v>0</v>
      </c>
      <c r="L56" s="33">
        <f>ROUND(J56,2)*K56</f>
        <v>0</v>
      </c>
      <c r="M56" s="30">
        <f>K56*dagenperjaar2</f>
        <v>0</v>
      </c>
      <c r="N56" s="33">
        <f>M56*ROUND(J56,2)</f>
        <v>0</v>
      </c>
    </row>
    <row r="57" spans="1:14" x14ac:dyDescent="0.3">
      <c r="A57" s="25" t="s">
        <v>300</v>
      </c>
      <c r="B57" s="25" t="s">
        <v>20</v>
      </c>
      <c r="C57" s="25" t="s">
        <v>289</v>
      </c>
      <c r="D57" s="25" t="s">
        <v>301</v>
      </c>
      <c r="E57" s="38">
        <v>1</v>
      </c>
      <c r="F57" s="38">
        <f>E57*VLOOKUP(B57,dagsoorttabel2,2,FALSE)</f>
        <v>0.4</v>
      </c>
      <c r="G57" s="49"/>
      <c r="H57" s="28"/>
      <c r="I57" s="25" t="s">
        <v>291</v>
      </c>
      <c r="J57" s="29"/>
      <c r="K57" s="38">
        <f>F57</f>
        <v>0.4</v>
      </c>
      <c r="L57" s="40">
        <f>ROUND(J57,2)*K57</f>
        <v>0</v>
      </c>
      <c r="M57" s="38">
        <f>K57*dagenperjaar2</f>
        <v>10</v>
      </c>
      <c r="N57" s="40">
        <f>M57*ROUND(J57,2)</f>
        <v>0</v>
      </c>
    </row>
    <row r="58" spans="1:14" x14ac:dyDescent="0.3">
      <c r="A58" s="42" t="s">
        <v>302</v>
      </c>
      <c r="B58" s="43"/>
      <c r="C58" s="43"/>
      <c r="D58" s="43"/>
      <c r="E58" s="43"/>
      <c r="F58" s="43"/>
      <c r="G58" s="43"/>
      <c r="H58" s="43"/>
      <c r="I58" s="43"/>
      <c r="J58" s="43"/>
      <c r="K58" s="44">
        <f>SUM(K56:K57)</f>
        <v>0.4</v>
      </c>
      <c r="L58" s="45">
        <f>SUM(L56:L57)</f>
        <v>0</v>
      </c>
      <c r="M58" s="44">
        <f>SUM(M56:M57)</f>
        <v>10</v>
      </c>
      <c r="N58" s="46">
        <f>SUM(N56:N57)</f>
        <v>0</v>
      </c>
    </row>
    <row r="59" spans="1:14" x14ac:dyDescent="0.3">
      <c r="A59" s="47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8"/>
    </row>
    <row r="60" spans="1:14" x14ac:dyDescent="0.3">
      <c r="A60" s="42" t="s">
        <v>303</v>
      </c>
      <c r="B60" s="43"/>
      <c r="C60" s="43"/>
      <c r="D60" s="43"/>
      <c r="E60" s="43"/>
      <c r="F60" s="43"/>
      <c r="G60" s="43"/>
      <c r="H60" s="43"/>
      <c r="I60" s="43"/>
      <c r="J60" s="45">
        <f>IF(urenjaar2&gt;0,SUMIF(M56:M57,"&gt;0",N56:N57)/urenjaar2,0)</f>
        <v>0</v>
      </c>
      <c r="K60" s="43"/>
      <c r="L60" s="43"/>
      <c r="M60" s="43"/>
      <c r="N60" s="48"/>
    </row>
    <row r="61" spans="1:14" x14ac:dyDescent="0.3">
      <c r="A61" s="47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8"/>
    </row>
    <row r="63" spans="1:14" x14ac:dyDescent="0.3">
      <c r="A63" s="42" t="s">
        <v>304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4">
        <f>urenjaar1+urenjaar2</f>
        <v>535</v>
      </c>
      <c r="N63" s="45">
        <f>prijsjaar1+prijsjaar2</f>
        <v>0</v>
      </c>
    </row>
  </sheetData>
  <sheetProtection algorithmName="SHA-512" hashValue="oikrgUZQe1CPwFxgnWNw7ySXn7sB8v7Y4TLwxPKGxtF8tMuVd4V568uD/dLeDIOrG79qO7Ohjub2hxsbzZrfZQ==" saltValue="t+lkBZN23QLt2YtvEb2d/g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22FB-43B9-4C09-B2AC-E23493F1035E}">
  <dimension ref="A1:V1447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4" x14ac:dyDescent="0.3"/>
  <cols>
    <col min="1" max="1" width="8.77734375" customWidth="1"/>
    <col min="2" max="3" width="7.77734375" customWidth="1"/>
    <col min="4" max="4" width="10.77734375" customWidth="1"/>
    <col min="5" max="5" width="25.77734375" customWidth="1"/>
    <col min="6" max="6" width="11.77734375" customWidth="1"/>
    <col min="7" max="7" width="7.77734375" customWidth="1"/>
    <col min="8" max="8" width="6.77734375" customWidth="1"/>
    <col min="9" max="9" width="8.77734375" customWidth="1"/>
    <col min="10" max="10" width="40.77734375" customWidth="1"/>
    <col min="11" max="13" width="10.77734375" customWidth="1"/>
    <col min="14" max="15" width="11.77734375" customWidth="1"/>
    <col min="16" max="16" width="9.77734375" customWidth="1"/>
    <col min="17" max="20" width="11.77734375" customWidth="1"/>
    <col min="21" max="21" width="12.77734375" customWidth="1"/>
    <col min="22" max="22" width="14.77734375" customWidth="1"/>
  </cols>
  <sheetData>
    <row r="1" spans="1:22" x14ac:dyDescent="0.3">
      <c r="A1" s="1" t="str">
        <f>CONCATENATE("Bijlage G.1.3: ",tabeltype," ruimten werkdag")</f>
        <v>Bijlage G.1.3: Invultabel ruimten werkdag</v>
      </c>
    </row>
    <row r="3" spans="1:22" ht="43.2" x14ac:dyDescent="0.3">
      <c r="A3" s="50" t="s">
        <v>305</v>
      </c>
      <c r="B3" s="8" t="s">
        <v>306</v>
      </c>
      <c r="C3" s="8" t="s">
        <v>307</v>
      </c>
      <c r="D3" s="8" t="s">
        <v>308</v>
      </c>
      <c r="E3" s="8" t="s">
        <v>309</v>
      </c>
      <c r="F3" s="8" t="s">
        <v>310</v>
      </c>
      <c r="G3" s="8" t="s">
        <v>201</v>
      </c>
      <c r="H3" s="8" t="s">
        <v>7</v>
      </c>
      <c r="I3" s="8" t="s">
        <v>311</v>
      </c>
      <c r="J3" s="8" t="s">
        <v>312</v>
      </c>
      <c r="K3" s="8" t="s">
        <v>313</v>
      </c>
      <c r="L3" s="8" t="s">
        <v>203</v>
      </c>
      <c r="M3" s="8" t="s">
        <v>204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205</v>
      </c>
      <c r="S3" s="8" t="s">
        <v>314</v>
      </c>
      <c r="T3" s="8" t="s">
        <v>206</v>
      </c>
      <c r="U3" s="8" t="s">
        <v>207</v>
      </c>
      <c r="V3" s="51" t="s">
        <v>208</v>
      </c>
    </row>
    <row r="4" spans="1:22" x14ac:dyDescent="0.3">
      <c r="A4" s="52" t="s">
        <v>315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1"/>
    </row>
    <row r="5" spans="1:22" x14ac:dyDescent="0.3">
      <c r="A5" s="53" t="s">
        <v>316</v>
      </c>
      <c r="B5" s="54" t="s">
        <v>317</v>
      </c>
      <c r="C5" s="54" t="s">
        <v>318</v>
      </c>
      <c r="D5" s="54" t="s">
        <v>317</v>
      </c>
      <c r="E5" s="55" t="s">
        <v>319</v>
      </c>
      <c r="F5" s="54" t="s">
        <v>317</v>
      </c>
      <c r="G5" s="54" t="s">
        <v>288</v>
      </c>
      <c r="H5" s="54" t="s">
        <v>9</v>
      </c>
      <c r="I5" s="54" t="s">
        <v>289</v>
      </c>
      <c r="J5" s="55" t="s">
        <v>292</v>
      </c>
      <c r="K5" s="54" t="s">
        <v>317</v>
      </c>
      <c r="L5" s="56">
        <v>0.5</v>
      </c>
      <c r="M5" s="56">
        <f>L5*VLOOKUP(H5,dagsoorttabel1,2,FALSE)</f>
        <v>1</v>
      </c>
      <c r="N5" s="57"/>
      <c r="O5" s="58">
        <f>dagwerk7</f>
        <v>0</v>
      </c>
      <c r="P5" s="54" t="s">
        <v>291</v>
      </c>
      <c r="Q5" s="59">
        <f>uurtarief7</f>
        <v>0</v>
      </c>
      <c r="R5" s="56">
        <f>M5</f>
        <v>1</v>
      </c>
      <c r="S5" s="56">
        <f>R5*ROUND(O5,2)</f>
        <v>0</v>
      </c>
      <c r="T5" s="59">
        <f>ROUND(Q5,2)*R5</f>
        <v>0</v>
      </c>
      <c r="U5" s="56">
        <f>R5*dagenperjaar1</f>
        <v>210</v>
      </c>
      <c r="V5" s="60">
        <f>U5*ROUND(Q5,2)</f>
        <v>0</v>
      </c>
    </row>
    <row r="6" spans="1:22" x14ac:dyDescent="0.3">
      <c r="A6" s="61" t="s">
        <v>316</v>
      </c>
      <c r="B6" s="62" t="s">
        <v>317</v>
      </c>
      <c r="C6" s="62" t="s">
        <v>318</v>
      </c>
      <c r="D6" s="62" t="s">
        <v>320</v>
      </c>
      <c r="E6" s="63" t="s">
        <v>321</v>
      </c>
      <c r="F6" s="62" t="s">
        <v>322</v>
      </c>
      <c r="G6" s="62" t="s">
        <v>323</v>
      </c>
      <c r="H6" s="62"/>
      <c r="I6" s="62"/>
      <c r="J6" s="62"/>
      <c r="K6" s="62" t="s">
        <v>317</v>
      </c>
      <c r="L6" s="64">
        <v>27.1</v>
      </c>
      <c r="M6" s="64"/>
      <c r="N6" s="65"/>
      <c r="O6" s="66"/>
      <c r="P6" s="62"/>
      <c r="Q6" s="67"/>
      <c r="R6" s="64"/>
      <c r="S6" s="64"/>
      <c r="T6" s="67"/>
      <c r="U6" s="68"/>
      <c r="V6" s="69"/>
    </row>
    <row r="7" spans="1:22" x14ac:dyDescent="0.3">
      <c r="A7" s="61" t="s">
        <v>316</v>
      </c>
      <c r="B7" s="62" t="s">
        <v>317</v>
      </c>
      <c r="C7" s="62" t="s">
        <v>318</v>
      </c>
      <c r="D7" s="62" t="s">
        <v>324</v>
      </c>
      <c r="E7" s="63" t="s">
        <v>321</v>
      </c>
      <c r="F7" s="62" t="s">
        <v>322</v>
      </c>
      <c r="G7" s="62" t="s">
        <v>323</v>
      </c>
      <c r="H7" s="62"/>
      <c r="I7" s="62"/>
      <c r="J7" s="62"/>
      <c r="K7" s="62" t="s">
        <v>317</v>
      </c>
      <c r="L7" s="64">
        <v>6.21</v>
      </c>
      <c r="M7" s="64"/>
      <c r="N7" s="65"/>
      <c r="O7" s="66"/>
      <c r="P7" s="62"/>
      <c r="Q7" s="67"/>
      <c r="R7" s="64"/>
      <c r="S7" s="64"/>
      <c r="T7" s="67"/>
      <c r="U7" s="68"/>
      <c r="V7" s="69"/>
    </row>
    <row r="8" spans="1:22" x14ac:dyDescent="0.3">
      <c r="A8" s="61" t="s">
        <v>316</v>
      </c>
      <c r="B8" s="62" t="s">
        <v>317</v>
      </c>
      <c r="C8" s="62" t="s">
        <v>318</v>
      </c>
      <c r="D8" s="62" t="s">
        <v>325</v>
      </c>
      <c r="E8" s="63" t="s">
        <v>321</v>
      </c>
      <c r="F8" s="62" t="s">
        <v>322</v>
      </c>
      <c r="G8" s="62" t="s">
        <v>323</v>
      </c>
      <c r="H8" s="62"/>
      <c r="I8" s="62"/>
      <c r="J8" s="62"/>
      <c r="K8" s="62" t="s">
        <v>317</v>
      </c>
      <c r="L8" s="64">
        <v>18.079999999999998</v>
      </c>
      <c r="M8" s="64"/>
      <c r="N8" s="65"/>
      <c r="O8" s="66"/>
      <c r="P8" s="62"/>
      <c r="Q8" s="67"/>
      <c r="R8" s="64"/>
      <c r="S8" s="64"/>
      <c r="T8" s="67"/>
      <c r="U8" s="68"/>
      <c r="V8" s="69"/>
    </row>
    <row r="9" spans="1:22" x14ac:dyDescent="0.3">
      <c r="A9" s="61" t="s">
        <v>316</v>
      </c>
      <c r="B9" s="62" t="s">
        <v>317</v>
      </c>
      <c r="C9" s="62" t="s">
        <v>318</v>
      </c>
      <c r="D9" s="62" t="s">
        <v>326</v>
      </c>
      <c r="E9" s="63" t="s">
        <v>321</v>
      </c>
      <c r="F9" s="62" t="s">
        <v>322</v>
      </c>
      <c r="G9" s="62" t="s">
        <v>323</v>
      </c>
      <c r="H9" s="62"/>
      <c r="I9" s="62"/>
      <c r="J9" s="62"/>
      <c r="K9" s="62" t="s">
        <v>317</v>
      </c>
      <c r="L9" s="64">
        <v>17.02</v>
      </c>
      <c r="M9" s="64"/>
      <c r="N9" s="65"/>
      <c r="O9" s="66"/>
      <c r="P9" s="62"/>
      <c r="Q9" s="67"/>
      <c r="R9" s="64"/>
      <c r="S9" s="64"/>
      <c r="T9" s="67"/>
      <c r="U9" s="68"/>
      <c r="V9" s="69"/>
    </row>
    <row r="10" spans="1:22" x14ac:dyDescent="0.3">
      <c r="A10" s="61" t="s">
        <v>316</v>
      </c>
      <c r="B10" s="62" t="s">
        <v>317</v>
      </c>
      <c r="C10" s="62" t="s">
        <v>318</v>
      </c>
      <c r="D10" s="62" t="s">
        <v>327</v>
      </c>
      <c r="E10" s="63" t="s">
        <v>321</v>
      </c>
      <c r="F10" s="62" t="s">
        <v>322</v>
      </c>
      <c r="G10" s="62" t="s">
        <v>323</v>
      </c>
      <c r="H10" s="62"/>
      <c r="I10" s="62"/>
      <c r="J10" s="62"/>
      <c r="K10" s="62" t="s">
        <v>317</v>
      </c>
      <c r="L10" s="64">
        <v>19.479999999999997</v>
      </c>
      <c r="M10" s="64"/>
      <c r="N10" s="65"/>
      <c r="O10" s="66"/>
      <c r="P10" s="62"/>
      <c r="Q10" s="67"/>
      <c r="R10" s="64"/>
      <c r="S10" s="64"/>
      <c r="T10" s="67"/>
      <c r="U10" s="68"/>
      <c r="V10" s="69"/>
    </row>
    <row r="11" spans="1:22" x14ac:dyDescent="0.3">
      <c r="A11" s="61" t="s">
        <v>316</v>
      </c>
      <c r="B11" s="62" t="s">
        <v>317</v>
      </c>
      <c r="C11" s="62" t="s">
        <v>318</v>
      </c>
      <c r="D11" s="62" t="s">
        <v>328</v>
      </c>
      <c r="E11" s="63" t="s">
        <v>321</v>
      </c>
      <c r="F11" s="62" t="s">
        <v>322</v>
      </c>
      <c r="G11" s="62" t="s">
        <v>323</v>
      </c>
      <c r="H11" s="62"/>
      <c r="I11" s="62"/>
      <c r="J11" s="62"/>
      <c r="K11" s="62" t="s">
        <v>317</v>
      </c>
      <c r="L11" s="64">
        <v>24.04</v>
      </c>
      <c r="M11" s="64"/>
      <c r="N11" s="65"/>
      <c r="O11" s="66"/>
      <c r="P11" s="62"/>
      <c r="Q11" s="67"/>
      <c r="R11" s="64"/>
      <c r="S11" s="64"/>
      <c r="T11" s="67"/>
      <c r="U11" s="68"/>
      <c r="V11" s="69"/>
    </row>
    <row r="12" spans="1:22" x14ac:dyDescent="0.3">
      <c r="A12" s="61" t="s">
        <v>316</v>
      </c>
      <c r="B12" s="62" t="s">
        <v>317</v>
      </c>
      <c r="C12" s="62" t="s">
        <v>318</v>
      </c>
      <c r="D12" s="62" t="s">
        <v>329</v>
      </c>
      <c r="E12" s="63" t="s">
        <v>330</v>
      </c>
      <c r="F12" s="62" t="s">
        <v>331</v>
      </c>
      <c r="G12" s="62" t="s">
        <v>286</v>
      </c>
      <c r="H12" s="62" t="s">
        <v>11</v>
      </c>
      <c r="I12" s="62" t="s">
        <v>210</v>
      </c>
      <c r="J12" s="63" t="s">
        <v>287</v>
      </c>
      <c r="K12" s="62" t="s">
        <v>317</v>
      </c>
      <c r="L12" s="64">
        <v>20.84</v>
      </c>
      <c r="M12" s="64">
        <f t="shared" ref="M12:M17" si="0">L12*VLOOKUP(H12,dagsoorttabel1,2,FALSE)</f>
        <v>20.84</v>
      </c>
      <c r="N12" s="65">
        <f>prodnorm49</f>
        <v>0</v>
      </c>
      <c r="O12" s="66">
        <f>dagwerk49</f>
        <v>0</v>
      </c>
      <c r="P12" s="62" t="s">
        <v>40</v>
      </c>
      <c r="Q12" s="67">
        <f>uurtarief49</f>
        <v>0</v>
      </c>
      <c r="R12" s="64" t="e">
        <f t="shared" ref="R12:R17" si="1">IF(ISBLANK(N12),0,M12/ROUND(N12,4))</f>
        <v>#DIV/0!</v>
      </c>
      <c r="S12" s="64" t="e">
        <f t="shared" ref="S12:S17" si="2">IF(ISBLANK(N12),0,R12*ROUND(O12,2))</f>
        <v>#DIV/0!</v>
      </c>
      <c r="T12" s="67" t="e">
        <f t="shared" ref="T12:T17" si="3">ROUND(Q12,2)*R12</f>
        <v>#DIV/0!</v>
      </c>
      <c r="U12" s="64" t="e">
        <f t="shared" ref="U12:U17" si="4">R12*dagenperjaar1</f>
        <v>#DIV/0!</v>
      </c>
      <c r="V12" s="69" t="e">
        <f t="shared" ref="V12:V17" si="5">U12*ROUND(Q12,2)</f>
        <v>#DIV/0!</v>
      </c>
    </row>
    <row r="13" spans="1:22" x14ac:dyDescent="0.3">
      <c r="A13" s="61" t="s">
        <v>316</v>
      </c>
      <c r="B13" s="62" t="s">
        <v>317</v>
      </c>
      <c r="C13" s="62" t="s">
        <v>318</v>
      </c>
      <c r="D13" s="62" t="s">
        <v>332</v>
      </c>
      <c r="E13" s="63" t="s">
        <v>330</v>
      </c>
      <c r="F13" s="62" t="s">
        <v>331</v>
      </c>
      <c r="G13" s="62" t="s">
        <v>286</v>
      </c>
      <c r="H13" s="62" t="s">
        <v>11</v>
      </c>
      <c r="I13" s="62" t="s">
        <v>210</v>
      </c>
      <c r="J13" s="63" t="s">
        <v>287</v>
      </c>
      <c r="K13" s="62" t="s">
        <v>317</v>
      </c>
      <c r="L13" s="64">
        <v>20.84</v>
      </c>
      <c r="M13" s="64">
        <f t="shared" si="0"/>
        <v>20.84</v>
      </c>
      <c r="N13" s="65">
        <f>prodnorm49</f>
        <v>0</v>
      </c>
      <c r="O13" s="66">
        <f>dagwerk49</f>
        <v>0</v>
      </c>
      <c r="P13" s="62" t="s">
        <v>40</v>
      </c>
      <c r="Q13" s="67">
        <f>uurtarief49</f>
        <v>0</v>
      </c>
      <c r="R13" s="64" t="e">
        <f t="shared" si="1"/>
        <v>#DIV/0!</v>
      </c>
      <c r="S13" s="64" t="e">
        <f t="shared" si="2"/>
        <v>#DIV/0!</v>
      </c>
      <c r="T13" s="67" t="e">
        <f t="shared" si="3"/>
        <v>#DIV/0!</v>
      </c>
      <c r="U13" s="64" t="e">
        <f t="shared" si="4"/>
        <v>#DIV/0!</v>
      </c>
      <c r="V13" s="69" t="e">
        <f t="shared" si="5"/>
        <v>#DIV/0!</v>
      </c>
    </row>
    <row r="14" spans="1:22" x14ac:dyDescent="0.3">
      <c r="A14" s="61" t="s">
        <v>316</v>
      </c>
      <c r="B14" s="62" t="s">
        <v>317</v>
      </c>
      <c r="C14" s="62" t="s">
        <v>318</v>
      </c>
      <c r="D14" s="62" t="s">
        <v>333</v>
      </c>
      <c r="E14" s="63" t="s">
        <v>334</v>
      </c>
      <c r="F14" s="62" t="s">
        <v>335</v>
      </c>
      <c r="G14" s="62" t="s">
        <v>220</v>
      </c>
      <c r="H14" s="62" t="s">
        <v>11</v>
      </c>
      <c r="I14" s="62" t="s">
        <v>210</v>
      </c>
      <c r="J14" s="63" t="s">
        <v>221</v>
      </c>
      <c r="K14" s="62" t="s">
        <v>317</v>
      </c>
      <c r="L14" s="64">
        <v>436.76</v>
      </c>
      <c r="M14" s="64">
        <f t="shared" si="0"/>
        <v>436.76</v>
      </c>
      <c r="N14" s="65">
        <f>prodnorm15</f>
        <v>0</v>
      </c>
      <c r="O14" s="66">
        <f>dagwerk15</f>
        <v>0</v>
      </c>
      <c r="P14" s="62" t="s">
        <v>40</v>
      </c>
      <c r="Q14" s="67">
        <f>uurtarief15</f>
        <v>0</v>
      </c>
      <c r="R14" s="64" t="e">
        <f t="shared" si="1"/>
        <v>#DIV/0!</v>
      </c>
      <c r="S14" s="64" t="e">
        <f t="shared" si="2"/>
        <v>#DIV/0!</v>
      </c>
      <c r="T14" s="67" t="e">
        <f t="shared" si="3"/>
        <v>#DIV/0!</v>
      </c>
      <c r="U14" s="64" t="e">
        <f t="shared" si="4"/>
        <v>#DIV/0!</v>
      </c>
      <c r="V14" s="69" t="e">
        <f t="shared" si="5"/>
        <v>#DIV/0!</v>
      </c>
    </row>
    <row r="15" spans="1:22" x14ac:dyDescent="0.3">
      <c r="A15" s="61" t="s">
        <v>316</v>
      </c>
      <c r="B15" s="62" t="s">
        <v>317</v>
      </c>
      <c r="C15" s="62" t="s">
        <v>318</v>
      </c>
      <c r="D15" s="62" t="s">
        <v>336</v>
      </c>
      <c r="E15" s="63" t="s">
        <v>337</v>
      </c>
      <c r="F15" s="62" t="s">
        <v>335</v>
      </c>
      <c r="G15" s="62" t="s">
        <v>220</v>
      </c>
      <c r="H15" s="62" t="s">
        <v>11</v>
      </c>
      <c r="I15" s="62" t="s">
        <v>210</v>
      </c>
      <c r="J15" s="63" t="s">
        <v>221</v>
      </c>
      <c r="K15" s="62" t="s">
        <v>317</v>
      </c>
      <c r="L15" s="64">
        <v>6.48</v>
      </c>
      <c r="M15" s="64">
        <f t="shared" si="0"/>
        <v>6.48</v>
      </c>
      <c r="N15" s="65">
        <f>prodnorm15</f>
        <v>0</v>
      </c>
      <c r="O15" s="66">
        <f>dagwerk15</f>
        <v>0</v>
      </c>
      <c r="P15" s="62" t="s">
        <v>40</v>
      </c>
      <c r="Q15" s="67">
        <f>uurtarief15</f>
        <v>0</v>
      </c>
      <c r="R15" s="64" t="e">
        <f t="shared" si="1"/>
        <v>#DIV/0!</v>
      </c>
      <c r="S15" s="64" t="e">
        <f t="shared" si="2"/>
        <v>#DIV/0!</v>
      </c>
      <c r="T15" s="67" t="e">
        <f t="shared" si="3"/>
        <v>#DIV/0!</v>
      </c>
      <c r="U15" s="64" t="e">
        <f t="shared" si="4"/>
        <v>#DIV/0!</v>
      </c>
      <c r="V15" s="69" t="e">
        <f t="shared" si="5"/>
        <v>#DIV/0!</v>
      </c>
    </row>
    <row r="16" spans="1:22" x14ac:dyDescent="0.3">
      <c r="A16" s="61" t="s">
        <v>316</v>
      </c>
      <c r="B16" s="62" t="s">
        <v>317</v>
      </c>
      <c r="C16" s="62" t="s">
        <v>318</v>
      </c>
      <c r="D16" s="62" t="s">
        <v>338</v>
      </c>
      <c r="E16" s="63" t="s">
        <v>339</v>
      </c>
      <c r="F16" s="62" t="s">
        <v>335</v>
      </c>
      <c r="G16" s="62" t="s">
        <v>220</v>
      </c>
      <c r="H16" s="62" t="s">
        <v>11</v>
      </c>
      <c r="I16" s="62" t="s">
        <v>210</v>
      </c>
      <c r="J16" s="63" t="s">
        <v>221</v>
      </c>
      <c r="K16" s="62" t="s">
        <v>317</v>
      </c>
      <c r="L16" s="64">
        <v>497.63</v>
      </c>
      <c r="M16" s="64">
        <f t="shared" si="0"/>
        <v>497.63</v>
      </c>
      <c r="N16" s="65">
        <f>prodnorm15</f>
        <v>0</v>
      </c>
      <c r="O16" s="66">
        <f>dagwerk15</f>
        <v>0</v>
      </c>
      <c r="P16" s="62" t="s">
        <v>40</v>
      </c>
      <c r="Q16" s="67">
        <f>uurtarief15</f>
        <v>0</v>
      </c>
      <c r="R16" s="64" t="e">
        <f t="shared" si="1"/>
        <v>#DIV/0!</v>
      </c>
      <c r="S16" s="64" t="e">
        <f t="shared" si="2"/>
        <v>#DIV/0!</v>
      </c>
      <c r="T16" s="67" t="e">
        <f t="shared" si="3"/>
        <v>#DIV/0!</v>
      </c>
      <c r="U16" s="64" t="e">
        <f t="shared" si="4"/>
        <v>#DIV/0!</v>
      </c>
      <c r="V16" s="69" t="e">
        <f t="shared" si="5"/>
        <v>#DIV/0!</v>
      </c>
    </row>
    <row r="17" spans="1:22" x14ac:dyDescent="0.3">
      <c r="A17" s="61" t="s">
        <v>316</v>
      </c>
      <c r="B17" s="62" t="s">
        <v>317</v>
      </c>
      <c r="C17" s="62" t="s">
        <v>318</v>
      </c>
      <c r="D17" s="62" t="s">
        <v>340</v>
      </c>
      <c r="E17" s="63" t="s">
        <v>341</v>
      </c>
      <c r="F17" s="62" t="s">
        <v>335</v>
      </c>
      <c r="G17" s="62" t="s">
        <v>214</v>
      </c>
      <c r="H17" s="62" t="s">
        <v>14</v>
      </c>
      <c r="I17" s="62" t="s">
        <v>210</v>
      </c>
      <c r="J17" s="63" t="s">
        <v>215</v>
      </c>
      <c r="K17" s="62" t="s">
        <v>317</v>
      </c>
      <c r="L17" s="64">
        <v>9.2799999999999994</v>
      </c>
      <c r="M17" s="64">
        <f t="shared" si="0"/>
        <v>5.5679999999999996</v>
      </c>
      <c r="N17" s="65">
        <f>prodnorm12</f>
        <v>0</v>
      </c>
      <c r="O17" s="66">
        <f>dagwerk12</f>
        <v>0</v>
      </c>
      <c r="P17" s="62" t="s">
        <v>40</v>
      </c>
      <c r="Q17" s="67">
        <f>uurtarief12</f>
        <v>0</v>
      </c>
      <c r="R17" s="64" t="e">
        <f t="shared" si="1"/>
        <v>#DIV/0!</v>
      </c>
      <c r="S17" s="64" t="e">
        <f t="shared" si="2"/>
        <v>#DIV/0!</v>
      </c>
      <c r="T17" s="67" t="e">
        <f t="shared" si="3"/>
        <v>#DIV/0!</v>
      </c>
      <c r="U17" s="64" t="e">
        <f t="shared" si="4"/>
        <v>#DIV/0!</v>
      </c>
      <c r="V17" s="69" t="e">
        <f t="shared" si="5"/>
        <v>#DIV/0!</v>
      </c>
    </row>
    <row r="18" spans="1:22" x14ac:dyDescent="0.3">
      <c r="A18" s="61" t="s">
        <v>316</v>
      </c>
      <c r="B18" s="62" t="s">
        <v>317</v>
      </c>
      <c r="C18" s="62" t="s">
        <v>318</v>
      </c>
      <c r="D18" s="62" t="s">
        <v>342</v>
      </c>
      <c r="E18" s="63" t="s">
        <v>343</v>
      </c>
      <c r="F18" s="62" t="s">
        <v>335</v>
      </c>
      <c r="G18" s="62" t="s">
        <v>323</v>
      </c>
      <c r="H18" s="62"/>
      <c r="I18" s="62"/>
      <c r="J18" s="62"/>
      <c r="K18" s="62" t="s">
        <v>317</v>
      </c>
      <c r="L18" s="64">
        <v>107.75</v>
      </c>
      <c r="M18" s="64"/>
      <c r="N18" s="65"/>
      <c r="O18" s="66"/>
      <c r="P18" s="62"/>
      <c r="Q18" s="67"/>
      <c r="R18" s="64"/>
      <c r="S18" s="64"/>
      <c r="T18" s="67"/>
      <c r="U18" s="68"/>
      <c r="V18" s="69"/>
    </row>
    <row r="19" spans="1:22" x14ac:dyDescent="0.3">
      <c r="A19" s="61" t="s">
        <v>316</v>
      </c>
      <c r="B19" s="62" t="s">
        <v>317</v>
      </c>
      <c r="C19" s="62" t="s">
        <v>318</v>
      </c>
      <c r="D19" s="62" t="s">
        <v>344</v>
      </c>
      <c r="E19" s="63" t="s">
        <v>345</v>
      </c>
      <c r="F19" s="62" t="s">
        <v>335</v>
      </c>
      <c r="G19" s="62" t="s">
        <v>272</v>
      </c>
      <c r="H19" s="62" t="s">
        <v>11</v>
      </c>
      <c r="I19" s="62" t="s">
        <v>210</v>
      </c>
      <c r="J19" s="63" t="s">
        <v>273</v>
      </c>
      <c r="K19" s="62" t="s">
        <v>317</v>
      </c>
      <c r="L19" s="64">
        <v>605.58000000000004</v>
      </c>
      <c r="M19" s="64">
        <f t="shared" ref="M19:M28" si="6">L19*VLOOKUP(H19,dagsoorttabel1,2,FALSE)</f>
        <v>605.58000000000004</v>
      </c>
      <c r="N19" s="65">
        <f>prodnorm42</f>
        <v>0</v>
      </c>
      <c r="O19" s="66">
        <f>dagwerk42</f>
        <v>0</v>
      </c>
      <c r="P19" s="62" t="s">
        <v>40</v>
      </c>
      <c r="Q19" s="67">
        <f>uurtarief42</f>
        <v>0</v>
      </c>
      <c r="R19" s="64" t="e">
        <f t="shared" ref="R19:R28" si="7">IF(ISBLANK(N19),0,M19/ROUND(N19,4))</f>
        <v>#DIV/0!</v>
      </c>
      <c r="S19" s="64" t="e">
        <f t="shared" ref="S19:S28" si="8">IF(ISBLANK(N19),0,R19*ROUND(O19,2))</f>
        <v>#DIV/0!</v>
      </c>
      <c r="T19" s="67" t="e">
        <f t="shared" ref="T19:T28" si="9">ROUND(Q19,2)*R19</f>
        <v>#DIV/0!</v>
      </c>
      <c r="U19" s="64" t="e">
        <f t="shared" ref="U19:U28" si="10">R19*dagenperjaar1</f>
        <v>#DIV/0!</v>
      </c>
      <c r="V19" s="69" t="e">
        <f t="shared" ref="V19:V28" si="11">U19*ROUND(Q19,2)</f>
        <v>#DIV/0!</v>
      </c>
    </row>
    <row r="20" spans="1:22" x14ac:dyDescent="0.3">
      <c r="A20" s="61" t="s">
        <v>316</v>
      </c>
      <c r="B20" s="62" t="s">
        <v>317</v>
      </c>
      <c r="C20" s="62" t="s">
        <v>318</v>
      </c>
      <c r="D20" s="62" t="s">
        <v>346</v>
      </c>
      <c r="E20" s="63" t="s">
        <v>347</v>
      </c>
      <c r="F20" s="62" t="s">
        <v>348</v>
      </c>
      <c r="G20" s="62" t="s">
        <v>278</v>
      </c>
      <c r="H20" s="62" t="s">
        <v>11</v>
      </c>
      <c r="I20" s="62" t="s">
        <v>210</v>
      </c>
      <c r="J20" s="63" t="s">
        <v>279</v>
      </c>
      <c r="K20" s="62" t="s">
        <v>317</v>
      </c>
      <c r="L20" s="64">
        <v>5.2700000000000005</v>
      </c>
      <c r="M20" s="64">
        <f t="shared" si="6"/>
        <v>5.2700000000000005</v>
      </c>
      <c r="N20" s="65">
        <f>prodnorm45</f>
        <v>0</v>
      </c>
      <c r="O20" s="66">
        <f>dagwerk45</f>
        <v>0</v>
      </c>
      <c r="P20" s="62" t="s">
        <v>40</v>
      </c>
      <c r="Q20" s="67">
        <f>uurtarief45</f>
        <v>0</v>
      </c>
      <c r="R20" s="64" t="e">
        <f t="shared" si="7"/>
        <v>#DIV/0!</v>
      </c>
      <c r="S20" s="64" t="e">
        <f t="shared" si="8"/>
        <v>#DIV/0!</v>
      </c>
      <c r="T20" s="67" t="e">
        <f t="shared" si="9"/>
        <v>#DIV/0!</v>
      </c>
      <c r="U20" s="64" t="e">
        <f t="shared" si="10"/>
        <v>#DIV/0!</v>
      </c>
      <c r="V20" s="69" t="e">
        <f t="shared" si="11"/>
        <v>#DIV/0!</v>
      </c>
    </row>
    <row r="21" spans="1:22" x14ac:dyDescent="0.3">
      <c r="A21" s="61" t="s">
        <v>316</v>
      </c>
      <c r="B21" s="62" t="s">
        <v>317</v>
      </c>
      <c r="C21" s="62" t="s">
        <v>318</v>
      </c>
      <c r="D21" s="62" t="s">
        <v>349</v>
      </c>
      <c r="E21" s="63" t="s">
        <v>350</v>
      </c>
      <c r="F21" s="62" t="s">
        <v>348</v>
      </c>
      <c r="G21" s="62" t="s">
        <v>278</v>
      </c>
      <c r="H21" s="62" t="s">
        <v>11</v>
      </c>
      <c r="I21" s="62" t="s">
        <v>210</v>
      </c>
      <c r="J21" s="63" t="s">
        <v>279</v>
      </c>
      <c r="K21" s="62" t="s">
        <v>317</v>
      </c>
      <c r="L21" s="64">
        <v>5.2700000000000005</v>
      </c>
      <c r="M21" s="64">
        <f t="shared" si="6"/>
        <v>5.2700000000000005</v>
      </c>
      <c r="N21" s="65">
        <f>prodnorm45</f>
        <v>0</v>
      </c>
      <c r="O21" s="66">
        <f>dagwerk45</f>
        <v>0</v>
      </c>
      <c r="P21" s="62" t="s">
        <v>40</v>
      </c>
      <c r="Q21" s="67">
        <f>uurtarief45</f>
        <v>0</v>
      </c>
      <c r="R21" s="64" t="e">
        <f t="shared" si="7"/>
        <v>#DIV/0!</v>
      </c>
      <c r="S21" s="64" t="e">
        <f t="shared" si="8"/>
        <v>#DIV/0!</v>
      </c>
      <c r="T21" s="67" t="e">
        <f t="shared" si="9"/>
        <v>#DIV/0!</v>
      </c>
      <c r="U21" s="64" t="e">
        <f t="shared" si="10"/>
        <v>#DIV/0!</v>
      </c>
      <c r="V21" s="69" t="e">
        <f t="shared" si="11"/>
        <v>#DIV/0!</v>
      </c>
    </row>
    <row r="22" spans="1:22" x14ac:dyDescent="0.3">
      <c r="A22" s="61" t="s">
        <v>316</v>
      </c>
      <c r="B22" s="62" t="s">
        <v>317</v>
      </c>
      <c r="C22" s="62" t="s">
        <v>318</v>
      </c>
      <c r="D22" s="62" t="s">
        <v>351</v>
      </c>
      <c r="E22" s="63" t="s">
        <v>352</v>
      </c>
      <c r="F22" s="62" t="s">
        <v>353</v>
      </c>
      <c r="G22" s="62" t="s">
        <v>266</v>
      </c>
      <c r="H22" s="62" t="s">
        <v>11</v>
      </c>
      <c r="I22" s="62" t="s">
        <v>210</v>
      </c>
      <c r="J22" s="63" t="s">
        <v>267</v>
      </c>
      <c r="K22" s="62" t="s">
        <v>317</v>
      </c>
      <c r="L22" s="64">
        <v>14.77</v>
      </c>
      <c r="M22" s="64">
        <f t="shared" si="6"/>
        <v>14.77</v>
      </c>
      <c r="N22" s="65">
        <f>prodnorm39</f>
        <v>0</v>
      </c>
      <c r="O22" s="66">
        <f>dagwerk39</f>
        <v>0</v>
      </c>
      <c r="P22" s="62" t="s">
        <v>40</v>
      </c>
      <c r="Q22" s="67">
        <f>uurtarief39</f>
        <v>0</v>
      </c>
      <c r="R22" s="64" t="e">
        <f t="shared" si="7"/>
        <v>#DIV/0!</v>
      </c>
      <c r="S22" s="64" t="e">
        <f t="shared" si="8"/>
        <v>#DIV/0!</v>
      </c>
      <c r="T22" s="67" t="e">
        <f t="shared" si="9"/>
        <v>#DIV/0!</v>
      </c>
      <c r="U22" s="64" t="e">
        <f t="shared" si="10"/>
        <v>#DIV/0!</v>
      </c>
      <c r="V22" s="69" t="e">
        <f t="shared" si="11"/>
        <v>#DIV/0!</v>
      </c>
    </row>
    <row r="23" spans="1:22" x14ac:dyDescent="0.3">
      <c r="A23" s="61" t="s">
        <v>316</v>
      </c>
      <c r="B23" s="62" t="s">
        <v>317</v>
      </c>
      <c r="C23" s="62" t="s">
        <v>318</v>
      </c>
      <c r="D23" s="62" t="s">
        <v>351</v>
      </c>
      <c r="E23" s="63" t="s">
        <v>352</v>
      </c>
      <c r="F23" s="62" t="s">
        <v>353</v>
      </c>
      <c r="G23" s="62" t="s">
        <v>268</v>
      </c>
      <c r="H23" s="62" t="s">
        <v>11</v>
      </c>
      <c r="I23" s="62" t="s">
        <v>210</v>
      </c>
      <c r="J23" s="63" t="s">
        <v>269</v>
      </c>
      <c r="K23" s="62" t="s">
        <v>317</v>
      </c>
      <c r="L23" s="64">
        <v>14.77</v>
      </c>
      <c r="M23" s="64">
        <f t="shared" si="6"/>
        <v>14.77</v>
      </c>
      <c r="N23" s="65">
        <f>prodnorm40</f>
        <v>0</v>
      </c>
      <c r="O23" s="66">
        <f>dagwerk40</f>
        <v>0</v>
      </c>
      <c r="P23" s="62" t="s">
        <v>40</v>
      </c>
      <c r="Q23" s="67">
        <f>uurtarief40</f>
        <v>0</v>
      </c>
      <c r="R23" s="64" t="e">
        <f t="shared" si="7"/>
        <v>#DIV/0!</v>
      </c>
      <c r="S23" s="64" t="e">
        <f t="shared" si="8"/>
        <v>#DIV/0!</v>
      </c>
      <c r="T23" s="67" t="e">
        <f t="shared" si="9"/>
        <v>#DIV/0!</v>
      </c>
      <c r="U23" s="64" t="e">
        <f t="shared" si="10"/>
        <v>#DIV/0!</v>
      </c>
      <c r="V23" s="69" t="e">
        <f t="shared" si="11"/>
        <v>#DIV/0!</v>
      </c>
    </row>
    <row r="24" spans="1:22" x14ac:dyDescent="0.3">
      <c r="A24" s="61" t="s">
        <v>316</v>
      </c>
      <c r="B24" s="62" t="s">
        <v>317</v>
      </c>
      <c r="C24" s="62" t="s">
        <v>318</v>
      </c>
      <c r="D24" s="62" t="s">
        <v>354</v>
      </c>
      <c r="E24" s="63" t="s">
        <v>352</v>
      </c>
      <c r="F24" s="62" t="s">
        <v>353</v>
      </c>
      <c r="G24" s="62" t="s">
        <v>266</v>
      </c>
      <c r="H24" s="62" t="s">
        <v>11</v>
      </c>
      <c r="I24" s="62" t="s">
        <v>210</v>
      </c>
      <c r="J24" s="63" t="s">
        <v>267</v>
      </c>
      <c r="K24" s="62" t="s">
        <v>317</v>
      </c>
      <c r="L24" s="64">
        <v>11.38</v>
      </c>
      <c r="M24" s="64">
        <f t="shared" si="6"/>
        <v>11.38</v>
      </c>
      <c r="N24" s="65">
        <f>prodnorm39</f>
        <v>0</v>
      </c>
      <c r="O24" s="66">
        <f>dagwerk39</f>
        <v>0</v>
      </c>
      <c r="P24" s="62" t="s">
        <v>40</v>
      </c>
      <c r="Q24" s="67">
        <f>uurtarief39</f>
        <v>0</v>
      </c>
      <c r="R24" s="64" t="e">
        <f t="shared" si="7"/>
        <v>#DIV/0!</v>
      </c>
      <c r="S24" s="64" t="e">
        <f t="shared" si="8"/>
        <v>#DIV/0!</v>
      </c>
      <c r="T24" s="67" t="e">
        <f t="shared" si="9"/>
        <v>#DIV/0!</v>
      </c>
      <c r="U24" s="64" t="e">
        <f t="shared" si="10"/>
        <v>#DIV/0!</v>
      </c>
      <c r="V24" s="69" t="e">
        <f t="shared" si="11"/>
        <v>#DIV/0!</v>
      </c>
    </row>
    <row r="25" spans="1:22" x14ac:dyDescent="0.3">
      <c r="A25" s="61" t="s">
        <v>316</v>
      </c>
      <c r="B25" s="62" t="s">
        <v>317</v>
      </c>
      <c r="C25" s="62" t="s">
        <v>318</v>
      </c>
      <c r="D25" s="62" t="s">
        <v>354</v>
      </c>
      <c r="E25" s="63" t="s">
        <v>352</v>
      </c>
      <c r="F25" s="62" t="s">
        <v>353</v>
      </c>
      <c r="G25" s="62" t="s">
        <v>268</v>
      </c>
      <c r="H25" s="62" t="s">
        <v>11</v>
      </c>
      <c r="I25" s="62" t="s">
        <v>210</v>
      </c>
      <c r="J25" s="63" t="s">
        <v>269</v>
      </c>
      <c r="K25" s="62" t="s">
        <v>317</v>
      </c>
      <c r="L25" s="64">
        <v>11.38</v>
      </c>
      <c r="M25" s="64">
        <f t="shared" si="6"/>
        <v>11.38</v>
      </c>
      <c r="N25" s="65">
        <f>prodnorm40</f>
        <v>0</v>
      </c>
      <c r="O25" s="66">
        <f>dagwerk40</f>
        <v>0</v>
      </c>
      <c r="P25" s="62" t="s">
        <v>40</v>
      </c>
      <c r="Q25" s="67">
        <f>uurtarief40</f>
        <v>0</v>
      </c>
      <c r="R25" s="64" t="e">
        <f t="shared" si="7"/>
        <v>#DIV/0!</v>
      </c>
      <c r="S25" s="64" t="e">
        <f t="shared" si="8"/>
        <v>#DIV/0!</v>
      </c>
      <c r="T25" s="67" t="e">
        <f t="shared" si="9"/>
        <v>#DIV/0!</v>
      </c>
      <c r="U25" s="64" t="e">
        <f t="shared" si="10"/>
        <v>#DIV/0!</v>
      </c>
      <c r="V25" s="69" t="e">
        <f t="shared" si="11"/>
        <v>#DIV/0!</v>
      </c>
    </row>
    <row r="26" spans="1:22" x14ac:dyDescent="0.3">
      <c r="A26" s="61" t="s">
        <v>316</v>
      </c>
      <c r="B26" s="62" t="s">
        <v>317</v>
      </c>
      <c r="C26" s="62" t="s">
        <v>318</v>
      </c>
      <c r="D26" s="62" t="s">
        <v>355</v>
      </c>
      <c r="E26" s="63" t="s">
        <v>356</v>
      </c>
      <c r="F26" s="62" t="s">
        <v>357</v>
      </c>
      <c r="G26" s="62" t="s">
        <v>209</v>
      </c>
      <c r="H26" s="62" t="s">
        <v>17</v>
      </c>
      <c r="I26" s="62" t="s">
        <v>210</v>
      </c>
      <c r="J26" s="63" t="s">
        <v>211</v>
      </c>
      <c r="K26" s="62" t="s">
        <v>317</v>
      </c>
      <c r="L26" s="64">
        <v>23.66</v>
      </c>
      <c r="M26" s="64">
        <f t="shared" si="6"/>
        <v>4.7320000000000002</v>
      </c>
      <c r="N26" s="65">
        <f>prodnorm10</f>
        <v>0</v>
      </c>
      <c r="O26" s="66">
        <f>dagwerk10</f>
        <v>0</v>
      </c>
      <c r="P26" s="62" t="s">
        <v>40</v>
      </c>
      <c r="Q26" s="67">
        <f>uurtarief10</f>
        <v>0</v>
      </c>
      <c r="R26" s="64" t="e">
        <f t="shared" si="7"/>
        <v>#DIV/0!</v>
      </c>
      <c r="S26" s="64" t="e">
        <f t="shared" si="8"/>
        <v>#DIV/0!</v>
      </c>
      <c r="T26" s="67" t="e">
        <f t="shared" si="9"/>
        <v>#DIV/0!</v>
      </c>
      <c r="U26" s="64" t="e">
        <f t="shared" si="10"/>
        <v>#DIV/0!</v>
      </c>
      <c r="V26" s="69" t="e">
        <f t="shared" si="11"/>
        <v>#DIV/0!</v>
      </c>
    </row>
    <row r="27" spans="1:22" x14ac:dyDescent="0.3">
      <c r="A27" s="61" t="s">
        <v>316</v>
      </c>
      <c r="B27" s="62" t="s">
        <v>317</v>
      </c>
      <c r="C27" s="62" t="s">
        <v>318</v>
      </c>
      <c r="D27" s="62" t="s">
        <v>358</v>
      </c>
      <c r="E27" s="63" t="s">
        <v>359</v>
      </c>
      <c r="F27" s="62" t="s">
        <v>348</v>
      </c>
      <c r="G27" s="62" t="s">
        <v>212</v>
      </c>
      <c r="H27" s="62" t="s">
        <v>17</v>
      </c>
      <c r="I27" s="62" t="s">
        <v>210</v>
      </c>
      <c r="J27" s="63" t="s">
        <v>213</v>
      </c>
      <c r="K27" s="62" t="s">
        <v>317</v>
      </c>
      <c r="L27" s="64">
        <v>33.36</v>
      </c>
      <c r="M27" s="64">
        <f t="shared" si="6"/>
        <v>6.6720000000000006</v>
      </c>
      <c r="N27" s="65">
        <f>prodnorm11</f>
        <v>0</v>
      </c>
      <c r="O27" s="66">
        <f>dagwerk11</f>
        <v>0</v>
      </c>
      <c r="P27" s="62" t="s">
        <v>40</v>
      </c>
      <c r="Q27" s="67">
        <f>uurtarief11</f>
        <v>0</v>
      </c>
      <c r="R27" s="64" t="e">
        <f t="shared" si="7"/>
        <v>#DIV/0!</v>
      </c>
      <c r="S27" s="64" t="e">
        <f t="shared" si="8"/>
        <v>#DIV/0!</v>
      </c>
      <c r="T27" s="67" t="e">
        <f t="shared" si="9"/>
        <v>#DIV/0!</v>
      </c>
      <c r="U27" s="64" t="e">
        <f t="shared" si="10"/>
        <v>#DIV/0!</v>
      </c>
      <c r="V27" s="69" t="e">
        <f t="shared" si="11"/>
        <v>#DIV/0!</v>
      </c>
    </row>
    <row r="28" spans="1:22" x14ac:dyDescent="0.3">
      <c r="A28" s="61" t="s">
        <v>316</v>
      </c>
      <c r="B28" s="62" t="s">
        <v>317</v>
      </c>
      <c r="C28" s="62" t="s">
        <v>318</v>
      </c>
      <c r="D28" s="62" t="s">
        <v>360</v>
      </c>
      <c r="E28" s="63" t="s">
        <v>356</v>
      </c>
      <c r="F28" s="62" t="s">
        <v>357</v>
      </c>
      <c r="G28" s="62" t="s">
        <v>209</v>
      </c>
      <c r="H28" s="62" t="s">
        <v>17</v>
      </c>
      <c r="I28" s="62" t="s">
        <v>210</v>
      </c>
      <c r="J28" s="63" t="s">
        <v>211</v>
      </c>
      <c r="K28" s="62" t="s">
        <v>317</v>
      </c>
      <c r="L28" s="64">
        <v>18.579999999999998</v>
      </c>
      <c r="M28" s="64">
        <f t="shared" si="6"/>
        <v>3.7159999999999997</v>
      </c>
      <c r="N28" s="65">
        <f>prodnorm10</f>
        <v>0</v>
      </c>
      <c r="O28" s="66">
        <f>dagwerk10</f>
        <v>0</v>
      </c>
      <c r="P28" s="62" t="s">
        <v>40</v>
      </c>
      <c r="Q28" s="67">
        <f>uurtarief10</f>
        <v>0</v>
      </c>
      <c r="R28" s="64" t="e">
        <f t="shared" si="7"/>
        <v>#DIV/0!</v>
      </c>
      <c r="S28" s="64" t="e">
        <f t="shared" si="8"/>
        <v>#DIV/0!</v>
      </c>
      <c r="T28" s="67" t="e">
        <f t="shared" si="9"/>
        <v>#DIV/0!</v>
      </c>
      <c r="U28" s="64" t="e">
        <f t="shared" si="10"/>
        <v>#DIV/0!</v>
      </c>
      <c r="V28" s="69" t="e">
        <f t="shared" si="11"/>
        <v>#DIV/0!</v>
      </c>
    </row>
    <row r="29" spans="1:22" x14ac:dyDescent="0.3">
      <c r="A29" s="61" t="s">
        <v>316</v>
      </c>
      <c r="B29" s="62" t="s">
        <v>317</v>
      </c>
      <c r="C29" s="62" t="s">
        <v>318</v>
      </c>
      <c r="D29" s="62" t="s">
        <v>361</v>
      </c>
      <c r="E29" s="63" t="s">
        <v>362</v>
      </c>
      <c r="F29" s="62" t="s">
        <v>357</v>
      </c>
      <c r="G29" s="62" t="s">
        <v>323</v>
      </c>
      <c r="H29" s="62"/>
      <c r="I29" s="62"/>
      <c r="J29" s="62"/>
      <c r="K29" s="62" t="s">
        <v>317</v>
      </c>
      <c r="L29" s="64">
        <v>10.870000000000001</v>
      </c>
      <c r="M29" s="64"/>
      <c r="N29" s="65"/>
      <c r="O29" s="66"/>
      <c r="P29" s="62"/>
      <c r="Q29" s="67"/>
      <c r="R29" s="64"/>
      <c r="S29" s="64"/>
      <c r="T29" s="67"/>
      <c r="U29" s="68"/>
      <c r="V29" s="69"/>
    </row>
    <row r="30" spans="1:22" x14ac:dyDescent="0.3">
      <c r="A30" s="61" t="s">
        <v>316</v>
      </c>
      <c r="B30" s="62" t="s">
        <v>317</v>
      </c>
      <c r="C30" s="62" t="s">
        <v>318</v>
      </c>
      <c r="D30" s="62" t="s">
        <v>363</v>
      </c>
      <c r="E30" s="63" t="s">
        <v>364</v>
      </c>
      <c r="F30" s="62" t="s">
        <v>365</v>
      </c>
      <c r="G30" s="62" t="s">
        <v>323</v>
      </c>
      <c r="H30" s="62"/>
      <c r="I30" s="62"/>
      <c r="J30" s="62"/>
      <c r="K30" s="62" t="s">
        <v>317</v>
      </c>
      <c r="L30" s="64">
        <v>8.0299999999999994</v>
      </c>
      <c r="M30" s="64"/>
      <c r="N30" s="65"/>
      <c r="O30" s="66"/>
      <c r="P30" s="62"/>
      <c r="Q30" s="67"/>
      <c r="R30" s="64"/>
      <c r="S30" s="64"/>
      <c r="T30" s="67"/>
      <c r="U30" s="68"/>
      <c r="V30" s="69"/>
    </row>
    <row r="31" spans="1:22" x14ac:dyDescent="0.3">
      <c r="A31" s="61" t="s">
        <v>316</v>
      </c>
      <c r="B31" s="62" t="s">
        <v>317</v>
      </c>
      <c r="C31" s="62" t="s">
        <v>318</v>
      </c>
      <c r="D31" s="62" t="s">
        <v>366</v>
      </c>
      <c r="E31" s="63" t="s">
        <v>367</v>
      </c>
      <c r="F31" s="62" t="s">
        <v>357</v>
      </c>
      <c r="G31" s="62" t="s">
        <v>272</v>
      </c>
      <c r="H31" s="62" t="s">
        <v>11</v>
      </c>
      <c r="I31" s="62" t="s">
        <v>210</v>
      </c>
      <c r="J31" s="63" t="s">
        <v>273</v>
      </c>
      <c r="K31" s="62" t="s">
        <v>317</v>
      </c>
      <c r="L31" s="64">
        <v>1.26</v>
      </c>
      <c r="M31" s="64">
        <f>L31*VLOOKUP(H31,dagsoorttabel1,2,FALSE)</f>
        <v>1.26</v>
      </c>
      <c r="N31" s="65">
        <f>prodnorm42</f>
        <v>0</v>
      </c>
      <c r="O31" s="66">
        <f>dagwerk42</f>
        <v>0</v>
      </c>
      <c r="P31" s="62" t="s">
        <v>40</v>
      </c>
      <c r="Q31" s="67">
        <f>uurtarief42</f>
        <v>0</v>
      </c>
      <c r="R31" s="64" t="e">
        <f>IF(ISBLANK(N31),0,M31/ROUND(N31,4))</f>
        <v>#DIV/0!</v>
      </c>
      <c r="S31" s="64" t="e">
        <f>IF(ISBLANK(N31),0,R31*ROUND(O31,2))</f>
        <v>#DIV/0!</v>
      </c>
      <c r="T31" s="67" t="e">
        <f>ROUND(Q31,2)*R31</f>
        <v>#DIV/0!</v>
      </c>
      <c r="U31" s="64" t="e">
        <f>R31*dagenperjaar1</f>
        <v>#DIV/0!</v>
      </c>
      <c r="V31" s="69" t="e">
        <f>U31*ROUND(Q31,2)</f>
        <v>#DIV/0!</v>
      </c>
    </row>
    <row r="32" spans="1:22" x14ac:dyDescent="0.3">
      <c r="A32" s="61" t="s">
        <v>316</v>
      </c>
      <c r="B32" s="62" t="s">
        <v>317</v>
      </c>
      <c r="C32" s="62" t="s">
        <v>318</v>
      </c>
      <c r="D32" s="62" t="s">
        <v>368</v>
      </c>
      <c r="E32" s="63" t="s">
        <v>369</v>
      </c>
      <c r="F32" s="62" t="s">
        <v>335</v>
      </c>
      <c r="G32" s="62" t="s">
        <v>323</v>
      </c>
      <c r="H32" s="62"/>
      <c r="I32" s="62"/>
      <c r="J32" s="62"/>
      <c r="K32" s="62" t="s">
        <v>317</v>
      </c>
      <c r="L32" s="64">
        <v>4.84</v>
      </c>
      <c r="M32" s="64"/>
      <c r="N32" s="65"/>
      <c r="O32" s="66"/>
      <c r="P32" s="62"/>
      <c r="Q32" s="67"/>
      <c r="R32" s="64"/>
      <c r="S32" s="64"/>
      <c r="T32" s="67"/>
      <c r="U32" s="68"/>
      <c r="V32" s="69"/>
    </row>
    <row r="33" spans="1:22" x14ac:dyDescent="0.3">
      <c r="A33" s="61" t="s">
        <v>316</v>
      </c>
      <c r="B33" s="62" t="s">
        <v>317</v>
      </c>
      <c r="C33" s="62" t="s">
        <v>318</v>
      </c>
      <c r="D33" s="62" t="s">
        <v>370</v>
      </c>
      <c r="E33" s="63" t="s">
        <v>371</v>
      </c>
      <c r="F33" s="62" t="s">
        <v>357</v>
      </c>
      <c r="G33" s="62" t="s">
        <v>323</v>
      </c>
      <c r="H33" s="62"/>
      <c r="I33" s="62"/>
      <c r="J33" s="62"/>
      <c r="K33" s="62" t="s">
        <v>317</v>
      </c>
      <c r="L33" s="64">
        <v>4.53</v>
      </c>
      <c r="M33" s="64"/>
      <c r="N33" s="65"/>
      <c r="O33" s="66"/>
      <c r="P33" s="62"/>
      <c r="Q33" s="67"/>
      <c r="R33" s="64"/>
      <c r="S33" s="64"/>
      <c r="T33" s="67"/>
      <c r="U33" s="68"/>
      <c r="V33" s="69"/>
    </row>
    <row r="34" spans="1:22" x14ac:dyDescent="0.3">
      <c r="A34" s="61" t="s">
        <v>316</v>
      </c>
      <c r="B34" s="62" t="s">
        <v>317</v>
      </c>
      <c r="C34" s="62" t="s">
        <v>318</v>
      </c>
      <c r="D34" s="62" t="s">
        <v>372</v>
      </c>
      <c r="E34" s="63" t="s">
        <v>321</v>
      </c>
      <c r="F34" s="62" t="s">
        <v>357</v>
      </c>
      <c r="G34" s="62" t="s">
        <v>323</v>
      </c>
      <c r="H34" s="62"/>
      <c r="I34" s="62"/>
      <c r="J34" s="62"/>
      <c r="K34" s="62" t="s">
        <v>317</v>
      </c>
      <c r="L34" s="64">
        <v>6.02</v>
      </c>
      <c r="M34" s="64"/>
      <c r="N34" s="65"/>
      <c r="O34" s="66"/>
      <c r="P34" s="62"/>
      <c r="Q34" s="67"/>
      <c r="R34" s="64"/>
      <c r="S34" s="64"/>
      <c r="T34" s="67"/>
      <c r="U34" s="68"/>
      <c r="V34" s="69"/>
    </row>
    <row r="35" spans="1:22" x14ac:dyDescent="0.3">
      <c r="A35" s="61" t="s">
        <v>316</v>
      </c>
      <c r="B35" s="62" t="s">
        <v>317</v>
      </c>
      <c r="C35" s="62" t="s">
        <v>318</v>
      </c>
      <c r="D35" s="62" t="s">
        <v>373</v>
      </c>
      <c r="E35" s="63" t="s">
        <v>374</v>
      </c>
      <c r="F35" s="62" t="s">
        <v>348</v>
      </c>
      <c r="G35" s="62" t="s">
        <v>323</v>
      </c>
      <c r="H35" s="62"/>
      <c r="I35" s="62"/>
      <c r="J35" s="62"/>
      <c r="K35" s="62" t="s">
        <v>317</v>
      </c>
      <c r="L35" s="64">
        <v>5.8599999999999994</v>
      </c>
      <c r="M35" s="64"/>
      <c r="N35" s="65"/>
      <c r="O35" s="66"/>
      <c r="P35" s="62"/>
      <c r="Q35" s="67"/>
      <c r="R35" s="64"/>
      <c r="S35" s="64"/>
      <c r="T35" s="67"/>
      <c r="U35" s="68"/>
      <c r="V35" s="69"/>
    </row>
    <row r="36" spans="1:22" x14ac:dyDescent="0.3">
      <c r="A36" s="61" t="s">
        <v>316</v>
      </c>
      <c r="B36" s="62" t="s">
        <v>317</v>
      </c>
      <c r="C36" s="62" t="s">
        <v>318</v>
      </c>
      <c r="D36" s="62" t="s">
        <v>375</v>
      </c>
      <c r="E36" s="63" t="s">
        <v>376</v>
      </c>
      <c r="F36" s="62" t="s">
        <v>377</v>
      </c>
      <c r="G36" s="62" t="s">
        <v>220</v>
      </c>
      <c r="H36" s="62" t="s">
        <v>11</v>
      </c>
      <c r="I36" s="62" t="s">
        <v>210</v>
      </c>
      <c r="J36" s="63" t="s">
        <v>221</v>
      </c>
      <c r="K36" s="62" t="s">
        <v>317</v>
      </c>
      <c r="L36" s="64">
        <v>115.16</v>
      </c>
      <c r="M36" s="64">
        <f>L36*VLOOKUP(H36,dagsoorttabel1,2,FALSE)</f>
        <v>115.16</v>
      </c>
      <c r="N36" s="65">
        <f>prodnorm15</f>
        <v>0</v>
      </c>
      <c r="O36" s="66">
        <f>dagwerk15</f>
        <v>0</v>
      </c>
      <c r="P36" s="62" t="s">
        <v>40</v>
      </c>
      <c r="Q36" s="67">
        <f>uurtarief15</f>
        <v>0</v>
      </c>
      <c r="R36" s="64" t="e">
        <f>IF(ISBLANK(N36),0,M36/ROUND(N36,4))</f>
        <v>#DIV/0!</v>
      </c>
      <c r="S36" s="64" t="e">
        <f>IF(ISBLANK(N36),0,R36*ROUND(O36,2))</f>
        <v>#DIV/0!</v>
      </c>
      <c r="T36" s="67" t="e">
        <f>ROUND(Q36,2)*R36</f>
        <v>#DIV/0!</v>
      </c>
      <c r="U36" s="64" t="e">
        <f>R36*dagenperjaar1</f>
        <v>#DIV/0!</v>
      </c>
      <c r="V36" s="69" t="e">
        <f>U36*ROUND(Q36,2)</f>
        <v>#DIV/0!</v>
      </c>
    </row>
    <row r="37" spans="1:22" x14ac:dyDescent="0.3">
      <c r="A37" s="61" t="s">
        <v>316</v>
      </c>
      <c r="B37" s="62" t="s">
        <v>317</v>
      </c>
      <c r="C37" s="62" t="s">
        <v>318</v>
      </c>
      <c r="D37" s="62" t="s">
        <v>378</v>
      </c>
      <c r="E37" s="63" t="s">
        <v>379</v>
      </c>
      <c r="F37" s="62" t="s">
        <v>335</v>
      </c>
      <c r="G37" s="62" t="s">
        <v>266</v>
      </c>
      <c r="H37" s="62" t="s">
        <v>11</v>
      </c>
      <c r="I37" s="62" t="s">
        <v>210</v>
      </c>
      <c r="J37" s="63" t="s">
        <v>267</v>
      </c>
      <c r="K37" s="62" t="s">
        <v>317</v>
      </c>
      <c r="L37" s="64">
        <v>8.3800000000000008</v>
      </c>
      <c r="M37" s="64">
        <f>L37*VLOOKUP(H37,dagsoorttabel1,2,FALSE)</f>
        <v>8.3800000000000008</v>
      </c>
      <c r="N37" s="65">
        <f>prodnorm39</f>
        <v>0</v>
      </c>
      <c r="O37" s="66">
        <f>dagwerk39</f>
        <v>0</v>
      </c>
      <c r="P37" s="62" t="s">
        <v>40</v>
      </c>
      <c r="Q37" s="67">
        <f>uurtarief39</f>
        <v>0</v>
      </c>
      <c r="R37" s="64" t="e">
        <f>IF(ISBLANK(N37),0,M37/ROUND(N37,4))</f>
        <v>#DIV/0!</v>
      </c>
      <c r="S37" s="64" t="e">
        <f>IF(ISBLANK(N37),0,R37*ROUND(O37,2))</f>
        <v>#DIV/0!</v>
      </c>
      <c r="T37" s="67" t="e">
        <f>ROUND(Q37,2)*R37</f>
        <v>#DIV/0!</v>
      </c>
      <c r="U37" s="64" t="e">
        <f>R37*dagenperjaar1</f>
        <v>#DIV/0!</v>
      </c>
      <c r="V37" s="69" t="e">
        <f>U37*ROUND(Q37,2)</f>
        <v>#DIV/0!</v>
      </c>
    </row>
    <row r="38" spans="1:22" x14ac:dyDescent="0.3">
      <c r="A38" s="61" t="s">
        <v>316</v>
      </c>
      <c r="B38" s="62" t="s">
        <v>317</v>
      </c>
      <c r="C38" s="62" t="s">
        <v>318</v>
      </c>
      <c r="D38" s="62" t="s">
        <v>380</v>
      </c>
      <c r="E38" s="63" t="s">
        <v>381</v>
      </c>
      <c r="F38" s="62" t="s">
        <v>365</v>
      </c>
      <c r="G38" s="62" t="s">
        <v>280</v>
      </c>
      <c r="H38" s="62" t="s">
        <v>11</v>
      </c>
      <c r="I38" s="62" t="s">
        <v>210</v>
      </c>
      <c r="J38" s="63" t="s">
        <v>281</v>
      </c>
      <c r="K38" s="62" t="s">
        <v>317</v>
      </c>
      <c r="L38" s="64">
        <v>3.22</v>
      </c>
      <c r="M38" s="64">
        <f>L38*VLOOKUP(H38,dagsoorttabel1,2,FALSE)</f>
        <v>3.22</v>
      </c>
      <c r="N38" s="65">
        <f>prodnorm46</f>
        <v>0</v>
      </c>
      <c r="O38" s="66">
        <f>dagwerk46</f>
        <v>0</v>
      </c>
      <c r="P38" s="62" t="s">
        <v>40</v>
      </c>
      <c r="Q38" s="67">
        <f>uurtarief46</f>
        <v>0</v>
      </c>
      <c r="R38" s="64" t="e">
        <f>IF(ISBLANK(N38),0,M38/ROUND(N38,4))</f>
        <v>#DIV/0!</v>
      </c>
      <c r="S38" s="64" t="e">
        <f>IF(ISBLANK(N38),0,R38*ROUND(O38,2))</f>
        <v>#DIV/0!</v>
      </c>
      <c r="T38" s="67" t="e">
        <f>ROUND(Q38,2)*R38</f>
        <v>#DIV/0!</v>
      </c>
      <c r="U38" s="64" t="e">
        <f>R38*dagenperjaar1</f>
        <v>#DIV/0!</v>
      </c>
      <c r="V38" s="69" t="e">
        <f>U38*ROUND(Q38,2)</f>
        <v>#DIV/0!</v>
      </c>
    </row>
    <row r="39" spans="1:22" x14ac:dyDescent="0.3">
      <c r="A39" s="61" t="s">
        <v>316</v>
      </c>
      <c r="B39" s="62" t="s">
        <v>317</v>
      </c>
      <c r="C39" s="62" t="s">
        <v>318</v>
      </c>
      <c r="D39" s="62" t="s">
        <v>382</v>
      </c>
      <c r="E39" s="63" t="s">
        <v>383</v>
      </c>
      <c r="F39" s="62" t="s">
        <v>335</v>
      </c>
      <c r="G39" s="62" t="s">
        <v>323</v>
      </c>
      <c r="H39" s="62"/>
      <c r="I39" s="62"/>
      <c r="J39" s="62"/>
      <c r="K39" s="62" t="s">
        <v>317</v>
      </c>
      <c r="L39" s="64">
        <v>13.67</v>
      </c>
      <c r="M39" s="64"/>
      <c r="N39" s="65"/>
      <c r="O39" s="66"/>
      <c r="P39" s="62"/>
      <c r="Q39" s="67"/>
      <c r="R39" s="64"/>
      <c r="S39" s="64"/>
      <c r="T39" s="67"/>
      <c r="U39" s="68"/>
      <c r="V39" s="69"/>
    </row>
    <row r="40" spans="1:22" x14ac:dyDescent="0.3">
      <c r="A40" s="61" t="s">
        <v>316</v>
      </c>
      <c r="B40" s="62" t="s">
        <v>317</v>
      </c>
      <c r="C40" s="62" t="s">
        <v>318</v>
      </c>
      <c r="D40" s="62" t="s">
        <v>384</v>
      </c>
      <c r="E40" s="63" t="s">
        <v>383</v>
      </c>
      <c r="F40" s="62" t="s">
        <v>317</v>
      </c>
      <c r="G40" s="62" t="s">
        <v>323</v>
      </c>
      <c r="H40" s="62"/>
      <c r="I40" s="62"/>
      <c r="J40" s="62"/>
      <c r="K40" s="62" t="s">
        <v>317</v>
      </c>
      <c r="L40" s="64">
        <v>15.42</v>
      </c>
      <c r="M40" s="64"/>
      <c r="N40" s="65"/>
      <c r="O40" s="66"/>
      <c r="P40" s="62"/>
      <c r="Q40" s="67"/>
      <c r="R40" s="64"/>
      <c r="S40" s="64"/>
      <c r="T40" s="67"/>
      <c r="U40" s="68"/>
      <c r="V40" s="69"/>
    </row>
    <row r="41" spans="1:22" x14ac:dyDescent="0.3">
      <c r="A41" s="61" t="s">
        <v>316</v>
      </c>
      <c r="B41" s="62" t="s">
        <v>317</v>
      </c>
      <c r="C41" s="62" t="s">
        <v>318</v>
      </c>
      <c r="D41" s="62" t="s">
        <v>385</v>
      </c>
      <c r="E41" s="63" t="s">
        <v>374</v>
      </c>
      <c r="F41" s="62" t="s">
        <v>377</v>
      </c>
      <c r="G41" s="62" t="s">
        <v>323</v>
      </c>
      <c r="H41" s="62"/>
      <c r="I41" s="62"/>
      <c r="J41" s="62"/>
      <c r="K41" s="62" t="s">
        <v>317</v>
      </c>
      <c r="L41" s="64">
        <v>3.8699999999999997</v>
      </c>
      <c r="M41" s="64"/>
      <c r="N41" s="65"/>
      <c r="O41" s="66"/>
      <c r="P41" s="62"/>
      <c r="Q41" s="67"/>
      <c r="R41" s="64"/>
      <c r="S41" s="64"/>
      <c r="T41" s="67"/>
      <c r="U41" s="68"/>
      <c r="V41" s="69"/>
    </row>
    <row r="42" spans="1:22" x14ac:dyDescent="0.3">
      <c r="A42" s="61" t="s">
        <v>316</v>
      </c>
      <c r="B42" s="62" t="s">
        <v>317</v>
      </c>
      <c r="C42" s="62" t="s">
        <v>318</v>
      </c>
      <c r="D42" s="62" t="s">
        <v>386</v>
      </c>
      <c r="E42" s="63" t="s">
        <v>321</v>
      </c>
      <c r="F42" s="62" t="s">
        <v>365</v>
      </c>
      <c r="G42" s="62" t="s">
        <v>323</v>
      </c>
      <c r="H42" s="62"/>
      <c r="I42" s="62"/>
      <c r="J42" s="62"/>
      <c r="K42" s="62" t="s">
        <v>317</v>
      </c>
      <c r="L42" s="64">
        <v>5.5</v>
      </c>
      <c r="M42" s="64"/>
      <c r="N42" s="65"/>
      <c r="O42" s="66"/>
      <c r="P42" s="62"/>
      <c r="Q42" s="67"/>
      <c r="R42" s="64"/>
      <c r="S42" s="64"/>
      <c r="T42" s="67"/>
      <c r="U42" s="68"/>
      <c r="V42" s="69"/>
    </row>
    <row r="43" spans="1:22" x14ac:dyDescent="0.3">
      <c r="A43" s="61" t="s">
        <v>316</v>
      </c>
      <c r="B43" s="62" t="s">
        <v>317</v>
      </c>
      <c r="C43" s="62" t="s">
        <v>318</v>
      </c>
      <c r="D43" s="62" t="s">
        <v>387</v>
      </c>
      <c r="E43" s="63" t="s">
        <v>321</v>
      </c>
      <c r="F43" s="62" t="s">
        <v>365</v>
      </c>
      <c r="G43" s="62" t="s">
        <v>323</v>
      </c>
      <c r="H43" s="62"/>
      <c r="I43" s="62"/>
      <c r="J43" s="62"/>
      <c r="K43" s="62" t="s">
        <v>317</v>
      </c>
      <c r="L43" s="64">
        <v>5.5</v>
      </c>
      <c r="M43" s="64"/>
      <c r="N43" s="65"/>
      <c r="O43" s="66"/>
      <c r="P43" s="62"/>
      <c r="Q43" s="67"/>
      <c r="R43" s="64"/>
      <c r="S43" s="64"/>
      <c r="T43" s="67"/>
      <c r="U43" s="68"/>
      <c r="V43" s="69"/>
    </row>
    <row r="44" spans="1:22" x14ac:dyDescent="0.3">
      <c r="A44" s="61" t="s">
        <v>316</v>
      </c>
      <c r="B44" s="62" t="s">
        <v>317</v>
      </c>
      <c r="C44" s="62" t="s">
        <v>318</v>
      </c>
      <c r="D44" s="62" t="s">
        <v>388</v>
      </c>
      <c r="E44" s="63" t="s">
        <v>330</v>
      </c>
      <c r="F44" s="62" t="s">
        <v>389</v>
      </c>
      <c r="G44" s="62" t="s">
        <v>286</v>
      </c>
      <c r="H44" s="62" t="s">
        <v>11</v>
      </c>
      <c r="I44" s="62" t="s">
        <v>210</v>
      </c>
      <c r="J44" s="63" t="s">
        <v>287</v>
      </c>
      <c r="K44" s="62" t="s">
        <v>317</v>
      </c>
      <c r="L44" s="64">
        <v>11.58</v>
      </c>
      <c r="M44" s="64">
        <f t="shared" ref="M44:M57" si="12">L44*VLOOKUP(H44,dagsoorttabel1,2,FALSE)</f>
        <v>11.58</v>
      </c>
      <c r="N44" s="65">
        <f>prodnorm49</f>
        <v>0</v>
      </c>
      <c r="O44" s="66">
        <f>dagwerk49</f>
        <v>0</v>
      </c>
      <c r="P44" s="62" t="s">
        <v>40</v>
      </c>
      <c r="Q44" s="67">
        <f>uurtarief49</f>
        <v>0</v>
      </c>
      <c r="R44" s="64" t="e">
        <f t="shared" ref="R44:R57" si="13">IF(ISBLANK(N44),0,M44/ROUND(N44,4))</f>
        <v>#DIV/0!</v>
      </c>
      <c r="S44" s="64" t="e">
        <f t="shared" ref="S44:S57" si="14">IF(ISBLANK(N44),0,R44*ROUND(O44,2))</f>
        <v>#DIV/0!</v>
      </c>
      <c r="T44" s="67" t="e">
        <f t="shared" ref="T44:T57" si="15">ROUND(Q44,2)*R44</f>
        <v>#DIV/0!</v>
      </c>
      <c r="U44" s="64" t="e">
        <f t="shared" ref="U44:U57" si="16">R44*dagenperjaar1</f>
        <v>#DIV/0!</v>
      </c>
      <c r="V44" s="69" t="e">
        <f t="shared" ref="V44:V57" si="17">U44*ROUND(Q44,2)</f>
        <v>#DIV/0!</v>
      </c>
    </row>
    <row r="45" spans="1:22" x14ac:dyDescent="0.3">
      <c r="A45" s="61" t="s">
        <v>316</v>
      </c>
      <c r="B45" s="62" t="s">
        <v>317</v>
      </c>
      <c r="C45" s="62" t="s">
        <v>318</v>
      </c>
      <c r="D45" s="62" t="s">
        <v>390</v>
      </c>
      <c r="E45" s="63" t="s">
        <v>391</v>
      </c>
      <c r="F45" s="62" t="s">
        <v>348</v>
      </c>
      <c r="G45" s="62" t="s">
        <v>236</v>
      </c>
      <c r="H45" s="62" t="s">
        <v>14</v>
      </c>
      <c r="I45" s="62" t="s">
        <v>210</v>
      </c>
      <c r="J45" s="63" t="s">
        <v>237</v>
      </c>
      <c r="K45" s="62" t="s">
        <v>317</v>
      </c>
      <c r="L45" s="64">
        <v>51.949999999999996</v>
      </c>
      <c r="M45" s="64">
        <f t="shared" si="12"/>
        <v>31.169999999999995</v>
      </c>
      <c r="N45" s="65">
        <f>prodnorm23</f>
        <v>0</v>
      </c>
      <c r="O45" s="66">
        <f>dagwerk23</f>
        <v>0</v>
      </c>
      <c r="P45" s="62" t="s">
        <v>40</v>
      </c>
      <c r="Q45" s="67">
        <f>uurtarief23</f>
        <v>0</v>
      </c>
      <c r="R45" s="64" t="e">
        <f t="shared" si="13"/>
        <v>#DIV/0!</v>
      </c>
      <c r="S45" s="64" t="e">
        <f t="shared" si="14"/>
        <v>#DIV/0!</v>
      </c>
      <c r="T45" s="67" t="e">
        <f t="shared" si="15"/>
        <v>#DIV/0!</v>
      </c>
      <c r="U45" s="64" t="e">
        <f t="shared" si="16"/>
        <v>#DIV/0!</v>
      </c>
      <c r="V45" s="69" t="e">
        <f t="shared" si="17"/>
        <v>#DIV/0!</v>
      </c>
    </row>
    <row r="46" spans="1:22" x14ac:dyDescent="0.3">
      <c r="A46" s="61" t="s">
        <v>316</v>
      </c>
      <c r="B46" s="62" t="s">
        <v>317</v>
      </c>
      <c r="C46" s="62" t="s">
        <v>318</v>
      </c>
      <c r="D46" s="62" t="s">
        <v>392</v>
      </c>
      <c r="E46" s="63" t="s">
        <v>391</v>
      </c>
      <c r="F46" s="62" t="s">
        <v>348</v>
      </c>
      <c r="G46" s="62" t="s">
        <v>236</v>
      </c>
      <c r="H46" s="62" t="s">
        <v>14</v>
      </c>
      <c r="I46" s="62" t="s">
        <v>210</v>
      </c>
      <c r="J46" s="63" t="s">
        <v>237</v>
      </c>
      <c r="K46" s="62" t="s">
        <v>317</v>
      </c>
      <c r="L46" s="64">
        <v>51.65</v>
      </c>
      <c r="M46" s="64">
        <f t="shared" si="12"/>
        <v>30.99</v>
      </c>
      <c r="N46" s="65">
        <f>prodnorm23</f>
        <v>0</v>
      </c>
      <c r="O46" s="66">
        <f>dagwerk23</f>
        <v>0</v>
      </c>
      <c r="P46" s="62" t="s">
        <v>40</v>
      </c>
      <c r="Q46" s="67">
        <f>uurtarief23</f>
        <v>0</v>
      </c>
      <c r="R46" s="64" t="e">
        <f t="shared" si="13"/>
        <v>#DIV/0!</v>
      </c>
      <c r="S46" s="64" t="e">
        <f t="shared" si="14"/>
        <v>#DIV/0!</v>
      </c>
      <c r="T46" s="67" t="e">
        <f t="shared" si="15"/>
        <v>#DIV/0!</v>
      </c>
      <c r="U46" s="64" t="e">
        <f t="shared" si="16"/>
        <v>#DIV/0!</v>
      </c>
      <c r="V46" s="69" t="e">
        <f t="shared" si="17"/>
        <v>#DIV/0!</v>
      </c>
    </row>
    <row r="47" spans="1:22" x14ac:dyDescent="0.3">
      <c r="A47" s="61" t="s">
        <v>316</v>
      </c>
      <c r="B47" s="62" t="s">
        <v>317</v>
      </c>
      <c r="C47" s="62" t="s">
        <v>318</v>
      </c>
      <c r="D47" s="62" t="s">
        <v>393</v>
      </c>
      <c r="E47" s="63" t="s">
        <v>394</v>
      </c>
      <c r="F47" s="62" t="s">
        <v>389</v>
      </c>
      <c r="G47" s="62" t="s">
        <v>272</v>
      </c>
      <c r="H47" s="62" t="s">
        <v>11</v>
      </c>
      <c r="I47" s="62" t="s">
        <v>210</v>
      </c>
      <c r="J47" s="63" t="s">
        <v>273</v>
      </c>
      <c r="K47" s="62" t="s">
        <v>317</v>
      </c>
      <c r="L47" s="64">
        <v>50.67</v>
      </c>
      <c r="M47" s="64">
        <f t="shared" si="12"/>
        <v>50.67</v>
      </c>
      <c r="N47" s="65">
        <f>prodnorm42</f>
        <v>0</v>
      </c>
      <c r="O47" s="66">
        <f>dagwerk42</f>
        <v>0</v>
      </c>
      <c r="P47" s="62" t="s">
        <v>40</v>
      </c>
      <c r="Q47" s="67">
        <f>uurtarief42</f>
        <v>0</v>
      </c>
      <c r="R47" s="64" t="e">
        <f t="shared" si="13"/>
        <v>#DIV/0!</v>
      </c>
      <c r="S47" s="64" t="e">
        <f t="shared" si="14"/>
        <v>#DIV/0!</v>
      </c>
      <c r="T47" s="67" t="e">
        <f t="shared" si="15"/>
        <v>#DIV/0!</v>
      </c>
      <c r="U47" s="64" t="e">
        <f t="shared" si="16"/>
        <v>#DIV/0!</v>
      </c>
      <c r="V47" s="69" t="e">
        <f t="shared" si="17"/>
        <v>#DIV/0!</v>
      </c>
    </row>
    <row r="48" spans="1:22" x14ac:dyDescent="0.3">
      <c r="A48" s="61" t="s">
        <v>316</v>
      </c>
      <c r="B48" s="62" t="s">
        <v>317</v>
      </c>
      <c r="C48" s="62" t="s">
        <v>318</v>
      </c>
      <c r="D48" s="62" t="s">
        <v>395</v>
      </c>
      <c r="E48" s="63" t="s">
        <v>396</v>
      </c>
      <c r="F48" s="62" t="s">
        <v>348</v>
      </c>
      <c r="G48" s="62" t="s">
        <v>240</v>
      </c>
      <c r="H48" s="62" t="s">
        <v>11</v>
      </c>
      <c r="I48" s="62" t="s">
        <v>210</v>
      </c>
      <c r="J48" s="63" t="s">
        <v>241</v>
      </c>
      <c r="K48" s="62" t="s">
        <v>317</v>
      </c>
      <c r="L48" s="64">
        <v>103.43</v>
      </c>
      <c r="M48" s="64">
        <f t="shared" si="12"/>
        <v>103.43</v>
      </c>
      <c r="N48" s="65">
        <f>prodnorm25</f>
        <v>0</v>
      </c>
      <c r="O48" s="66">
        <f>dagwerk25</f>
        <v>0</v>
      </c>
      <c r="P48" s="62" t="s">
        <v>40</v>
      </c>
      <c r="Q48" s="67">
        <f>uurtarief25</f>
        <v>0</v>
      </c>
      <c r="R48" s="64" t="e">
        <f t="shared" si="13"/>
        <v>#DIV/0!</v>
      </c>
      <c r="S48" s="64" t="e">
        <f t="shared" si="14"/>
        <v>#DIV/0!</v>
      </c>
      <c r="T48" s="67" t="e">
        <f t="shared" si="15"/>
        <v>#DIV/0!</v>
      </c>
      <c r="U48" s="64" t="e">
        <f t="shared" si="16"/>
        <v>#DIV/0!</v>
      </c>
      <c r="V48" s="69" t="e">
        <f t="shared" si="17"/>
        <v>#DIV/0!</v>
      </c>
    </row>
    <row r="49" spans="1:22" x14ac:dyDescent="0.3">
      <c r="A49" s="61" t="s">
        <v>316</v>
      </c>
      <c r="B49" s="62" t="s">
        <v>317</v>
      </c>
      <c r="C49" s="62" t="s">
        <v>318</v>
      </c>
      <c r="D49" s="62" t="s">
        <v>397</v>
      </c>
      <c r="E49" s="63" t="s">
        <v>398</v>
      </c>
      <c r="F49" s="62" t="s">
        <v>389</v>
      </c>
      <c r="G49" s="62" t="s">
        <v>224</v>
      </c>
      <c r="H49" s="62" t="s">
        <v>14</v>
      </c>
      <c r="I49" s="62" t="s">
        <v>210</v>
      </c>
      <c r="J49" s="63" t="s">
        <v>225</v>
      </c>
      <c r="K49" s="62" t="s">
        <v>317</v>
      </c>
      <c r="L49" s="64">
        <v>175.94</v>
      </c>
      <c r="M49" s="64">
        <f t="shared" si="12"/>
        <v>105.56399999999999</v>
      </c>
      <c r="N49" s="65">
        <f>prodnorm17</f>
        <v>0</v>
      </c>
      <c r="O49" s="66">
        <f>dagwerk17</f>
        <v>0</v>
      </c>
      <c r="P49" s="62" t="s">
        <v>40</v>
      </c>
      <c r="Q49" s="67">
        <f>uurtarief17</f>
        <v>0</v>
      </c>
      <c r="R49" s="64" t="e">
        <f t="shared" si="13"/>
        <v>#DIV/0!</v>
      </c>
      <c r="S49" s="64" t="e">
        <f t="shared" si="14"/>
        <v>#DIV/0!</v>
      </c>
      <c r="T49" s="67" t="e">
        <f t="shared" si="15"/>
        <v>#DIV/0!</v>
      </c>
      <c r="U49" s="64" t="e">
        <f t="shared" si="16"/>
        <v>#DIV/0!</v>
      </c>
      <c r="V49" s="69" t="e">
        <f t="shared" si="17"/>
        <v>#DIV/0!</v>
      </c>
    </row>
    <row r="50" spans="1:22" x14ac:dyDescent="0.3">
      <c r="A50" s="61" t="s">
        <v>316</v>
      </c>
      <c r="B50" s="62" t="s">
        <v>317</v>
      </c>
      <c r="C50" s="62" t="s">
        <v>318</v>
      </c>
      <c r="D50" s="62" t="s">
        <v>399</v>
      </c>
      <c r="E50" s="63" t="s">
        <v>400</v>
      </c>
      <c r="F50" s="62" t="s">
        <v>348</v>
      </c>
      <c r="G50" s="62" t="s">
        <v>216</v>
      </c>
      <c r="H50" s="62" t="s">
        <v>14</v>
      </c>
      <c r="I50" s="62" t="s">
        <v>210</v>
      </c>
      <c r="J50" s="63" t="s">
        <v>217</v>
      </c>
      <c r="K50" s="62" t="s">
        <v>317</v>
      </c>
      <c r="L50" s="64">
        <v>8.99</v>
      </c>
      <c r="M50" s="64">
        <f t="shared" si="12"/>
        <v>5.3940000000000001</v>
      </c>
      <c r="N50" s="65">
        <f>prodnorm13</f>
        <v>0</v>
      </c>
      <c r="O50" s="66">
        <f>dagwerk13</f>
        <v>0</v>
      </c>
      <c r="P50" s="62" t="s">
        <v>40</v>
      </c>
      <c r="Q50" s="67">
        <f>uurtarief13</f>
        <v>0</v>
      </c>
      <c r="R50" s="64" t="e">
        <f t="shared" si="13"/>
        <v>#DIV/0!</v>
      </c>
      <c r="S50" s="64" t="e">
        <f t="shared" si="14"/>
        <v>#DIV/0!</v>
      </c>
      <c r="T50" s="67" t="e">
        <f t="shared" si="15"/>
        <v>#DIV/0!</v>
      </c>
      <c r="U50" s="64" t="e">
        <f t="shared" si="16"/>
        <v>#DIV/0!</v>
      </c>
      <c r="V50" s="69" t="e">
        <f t="shared" si="17"/>
        <v>#DIV/0!</v>
      </c>
    </row>
    <row r="51" spans="1:22" x14ac:dyDescent="0.3">
      <c r="A51" s="61" t="s">
        <v>316</v>
      </c>
      <c r="B51" s="62" t="s">
        <v>317</v>
      </c>
      <c r="C51" s="62" t="s">
        <v>318</v>
      </c>
      <c r="D51" s="62" t="s">
        <v>401</v>
      </c>
      <c r="E51" s="63" t="s">
        <v>356</v>
      </c>
      <c r="F51" s="62" t="s">
        <v>348</v>
      </c>
      <c r="G51" s="62" t="s">
        <v>212</v>
      </c>
      <c r="H51" s="62" t="s">
        <v>17</v>
      </c>
      <c r="I51" s="62" t="s">
        <v>210</v>
      </c>
      <c r="J51" s="63" t="s">
        <v>213</v>
      </c>
      <c r="K51" s="62" t="s">
        <v>317</v>
      </c>
      <c r="L51" s="64">
        <v>57.94</v>
      </c>
      <c r="M51" s="64">
        <f t="shared" si="12"/>
        <v>11.588000000000001</v>
      </c>
      <c r="N51" s="65">
        <f>prodnorm11</f>
        <v>0</v>
      </c>
      <c r="O51" s="66">
        <f>dagwerk11</f>
        <v>0</v>
      </c>
      <c r="P51" s="62" t="s">
        <v>40</v>
      </c>
      <c r="Q51" s="67">
        <f>uurtarief11</f>
        <v>0</v>
      </c>
      <c r="R51" s="64" t="e">
        <f t="shared" si="13"/>
        <v>#DIV/0!</v>
      </c>
      <c r="S51" s="64" t="e">
        <f t="shared" si="14"/>
        <v>#DIV/0!</v>
      </c>
      <c r="T51" s="67" t="e">
        <f t="shared" si="15"/>
        <v>#DIV/0!</v>
      </c>
      <c r="U51" s="64" t="e">
        <f t="shared" si="16"/>
        <v>#DIV/0!</v>
      </c>
      <c r="V51" s="69" t="e">
        <f t="shared" si="17"/>
        <v>#DIV/0!</v>
      </c>
    </row>
    <row r="52" spans="1:22" x14ac:dyDescent="0.3">
      <c r="A52" s="61" t="s">
        <v>316</v>
      </c>
      <c r="B52" s="62" t="s">
        <v>317</v>
      </c>
      <c r="C52" s="62" t="s">
        <v>318</v>
      </c>
      <c r="D52" s="62" t="s">
        <v>402</v>
      </c>
      <c r="E52" s="63" t="s">
        <v>400</v>
      </c>
      <c r="F52" s="62" t="s">
        <v>348</v>
      </c>
      <c r="G52" s="62" t="s">
        <v>216</v>
      </c>
      <c r="H52" s="62" t="s">
        <v>14</v>
      </c>
      <c r="I52" s="62" t="s">
        <v>210</v>
      </c>
      <c r="J52" s="63" t="s">
        <v>217</v>
      </c>
      <c r="K52" s="62" t="s">
        <v>317</v>
      </c>
      <c r="L52" s="64">
        <v>10.66</v>
      </c>
      <c r="M52" s="64">
        <f t="shared" si="12"/>
        <v>6.3959999999999999</v>
      </c>
      <c r="N52" s="65">
        <f>prodnorm13</f>
        <v>0</v>
      </c>
      <c r="O52" s="66">
        <f>dagwerk13</f>
        <v>0</v>
      </c>
      <c r="P52" s="62" t="s">
        <v>40</v>
      </c>
      <c r="Q52" s="67">
        <f>uurtarief13</f>
        <v>0</v>
      </c>
      <c r="R52" s="64" t="e">
        <f t="shared" si="13"/>
        <v>#DIV/0!</v>
      </c>
      <c r="S52" s="64" t="e">
        <f t="shared" si="14"/>
        <v>#DIV/0!</v>
      </c>
      <c r="T52" s="67" t="e">
        <f t="shared" si="15"/>
        <v>#DIV/0!</v>
      </c>
      <c r="U52" s="64" t="e">
        <f t="shared" si="16"/>
        <v>#DIV/0!</v>
      </c>
      <c r="V52" s="69" t="e">
        <f t="shared" si="17"/>
        <v>#DIV/0!</v>
      </c>
    </row>
    <row r="53" spans="1:22" x14ac:dyDescent="0.3">
      <c r="A53" s="61" t="s">
        <v>316</v>
      </c>
      <c r="B53" s="62" t="s">
        <v>317</v>
      </c>
      <c r="C53" s="62" t="s">
        <v>318</v>
      </c>
      <c r="D53" s="62" t="s">
        <v>403</v>
      </c>
      <c r="E53" s="63" t="s">
        <v>400</v>
      </c>
      <c r="F53" s="62" t="s">
        <v>348</v>
      </c>
      <c r="G53" s="62" t="s">
        <v>216</v>
      </c>
      <c r="H53" s="62" t="s">
        <v>14</v>
      </c>
      <c r="I53" s="62" t="s">
        <v>210</v>
      </c>
      <c r="J53" s="63" t="s">
        <v>217</v>
      </c>
      <c r="K53" s="62" t="s">
        <v>317</v>
      </c>
      <c r="L53" s="64">
        <v>14.98</v>
      </c>
      <c r="M53" s="64">
        <f t="shared" si="12"/>
        <v>8.9879999999999995</v>
      </c>
      <c r="N53" s="65">
        <f>prodnorm13</f>
        <v>0</v>
      </c>
      <c r="O53" s="66">
        <f>dagwerk13</f>
        <v>0</v>
      </c>
      <c r="P53" s="62" t="s">
        <v>40</v>
      </c>
      <c r="Q53" s="67">
        <f>uurtarief13</f>
        <v>0</v>
      </c>
      <c r="R53" s="64" t="e">
        <f t="shared" si="13"/>
        <v>#DIV/0!</v>
      </c>
      <c r="S53" s="64" t="e">
        <f t="shared" si="14"/>
        <v>#DIV/0!</v>
      </c>
      <c r="T53" s="67" t="e">
        <f t="shared" si="15"/>
        <v>#DIV/0!</v>
      </c>
      <c r="U53" s="64" t="e">
        <f t="shared" si="16"/>
        <v>#DIV/0!</v>
      </c>
      <c r="V53" s="69" t="e">
        <f t="shared" si="17"/>
        <v>#DIV/0!</v>
      </c>
    </row>
    <row r="54" spans="1:22" x14ac:dyDescent="0.3">
      <c r="A54" s="61" t="s">
        <v>316</v>
      </c>
      <c r="B54" s="62" t="s">
        <v>317</v>
      </c>
      <c r="C54" s="62" t="s">
        <v>318</v>
      </c>
      <c r="D54" s="62" t="s">
        <v>404</v>
      </c>
      <c r="E54" s="63" t="s">
        <v>400</v>
      </c>
      <c r="F54" s="62" t="s">
        <v>348</v>
      </c>
      <c r="G54" s="62" t="s">
        <v>216</v>
      </c>
      <c r="H54" s="62" t="s">
        <v>14</v>
      </c>
      <c r="I54" s="62" t="s">
        <v>210</v>
      </c>
      <c r="J54" s="63" t="s">
        <v>217</v>
      </c>
      <c r="K54" s="62" t="s">
        <v>317</v>
      </c>
      <c r="L54" s="64">
        <v>8.11</v>
      </c>
      <c r="M54" s="64">
        <f t="shared" si="12"/>
        <v>4.8659999999999997</v>
      </c>
      <c r="N54" s="65">
        <f>prodnorm13</f>
        <v>0</v>
      </c>
      <c r="O54" s="66">
        <f>dagwerk13</f>
        <v>0</v>
      </c>
      <c r="P54" s="62" t="s">
        <v>40</v>
      </c>
      <c r="Q54" s="67">
        <f>uurtarief13</f>
        <v>0</v>
      </c>
      <c r="R54" s="64" t="e">
        <f t="shared" si="13"/>
        <v>#DIV/0!</v>
      </c>
      <c r="S54" s="64" t="e">
        <f t="shared" si="14"/>
        <v>#DIV/0!</v>
      </c>
      <c r="T54" s="67" t="e">
        <f t="shared" si="15"/>
        <v>#DIV/0!</v>
      </c>
      <c r="U54" s="64" t="e">
        <f t="shared" si="16"/>
        <v>#DIV/0!</v>
      </c>
      <c r="V54" s="69" t="e">
        <f t="shared" si="17"/>
        <v>#DIV/0!</v>
      </c>
    </row>
    <row r="55" spans="1:22" x14ac:dyDescent="0.3">
      <c r="A55" s="61" t="s">
        <v>316</v>
      </c>
      <c r="B55" s="62" t="s">
        <v>317</v>
      </c>
      <c r="C55" s="62" t="s">
        <v>318</v>
      </c>
      <c r="D55" s="62" t="s">
        <v>405</v>
      </c>
      <c r="E55" s="63" t="s">
        <v>400</v>
      </c>
      <c r="F55" s="62" t="s">
        <v>348</v>
      </c>
      <c r="G55" s="62" t="s">
        <v>216</v>
      </c>
      <c r="H55" s="62" t="s">
        <v>14</v>
      </c>
      <c r="I55" s="62" t="s">
        <v>210</v>
      </c>
      <c r="J55" s="63" t="s">
        <v>217</v>
      </c>
      <c r="K55" s="62" t="s">
        <v>317</v>
      </c>
      <c r="L55" s="64">
        <v>8.129999999999999</v>
      </c>
      <c r="M55" s="64">
        <f t="shared" si="12"/>
        <v>4.8779999999999992</v>
      </c>
      <c r="N55" s="65">
        <f>prodnorm13</f>
        <v>0</v>
      </c>
      <c r="O55" s="66">
        <f>dagwerk13</f>
        <v>0</v>
      </c>
      <c r="P55" s="62" t="s">
        <v>40</v>
      </c>
      <c r="Q55" s="67">
        <f>uurtarief13</f>
        <v>0</v>
      </c>
      <c r="R55" s="64" t="e">
        <f t="shared" si="13"/>
        <v>#DIV/0!</v>
      </c>
      <c r="S55" s="64" t="e">
        <f t="shared" si="14"/>
        <v>#DIV/0!</v>
      </c>
      <c r="T55" s="67" t="e">
        <f t="shared" si="15"/>
        <v>#DIV/0!</v>
      </c>
      <c r="U55" s="64" t="e">
        <f t="shared" si="16"/>
        <v>#DIV/0!</v>
      </c>
      <c r="V55" s="69" t="e">
        <f t="shared" si="17"/>
        <v>#DIV/0!</v>
      </c>
    </row>
    <row r="56" spans="1:22" x14ac:dyDescent="0.3">
      <c r="A56" s="61" t="s">
        <v>316</v>
      </c>
      <c r="B56" s="62" t="s">
        <v>317</v>
      </c>
      <c r="C56" s="62" t="s">
        <v>318</v>
      </c>
      <c r="D56" s="62" t="s">
        <v>406</v>
      </c>
      <c r="E56" s="63" t="s">
        <v>400</v>
      </c>
      <c r="F56" s="62" t="s">
        <v>348</v>
      </c>
      <c r="G56" s="62" t="s">
        <v>216</v>
      </c>
      <c r="H56" s="62" t="s">
        <v>14</v>
      </c>
      <c r="I56" s="62" t="s">
        <v>210</v>
      </c>
      <c r="J56" s="63" t="s">
        <v>217</v>
      </c>
      <c r="K56" s="62" t="s">
        <v>317</v>
      </c>
      <c r="L56" s="64">
        <v>8.129999999999999</v>
      </c>
      <c r="M56" s="64">
        <f t="shared" si="12"/>
        <v>4.8779999999999992</v>
      </c>
      <c r="N56" s="65">
        <f>prodnorm13</f>
        <v>0</v>
      </c>
      <c r="O56" s="66">
        <f>dagwerk13</f>
        <v>0</v>
      </c>
      <c r="P56" s="62" t="s">
        <v>40</v>
      </c>
      <c r="Q56" s="67">
        <f>uurtarief13</f>
        <v>0</v>
      </c>
      <c r="R56" s="64" t="e">
        <f t="shared" si="13"/>
        <v>#DIV/0!</v>
      </c>
      <c r="S56" s="64" t="e">
        <f t="shared" si="14"/>
        <v>#DIV/0!</v>
      </c>
      <c r="T56" s="67" t="e">
        <f t="shared" si="15"/>
        <v>#DIV/0!</v>
      </c>
      <c r="U56" s="64" t="e">
        <f t="shared" si="16"/>
        <v>#DIV/0!</v>
      </c>
      <c r="V56" s="69" t="e">
        <f t="shared" si="17"/>
        <v>#DIV/0!</v>
      </c>
    </row>
    <row r="57" spans="1:22" x14ac:dyDescent="0.3">
      <c r="A57" s="61" t="s">
        <v>316</v>
      </c>
      <c r="B57" s="62" t="s">
        <v>317</v>
      </c>
      <c r="C57" s="62" t="s">
        <v>318</v>
      </c>
      <c r="D57" s="62" t="s">
        <v>288</v>
      </c>
      <c r="E57" s="63" t="s">
        <v>330</v>
      </c>
      <c r="F57" s="62" t="s">
        <v>389</v>
      </c>
      <c r="G57" s="62" t="s">
        <v>286</v>
      </c>
      <c r="H57" s="62" t="s">
        <v>11</v>
      </c>
      <c r="I57" s="62" t="s">
        <v>210</v>
      </c>
      <c r="J57" s="63" t="s">
        <v>287</v>
      </c>
      <c r="K57" s="62" t="s">
        <v>317</v>
      </c>
      <c r="L57" s="64">
        <v>18.75</v>
      </c>
      <c r="M57" s="64">
        <f t="shared" si="12"/>
        <v>18.75</v>
      </c>
      <c r="N57" s="65">
        <f>prodnorm49</f>
        <v>0</v>
      </c>
      <c r="O57" s="66">
        <f>dagwerk49</f>
        <v>0</v>
      </c>
      <c r="P57" s="62" t="s">
        <v>40</v>
      </c>
      <c r="Q57" s="67">
        <f>uurtarief49</f>
        <v>0</v>
      </c>
      <c r="R57" s="64" t="e">
        <f t="shared" si="13"/>
        <v>#DIV/0!</v>
      </c>
      <c r="S57" s="64" t="e">
        <f t="shared" si="14"/>
        <v>#DIV/0!</v>
      </c>
      <c r="T57" s="67" t="e">
        <f t="shared" si="15"/>
        <v>#DIV/0!</v>
      </c>
      <c r="U57" s="64" t="e">
        <f t="shared" si="16"/>
        <v>#DIV/0!</v>
      </c>
      <c r="V57" s="69" t="e">
        <f t="shared" si="17"/>
        <v>#DIV/0!</v>
      </c>
    </row>
    <row r="58" spans="1:22" x14ac:dyDescent="0.3">
      <c r="A58" s="61" t="s">
        <v>316</v>
      </c>
      <c r="B58" s="62" t="s">
        <v>317</v>
      </c>
      <c r="C58" s="62" t="s">
        <v>318</v>
      </c>
      <c r="D58" s="62" t="s">
        <v>407</v>
      </c>
      <c r="E58" s="63" t="s">
        <v>374</v>
      </c>
      <c r="F58" s="62" t="s">
        <v>389</v>
      </c>
      <c r="G58" s="62" t="s">
        <v>323</v>
      </c>
      <c r="H58" s="62"/>
      <c r="I58" s="62"/>
      <c r="J58" s="62"/>
      <c r="K58" s="62" t="s">
        <v>317</v>
      </c>
      <c r="L58" s="64">
        <v>0.70000000000000007</v>
      </c>
      <c r="M58" s="64"/>
      <c r="N58" s="65"/>
      <c r="O58" s="66"/>
      <c r="P58" s="62"/>
      <c r="Q58" s="67"/>
      <c r="R58" s="64"/>
      <c r="S58" s="64"/>
      <c r="T58" s="67"/>
      <c r="U58" s="68"/>
      <c r="V58" s="69"/>
    </row>
    <row r="59" spans="1:22" x14ac:dyDescent="0.3">
      <c r="A59" s="61" t="s">
        <v>316</v>
      </c>
      <c r="B59" s="62" t="s">
        <v>317</v>
      </c>
      <c r="C59" s="62" t="s">
        <v>318</v>
      </c>
      <c r="D59" s="62" t="s">
        <v>408</v>
      </c>
      <c r="E59" s="63" t="s">
        <v>321</v>
      </c>
      <c r="F59" s="62" t="s">
        <v>322</v>
      </c>
      <c r="G59" s="62" t="s">
        <v>323</v>
      </c>
      <c r="H59" s="62"/>
      <c r="I59" s="62"/>
      <c r="J59" s="62"/>
      <c r="K59" s="62" t="s">
        <v>317</v>
      </c>
      <c r="L59" s="64">
        <v>6.89</v>
      </c>
      <c r="M59" s="64"/>
      <c r="N59" s="65"/>
      <c r="O59" s="66"/>
      <c r="P59" s="62"/>
      <c r="Q59" s="67"/>
      <c r="R59" s="64"/>
      <c r="S59" s="64"/>
      <c r="T59" s="67"/>
      <c r="U59" s="68"/>
      <c r="V59" s="69"/>
    </row>
    <row r="60" spans="1:22" x14ac:dyDescent="0.3">
      <c r="A60" s="61" t="s">
        <v>316</v>
      </c>
      <c r="B60" s="62" t="s">
        <v>317</v>
      </c>
      <c r="C60" s="62" t="s">
        <v>318</v>
      </c>
      <c r="D60" s="62" t="s">
        <v>293</v>
      </c>
      <c r="E60" s="63" t="s">
        <v>394</v>
      </c>
      <c r="F60" s="62" t="s">
        <v>389</v>
      </c>
      <c r="G60" s="62" t="s">
        <v>272</v>
      </c>
      <c r="H60" s="62" t="s">
        <v>11</v>
      </c>
      <c r="I60" s="62" t="s">
        <v>210</v>
      </c>
      <c r="J60" s="63" t="s">
        <v>273</v>
      </c>
      <c r="K60" s="62" t="s">
        <v>317</v>
      </c>
      <c r="L60" s="64">
        <v>308.05</v>
      </c>
      <c r="M60" s="64">
        <f t="shared" ref="M60:M65" si="18">L60*VLOOKUP(H60,dagsoorttabel1,2,FALSE)</f>
        <v>308.05</v>
      </c>
      <c r="N60" s="65">
        <f>prodnorm42</f>
        <v>0</v>
      </c>
      <c r="O60" s="66">
        <f>dagwerk42</f>
        <v>0</v>
      </c>
      <c r="P60" s="62" t="s">
        <v>40</v>
      </c>
      <c r="Q60" s="67">
        <f>uurtarief42</f>
        <v>0</v>
      </c>
      <c r="R60" s="64" t="e">
        <f t="shared" ref="R60:R65" si="19">IF(ISBLANK(N60),0,M60/ROUND(N60,4))</f>
        <v>#DIV/0!</v>
      </c>
      <c r="S60" s="64" t="e">
        <f t="shared" ref="S60:S65" si="20">IF(ISBLANK(N60),0,R60*ROUND(O60,2))</f>
        <v>#DIV/0!</v>
      </c>
      <c r="T60" s="67" t="e">
        <f t="shared" ref="T60:T65" si="21">ROUND(Q60,2)*R60</f>
        <v>#DIV/0!</v>
      </c>
      <c r="U60" s="64" t="e">
        <f t="shared" ref="U60:U65" si="22">R60*dagenperjaar1</f>
        <v>#DIV/0!</v>
      </c>
      <c r="V60" s="69" t="e">
        <f t="shared" ref="V60:V65" si="23">U60*ROUND(Q60,2)</f>
        <v>#DIV/0!</v>
      </c>
    </row>
    <row r="61" spans="1:22" x14ac:dyDescent="0.3">
      <c r="A61" s="61" t="s">
        <v>316</v>
      </c>
      <c r="B61" s="62" t="s">
        <v>317</v>
      </c>
      <c r="C61" s="62" t="s">
        <v>318</v>
      </c>
      <c r="D61" s="62" t="s">
        <v>409</v>
      </c>
      <c r="E61" s="63" t="s">
        <v>391</v>
      </c>
      <c r="F61" s="62" t="s">
        <v>348</v>
      </c>
      <c r="G61" s="62" t="s">
        <v>236</v>
      </c>
      <c r="H61" s="62" t="s">
        <v>14</v>
      </c>
      <c r="I61" s="62" t="s">
        <v>210</v>
      </c>
      <c r="J61" s="63" t="s">
        <v>237</v>
      </c>
      <c r="K61" s="62" t="s">
        <v>317</v>
      </c>
      <c r="L61" s="64">
        <v>61.05</v>
      </c>
      <c r="M61" s="64">
        <f t="shared" si="18"/>
        <v>36.629999999999995</v>
      </c>
      <c r="N61" s="65">
        <f>prodnorm23</f>
        <v>0</v>
      </c>
      <c r="O61" s="66">
        <f>dagwerk23</f>
        <v>0</v>
      </c>
      <c r="P61" s="62" t="s">
        <v>40</v>
      </c>
      <c r="Q61" s="67">
        <f>uurtarief23</f>
        <v>0</v>
      </c>
      <c r="R61" s="64" t="e">
        <f t="shared" si="19"/>
        <v>#DIV/0!</v>
      </c>
      <c r="S61" s="64" t="e">
        <f t="shared" si="20"/>
        <v>#DIV/0!</v>
      </c>
      <c r="T61" s="67" t="e">
        <f t="shared" si="21"/>
        <v>#DIV/0!</v>
      </c>
      <c r="U61" s="64" t="e">
        <f t="shared" si="22"/>
        <v>#DIV/0!</v>
      </c>
      <c r="V61" s="69" t="e">
        <f t="shared" si="23"/>
        <v>#DIV/0!</v>
      </c>
    </row>
    <row r="62" spans="1:22" x14ac:dyDescent="0.3">
      <c r="A62" s="61" t="s">
        <v>316</v>
      </c>
      <c r="B62" s="62" t="s">
        <v>317</v>
      </c>
      <c r="C62" s="62" t="s">
        <v>318</v>
      </c>
      <c r="D62" s="62" t="s">
        <v>410</v>
      </c>
      <c r="E62" s="63" t="s">
        <v>411</v>
      </c>
      <c r="F62" s="62" t="s">
        <v>348</v>
      </c>
      <c r="G62" s="62" t="s">
        <v>240</v>
      </c>
      <c r="H62" s="62" t="s">
        <v>11</v>
      </c>
      <c r="I62" s="62" t="s">
        <v>210</v>
      </c>
      <c r="J62" s="63" t="s">
        <v>241</v>
      </c>
      <c r="K62" s="62" t="s">
        <v>317</v>
      </c>
      <c r="L62" s="64">
        <v>48.51</v>
      </c>
      <c r="M62" s="64">
        <f t="shared" si="18"/>
        <v>48.51</v>
      </c>
      <c r="N62" s="65">
        <f>prodnorm25</f>
        <v>0</v>
      </c>
      <c r="O62" s="66">
        <f>dagwerk25</f>
        <v>0</v>
      </c>
      <c r="P62" s="62" t="s">
        <v>40</v>
      </c>
      <c r="Q62" s="67">
        <f>uurtarief25</f>
        <v>0</v>
      </c>
      <c r="R62" s="64" t="e">
        <f t="shared" si="19"/>
        <v>#DIV/0!</v>
      </c>
      <c r="S62" s="64" t="e">
        <f t="shared" si="20"/>
        <v>#DIV/0!</v>
      </c>
      <c r="T62" s="67" t="e">
        <f t="shared" si="21"/>
        <v>#DIV/0!</v>
      </c>
      <c r="U62" s="64" t="e">
        <f t="shared" si="22"/>
        <v>#DIV/0!</v>
      </c>
      <c r="V62" s="69" t="e">
        <f t="shared" si="23"/>
        <v>#DIV/0!</v>
      </c>
    </row>
    <row r="63" spans="1:22" x14ac:dyDescent="0.3">
      <c r="A63" s="61" t="s">
        <v>316</v>
      </c>
      <c r="B63" s="62" t="s">
        <v>317</v>
      </c>
      <c r="C63" s="62" t="s">
        <v>318</v>
      </c>
      <c r="D63" s="62" t="s">
        <v>412</v>
      </c>
      <c r="E63" s="63" t="s">
        <v>413</v>
      </c>
      <c r="F63" s="62" t="s">
        <v>348</v>
      </c>
      <c r="G63" s="62" t="s">
        <v>236</v>
      </c>
      <c r="H63" s="62" t="s">
        <v>14</v>
      </c>
      <c r="I63" s="62" t="s">
        <v>210</v>
      </c>
      <c r="J63" s="63" t="s">
        <v>237</v>
      </c>
      <c r="K63" s="62" t="s">
        <v>317</v>
      </c>
      <c r="L63" s="64">
        <v>49.32</v>
      </c>
      <c r="M63" s="64">
        <f t="shared" si="18"/>
        <v>29.591999999999999</v>
      </c>
      <c r="N63" s="65">
        <f>prodnorm23</f>
        <v>0</v>
      </c>
      <c r="O63" s="66">
        <f>dagwerk23</f>
        <v>0</v>
      </c>
      <c r="P63" s="62" t="s">
        <v>40</v>
      </c>
      <c r="Q63" s="67">
        <f>uurtarief23</f>
        <v>0</v>
      </c>
      <c r="R63" s="64" t="e">
        <f t="shared" si="19"/>
        <v>#DIV/0!</v>
      </c>
      <c r="S63" s="64" t="e">
        <f t="shared" si="20"/>
        <v>#DIV/0!</v>
      </c>
      <c r="T63" s="67" t="e">
        <f t="shared" si="21"/>
        <v>#DIV/0!</v>
      </c>
      <c r="U63" s="64" t="e">
        <f t="shared" si="22"/>
        <v>#DIV/0!</v>
      </c>
      <c r="V63" s="69" t="e">
        <f t="shared" si="23"/>
        <v>#DIV/0!</v>
      </c>
    </row>
    <row r="64" spans="1:22" x14ac:dyDescent="0.3">
      <c r="A64" s="61" t="s">
        <v>316</v>
      </c>
      <c r="B64" s="62" t="s">
        <v>317</v>
      </c>
      <c r="C64" s="62" t="s">
        <v>318</v>
      </c>
      <c r="D64" s="62" t="s">
        <v>414</v>
      </c>
      <c r="E64" s="63" t="s">
        <v>356</v>
      </c>
      <c r="F64" s="62" t="s">
        <v>348</v>
      </c>
      <c r="G64" s="62" t="s">
        <v>212</v>
      </c>
      <c r="H64" s="62" t="s">
        <v>17</v>
      </c>
      <c r="I64" s="62" t="s">
        <v>210</v>
      </c>
      <c r="J64" s="63" t="s">
        <v>213</v>
      </c>
      <c r="K64" s="62" t="s">
        <v>317</v>
      </c>
      <c r="L64" s="64">
        <v>25.330000000000002</v>
      </c>
      <c r="M64" s="64">
        <f t="shared" si="18"/>
        <v>5.0660000000000007</v>
      </c>
      <c r="N64" s="65">
        <f>prodnorm11</f>
        <v>0</v>
      </c>
      <c r="O64" s="66">
        <f>dagwerk11</f>
        <v>0</v>
      </c>
      <c r="P64" s="62" t="s">
        <v>40</v>
      </c>
      <c r="Q64" s="67">
        <f>uurtarief11</f>
        <v>0</v>
      </c>
      <c r="R64" s="64" t="e">
        <f t="shared" si="19"/>
        <v>#DIV/0!</v>
      </c>
      <c r="S64" s="64" t="e">
        <f t="shared" si="20"/>
        <v>#DIV/0!</v>
      </c>
      <c r="T64" s="67" t="e">
        <f t="shared" si="21"/>
        <v>#DIV/0!</v>
      </c>
      <c r="U64" s="64" t="e">
        <f t="shared" si="22"/>
        <v>#DIV/0!</v>
      </c>
      <c r="V64" s="69" t="e">
        <f t="shared" si="23"/>
        <v>#DIV/0!</v>
      </c>
    </row>
    <row r="65" spans="1:22" x14ac:dyDescent="0.3">
      <c r="A65" s="61" t="s">
        <v>316</v>
      </c>
      <c r="B65" s="62" t="s">
        <v>317</v>
      </c>
      <c r="C65" s="62" t="s">
        <v>318</v>
      </c>
      <c r="D65" s="62" t="s">
        <v>415</v>
      </c>
      <c r="E65" s="63" t="s">
        <v>356</v>
      </c>
      <c r="F65" s="62" t="s">
        <v>348</v>
      </c>
      <c r="G65" s="62" t="s">
        <v>212</v>
      </c>
      <c r="H65" s="62" t="s">
        <v>17</v>
      </c>
      <c r="I65" s="62" t="s">
        <v>210</v>
      </c>
      <c r="J65" s="63" t="s">
        <v>213</v>
      </c>
      <c r="K65" s="62" t="s">
        <v>317</v>
      </c>
      <c r="L65" s="64">
        <v>78.540000000000006</v>
      </c>
      <c r="M65" s="64">
        <f t="shared" si="18"/>
        <v>15.708000000000002</v>
      </c>
      <c r="N65" s="65">
        <f>prodnorm11</f>
        <v>0</v>
      </c>
      <c r="O65" s="66">
        <f>dagwerk11</f>
        <v>0</v>
      </c>
      <c r="P65" s="62" t="s">
        <v>40</v>
      </c>
      <c r="Q65" s="67">
        <f>uurtarief11</f>
        <v>0</v>
      </c>
      <c r="R65" s="64" t="e">
        <f t="shared" si="19"/>
        <v>#DIV/0!</v>
      </c>
      <c r="S65" s="64" t="e">
        <f t="shared" si="20"/>
        <v>#DIV/0!</v>
      </c>
      <c r="T65" s="67" t="e">
        <f t="shared" si="21"/>
        <v>#DIV/0!</v>
      </c>
      <c r="U65" s="64" t="e">
        <f t="shared" si="22"/>
        <v>#DIV/0!</v>
      </c>
      <c r="V65" s="69" t="e">
        <f t="shared" si="23"/>
        <v>#DIV/0!</v>
      </c>
    </row>
    <row r="66" spans="1:22" x14ac:dyDescent="0.3">
      <c r="A66" s="61" t="s">
        <v>316</v>
      </c>
      <c r="B66" s="62" t="s">
        <v>317</v>
      </c>
      <c r="C66" s="62" t="s">
        <v>318</v>
      </c>
      <c r="D66" s="62" t="s">
        <v>416</v>
      </c>
      <c r="E66" s="63" t="s">
        <v>417</v>
      </c>
      <c r="F66" s="62" t="s">
        <v>348</v>
      </c>
      <c r="G66" s="62" t="s">
        <v>323</v>
      </c>
      <c r="H66" s="62"/>
      <c r="I66" s="62"/>
      <c r="J66" s="62"/>
      <c r="K66" s="62" t="s">
        <v>317</v>
      </c>
      <c r="L66" s="64">
        <v>16.489999999999998</v>
      </c>
      <c r="M66" s="64"/>
      <c r="N66" s="65"/>
      <c r="O66" s="66"/>
      <c r="P66" s="62"/>
      <c r="Q66" s="67"/>
      <c r="R66" s="64"/>
      <c r="S66" s="64"/>
      <c r="T66" s="67"/>
      <c r="U66" s="68"/>
      <c r="V66" s="69"/>
    </row>
    <row r="67" spans="1:22" x14ac:dyDescent="0.3">
      <c r="A67" s="61" t="s">
        <v>316</v>
      </c>
      <c r="B67" s="62" t="s">
        <v>317</v>
      </c>
      <c r="C67" s="62" t="s">
        <v>318</v>
      </c>
      <c r="D67" s="62" t="s">
        <v>300</v>
      </c>
      <c r="E67" s="63" t="s">
        <v>352</v>
      </c>
      <c r="F67" s="62" t="s">
        <v>353</v>
      </c>
      <c r="G67" s="62" t="s">
        <v>266</v>
      </c>
      <c r="H67" s="62" t="s">
        <v>11</v>
      </c>
      <c r="I67" s="62" t="s">
        <v>210</v>
      </c>
      <c r="J67" s="63" t="s">
        <v>267</v>
      </c>
      <c r="K67" s="62" t="s">
        <v>317</v>
      </c>
      <c r="L67" s="64">
        <v>21.12</v>
      </c>
      <c r="M67" s="64">
        <f>L67*VLOOKUP(H67,dagsoorttabel1,2,FALSE)</f>
        <v>21.12</v>
      </c>
      <c r="N67" s="65">
        <f>prodnorm39</f>
        <v>0</v>
      </c>
      <c r="O67" s="66">
        <f>dagwerk39</f>
        <v>0</v>
      </c>
      <c r="P67" s="62" t="s">
        <v>40</v>
      </c>
      <c r="Q67" s="67">
        <f>uurtarief39</f>
        <v>0</v>
      </c>
      <c r="R67" s="64" t="e">
        <f>IF(ISBLANK(N67),0,M67/ROUND(N67,4))</f>
        <v>#DIV/0!</v>
      </c>
      <c r="S67" s="64" t="e">
        <f>IF(ISBLANK(N67),0,R67*ROUND(O67,2))</f>
        <v>#DIV/0!</v>
      </c>
      <c r="T67" s="67" t="e">
        <f>ROUND(Q67,2)*R67</f>
        <v>#DIV/0!</v>
      </c>
      <c r="U67" s="64" t="e">
        <f>R67*dagenperjaar1</f>
        <v>#DIV/0!</v>
      </c>
      <c r="V67" s="69" t="e">
        <f>U67*ROUND(Q67,2)</f>
        <v>#DIV/0!</v>
      </c>
    </row>
    <row r="68" spans="1:22" x14ac:dyDescent="0.3">
      <c r="A68" s="61" t="s">
        <v>316</v>
      </c>
      <c r="B68" s="62" t="s">
        <v>317</v>
      </c>
      <c r="C68" s="62" t="s">
        <v>318</v>
      </c>
      <c r="D68" s="62" t="s">
        <v>300</v>
      </c>
      <c r="E68" s="63" t="s">
        <v>352</v>
      </c>
      <c r="F68" s="62" t="s">
        <v>353</v>
      </c>
      <c r="G68" s="62" t="s">
        <v>268</v>
      </c>
      <c r="H68" s="62" t="s">
        <v>11</v>
      </c>
      <c r="I68" s="62" t="s">
        <v>210</v>
      </c>
      <c r="J68" s="63" t="s">
        <v>269</v>
      </c>
      <c r="K68" s="62" t="s">
        <v>317</v>
      </c>
      <c r="L68" s="64">
        <v>21.12</v>
      </c>
      <c r="M68" s="64">
        <f>L68*VLOOKUP(H68,dagsoorttabel1,2,FALSE)</f>
        <v>21.12</v>
      </c>
      <c r="N68" s="65">
        <f>prodnorm40</f>
        <v>0</v>
      </c>
      <c r="O68" s="66">
        <f>dagwerk40</f>
        <v>0</v>
      </c>
      <c r="P68" s="62" t="s">
        <v>40</v>
      </c>
      <c r="Q68" s="67">
        <f>uurtarief40</f>
        <v>0</v>
      </c>
      <c r="R68" s="64" t="e">
        <f>IF(ISBLANK(N68),0,M68/ROUND(N68,4))</f>
        <v>#DIV/0!</v>
      </c>
      <c r="S68" s="64" t="e">
        <f>IF(ISBLANK(N68),0,R68*ROUND(O68,2))</f>
        <v>#DIV/0!</v>
      </c>
      <c r="T68" s="67" t="e">
        <f>ROUND(Q68,2)*R68</f>
        <v>#DIV/0!</v>
      </c>
      <c r="U68" s="64" t="e">
        <f>R68*dagenperjaar1</f>
        <v>#DIV/0!</v>
      </c>
      <c r="V68" s="69" t="e">
        <f>U68*ROUND(Q68,2)</f>
        <v>#DIV/0!</v>
      </c>
    </row>
    <row r="69" spans="1:22" x14ac:dyDescent="0.3">
      <c r="A69" s="61" t="s">
        <v>316</v>
      </c>
      <c r="B69" s="62" t="s">
        <v>317</v>
      </c>
      <c r="C69" s="62" t="s">
        <v>318</v>
      </c>
      <c r="D69" s="62" t="s">
        <v>418</v>
      </c>
      <c r="E69" s="63" t="s">
        <v>374</v>
      </c>
      <c r="F69" s="62" t="s">
        <v>389</v>
      </c>
      <c r="G69" s="62" t="s">
        <v>323</v>
      </c>
      <c r="H69" s="62"/>
      <c r="I69" s="62"/>
      <c r="J69" s="62"/>
      <c r="K69" s="62" t="s">
        <v>317</v>
      </c>
      <c r="L69" s="64">
        <v>2.54</v>
      </c>
      <c r="M69" s="64"/>
      <c r="N69" s="65"/>
      <c r="O69" s="66"/>
      <c r="P69" s="62"/>
      <c r="Q69" s="67"/>
      <c r="R69" s="64"/>
      <c r="S69" s="64"/>
      <c r="T69" s="67"/>
      <c r="U69" s="68"/>
      <c r="V69" s="69"/>
    </row>
    <row r="70" spans="1:22" x14ac:dyDescent="0.3">
      <c r="A70" s="61" t="s">
        <v>316</v>
      </c>
      <c r="B70" s="62" t="s">
        <v>317</v>
      </c>
      <c r="C70" s="62" t="s">
        <v>318</v>
      </c>
      <c r="D70" s="62" t="s">
        <v>419</v>
      </c>
      <c r="E70" s="63" t="s">
        <v>374</v>
      </c>
      <c r="F70" s="62" t="s">
        <v>389</v>
      </c>
      <c r="G70" s="62" t="s">
        <v>323</v>
      </c>
      <c r="H70" s="62"/>
      <c r="I70" s="62"/>
      <c r="J70" s="62"/>
      <c r="K70" s="62" t="s">
        <v>317</v>
      </c>
      <c r="L70" s="64">
        <v>5.71</v>
      </c>
      <c r="M70" s="64"/>
      <c r="N70" s="65"/>
      <c r="O70" s="66"/>
      <c r="P70" s="62"/>
      <c r="Q70" s="67"/>
      <c r="R70" s="64"/>
      <c r="S70" s="64"/>
      <c r="T70" s="67"/>
      <c r="U70" s="68"/>
      <c r="V70" s="69"/>
    </row>
    <row r="71" spans="1:22" x14ac:dyDescent="0.3">
      <c r="A71" s="61" t="s">
        <v>316</v>
      </c>
      <c r="B71" s="62" t="s">
        <v>317</v>
      </c>
      <c r="C71" s="62" t="s">
        <v>318</v>
      </c>
      <c r="D71" s="62" t="s">
        <v>420</v>
      </c>
      <c r="E71" s="63" t="s">
        <v>352</v>
      </c>
      <c r="F71" s="62" t="s">
        <v>353</v>
      </c>
      <c r="G71" s="62" t="s">
        <v>266</v>
      </c>
      <c r="H71" s="62" t="s">
        <v>11</v>
      </c>
      <c r="I71" s="62" t="s">
        <v>210</v>
      </c>
      <c r="J71" s="63" t="s">
        <v>267</v>
      </c>
      <c r="K71" s="62" t="s">
        <v>317</v>
      </c>
      <c r="L71" s="64">
        <v>16.600000000000001</v>
      </c>
      <c r="M71" s="64">
        <f t="shared" ref="M71:M77" si="24">L71*VLOOKUP(H71,dagsoorttabel1,2,FALSE)</f>
        <v>16.600000000000001</v>
      </c>
      <c r="N71" s="65">
        <f>prodnorm39</f>
        <v>0</v>
      </c>
      <c r="O71" s="66">
        <f>dagwerk39</f>
        <v>0</v>
      </c>
      <c r="P71" s="62" t="s">
        <v>40</v>
      </c>
      <c r="Q71" s="67">
        <f>uurtarief39</f>
        <v>0</v>
      </c>
      <c r="R71" s="64" t="e">
        <f t="shared" ref="R71:R77" si="25">IF(ISBLANK(N71),0,M71/ROUND(N71,4))</f>
        <v>#DIV/0!</v>
      </c>
      <c r="S71" s="64" t="e">
        <f t="shared" ref="S71:S77" si="26">IF(ISBLANK(N71),0,R71*ROUND(O71,2))</f>
        <v>#DIV/0!</v>
      </c>
      <c r="T71" s="67" t="e">
        <f t="shared" ref="T71:T77" si="27">ROUND(Q71,2)*R71</f>
        <v>#DIV/0!</v>
      </c>
      <c r="U71" s="64" t="e">
        <f t="shared" ref="U71:U77" si="28">R71*dagenperjaar1</f>
        <v>#DIV/0!</v>
      </c>
      <c r="V71" s="69" t="e">
        <f t="shared" ref="V71:V77" si="29">U71*ROUND(Q71,2)</f>
        <v>#DIV/0!</v>
      </c>
    </row>
    <row r="72" spans="1:22" x14ac:dyDescent="0.3">
      <c r="A72" s="61" t="s">
        <v>316</v>
      </c>
      <c r="B72" s="62" t="s">
        <v>317</v>
      </c>
      <c r="C72" s="62" t="s">
        <v>318</v>
      </c>
      <c r="D72" s="62" t="s">
        <v>420</v>
      </c>
      <c r="E72" s="63" t="s">
        <v>352</v>
      </c>
      <c r="F72" s="62" t="s">
        <v>353</v>
      </c>
      <c r="G72" s="62" t="s">
        <v>268</v>
      </c>
      <c r="H72" s="62" t="s">
        <v>11</v>
      </c>
      <c r="I72" s="62" t="s">
        <v>210</v>
      </c>
      <c r="J72" s="63" t="s">
        <v>269</v>
      </c>
      <c r="K72" s="62" t="s">
        <v>317</v>
      </c>
      <c r="L72" s="64">
        <v>16.600000000000001</v>
      </c>
      <c r="M72" s="64">
        <f t="shared" si="24"/>
        <v>16.600000000000001</v>
      </c>
      <c r="N72" s="65">
        <f>prodnorm40</f>
        <v>0</v>
      </c>
      <c r="O72" s="66">
        <f>dagwerk40</f>
        <v>0</v>
      </c>
      <c r="P72" s="62" t="s">
        <v>40</v>
      </c>
      <c r="Q72" s="67">
        <f>uurtarief40</f>
        <v>0</v>
      </c>
      <c r="R72" s="64" t="e">
        <f t="shared" si="25"/>
        <v>#DIV/0!</v>
      </c>
      <c r="S72" s="64" t="e">
        <f t="shared" si="26"/>
        <v>#DIV/0!</v>
      </c>
      <c r="T72" s="67" t="e">
        <f t="shared" si="27"/>
        <v>#DIV/0!</v>
      </c>
      <c r="U72" s="64" t="e">
        <f t="shared" si="28"/>
        <v>#DIV/0!</v>
      </c>
      <c r="V72" s="69" t="e">
        <f t="shared" si="29"/>
        <v>#DIV/0!</v>
      </c>
    </row>
    <row r="73" spans="1:22" x14ac:dyDescent="0.3">
      <c r="A73" s="61" t="s">
        <v>316</v>
      </c>
      <c r="B73" s="62" t="s">
        <v>317</v>
      </c>
      <c r="C73" s="62" t="s">
        <v>318</v>
      </c>
      <c r="D73" s="62" t="s">
        <v>421</v>
      </c>
      <c r="E73" s="63" t="s">
        <v>396</v>
      </c>
      <c r="F73" s="62" t="s">
        <v>348</v>
      </c>
      <c r="G73" s="62" t="s">
        <v>240</v>
      </c>
      <c r="H73" s="62" t="s">
        <v>11</v>
      </c>
      <c r="I73" s="62" t="s">
        <v>210</v>
      </c>
      <c r="J73" s="63" t="s">
        <v>241</v>
      </c>
      <c r="K73" s="62" t="s">
        <v>317</v>
      </c>
      <c r="L73" s="64">
        <v>101.76</v>
      </c>
      <c r="M73" s="64">
        <f t="shared" si="24"/>
        <v>101.76</v>
      </c>
      <c r="N73" s="65">
        <f>prodnorm25</f>
        <v>0</v>
      </c>
      <c r="O73" s="66">
        <f>dagwerk25</f>
        <v>0</v>
      </c>
      <c r="P73" s="62" t="s">
        <v>40</v>
      </c>
      <c r="Q73" s="67">
        <f>uurtarief25</f>
        <v>0</v>
      </c>
      <c r="R73" s="64" t="e">
        <f t="shared" si="25"/>
        <v>#DIV/0!</v>
      </c>
      <c r="S73" s="64" t="e">
        <f t="shared" si="26"/>
        <v>#DIV/0!</v>
      </c>
      <c r="T73" s="67" t="e">
        <f t="shared" si="27"/>
        <v>#DIV/0!</v>
      </c>
      <c r="U73" s="64" t="e">
        <f t="shared" si="28"/>
        <v>#DIV/0!</v>
      </c>
      <c r="V73" s="69" t="e">
        <f t="shared" si="29"/>
        <v>#DIV/0!</v>
      </c>
    </row>
    <row r="74" spans="1:22" x14ac:dyDescent="0.3">
      <c r="A74" s="61" t="s">
        <v>316</v>
      </c>
      <c r="B74" s="62" t="s">
        <v>317</v>
      </c>
      <c r="C74" s="62" t="s">
        <v>318</v>
      </c>
      <c r="D74" s="62" t="s">
        <v>422</v>
      </c>
      <c r="E74" s="63" t="s">
        <v>396</v>
      </c>
      <c r="F74" s="62" t="s">
        <v>348</v>
      </c>
      <c r="G74" s="62" t="s">
        <v>240</v>
      </c>
      <c r="H74" s="62" t="s">
        <v>11</v>
      </c>
      <c r="I74" s="62" t="s">
        <v>210</v>
      </c>
      <c r="J74" s="63" t="s">
        <v>241</v>
      </c>
      <c r="K74" s="62" t="s">
        <v>317</v>
      </c>
      <c r="L74" s="64">
        <v>76.7</v>
      </c>
      <c r="M74" s="64">
        <f t="shared" si="24"/>
        <v>76.7</v>
      </c>
      <c r="N74" s="65">
        <f>prodnorm25</f>
        <v>0</v>
      </c>
      <c r="O74" s="66">
        <f>dagwerk25</f>
        <v>0</v>
      </c>
      <c r="P74" s="62" t="s">
        <v>40</v>
      </c>
      <c r="Q74" s="67">
        <f>uurtarief25</f>
        <v>0</v>
      </c>
      <c r="R74" s="64" t="e">
        <f t="shared" si="25"/>
        <v>#DIV/0!</v>
      </c>
      <c r="S74" s="64" t="e">
        <f t="shared" si="26"/>
        <v>#DIV/0!</v>
      </c>
      <c r="T74" s="67" t="e">
        <f t="shared" si="27"/>
        <v>#DIV/0!</v>
      </c>
      <c r="U74" s="64" t="e">
        <f t="shared" si="28"/>
        <v>#DIV/0!</v>
      </c>
      <c r="V74" s="69" t="e">
        <f t="shared" si="29"/>
        <v>#DIV/0!</v>
      </c>
    </row>
    <row r="75" spans="1:22" x14ac:dyDescent="0.3">
      <c r="A75" s="61" t="s">
        <v>316</v>
      </c>
      <c r="B75" s="62" t="s">
        <v>317</v>
      </c>
      <c r="C75" s="62" t="s">
        <v>318</v>
      </c>
      <c r="D75" s="62" t="s">
        <v>423</v>
      </c>
      <c r="E75" s="63" t="s">
        <v>400</v>
      </c>
      <c r="F75" s="62" t="s">
        <v>348</v>
      </c>
      <c r="G75" s="62" t="s">
        <v>216</v>
      </c>
      <c r="H75" s="62" t="s">
        <v>14</v>
      </c>
      <c r="I75" s="62" t="s">
        <v>210</v>
      </c>
      <c r="J75" s="63" t="s">
        <v>217</v>
      </c>
      <c r="K75" s="62" t="s">
        <v>317</v>
      </c>
      <c r="L75" s="64">
        <v>24.130000000000003</v>
      </c>
      <c r="M75" s="64">
        <f t="shared" si="24"/>
        <v>14.478000000000002</v>
      </c>
      <c r="N75" s="65">
        <f>prodnorm13</f>
        <v>0</v>
      </c>
      <c r="O75" s="66">
        <f>dagwerk13</f>
        <v>0</v>
      </c>
      <c r="P75" s="62" t="s">
        <v>40</v>
      </c>
      <c r="Q75" s="67">
        <f>uurtarief13</f>
        <v>0</v>
      </c>
      <c r="R75" s="64" t="e">
        <f t="shared" si="25"/>
        <v>#DIV/0!</v>
      </c>
      <c r="S75" s="64" t="e">
        <f t="shared" si="26"/>
        <v>#DIV/0!</v>
      </c>
      <c r="T75" s="67" t="e">
        <f t="shared" si="27"/>
        <v>#DIV/0!</v>
      </c>
      <c r="U75" s="64" t="e">
        <f t="shared" si="28"/>
        <v>#DIV/0!</v>
      </c>
      <c r="V75" s="69" t="e">
        <f t="shared" si="29"/>
        <v>#DIV/0!</v>
      </c>
    </row>
    <row r="76" spans="1:22" x14ac:dyDescent="0.3">
      <c r="A76" s="61" t="s">
        <v>316</v>
      </c>
      <c r="B76" s="62" t="s">
        <v>317</v>
      </c>
      <c r="C76" s="62" t="s">
        <v>318</v>
      </c>
      <c r="D76" s="62" t="s">
        <v>424</v>
      </c>
      <c r="E76" s="63" t="s">
        <v>356</v>
      </c>
      <c r="F76" s="62" t="s">
        <v>348</v>
      </c>
      <c r="G76" s="62" t="s">
        <v>212</v>
      </c>
      <c r="H76" s="62" t="s">
        <v>17</v>
      </c>
      <c r="I76" s="62" t="s">
        <v>210</v>
      </c>
      <c r="J76" s="63" t="s">
        <v>213</v>
      </c>
      <c r="K76" s="62" t="s">
        <v>317</v>
      </c>
      <c r="L76" s="64">
        <v>10.870000000000001</v>
      </c>
      <c r="M76" s="64">
        <f t="shared" si="24"/>
        <v>2.1740000000000004</v>
      </c>
      <c r="N76" s="65">
        <f>prodnorm11</f>
        <v>0</v>
      </c>
      <c r="O76" s="66">
        <f>dagwerk11</f>
        <v>0</v>
      </c>
      <c r="P76" s="62" t="s">
        <v>40</v>
      </c>
      <c r="Q76" s="67">
        <f>uurtarief11</f>
        <v>0</v>
      </c>
      <c r="R76" s="64" t="e">
        <f t="shared" si="25"/>
        <v>#DIV/0!</v>
      </c>
      <c r="S76" s="64" t="e">
        <f t="shared" si="26"/>
        <v>#DIV/0!</v>
      </c>
      <c r="T76" s="67" t="e">
        <f t="shared" si="27"/>
        <v>#DIV/0!</v>
      </c>
      <c r="U76" s="64" t="e">
        <f t="shared" si="28"/>
        <v>#DIV/0!</v>
      </c>
      <c r="V76" s="69" t="e">
        <f t="shared" si="29"/>
        <v>#DIV/0!</v>
      </c>
    </row>
    <row r="77" spans="1:22" x14ac:dyDescent="0.3">
      <c r="A77" s="61" t="s">
        <v>316</v>
      </c>
      <c r="B77" s="62" t="s">
        <v>317</v>
      </c>
      <c r="C77" s="62" t="s">
        <v>318</v>
      </c>
      <c r="D77" s="62" t="s">
        <v>425</v>
      </c>
      <c r="E77" s="63" t="s">
        <v>356</v>
      </c>
      <c r="F77" s="62" t="s">
        <v>348</v>
      </c>
      <c r="G77" s="62" t="s">
        <v>212</v>
      </c>
      <c r="H77" s="62" t="s">
        <v>17</v>
      </c>
      <c r="I77" s="62" t="s">
        <v>210</v>
      </c>
      <c r="J77" s="63" t="s">
        <v>213</v>
      </c>
      <c r="K77" s="62" t="s">
        <v>317</v>
      </c>
      <c r="L77" s="64">
        <v>11.709999999999999</v>
      </c>
      <c r="M77" s="64">
        <f t="shared" si="24"/>
        <v>2.3420000000000001</v>
      </c>
      <c r="N77" s="65">
        <f>prodnorm11</f>
        <v>0</v>
      </c>
      <c r="O77" s="66">
        <f>dagwerk11</f>
        <v>0</v>
      </c>
      <c r="P77" s="62" t="s">
        <v>40</v>
      </c>
      <c r="Q77" s="67">
        <f>uurtarief11</f>
        <v>0</v>
      </c>
      <c r="R77" s="64" t="e">
        <f t="shared" si="25"/>
        <v>#DIV/0!</v>
      </c>
      <c r="S77" s="64" t="e">
        <f t="shared" si="26"/>
        <v>#DIV/0!</v>
      </c>
      <c r="T77" s="67" t="e">
        <f t="shared" si="27"/>
        <v>#DIV/0!</v>
      </c>
      <c r="U77" s="64" t="e">
        <f t="shared" si="28"/>
        <v>#DIV/0!</v>
      </c>
      <c r="V77" s="69" t="e">
        <f t="shared" si="29"/>
        <v>#DIV/0!</v>
      </c>
    </row>
    <row r="78" spans="1:22" x14ac:dyDescent="0.3">
      <c r="A78" s="61" t="s">
        <v>316</v>
      </c>
      <c r="B78" s="62" t="s">
        <v>317</v>
      </c>
      <c r="C78" s="62" t="s">
        <v>318</v>
      </c>
      <c r="D78" s="62" t="s">
        <v>426</v>
      </c>
      <c r="E78" s="63" t="s">
        <v>383</v>
      </c>
      <c r="F78" s="62" t="s">
        <v>348</v>
      </c>
      <c r="G78" s="62" t="s">
        <v>323</v>
      </c>
      <c r="H78" s="62"/>
      <c r="I78" s="62"/>
      <c r="J78" s="62"/>
      <c r="K78" s="62" t="s">
        <v>317</v>
      </c>
      <c r="L78" s="64">
        <v>7.21</v>
      </c>
      <c r="M78" s="64"/>
      <c r="N78" s="65"/>
      <c r="O78" s="66"/>
      <c r="P78" s="62"/>
      <c r="Q78" s="67"/>
      <c r="R78" s="64"/>
      <c r="S78" s="64"/>
      <c r="T78" s="67"/>
      <c r="U78" s="68"/>
      <c r="V78" s="69"/>
    </row>
    <row r="79" spans="1:22" x14ac:dyDescent="0.3">
      <c r="A79" s="61" t="s">
        <v>316</v>
      </c>
      <c r="B79" s="62" t="s">
        <v>317</v>
      </c>
      <c r="C79" s="62" t="s">
        <v>318</v>
      </c>
      <c r="D79" s="62" t="s">
        <v>427</v>
      </c>
      <c r="E79" s="63" t="s">
        <v>428</v>
      </c>
      <c r="F79" s="62" t="s">
        <v>348</v>
      </c>
      <c r="G79" s="62" t="s">
        <v>274</v>
      </c>
      <c r="H79" s="62" t="s">
        <v>11</v>
      </c>
      <c r="I79" s="62" t="s">
        <v>210</v>
      </c>
      <c r="J79" s="63" t="s">
        <v>275</v>
      </c>
      <c r="K79" s="62" t="s">
        <v>317</v>
      </c>
      <c r="L79" s="64">
        <v>12.58</v>
      </c>
      <c r="M79" s="64">
        <f>L79*VLOOKUP(H79,dagsoorttabel1,2,FALSE)</f>
        <v>12.58</v>
      </c>
      <c r="N79" s="65">
        <f>prodnorm43</f>
        <v>0</v>
      </c>
      <c r="O79" s="66">
        <f>dagwerk43</f>
        <v>0</v>
      </c>
      <c r="P79" s="62" t="s">
        <v>40</v>
      </c>
      <c r="Q79" s="67">
        <f>uurtarief43</f>
        <v>0</v>
      </c>
      <c r="R79" s="64" t="e">
        <f>IF(ISBLANK(N79),0,M79/ROUND(N79,4))</f>
        <v>#DIV/0!</v>
      </c>
      <c r="S79" s="64" t="e">
        <f>IF(ISBLANK(N79),0,R79*ROUND(O79,2))</f>
        <v>#DIV/0!</v>
      </c>
      <c r="T79" s="67" t="e">
        <f>ROUND(Q79,2)*R79</f>
        <v>#DIV/0!</v>
      </c>
      <c r="U79" s="64" t="e">
        <f>R79*dagenperjaar1</f>
        <v>#DIV/0!</v>
      </c>
      <c r="V79" s="69" t="e">
        <f>U79*ROUND(Q79,2)</f>
        <v>#DIV/0!</v>
      </c>
    </row>
    <row r="80" spans="1:22" x14ac:dyDescent="0.3">
      <c r="A80" s="61" t="s">
        <v>316</v>
      </c>
      <c r="B80" s="62" t="s">
        <v>317</v>
      </c>
      <c r="C80" s="62" t="s">
        <v>318</v>
      </c>
      <c r="D80" s="62" t="s">
        <v>429</v>
      </c>
      <c r="E80" s="63" t="s">
        <v>374</v>
      </c>
      <c r="F80" s="62" t="s">
        <v>322</v>
      </c>
      <c r="G80" s="62" t="s">
        <v>323</v>
      </c>
      <c r="H80" s="62"/>
      <c r="I80" s="62"/>
      <c r="J80" s="62"/>
      <c r="K80" s="62" t="s">
        <v>317</v>
      </c>
      <c r="L80" s="64">
        <v>2</v>
      </c>
      <c r="M80" s="64"/>
      <c r="N80" s="65"/>
      <c r="O80" s="66"/>
      <c r="P80" s="62"/>
      <c r="Q80" s="67"/>
      <c r="R80" s="64"/>
      <c r="S80" s="64"/>
      <c r="T80" s="67"/>
      <c r="U80" s="68"/>
      <c r="V80" s="69"/>
    </row>
    <row r="81" spans="1:22" x14ac:dyDescent="0.3">
      <c r="A81" s="61" t="s">
        <v>316</v>
      </c>
      <c r="B81" s="62" t="s">
        <v>317</v>
      </c>
      <c r="C81" s="62" t="s">
        <v>318</v>
      </c>
      <c r="D81" s="62" t="s">
        <v>430</v>
      </c>
      <c r="E81" s="63" t="s">
        <v>431</v>
      </c>
      <c r="F81" s="62" t="s">
        <v>432</v>
      </c>
      <c r="G81" s="62" t="s">
        <v>262</v>
      </c>
      <c r="H81" s="62" t="s">
        <v>11</v>
      </c>
      <c r="I81" s="62" t="s">
        <v>210</v>
      </c>
      <c r="J81" s="63" t="s">
        <v>263</v>
      </c>
      <c r="K81" s="62" t="s">
        <v>317</v>
      </c>
      <c r="L81" s="64">
        <v>10.51</v>
      </c>
      <c r="M81" s="64">
        <f>L81*VLOOKUP(H81,dagsoorttabel1,2,FALSE)</f>
        <v>10.51</v>
      </c>
      <c r="N81" s="65">
        <f>prodnorm37</f>
        <v>0</v>
      </c>
      <c r="O81" s="66">
        <f>dagwerk37</f>
        <v>0</v>
      </c>
      <c r="P81" s="62" t="s">
        <v>40</v>
      </c>
      <c r="Q81" s="67">
        <f>uurtarief37</f>
        <v>0</v>
      </c>
      <c r="R81" s="64" t="e">
        <f>IF(ISBLANK(N81),0,M81/ROUND(N81,4))</f>
        <v>#DIV/0!</v>
      </c>
      <c r="S81" s="64" t="e">
        <f>IF(ISBLANK(N81),0,R81*ROUND(O81,2))</f>
        <v>#DIV/0!</v>
      </c>
      <c r="T81" s="67" t="e">
        <f>ROUND(Q81,2)*R81</f>
        <v>#DIV/0!</v>
      </c>
      <c r="U81" s="64" t="e">
        <f>R81*dagenperjaar1</f>
        <v>#DIV/0!</v>
      </c>
      <c r="V81" s="69" t="e">
        <f>U81*ROUND(Q81,2)</f>
        <v>#DIV/0!</v>
      </c>
    </row>
    <row r="82" spans="1:22" x14ac:dyDescent="0.3">
      <c r="A82" s="61" t="s">
        <v>316</v>
      </c>
      <c r="B82" s="62" t="s">
        <v>317</v>
      </c>
      <c r="C82" s="62" t="s">
        <v>318</v>
      </c>
      <c r="D82" s="62" t="s">
        <v>433</v>
      </c>
      <c r="E82" s="63" t="s">
        <v>330</v>
      </c>
      <c r="F82" s="62" t="s">
        <v>389</v>
      </c>
      <c r="G82" s="62" t="s">
        <v>286</v>
      </c>
      <c r="H82" s="62" t="s">
        <v>11</v>
      </c>
      <c r="I82" s="62" t="s">
        <v>210</v>
      </c>
      <c r="J82" s="63" t="s">
        <v>287</v>
      </c>
      <c r="K82" s="62" t="s">
        <v>317</v>
      </c>
      <c r="L82" s="64">
        <v>18.87</v>
      </c>
      <c r="M82" s="64">
        <f>L82*VLOOKUP(H82,dagsoorttabel1,2,FALSE)</f>
        <v>18.87</v>
      </c>
      <c r="N82" s="65">
        <f>prodnorm49</f>
        <v>0</v>
      </c>
      <c r="O82" s="66">
        <f>dagwerk49</f>
        <v>0</v>
      </c>
      <c r="P82" s="62" t="s">
        <v>40</v>
      </c>
      <c r="Q82" s="67">
        <f>uurtarief49</f>
        <v>0</v>
      </c>
      <c r="R82" s="64" t="e">
        <f>IF(ISBLANK(N82),0,M82/ROUND(N82,4))</f>
        <v>#DIV/0!</v>
      </c>
      <c r="S82" s="64" t="e">
        <f>IF(ISBLANK(N82),0,R82*ROUND(O82,2))</f>
        <v>#DIV/0!</v>
      </c>
      <c r="T82" s="67" t="e">
        <f>ROUND(Q82,2)*R82</f>
        <v>#DIV/0!</v>
      </c>
      <c r="U82" s="64" t="e">
        <f>R82*dagenperjaar1</f>
        <v>#DIV/0!</v>
      </c>
      <c r="V82" s="69" t="e">
        <f>U82*ROUND(Q82,2)</f>
        <v>#DIV/0!</v>
      </c>
    </row>
    <row r="83" spans="1:22" x14ac:dyDescent="0.3">
      <c r="A83" s="61" t="s">
        <v>316</v>
      </c>
      <c r="B83" s="62" t="s">
        <v>317</v>
      </c>
      <c r="C83" s="62" t="s">
        <v>318</v>
      </c>
      <c r="D83" s="62" t="s">
        <v>434</v>
      </c>
      <c r="E83" s="63" t="s">
        <v>374</v>
      </c>
      <c r="F83" s="62" t="s">
        <v>322</v>
      </c>
      <c r="G83" s="62" t="s">
        <v>323</v>
      </c>
      <c r="H83" s="62"/>
      <c r="I83" s="62"/>
      <c r="J83" s="62"/>
      <c r="K83" s="62" t="s">
        <v>317</v>
      </c>
      <c r="L83" s="64">
        <v>0.79</v>
      </c>
      <c r="M83" s="64"/>
      <c r="N83" s="65"/>
      <c r="O83" s="66"/>
      <c r="P83" s="62"/>
      <c r="Q83" s="67"/>
      <c r="R83" s="64"/>
      <c r="S83" s="64"/>
      <c r="T83" s="67"/>
      <c r="U83" s="68"/>
      <c r="V83" s="69"/>
    </row>
    <row r="84" spans="1:22" x14ac:dyDescent="0.3">
      <c r="A84" s="61" t="s">
        <v>316</v>
      </c>
      <c r="B84" s="62" t="s">
        <v>317</v>
      </c>
      <c r="C84" s="62" t="s">
        <v>318</v>
      </c>
      <c r="D84" s="62" t="s">
        <v>435</v>
      </c>
      <c r="E84" s="63" t="s">
        <v>321</v>
      </c>
      <c r="F84" s="62" t="s">
        <v>322</v>
      </c>
      <c r="G84" s="62" t="s">
        <v>323</v>
      </c>
      <c r="H84" s="62"/>
      <c r="I84" s="62"/>
      <c r="J84" s="62"/>
      <c r="K84" s="62" t="s">
        <v>317</v>
      </c>
      <c r="L84" s="64">
        <v>6.84</v>
      </c>
      <c r="M84" s="64"/>
      <c r="N84" s="65"/>
      <c r="O84" s="66"/>
      <c r="P84" s="62"/>
      <c r="Q84" s="67"/>
      <c r="R84" s="64"/>
      <c r="S84" s="64"/>
      <c r="T84" s="67"/>
      <c r="U84" s="68"/>
      <c r="V84" s="69"/>
    </row>
    <row r="85" spans="1:22" x14ac:dyDescent="0.3">
      <c r="A85" s="61" t="s">
        <v>316</v>
      </c>
      <c r="B85" s="62" t="s">
        <v>317</v>
      </c>
      <c r="C85" s="62" t="s">
        <v>318</v>
      </c>
      <c r="D85" s="62" t="s">
        <v>436</v>
      </c>
      <c r="E85" s="63" t="s">
        <v>394</v>
      </c>
      <c r="F85" s="62" t="s">
        <v>389</v>
      </c>
      <c r="G85" s="62" t="s">
        <v>272</v>
      </c>
      <c r="H85" s="62" t="s">
        <v>11</v>
      </c>
      <c r="I85" s="62" t="s">
        <v>210</v>
      </c>
      <c r="J85" s="63" t="s">
        <v>273</v>
      </c>
      <c r="K85" s="62" t="s">
        <v>317</v>
      </c>
      <c r="L85" s="64">
        <v>156.35000000000002</v>
      </c>
      <c r="M85" s="64">
        <f>L85*VLOOKUP(H85,dagsoorttabel1,2,FALSE)</f>
        <v>156.35000000000002</v>
      </c>
      <c r="N85" s="65">
        <f>prodnorm42</f>
        <v>0</v>
      </c>
      <c r="O85" s="66">
        <f>dagwerk42</f>
        <v>0</v>
      </c>
      <c r="P85" s="62" t="s">
        <v>40</v>
      </c>
      <c r="Q85" s="67">
        <f>uurtarief42</f>
        <v>0</v>
      </c>
      <c r="R85" s="64" t="e">
        <f>IF(ISBLANK(N85),0,M85/ROUND(N85,4))</f>
        <v>#DIV/0!</v>
      </c>
      <c r="S85" s="64" t="e">
        <f>IF(ISBLANK(N85),0,R85*ROUND(O85,2))</f>
        <v>#DIV/0!</v>
      </c>
      <c r="T85" s="67" t="e">
        <f>ROUND(Q85,2)*R85</f>
        <v>#DIV/0!</v>
      </c>
      <c r="U85" s="64" t="e">
        <f>R85*dagenperjaar1</f>
        <v>#DIV/0!</v>
      </c>
      <c r="V85" s="69" t="e">
        <f>U85*ROUND(Q85,2)</f>
        <v>#DIV/0!</v>
      </c>
    </row>
    <row r="86" spans="1:22" x14ac:dyDescent="0.3">
      <c r="A86" s="61" t="s">
        <v>316</v>
      </c>
      <c r="B86" s="62" t="s">
        <v>317</v>
      </c>
      <c r="C86" s="62" t="s">
        <v>318</v>
      </c>
      <c r="D86" s="62" t="s">
        <v>437</v>
      </c>
      <c r="E86" s="63" t="s">
        <v>438</v>
      </c>
      <c r="F86" s="62" t="s">
        <v>335</v>
      </c>
      <c r="G86" s="62" t="s">
        <v>323</v>
      </c>
      <c r="H86" s="62"/>
      <c r="I86" s="62"/>
      <c r="J86" s="62"/>
      <c r="K86" s="62" t="s">
        <v>317</v>
      </c>
      <c r="L86" s="64">
        <v>23.37</v>
      </c>
      <c r="M86" s="64"/>
      <c r="N86" s="65"/>
      <c r="O86" s="66"/>
      <c r="P86" s="62"/>
      <c r="Q86" s="67"/>
      <c r="R86" s="64"/>
      <c r="S86" s="64"/>
      <c r="T86" s="67"/>
      <c r="U86" s="68"/>
      <c r="V86" s="69"/>
    </row>
    <row r="87" spans="1:22" x14ac:dyDescent="0.3">
      <c r="A87" s="61" t="s">
        <v>316</v>
      </c>
      <c r="B87" s="62" t="s">
        <v>317</v>
      </c>
      <c r="C87" s="62" t="s">
        <v>318</v>
      </c>
      <c r="D87" s="62" t="s">
        <v>439</v>
      </c>
      <c r="E87" s="63" t="s">
        <v>440</v>
      </c>
      <c r="F87" s="62" t="s">
        <v>335</v>
      </c>
      <c r="G87" s="62" t="s">
        <v>323</v>
      </c>
      <c r="H87" s="62"/>
      <c r="I87" s="62"/>
      <c r="J87" s="62"/>
      <c r="K87" s="62" t="s">
        <v>317</v>
      </c>
      <c r="L87" s="64">
        <v>37.660000000000004</v>
      </c>
      <c r="M87" s="64"/>
      <c r="N87" s="65"/>
      <c r="O87" s="66"/>
      <c r="P87" s="62"/>
      <c r="Q87" s="67"/>
      <c r="R87" s="64"/>
      <c r="S87" s="64"/>
      <c r="T87" s="67"/>
      <c r="U87" s="68"/>
      <c r="V87" s="69"/>
    </row>
    <row r="88" spans="1:22" x14ac:dyDescent="0.3">
      <c r="A88" s="61" t="s">
        <v>316</v>
      </c>
      <c r="B88" s="62" t="s">
        <v>317</v>
      </c>
      <c r="C88" s="62" t="s">
        <v>318</v>
      </c>
      <c r="D88" s="62" t="s">
        <v>441</v>
      </c>
      <c r="E88" s="63" t="s">
        <v>442</v>
      </c>
      <c r="F88" s="62" t="s">
        <v>335</v>
      </c>
      <c r="G88" s="62" t="s">
        <v>323</v>
      </c>
      <c r="H88" s="62"/>
      <c r="I88" s="62"/>
      <c r="J88" s="62"/>
      <c r="K88" s="62" t="s">
        <v>317</v>
      </c>
      <c r="L88" s="64">
        <v>4.5999999999999996</v>
      </c>
      <c r="M88" s="64"/>
      <c r="N88" s="65"/>
      <c r="O88" s="66"/>
      <c r="P88" s="62"/>
      <c r="Q88" s="67"/>
      <c r="R88" s="64"/>
      <c r="S88" s="64"/>
      <c r="T88" s="67"/>
      <c r="U88" s="68"/>
      <c r="V88" s="69"/>
    </row>
    <row r="89" spans="1:22" x14ac:dyDescent="0.3">
      <c r="A89" s="61" t="s">
        <v>316</v>
      </c>
      <c r="B89" s="62" t="s">
        <v>317</v>
      </c>
      <c r="C89" s="62" t="s">
        <v>318</v>
      </c>
      <c r="D89" s="62" t="s">
        <v>443</v>
      </c>
      <c r="E89" s="63" t="s">
        <v>444</v>
      </c>
      <c r="F89" s="62" t="s">
        <v>335</v>
      </c>
      <c r="G89" s="62" t="s">
        <v>323</v>
      </c>
      <c r="H89" s="62"/>
      <c r="I89" s="62"/>
      <c r="J89" s="62"/>
      <c r="K89" s="62" t="s">
        <v>317</v>
      </c>
      <c r="L89" s="64">
        <v>3.27</v>
      </c>
      <c r="M89" s="64"/>
      <c r="N89" s="65"/>
      <c r="O89" s="66"/>
      <c r="P89" s="62"/>
      <c r="Q89" s="67"/>
      <c r="R89" s="64"/>
      <c r="S89" s="64"/>
      <c r="T89" s="67"/>
      <c r="U89" s="68"/>
      <c r="V89" s="69"/>
    </row>
    <row r="90" spans="1:22" x14ac:dyDescent="0.3">
      <c r="A90" s="61" t="s">
        <v>316</v>
      </c>
      <c r="B90" s="62" t="s">
        <v>317</v>
      </c>
      <c r="C90" s="62" t="s">
        <v>318</v>
      </c>
      <c r="D90" s="62" t="s">
        <v>445</v>
      </c>
      <c r="E90" s="63" t="s">
        <v>374</v>
      </c>
      <c r="F90" s="62" t="s">
        <v>389</v>
      </c>
      <c r="G90" s="62" t="s">
        <v>323</v>
      </c>
      <c r="H90" s="62"/>
      <c r="I90" s="62"/>
      <c r="J90" s="62"/>
      <c r="K90" s="62" t="s">
        <v>317</v>
      </c>
      <c r="L90" s="64">
        <v>16.57</v>
      </c>
      <c r="M90" s="64"/>
      <c r="N90" s="65"/>
      <c r="O90" s="66"/>
      <c r="P90" s="62"/>
      <c r="Q90" s="67"/>
      <c r="R90" s="64"/>
      <c r="S90" s="64"/>
      <c r="T90" s="67"/>
      <c r="U90" s="68"/>
      <c r="V90" s="69"/>
    </row>
    <row r="91" spans="1:22" x14ac:dyDescent="0.3">
      <c r="A91" s="61" t="s">
        <v>316</v>
      </c>
      <c r="B91" s="62" t="s">
        <v>317</v>
      </c>
      <c r="C91" s="62" t="s">
        <v>318</v>
      </c>
      <c r="D91" s="62" t="s">
        <v>446</v>
      </c>
      <c r="E91" s="63" t="s">
        <v>383</v>
      </c>
      <c r="F91" s="62" t="s">
        <v>335</v>
      </c>
      <c r="G91" s="62" t="s">
        <v>323</v>
      </c>
      <c r="H91" s="62"/>
      <c r="I91" s="62"/>
      <c r="J91" s="62"/>
      <c r="K91" s="62" t="s">
        <v>317</v>
      </c>
      <c r="L91" s="64">
        <v>37.46</v>
      </c>
      <c r="M91" s="64"/>
      <c r="N91" s="65"/>
      <c r="O91" s="66"/>
      <c r="P91" s="62"/>
      <c r="Q91" s="67"/>
      <c r="R91" s="64"/>
      <c r="S91" s="64"/>
      <c r="T91" s="67"/>
      <c r="U91" s="68"/>
      <c r="V91" s="69"/>
    </row>
    <row r="92" spans="1:22" x14ac:dyDescent="0.3">
      <c r="A92" s="61" t="s">
        <v>316</v>
      </c>
      <c r="B92" s="62" t="s">
        <v>317</v>
      </c>
      <c r="C92" s="62" t="s">
        <v>318</v>
      </c>
      <c r="D92" s="62" t="s">
        <v>447</v>
      </c>
      <c r="E92" s="63" t="s">
        <v>369</v>
      </c>
      <c r="F92" s="62" t="s">
        <v>335</v>
      </c>
      <c r="G92" s="62" t="s">
        <v>323</v>
      </c>
      <c r="H92" s="62"/>
      <c r="I92" s="62"/>
      <c r="J92" s="62"/>
      <c r="K92" s="62" t="s">
        <v>317</v>
      </c>
      <c r="L92" s="64">
        <v>1.56</v>
      </c>
      <c r="M92" s="64"/>
      <c r="N92" s="65"/>
      <c r="O92" s="66"/>
      <c r="P92" s="62"/>
      <c r="Q92" s="67"/>
      <c r="R92" s="64"/>
      <c r="S92" s="64"/>
      <c r="T92" s="67"/>
      <c r="U92" s="68"/>
      <c r="V92" s="69"/>
    </row>
    <row r="93" spans="1:22" x14ac:dyDescent="0.3">
      <c r="A93" s="61" t="s">
        <v>316</v>
      </c>
      <c r="B93" s="62" t="s">
        <v>317</v>
      </c>
      <c r="C93" s="62" t="s">
        <v>318</v>
      </c>
      <c r="D93" s="62" t="s">
        <v>448</v>
      </c>
      <c r="E93" s="63" t="s">
        <v>352</v>
      </c>
      <c r="F93" s="62" t="s">
        <v>353</v>
      </c>
      <c r="G93" s="62" t="s">
        <v>266</v>
      </c>
      <c r="H93" s="62" t="s">
        <v>11</v>
      </c>
      <c r="I93" s="62" t="s">
        <v>210</v>
      </c>
      <c r="J93" s="63" t="s">
        <v>267</v>
      </c>
      <c r="K93" s="62" t="s">
        <v>317</v>
      </c>
      <c r="L93" s="64">
        <v>13.5</v>
      </c>
      <c r="M93" s="64">
        <f>L93*VLOOKUP(H93,dagsoorttabel1,2,FALSE)</f>
        <v>13.5</v>
      </c>
      <c r="N93" s="65">
        <f>prodnorm39</f>
        <v>0</v>
      </c>
      <c r="O93" s="66">
        <f>dagwerk39</f>
        <v>0</v>
      </c>
      <c r="P93" s="62" t="s">
        <v>40</v>
      </c>
      <c r="Q93" s="67">
        <f>uurtarief39</f>
        <v>0</v>
      </c>
      <c r="R93" s="64" t="e">
        <f>IF(ISBLANK(N93),0,M93/ROUND(N93,4))</f>
        <v>#DIV/0!</v>
      </c>
      <c r="S93" s="64" t="e">
        <f>IF(ISBLANK(N93),0,R93*ROUND(O93,2))</f>
        <v>#DIV/0!</v>
      </c>
      <c r="T93" s="67" t="e">
        <f>ROUND(Q93,2)*R93</f>
        <v>#DIV/0!</v>
      </c>
      <c r="U93" s="64" t="e">
        <f>R93*dagenperjaar1</f>
        <v>#DIV/0!</v>
      </c>
      <c r="V93" s="69" t="e">
        <f>U93*ROUND(Q93,2)</f>
        <v>#DIV/0!</v>
      </c>
    </row>
    <row r="94" spans="1:22" x14ac:dyDescent="0.3">
      <c r="A94" s="61" t="s">
        <v>316</v>
      </c>
      <c r="B94" s="62" t="s">
        <v>317</v>
      </c>
      <c r="C94" s="62" t="s">
        <v>318</v>
      </c>
      <c r="D94" s="62" t="s">
        <v>449</v>
      </c>
      <c r="E94" s="63" t="s">
        <v>391</v>
      </c>
      <c r="F94" s="62" t="s">
        <v>389</v>
      </c>
      <c r="G94" s="62" t="s">
        <v>234</v>
      </c>
      <c r="H94" s="62" t="s">
        <v>14</v>
      </c>
      <c r="I94" s="62" t="s">
        <v>210</v>
      </c>
      <c r="J94" s="63" t="s">
        <v>235</v>
      </c>
      <c r="K94" s="62" t="s">
        <v>317</v>
      </c>
      <c r="L94" s="64">
        <v>70.36</v>
      </c>
      <c r="M94" s="64">
        <f>L94*VLOOKUP(H94,dagsoorttabel1,2,FALSE)</f>
        <v>42.216000000000001</v>
      </c>
      <c r="N94" s="65">
        <f>prodnorm22</f>
        <v>0</v>
      </c>
      <c r="O94" s="66">
        <f>dagwerk22</f>
        <v>0</v>
      </c>
      <c r="P94" s="62" t="s">
        <v>40</v>
      </c>
      <c r="Q94" s="67">
        <f>uurtarief22</f>
        <v>0</v>
      </c>
      <c r="R94" s="64" t="e">
        <f>IF(ISBLANK(N94),0,M94/ROUND(N94,4))</f>
        <v>#DIV/0!</v>
      </c>
      <c r="S94" s="64" t="e">
        <f>IF(ISBLANK(N94),0,R94*ROUND(O94,2))</f>
        <v>#DIV/0!</v>
      </c>
      <c r="T94" s="67" t="e">
        <f>ROUND(Q94,2)*R94</f>
        <v>#DIV/0!</v>
      </c>
      <c r="U94" s="64" t="e">
        <f>R94*dagenperjaar1</f>
        <v>#DIV/0!</v>
      </c>
      <c r="V94" s="69" t="e">
        <f>U94*ROUND(Q94,2)</f>
        <v>#DIV/0!</v>
      </c>
    </row>
    <row r="95" spans="1:22" x14ac:dyDescent="0.3">
      <c r="A95" s="61" t="s">
        <v>316</v>
      </c>
      <c r="B95" s="62" t="s">
        <v>317</v>
      </c>
      <c r="C95" s="62" t="s">
        <v>318</v>
      </c>
      <c r="D95" s="62" t="s">
        <v>450</v>
      </c>
      <c r="E95" s="63" t="s">
        <v>383</v>
      </c>
      <c r="F95" s="62" t="s">
        <v>389</v>
      </c>
      <c r="G95" s="62" t="s">
        <v>323</v>
      </c>
      <c r="H95" s="62"/>
      <c r="I95" s="62"/>
      <c r="J95" s="62"/>
      <c r="K95" s="62" t="s">
        <v>317</v>
      </c>
      <c r="L95" s="64">
        <v>1.9700000000000002</v>
      </c>
      <c r="M95" s="64"/>
      <c r="N95" s="65"/>
      <c r="O95" s="66"/>
      <c r="P95" s="62"/>
      <c r="Q95" s="67"/>
      <c r="R95" s="64"/>
      <c r="S95" s="64"/>
      <c r="T95" s="67"/>
      <c r="U95" s="68"/>
      <c r="V95" s="69"/>
    </row>
    <row r="96" spans="1:22" x14ac:dyDescent="0.3">
      <c r="A96" s="61" t="s">
        <v>316</v>
      </c>
      <c r="B96" s="62" t="s">
        <v>317</v>
      </c>
      <c r="C96" s="62" t="s">
        <v>318</v>
      </c>
      <c r="D96" s="62" t="s">
        <v>451</v>
      </c>
      <c r="E96" s="63" t="s">
        <v>428</v>
      </c>
      <c r="F96" s="62" t="s">
        <v>389</v>
      </c>
      <c r="G96" s="62" t="s">
        <v>272</v>
      </c>
      <c r="H96" s="62" t="s">
        <v>11</v>
      </c>
      <c r="I96" s="62" t="s">
        <v>210</v>
      </c>
      <c r="J96" s="63" t="s">
        <v>273</v>
      </c>
      <c r="K96" s="62" t="s">
        <v>317</v>
      </c>
      <c r="L96" s="64">
        <v>12.07</v>
      </c>
      <c r="M96" s="64">
        <f>L96*VLOOKUP(H96,dagsoorttabel1,2,FALSE)</f>
        <v>12.07</v>
      </c>
      <c r="N96" s="65">
        <f>prodnorm42</f>
        <v>0</v>
      </c>
      <c r="O96" s="66">
        <f>dagwerk42</f>
        <v>0</v>
      </c>
      <c r="P96" s="62" t="s">
        <v>40</v>
      </c>
      <c r="Q96" s="67">
        <f>uurtarief42</f>
        <v>0</v>
      </c>
      <c r="R96" s="64" t="e">
        <f>IF(ISBLANK(N96),0,M96/ROUND(N96,4))</f>
        <v>#DIV/0!</v>
      </c>
      <c r="S96" s="64" t="e">
        <f>IF(ISBLANK(N96),0,R96*ROUND(O96,2))</f>
        <v>#DIV/0!</v>
      </c>
      <c r="T96" s="67" t="e">
        <f>ROUND(Q96,2)*R96</f>
        <v>#DIV/0!</v>
      </c>
      <c r="U96" s="64" t="e">
        <f>R96*dagenperjaar1</f>
        <v>#DIV/0!</v>
      </c>
      <c r="V96" s="69" t="e">
        <f>U96*ROUND(Q96,2)</f>
        <v>#DIV/0!</v>
      </c>
    </row>
    <row r="97" spans="1:22" x14ac:dyDescent="0.3">
      <c r="A97" s="61" t="s">
        <v>316</v>
      </c>
      <c r="B97" s="62" t="s">
        <v>317</v>
      </c>
      <c r="C97" s="62" t="s">
        <v>318</v>
      </c>
      <c r="D97" s="62" t="s">
        <v>452</v>
      </c>
      <c r="E97" s="63" t="s">
        <v>453</v>
      </c>
      <c r="F97" s="62" t="s">
        <v>335</v>
      </c>
      <c r="G97" s="62" t="s">
        <v>262</v>
      </c>
      <c r="H97" s="62" t="s">
        <v>11</v>
      </c>
      <c r="I97" s="62" t="s">
        <v>210</v>
      </c>
      <c r="J97" s="63" t="s">
        <v>263</v>
      </c>
      <c r="K97" s="62" t="s">
        <v>317</v>
      </c>
      <c r="L97" s="64">
        <v>10.84</v>
      </c>
      <c r="M97" s="64">
        <f>L97*VLOOKUP(H97,dagsoorttabel1,2,FALSE)</f>
        <v>10.84</v>
      </c>
      <c r="N97" s="65">
        <f>prodnorm37</f>
        <v>0</v>
      </c>
      <c r="O97" s="66">
        <f>dagwerk37</f>
        <v>0</v>
      </c>
      <c r="P97" s="62" t="s">
        <v>40</v>
      </c>
      <c r="Q97" s="67">
        <f>uurtarief37</f>
        <v>0</v>
      </c>
      <c r="R97" s="64" t="e">
        <f>IF(ISBLANK(N97),0,M97/ROUND(N97,4))</f>
        <v>#DIV/0!</v>
      </c>
      <c r="S97" s="64" t="e">
        <f>IF(ISBLANK(N97),0,R97*ROUND(O97,2))</f>
        <v>#DIV/0!</v>
      </c>
      <c r="T97" s="67" t="e">
        <f>ROUND(Q97,2)*R97</f>
        <v>#DIV/0!</v>
      </c>
      <c r="U97" s="64" t="e">
        <f>R97*dagenperjaar1</f>
        <v>#DIV/0!</v>
      </c>
      <c r="V97" s="69" t="e">
        <f>U97*ROUND(Q97,2)</f>
        <v>#DIV/0!</v>
      </c>
    </row>
    <row r="98" spans="1:22" x14ac:dyDescent="0.3">
      <c r="A98" s="61" t="s">
        <v>316</v>
      </c>
      <c r="B98" s="62" t="s">
        <v>317</v>
      </c>
      <c r="C98" s="62" t="s">
        <v>318</v>
      </c>
      <c r="D98" s="62" t="s">
        <v>454</v>
      </c>
      <c r="E98" s="63" t="s">
        <v>455</v>
      </c>
      <c r="F98" s="62" t="s">
        <v>335</v>
      </c>
      <c r="G98" s="62" t="s">
        <v>250</v>
      </c>
      <c r="H98" s="62" t="s">
        <v>11</v>
      </c>
      <c r="I98" s="62" t="s">
        <v>210</v>
      </c>
      <c r="J98" s="63" t="s">
        <v>251</v>
      </c>
      <c r="K98" s="62" t="s">
        <v>317</v>
      </c>
      <c r="L98" s="64">
        <v>162.26</v>
      </c>
      <c r="M98" s="64">
        <f>L98*VLOOKUP(H98,dagsoorttabel1,2,FALSE)</f>
        <v>162.26</v>
      </c>
      <c r="N98" s="65">
        <f>prodnorm31</f>
        <v>0</v>
      </c>
      <c r="O98" s="66">
        <f>dagwerk31</f>
        <v>0</v>
      </c>
      <c r="P98" s="62" t="s">
        <v>40</v>
      </c>
      <c r="Q98" s="67">
        <f>uurtarief31</f>
        <v>0</v>
      </c>
      <c r="R98" s="64" t="e">
        <f>IF(ISBLANK(N98),0,M98/ROUND(N98,4))</f>
        <v>#DIV/0!</v>
      </c>
      <c r="S98" s="64" t="e">
        <f>IF(ISBLANK(N98),0,R98*ROUND(O98,2))</f>
        <v>#DIV/0!</v>
      </c>
      <c r="T98" s="67" t="e">
        <f>ROUND(Q98,2)*R98</f>
        <v>#DIV/0!</v>
      </c>
      <c r="U98" s="64" t="e">
        <f>R98*dagenperjaar1</f>
        <v>#DIV/0!</v>
      </c>
      <c r="V98" s="69" t="e">
        <f>U98*ROUND(Q98,2)</f>
        <v>#DIV/0!</v>
      </c>
    </row>
    <row r="99" spans="1:22" x14ac:dyDescent="0.3">
      <c r="A99" s="61" t="s">
        <v>316</v>
      </c>
      <c r="B99" s="62" t="s">
        <v>317</v>
      </c>
      <c r="C99" s="62" t="s">
        <v>318</v>
      </c>
      <c r="D99" s="62" t="s">
        <v>456</v>
      </c>
      <c r="E99" s="63" t="s">
        <v>321</v>
      </c>
      <c r="F99" s="62" t="s">
        <v>389</v>
      </c>
      <c r="G99" s="62" t="s">
        <v>323</v>
      </c>
      <c r="H99" s="62"/>
      <c r="I99" s="62"/>
      <c r="J99" s="62"/>
      <c r="K99" s="62" t="s">
        <v>317</v>
      </c>
      <c r="L99" s="64">
        <v>4.6899999999999995</v>
      </c>
      <c r="M99" s="64"/>
      <c r="N99" s="65"/>
      <c r="O99" s="66"/>
      <c r="P99" s="62"/>
      <c r="Q99" s="67"/>
      <c r="R99" s="64"/>
      <c r="S99" s="64"/>
      <c r="T99" s="67"/>
      <c r="U99" s="68"/>
      <c r="V99" s="69"/>
    </row>
    <row r="100" spans="1:22" x14ac:dyDescent="0.3">
      <c r="A100" s="61" t="s">
        <v>316</v>
      </c>
      <c r="B100" s="62" t="s">
        <v>317</v>
      </c>
      <c r="C100" s="62" t="s">
        <v>318</v>
      </c>
      <c r="D100" s="62" t="s">
        <v>457</v>
      </c>
      <c r="E100" s="63" t="s">
        <v>400</v>
      </c>
      <c r="F100" s="62" t="s">
        <v>348</v>
      </c>
      <c r="G100" s="62" t="s">
        <v>216</v>
      </c>
      <c r="H100" s="62" t="s">
        <v>14</v>
      </c>
      <c r="I100" s="62" t="s">
        <v>210</v>
      </c>
      <c r="J100" s="63" t="s">
        <v>217</v>
      </c>
      <c r="K100" s="62" t="s">
        <v>317</v>
      </c>
      <c r="L100" s="64">
        <v>12.51</v>
      </c>
      <c r="M100" s="64">
        <f>L100*VLOOKUP(H100,dagsoorttabel1,2,FALSE)</f>
        <v>7.5059999999999993</v>
      </c>
      <c r="N100" s="65">
        <f>prodnorm13</f>
        <v>0</v>
      </c>
      <c r="O100" s="66">
        <f>dagwerk13</f>
        <v>0</v>
      </c>
      <c r="P100" s="62" t="s">
        <v>40</v>
      </c>
      <c r="Q100" s="67">
        <f>uurtarief13</f>
        <v>0</v>
      </c>
      <c r="R100" s="64" t="e">
        <f>IF(ISBLANK(N100),0,M100/ROUND(N100,4))</f>
        <v>#DIV/0!</v>
      </c>
      <c r="S100" s="64" t="e">
        <f>IF(ISBLANK(N100),0,R100*ROUND(O100,2))</f>
        <v>#DIV/0!</v>
      </c>
      <c r="T100" s="67" t="e">
        <f>ROUND(Q100,2)*R100</f>
        <v>#DIV/0!</v>
      </c>
      <c r="U100" s="64" t="e">
        <f>R100*dagenperjaar1</f>
        <v>#DIV/0!</v>
      </c>
      <c r="V100" s="69" t="e">
        <f>U100*ROUND(Q100,2)</f>
        <v>#DIV/0!</v>
      </c>
    </row>
    <row r="101" spans="1:22" x14ac:dyDescent="0.3">
      <c r="A101" s="61" t="s">
        <v>316</v>
      </c>
      <c r="B101" s="62" t="s">
        <v>317</v>
      </c>
      <c r="C101" s="62" t="s">
        <v>318</v>
      </c>
      <c r="D101" s="62" t="s">
        <v>458</v>
      </c>
      <c r="E101" s="63" t="s">
        <v>400</v>
      </c>
      <c r="F101" s="62" t="s">
        <v>348</v>
      </c>
      <c r="G101" s="62" t="s">
        <v>216</v>
      </c>
      <c r="H101" s="62" t="s">
        <v>14</v>
      </c>
      <c r="I101" s="62" t="s">
        <v>210</v>
      </c>
      <c r="J101" s="63" t="s">
        <v>217</v>
      </c>
      <c r="K101" s="62" t="s">
        <v>317</v>
      </c>
      <c r="L101" s="64">
        <v>11.75</v>
      </c>
      <c r="M101" s="64">
        <f>L101*VLOOKUP(H101,dagsoorttabel1,2,FALSE)</f>
        <v>7.05</v>
      </c>
      <c r="N101" s="65">
        <f>prodnorm13</f>
        <v>0</v>
      </c>
      <c r="O101" s="66">
        <f>dagwerk13</f>
        <v>0</v>
      </c>
      <c r="P101" s="62" t="s">
        <v>40</v>
      </c>
      <c r="Q101" s="67">
        <f>uurtarief13</f>
        <v>0</v>
      </c>
      <c r="R101" s="64" t="e">
        <f>IF(ISBLANK(N101),0,M101/ROUND(N101,4))</f>
        <v>#DIV/0!</v>
      </c>
      <c r="S101" s="64" t="e">
        <f>IF(ISBLANK(N101),0,R101*ROUND(O101,2))</f>
        <v>#DIV/0!</v>
      </c>
      <c r="T101" s="67" t="e">
        <f>ROUND(Q101,2)*R101</f>
        <v>#DIV/0!</v>
      </c>
      <c r="U101" s="64" t="e">
        <f>R101*dagenperjaar1</f>
        <v>#DIV/0!</v>
      </c>
      <c r="V101" s="69" t="e">
        <f>U101*ROUND(Q101,2)</f>
        <v>#DIV/0!</v>
      </c>
    </row>
    <row r="102" spans="1:22" x14ac:dyDescent="0.3">
      <c r="A102" s="61" t="s">
        <v>316</v>
      </c>
      <c r="B102" s="62" t="s">
        <v>317</v>
      </c>
      <c r="C102" s="62" t="s">
        <v>318</v>
      </c>
      <c r="D102" s="62" t="s">
        <v>459</v>
      </c>
      <c r="E102" s="63" t="s">
        <v>391</v>
      </c>
      <c r="F102" s="62" t="s">
        <v>389</v>
      </c>
      <c r="G102" s="62" t="s">
        <v>234</v>
      </c>
      <c r="H102" s="62" t="s">
        <v>14</v>
      </c>
      <c r="I102" s="62" t="s">
        <v>210</v>
      </c>
      <c r="J102" s="63" t="s">
        <v>235</v>
      </c>
      <c r="K102" s="62" t="s">
        <v>317</v>
      </c>
      <c r="L102" s="64">
        <v>74.36</v>
      </c>
      <c r="M102" s="64">
        <f>L102*VLOOKUP(H102,dagsoorttabel1,2,FALSE)</f>
        <v>44.616</v>
      </c>
      <c r="N102" s="65">
        <f>prodnorm22</f>
        <v>0</v>
      </c>
      <c r="O102" s="66">
        <f>dagwerk22</f>
        <v>0</v>
      </c>
      <c r="P102" s="62" t="s">
        <v>40</v>
      </c>
      <c r="Q102" s="67">
        <f>uurtarief22</f>
        <v>0</v>
      </c>
      <c r="R102" s="64" t="e">
        <f>IF(ISBLANK(N102),0,M102/ROUND(N102,4))</f>
        <v>#DIV/0!</v>
      </c>
      <c r="S102" s="64" t="e">
        <f>IF(ISBLANK(N102),0,R102*ROUND(O102,2))</f>
        <v>#DIV/0!</v>
      </c>
      <c r="T102" s="67" t="e">
        <f>ROUND(Q102,2)*R102</f>
        <v>#DIV/0!</v>
      </c>
      <c r="U102" s="64" t="e">
        <f>R102*dagenperjaar1</f>
        <v>#DIV/0!</v>
      </c>
      <c r="V102" s="69" t="e">
        <f>U102*ROUND(Q102,2)</f>
        <v>#DIV/0!</v>
      </c>
    </row>
    <row r="103" spans="1:22" x14ac:dyDescent="0.3">
      <c r="A103" s="61" t="s">
        <v>316</v>
      </c>
      <c r="B103" s="62" t="s">
        <v>317</v>
      </c>
      <c r="C103" s="62" t="s">
        <v>318</v>
      </c>
      <c r="D103" s="62" t="s">
        <v>460</v>
      </c>
      <c r="E103" s="63" t="s">
        <v>391</v>
      </c>
      <c r="F103" s="62" t="s">
        <v>389</v>
      </c>
      <c r="G103" s="62" t="s">
        <v>234</v>
      </c>
      <c r="H103" s="62" t="s">
        <v>14</v>
      </c>
      <c r="I103" s="62" t="s">
        <v>210</v>
      </c>
      <c r="J103" s="63" t="s">
        <v>235</v>
      </c>
      <c r="K103" s="62" t="s">
        <v>317</v>
      </c>
      <c r="L103" s="64">
        <v>87.08</v>
      </c>
      <c r="M103" s="64">
        <f>L103*VLOOKUP(H103,dagsoorttabel1,2,FALSE)</f>
        <v>52.247999999999998</v>
      </c>
      <c r="N103" s="65">
        <f>prodnorm22</f>
        <v>0</v>
      </c>
      <c r="O103" s="66">
        <f>dagwerk22</f>
        <v>0</v>
      </c>
      <c r="P103" s="62" t="s">
        <v>40</v>
      </c>
      <c r="Q103" s="67">
        <f>uurtarief22</f>
        <v>0</v>
      </c>
      <c r="R103" s="64" t="e">
        <f>IF(ISBLANK(N103),0,M103/ROUND(N103,4))</f>
        <v>#DIV/0!</v>
      </c>
      <c r="S103" s="64" t="e">
        <f>IF(ISBLANK(N103),0,R103*ROUND(O103,2))</f>
        <v>#DIV/0!</v>
      </c>
      <c r="T103" s="67" t="e">
        <f>ROUND(Q103,2)*R103</f>
        <v>#DIV/0!</v>
      </c>
      <c r="U103" s="64" t="e">
        <f>R103*dagenperjaar1</f>
        <v>#DIV/0!</v>
      </c>
      <c r="V103" s="69" t="e">
        <f>U103*ROUND(Q103,2)</f>
        <v>#DIV/0!</v>
      </c>
    </row>
    <row r="104" spans="1:22" x14ac:dyDescent="0.3">
      <c r="A104" s="61" t="s">
        <v>316</v>
      </c>
      <c r="B104" s="62" t="s">
        <v>317</v>
      </c>
      <c r="C104" s="62" t="s">
        <v>318</v>
      </c>
      <c r="D104" s="62" t="s">
        <v>461</v>
      </c>
      <c r="E104" s="63" t="s">
        <v>462</v>
      </c>
      <c r="F104" s="62" t="s">
        <v>389</v>
      </c>
      <c r="G104" s="62" t="s">
        <v>323</v>
      </c>
      <c r="H104" s="62"/>
      <c r="I104" s="62"/>
      <c r="J104" s="62"/>
      <c r="K104" s="62" t="s">
        <v>317</v>
      </c>
      <c r="L104" s="64">
        <v>7.63</v>
      </c>
      <c r="M104" s="64"/>
      <c r="N104" s="65"/>
      <c r="O104" s="66"/>
      <c r="P104" s="62"/>
      <c r="Q104" s="67"/>
      <c r="R104" s="64"/>
      <c r="S104" s="64"/>
      <c r="T104" s="67"/>
      <c r="U104" s="68"/>
      <c r="V104" s="69"/>
    </row>
    <row r="105" spans="1:22" x14ac:dyDescent="0.3">
      <c r="A105" s="61" t="s">
        <v>316</v>
      </c>
      <c r="B105" s="62" t="s">
        <v>317</v>
      </c>
      <c r="C105" s="62" t="s">
        <v>318</v>
      </c>
      <c r="D105" s="62" t="s">
        <v>463</v>
      </c>
      <c r="E105" s="63" t="s">
        <v>321</v>
      </c>
      <c r="F105" s="62" t="s">
        <v>389</v>
      </c>
      <c r="G105" s="62" t="s">
        <v>323</v>
      </c>
      <c r="H105" s="62"/>
      <c r="I105" s="62"/>
      <c r="J105" s="62"/>
      <c r="K105" s="62" t="s">
        <v>317</v>
      </c>
      <c r="L105" s="64">
        <v>6.79</v>
      </c>
      <c r="M105" s="64"/>
      <c r="N105" s="65"/>
      <c r="O105" s="66"/>
      <c r="P105" s="62"/>
      <c r="Q105" s="67"/>
      <c r="R105" s="64"/>
      <c r="S105" s="64"/>
      <c r="T105" s="67"/>
      <c r="U105" s="68"/>
      <c r="V105" s="69"/>
    </row>
    <row r="106" spans="1:22" x14ac:dyDescent="0.3">
      <c r="A106" s="61" t="s">
        <v>316</v>
      </c>
      <c r="B106" s="62" t="s">
        <v>317</v>
      </c>
      <c r="C106" s="62" t="s">
        <v>318</v>
      </c>
      <c r="D106" s="62" t="s">
        <v>464</v>
      </c>
      <c r="E106" s="63" t="s">
        <v>465</v>
      </c>
      <c r="F106" s="62" t="s">
        <v>322</v>
      </c>
      <c r="G106" s="62" t="s">
        <v>323</v>
      </c>
      <c r="H106" s="62"/>
      <c r="I106" s="62"/>
      <c r="J106" s="62"/>
      <c r="K106" s="62" t="s">
        <v>317</v>
      </c>
      <c r="L106" s="64">
        <v>7.3199999999999994</v>
      </c>
      <c r="M106" s="64"/>
      <c r="N106" s="65"/>
      <c r="O106" s="66"/>
      <c r="P106" s="62"/>
      <c r="Q106" s="67"/>
      <c r="R106" s="64"/>
      <c r="S106" s="64"/>
      <c r="T106" s="67"/>
      <c r="U106" s="68"/>
      <c r="V106" s="69"/>
    </row>
    <row r="107" spans="1:22" x14ac:dyDescent="0.3">
      <c r="A107" s="61" t="s">
        <v>316</v>
      </c>
      <c r="B107" s="62" t="s">
        <v>317</v>
      </c>
      <c r="C107" s="62" t="s">
        <v>318</v>
      </c>
      <c r="D107" s="62" t="s">
        <v>466</v>
      </c>
      <c r="E107" s="63" t="s">
        <v>467</v>
      </c>
      <c r="F107" s="62" t="s">
        <v>322</v>
      </c>
      <c r="G107" s="62" t="s">
        <v>323</v>
      </c>
      <c r="H107" s="62"/>
      <c r="I107" s="62"/>
      <c r="J107" s="62"/>
      <c r="K107" s="62" t="s">
        <v>317</v>
      </c>
      <c r="L107" s="64">
        <v>6.87</v>
      </c>
      <c r="M107" s="64"/>
      <c r="N107" s="65"/>
      <c r="O107" s="66"/>
      <c r="P107" s="62"/>
      <c r="Q107" s="67"/>
      <c r="R107" s="64"/>
      <c r="S107" s="64"/>
      <c r="T107" s="67"/>
      <c r="U107" s="68"/>
      <c r="V107" s="69"/>
    </row>
    <row r="108" spans="1:22" x14ac:dyDescent="0.3">
      <c r="A108" s="61" t="s">
        <v>316</v>
      </c>
      <c r="B108" s="62" t="s">
        <v>317</v>
      </c>
      <c r="C108" s="62" t="s">
        <v>318</v>
      </c>
      <c r="D108" s="62" t="s">
        <v>468</v>
      </c>
      <c r="E108" s="63" t="s">
        <v>465</v>
      </c>
      <c r="F108" s="62" t="s">
        <v>322</v>
      </c>
      <c r="G108" s="62" t="s">
        <v>323</v>
      </c>
      <c r="H108" s="62"/>
      <c r="I108" s="62"/>
      <c r="J108" s="62"/>
      <c r="K108" s="62" t="s">
        <v>317</v>
      </c>
      <c r="L108" s="64">
        <v>9.51</v>
      </c>
      <c r="M108" s="64"/>
      <c r="N108" s="65"/>
      <c r="O108" s="66"/>
      <c r="P108" s="62"/>
      <c r="Q108" s="67"/>
      <c r="R108" s="64"/>
      <c r="S108" s="64"/>
      <c r="T108" s="67"/>
      <c r="U108" s="68"/>
      <c r="V108" s="69"/>
    </row>
    <row r="109" spans="1:22" x14ac:dyDescent="0.3">
      <c r="A109" s="61" t="s">
        <v>316</v>
      </c>
      <c r="B109" s="62" t="s">
        <v>317</v>
      </c>
      <c r="C109" s="62" t="s">
        <v>318</v>
      </c>
      <c r="D109" s="62" t="s">
        <v>469</v>
      </c>
      <c r="E109" s="63" t="s">
        <v>321</v>
      </c>
      <c r="F109" s="62" t="s">
        <v>322</v>
      </c>
      <c r="G109" s="62" t="s">
        <v>323</v>
      </c>
      <c r="H109" s="62"/>
      <c r="I109" s="62"/>
      <c r="J109" s="62"/>
      <c r="K109" s="62" t="s">
        <v>317</v>
      </c>
      <c r="L109" s="64">
        <v>11.450000000000001</v>
      </c>
      <c r="M109" s="64"/>
      <c r="N109" s="65"/>
      <c r="O109" s="66"/>
      <c r="P109" s="62"/>
      <c r="Q109" s="67"/>
      <c r="R109" s="64"/>
      <c r="S109" s="64"/>
      <c r="T109" s="67"/>
      <c r="U109" s="68"/>
      <c r="V109" s="69"/>
    </row>
    <row r="110" spans="1:22" x14ac:dyDescent="0.3">
      <c r="A110" s="61" t="s">
        <v>316</v>
      </c>
      <c r="B110" s="62" t="s">
        <v>317</v>
      </c>
      <c r="C110" s="62" t="s">
        <v>318</v>
      </c>
      <c r="D110" s="62" t="s">
        <v>470</v>
      </c>
      <c r="E110" s="63" t="s">
        <v>471</v>
      </c>
      <c r="F110" s="62" t="s">
        <v>322</v>
      </c>
      <c r="G110" s="62" t="s">
        <v>323</v>
      </c>
      <c r="H110" s="62"/>
      <c r="I110" s="62"/>
      <c r="J110" s="62"/>
      <c r="K110" s="62" t="s">
        <v>317</v>
      </c>
      <c r="L110" s="64">
        <v>7</v>
      </c>
      <c r="M110" s="64"/>
      <c r="N110" s="65"/>
      <c r="O110" s="66"/>
      <c r="P110" s="62"/>
      <c r="Q110" s="67"/>
      <c r="R110" s="64"/>
      <c r="S110" s="64"/>
      <c r="T110" s="67"/>
      <c r="U110" s="68"/>
      <c r="V110" s="69"/>
    </row>
    <row r="111" spans="1:22" x14ac:dyDescent="0.3">
      <c r="A111" s="61" t="s">
        <v>316</v>
      </c>
      <c r="B111" s="62" t="s">
        <v>317</v>
      </c>
      <c r="C111" s="62" t="s">
        <v>318</v>
      </c>
      <c r="D111" s="62" t="s">
        <v>472</v>
      </c>
      <c r="E111" s="63" t="s">
        <v>471</v>
      </c>
      <c r="F111" s="62" t="s">
        <v>322</v>
      </c>
      <c r="G111" s="62" t="s">
        <v>323</v>
      </c>
      <c r="H111" s="62"/>
      <c r="I111" s="62"/>
      <c r="J111" s="62"/>
      <c r="K111" s="62" t="s">
        <v>317</v>
      </c>
      <c r="L111" s="64">
        <v>5.37</v>
      </c>
      <c r="M111" s="64"/>
      <c r="N111" s="65"/>
      <c r="O111" s="66"/>
      <c r="P111" s="62"/>
      <c r="Q111" s="67"/>
      <c r="R111" s="64"/>
      <c r="S111" s="64"/>
      <c r="T111" s="67"/>
      <c r="U111" s="68"/>
      <c r="V111" s="69"/>
    </row>
    <row r="112" spans="1:22" x14ac:dyDescent="0.3">
      <c r="A112" s="61" t="s">
        <v>316</v>
      </c>
      <c r="B112" s="62" t="s">
        <v>317</v>
      </c>
      <c r="C112" s="62" t="s">
        <v>318</v>
      </c>
      <c r="D112" s="62" t="s">
        <v>473</v>
      </c>
      <c r="E112" s="63" t="s">
        <v>321</v>
      </c>
      <c r="F112" s="62" t="s">
        <v>322</v>
      </c>
      <c r="G112" s="62" t="s">
        <v>323</v>
      </c>
      <c r="H112" s="62"/>
      <c r="I112" s="62"/>
      <c r="J112" s="62"/>
      <c r="K112" s="62" t="s">
        <v>317</v>
      </c>
      <c r="L112" s="64">
        <v>159.98000000000002</v>
      </c>
      <c r="M112" s="64"/>
      <c r="N112" s="65"/>
      <c r="O112" s="66"/>
      <c r="P112" s="62"/>
      <c r="Q112" s="67"/>
      <c r="R112" s="64"/>
      <c r="S112" s="64"/>
      <c r="T112" s="67"/>
      <c r="U112" s="68"/>
      <c r="V112" s="69"/>
    </row>
    <row r="113" spans="1:22" x14ac:dyDescent="0.3">
      <c r="A113" s="61" t="s">
        <v>316</v>
      </c>
      <c r="B113" s="62" t="s">
        <v>317</v>
      </c>
      <c r="C113" s="62" t="s">
        <v>318</v>
      </c>
      <c r="D113" s="62" t="s">
        <v>474</v>
      </c>
      <c r="E113" s="63" t="s">
        <v>330</v>
      </c>
      <c r="F113" s="62" t="s">
        <v>389</v>
      </c>
      <c r="G113" s="62" t="s">
        <v>286</v>
      </c>
      <c r="H113" s="62" t="s">
        <v>11</v>
      </c>
      <c r="I113" s="62" t="s">
        <v>210</v>
      </c>
      <c r="J113" s="63" t="s">
        <v>287</v>
      </c>
      <c r="K113" s="62" t="s">
        <v>317</v>
      </c>
      <c r="L113" s="64">
        <v>18.110000000000003</v>
      </c>
      <c r="M113" s="64">
        <f>L113*VLOOKUP(H113,dagsoorttabel1,2,FALSE)</f>
        <v>18.110000000000003</v>
      </c>
      <c r="N113" s="65">
        <f>prodnorm49</f>
        <v>0</v>
      </c>
      <c r="O113" s="66">
        <f>dagwerk49</f>
        <v>0</v>
      </c>
      <c r="P113" s="62" t="s">
        <v>40</v>
      </c>
      <c r="Q113" s="67">
        <f>uurtarief49</f>
        <v>0</v>
      </c>
      <c r="R113" s="64" t="e">
        <f>IF(ISBLANK(N113),0,M113/ROUND(N113,4))</f>
        <v>#DIV/0!</v>
      </c>
      <c r="S113" s="64" t="e">
        <f>IF(ISBLANK(N113),0,R113*ROUND(O113,2))</f>
        <v>#DIV/0!</v>
      </c>
      <c r="T113" s="67" t="e">
        <f>ROUND(Q113,2)*R113</f>
        <v>#DIV/0!</v>
      </c>
      <c r="U113" s="64" t="e">
        <f>R113*dagenperjaar1</f>
        <v>#DIV/0!</v>
      </c>
      <c r="V113" s="69" t="e">
        <f>U113*ROUND(Q113,2)</f>
        <v>#DIV/0!</v>
      </c>
    </row>
    <row r="114" spans="1:22" x14ac:dyDescent="0.3">
      <c r="A114" s="61" t="s">
        <v>316</v>
      </c>
      <c r="B114" s="62" t="s">
        <v>317</v>
      </c>
      <c r="C114" s="62" t="s">
        <v>318</v>
      </c>
      <c r="D114" s="62" t="s">
        <v>475</v>
      </c>
      <c r="E114" s="63" t="s">
        <v>476</v>
      </c>
      <c r="F114" s="62" t="s">
        <v>322</v>
      </c>
      <c r="G114" s="62" t="s">
        <v>323</v>
      </c>
      <c r="H114" s="62"/>
      <c r="I114" s="62"/>
      <c r="J114" s="62"/>
      <c r="K114" s="62" t="s">
        <v>317</v>
      </c>
      <c r="L114" s="64">
        <v>0.77</v>
      </c>
      <c r="M114" s="64"/>
      <c r="N114" s="65"/>
      <c r="O114" s="66"/>
      <c r="P114" s="62"/>
      <c r="Q114" s="67"/>
      <c r="R114" s="64"/>
      <c r="S114" s="64"/>
      <c r="T114" s="67"/>
      <c r="U114" s="68"/>
      <c r="V114" s="69"/>
    </row>
    <row r="115" spans="1:22" x14ac:dyDescent="0.3">
      <c r="A115" s="61" t="s">
        <v>316</v>
      </c>
      <c r="B115" s="62" t="s">
        <v>317</v>
      </c>
      <c r="C115" s="62" t="s">
        <v>318</v>
      </c>
      <c r="D115" s="62" t="s">
        <v>477</v>
      </c>
      <c r="E115" s="63" t="s">
        <v>321</v>
      </c>
      <c r="F115" s="62" t="s">
        <v>322</v>
      </c>
      <c r="G115" s="62" t="s">
        <v>323</v>
      </c>
      <c r="H115" s="62"/>
      <c r="I115" s="62"/>
      <c r="J115" s="62"/>
      <c r="K115" s="62" t="s">
        <v>317</v>
      </c>
      <c r="L115" s="64">
        <v>5.98</v>
      </c>
      <c r="M115" s="64"/>
      <c r="N115" s="65"/>
      <c r="O115" s="66"/>
      <c r="P115" s="62"/>
      <c r="Q115" s="67"/>
      <c r="R115" s="64"/>
      <c r="S115" s="64"/>
      <c r="T115" s="67"/>
      <c r="U115" s="68"/>
      <c r="V115" s="69"/>
    </row>
    <row r="116" spans="1:22" x14ac:dyDescent="0.3">
      <c r="A116" s="61" t="s">
        <v>316</v>
      </c>
      <c r="B116" s="62" t="s">
        <v>317</v>
      </c>
      <c r="C116" s="62" t="s">
        <v>318</v>
      </c>
      <c r="D116" s="62" t="s">
        <v>478</v>
      </c>
      <c r="E116" s="63" t="s">
        <v>453</v>
      </c>
      <c r="F116" s="62" t="s">
        <v>335</v>
      </c>
      <c r="G116" s="62" t="s">
        <v>262</v>
      </c>
      <c r="H116" s="62" t="s">
        <v>11</v>
      </c>
      <c r="I116" s="62" t="s">
        <v>210</v>
      </c>
      <c r="J116" s="63" t="s">
        <v>263</v>
      </c>
      <c r="K116" s="62" t="s">
        <v>317</v>
      </c>
      <c r="L116" s="64">
        <v>11.639999999999999</v>
      </c>
      <c r="M116" s="64">
        <f>L116*VLOOKUP(H116,dagsoorttabel1,2,FALSE)</f>
        <v>11.639999999999999</v>
      </c>
      <c r="N116" s="65">
        <f>prodnorm37</f>
        <v>0</v>
      </c>
      <c r="O116" s="66">
        <f>dagwerk37</f>
        <v>0</v>
      </c>
      <c r="P116" s="62" t="s">
        <v>40</v>
      </c>
      <c r="Q116" s="67">
        <f>uurtarief37</f>
        <v>0</v>
      </c>
      <c r="R116" s="64" t="e">
        <f>IF(ISBLANK(N116),0,M116/ROUND(N116,4))</f>
        <v>#DIV/0!</v>
      </c>
      <c r="S116" s="64" t="e">
        <f>IF(ISBLANK(N116),0,R116*ROUND(O116,2))</f>
        <v>#DIV/0!</v>
      </c>
      <c r="T116" s="67" t="e">
        <f>ROUND(Q116,2)*R116</f>
        <v>#DIV/0!</v>
      </c>
      <c r="U116" s="64" t="e">
        <f>R116*dagenperjaar1</f>
        <v>#DIV/0!</v>
      </c>
      <c r="V116" s="69" t="e">
        <f>U116*ROUND(Q116,2)</f>
        <v>#DIV/0!</v>
      </c>
    </row>
    <row r="117" spans="1:22" x14ac:dyDescent="0.3">
      <c r="A117" s="61" t="s">
        <v>316</v>
      </c>
      <c r="B117" s="62" t="s">
        <v>317</v>
      </c>
      <c r="C117" s="62" t="s">
        <v>318</v>
      </c>
      <c r="D117" s="62" t="s">
        <v>479</v>
      </c>
      <c r="E117" s="63" t="s">
        <v>480</v>
      </c>
      <c r="F117" s="62" t="s">
        <v>335</v>
      </c>
      <c r="G117" s="62" t="s">
        <v>272</v>
      </c>
      <c r="H117" s="62" t="s">
        <v>11</v>
      </c>
      <c r="I117" s="62" t="s">
        <v>210</v>
      </c>
      <c r="J117" s="63" t="s">
        <v>273</v>
      </c>
      <c r="K117" s="62" t="s">
        <v>317</v>
      </c>
      <c r="L117" s="64">
        <v>401.07</v>
      </c>
      <c r="M117" s="64">
        <f>L117*VLOOKUP(H117,dagsoorttabel1,2,FALSE)</f>
        <v>401.07</v>
      </c>
      <c r="N117" s="65">
        <f>prodnorm42</f>
        <v>0</v>
      </c>
      <c r="O117" s="66">
        <f>dagwerk42</f>
        <v>0</v>
      </c>
      <c r="P117" s="62" t="s">
        <v>40</v>
      </c>
      <c r="Q117" s="67">
        <f>uurtarief42</f>
        <v>0</v>
      </c>
      <c r="R117" s="64" t="e">
        <f>IF(ISBLANK(N117),0,M117/ROUND(N117,4))</f>
        <v>#DIV/0!</v>
      </c>
      <c r="S117" s="64" t="e">
        <f>IF(ISBLANK(N117),0,R117*ROUND(O117,2))</f>
        <v>#DIV/0!</v>
      </c>
      <c r="T117" s="67" t="e">
        <f>ROUND(Q117,2)*R117</f>
        <v>#DIV/0!</v>
      </c>
      <c r="U117" s="64" t="e">
        <f>R117*dagenperjaar1</f>
        <v>#DIV/0!</v>
      </c>
      <c r="V117" s="69" t="e">
        <f>U117*ROUND(Q117,2)</f>
        <v>#DIV/0!</v>
      </c>
    </row>
    <row r="118" spans="1:22" x14ac:dyDescent="0.3">
      <c r="A118" s="61" t="s">
        <v>316</v>
      </c>
      <c r="B118" s="62" t="s">
        <v>317</v>
      </c>
      <c r="C118" s="62" t="s">
        <v>318</v>
      </c>
      <c r="D118" s="62" t="s">
        <v>481</v>
      </c>
      <c r="E118" s="63" t="s">
        <v>350</v>
      </c>
      <c r="F118" s="62" t="s">
        <v>348</v>
      </c>
      <c r="G118" s="62" t="s">
        <v>278</v>
      </c>
      <c r="H118" s="62" t="s">
        <v>11</v>
      </c>
      <c r="I118" s="62" t="s">
        <v>210</v>
      </c>
      <c r="J118" s="63" t="s">
        <v>279</v>
      </c>
      <c r="K118" s="62" t="s">
        <v>317</v>
      </c>
      <c r="L118" s="64">
        <v>12.75</v>
      </c>
      <c r="M118" s="64">
        <f>L118*VLOOKUP(H118,dagsoorttabel1,2,FALSE)</f>
        <v>12.75</v>
      </c>
      <c r="N118" s="65">
        <f>prodnorm45</f>
        <v>0</v>
      </c>
      <c r="O118" s="66">
        <f>dagwerk45</f>
        <v>0</v>
      </c>
      <c r="P118" s="62" t="s">
        <v>40</v>
      </c>
      <c r="Q118" s="67">
        <f>uurtarief45</f>
        <v>0</v>
      </c>
      <c r="R118" s="64" t="e">
        <f>IF(ISBLANK(N118),0,M118/ROUND(N118,4))</f>
        <v>#DIV/0!</v>
      </c>
      <c r="S118" s="64" t="e">
        <f>IF(ISBLANK(N118),0,R118*ROUND(O118,2))</f>
        <v>#DIV/0!</v>
      </c>
      <c r="T118" s="67" t="e">
        <f>ROUND(Q118,2)*R118</f>
        <v>#DIV/0!</v>
      </c>
      <c r="U118" s="64" t="e">
        <f>R118*dagenperjaar1</f>
        <v>#DIV/0!</v>
      </c>
      <c r="V118" s="69" t="e">
        <f>U118*ROUND(Q118,2)</f>
        <v>#DIV/0!</v>
      </c>
    </row>
    <row r="119" spans="1:22" x14ac:dyDescent="0.3">
      <c r="A119" s="61" t="s">
        <v>316</v>
      </c>
      <c r="B119" s="62" t="s">
        <v>317</v>
      </c>
      <c r="C119" s="62" t="s">
        <v>318</v>
      </c>
      <c r="D119" s="62" t="s">
        <v>482</v>
      </c>
      <c r="E119" s="63" t="s">
        <v>483</v>
      </c>
      <c r="F119" s="62" t="s">
        <v>335</v>
      </c>
      <c r="G119" s="62" t="s">
        <v>214</v>
      </c>
      <c r="H119" s="62" t="s">
        <v>14</v>
      </c>
      <c r="I119" s="62" t="s">
        <v>210</v>
      </c>
      <c r="J119" s="63" t="s">
        <v>215</v>
      </c>
      <c r="K119" s="62" t="s">
        <v>317</v>
      </c>
      <c r="L119" s="64">
        <v>9.2799999999999994</v>
      </c>
      <c r="M119" s="64">
        <f>L119*VLOOKUP(H119,dagsoorttabel1,2,FALSE)</f>
        <v>5.5679999999999996</v>
      </c>
      <c r="N119" s="65">
        <f>prodnorm12</f>
        <v>0</v>
      </c>
      <c r="O119" s="66">
        <f>dagwerk12</f>
        <v>0</v>
      </c>
      <c r="P119" s="62" t="s">
        <v>40</v>
      </c>
      <c r="Q119" s="67">
        <f>uurtarief12</f>
        <v>0</v>
      </c>
      <c r="R119" s="64" t="e">
        <f>IF(ISBLANK(N119),0,M119/ROUND(N119,4))</f>
        <v>#DIV/0!</v>
      </c>
      <c r="S119" s="64" t="e">
        <f>IF(ISBLANK(N119),0,R119*ROUND(O119,2))</f>
        <v>#DIV/0!</v>
      </c>
      <c r="T119" s="67" t="e">
        <f>ROUND(Q119,2)*R119</f>
        <v>#DIV/0!</v>
      </c>
      <c r="U119" s="64" t="e">
        <f>R119*dagenperjaar1</f>
        <v>#DIV/0!</v>
      </c>
      <c r="V119" s="69" t="e">
        <f>U119*ROUND(Q119,2)</f>
        <v>#DIV/0!</v>
      </c>
    </row>
    <row r="120" spans="1:22" x14ac:dyDescent="0.3">
      <c r="A120" s="61" t="s">
        <v>316</v>
      </c>
      <c r="B120" s="62" t="s">
        <v>317</v>
      </c>
      <c r="C120" s="62" t="s">
        <v>318</v>
      </c>
      <c r="D120" s="62" t="s">
        <v>484</v>
      </c>
      <c r="E120" s="63" t="s">
        <v>356</v>
      </c>
      <c r="F120" s="62" t="s">
        <v>357</v>
      </c>
      <c r="G120" s="62" t="s">
        <v>209</v>
      </c>
      <c r="H120" s="62" t="s">
        <v>17</v>
      </c>
      <c r="I120" s="62" t="s">
        <v>210</v>
      </c>
      <c r="J120" s="63" t="s">
        <v>211</v>
      </c>
      <c r="K120" s="62" t="s">
        <v>317</v>
      </c>
      <c r="L120" s="64">
        <v>25.6</v>
      </c>
      <c r="M120" s="64">
        <f>L120*VLOOKUP(H120,dagsoorttabel1,2,FALSE)</f>
        <v>5.120000000000001</v>
      </c>
      <c r="N120" s="65">
        <f>prodnorm10</f>
        <v>0</v>
      </c>
      <c r="O120" s="66">
        <f>dagwerk10</f>
        <v>0</v>
      </c>
      <c r="P120" s="62" t="s">
        <v>40</v>
      </c>
      <c r="Q120" s="67">
        <f>uurtarief10</f>
        <v>0</v>
      </c>
      <c r="R120" s="64" t="e">
        <f>IF(ISBLANK(N120),0,M120/ROUND(N120,4))</f>
        <v>#DIV/0!</v>
      </c>
      <c r="S120" s="64" t="e">
        <f>IF(ISBLANK(N120),0,R120*ROUND(O120,2))</f>
        <v>#DIV/0!</v>
      </c>
      <c r="T120" s="67" t="e">
        <f>ROUND(Q120,2)*R120</f>
        <v>#DIV/0!</v>
      </c>
      <c r="U120" s="64" t="e">
        <f>R120*dagenperjaar1</f>
        <v>#DIV/0!</v>
      </c>
      <c r="V120" s="69" t="e">
        <f>U120*ROUND(Q120,2)</f>
        <v>#DIV/0!</v>
      </c>
    </row>
    <row r="121" spans="1:22" x14ac:dyDescent="0.3">
      <c r="A121" s="61" t="s">
        <v>316</v>
      </c>
      <c r="B121" s="62" t="s">
        <v>317</v>
      </c>
      <c r="C121" s="62" t="s">
        <v>318</v>
      </c>
      <c r="D121" s="62" t="s">
        <v>485</v>
      </c>
      <c r="E121" s="63" t="s">
        <v>321</v>
      </c>
      <c r="F121" s="62" t="s">
        <v>365</v>
      </c>
      <c r="G121" s="62" t="s">
        <v>323</v>
      </c>
      <c r="H121" s="62"/>
      <c r="I121" s="62"/>
      <c r="J121" s="62"/>
      <c r="K121" s="62" t="s">
        <v>317</v>
      </c>
      <c r="L121" s="64">
        <v>18.41</v>
      </c>
      <c r="M121" s="64"/>
      <c r="N121" s="65"/>
      <c r="O121" s="66"/>
      <c r="P121" s="62"/>
      <c r="Q121" s="67"/>
      <c r="R121" s="64"/>
      <c r="S121" s="64"/>
      <c r="T121" s="67"/>
      <c r="U121" s="68"/>
      <c r="V121" s="69"/>
    </row>
    <row r="122" spans="1:22" x14ac:dyDescent="0.3">
      <c r="A122" s="61" t="s">
        <v>316</v>
      </c>
      <c r="B122" s="62" t="s">
        <v>317</v>
      </c>
      <c r="C122" s="62" t="s">
        <v>318</v>
      </c>
      <c r="D122" s="62" t="s">
        <v>486</v>
      </c>
      <c r="E122" s="63" t="s">
        <v>352</v>
      </c>
      <c r="F122" s="62" t="s">
        <v>353</v>
      </c>
      <c r="G122" s="62" t="s">
        <v>266</v>
      </c>
      <c r="H122" s="62" t="s">
        <v>11</v>
      </c>
      <c r="I122" s="62" t="s">
        <v>210</v>
      </c>
      <c r="J122" s="63" t="s">
        <v>267</v>
      </c>
      <c r="K122" s="62" t="s">
        <v>317</v>
      </c>
      <c r="L122" s="64">
        <v>8.7299999999999986</v>
      </c>
      <c r="M122" s="64">
        <f t="shared" ref="M122:M137" si="30">L122*VLOOKUP(H122,dagsoorttabel1,2,FALSE)</f>
        <v>8.7299999999999986</v>
      </c>
      <c r="N122" s="65">
        <f>prodnorm39</f>
        <v>0</v>
      </c>
      <c r="O122" s="66">
        <f>dagwerk39</f>
        <v>0</v>
      </c>
      <c r="P122" s="62" t="s">
        <v>40</v>
      </c>
      <c r="Q122" s="67">
        <f>uurtarief39</f>
        <v>0</v>
      </c>
      <c r="R122" s="64" t="e">
        <f t="shared" ref="R122:R137" si="31">IF(ISBLANK(N122),0,M122/ROUND(N122,4))</f>
        <v>#DIV/0!</v>
      </c>
      <c r="S122" s="64" t="e">
        <f t="shared" ref="S122:S137" si="32">IF(ISBLANK(N122),0,R122*ROUND(O122,2))</f>
        <v>#DIV/0!</v>
      </c>
      <c r="T122" s="67" t="e">
        <f t="shared" ref="T122:T137" si="33">ROUND(Q122,2)*R122</f>
        <v>#DIV/0!</v>
      </c>
      <c r="U122" s="64" t="e">
        <f t="shared" ref="U122:U137" si="34">R122*dagenperjaar1</f>
        <v>#DIV/0!</v>
      </c>
      <c r="V122" s="69" t="e">
        <f t="shared" ref="V122:V137" si="35">U122*ROUND(Q122,2)</f>
        <v>#DIV/0!</v>
      </c>
    </row>
    <row r="123" spans="1:22" x14ac:dyDescent="0.3">
      <c r="A123" s="61" t="s">
        <v>316</v>
      </c>
      <c r="B123" s="62" t="s">
        <v>317</v>
      </c>
      <c r="C123" s="62" t="s">
        <v>318</v>
      </c>
      <c r="D123" s="62" t="s">
        <v>486</v>
      </c>
      <c r="E123" s="63" t="s">
        <v>352</v>
      </c>
      <c r="F123" s="62" t="s">
        <v>353</v>
      </c>
      <c r="G123" s="62" t="s">
        <v>268</v>
      </c>
      <c r="H123" s="62" t="s">
        <v>11</v>
      </c>
      <c r="I123" s="62" t="s">
        <v>210</v>
      </c>
      <c r="J123" s="63" t="s">
        <v>269</v>
      </c>
      <c r="K123" s="62" t="s">
        <v>317</v>
      </c>
      <c r="L123" s="64">
        <v>8.7299999999999986</v>
      </c>
      <c r="M123" s="64">
        <f t="shared" si="30"/>
        <v>8.7299999999999986</v>
      </c>
      <c r="N123" s="65">
        <f>prodnorm40</f>
        <v>0</v>
      </c>
      <c r="O123" s="66">
        <f>dagwerk40</f>
        <v>0</v>
      </c>
      <c r="P123" s="62" t="s">
        <v>40</v>
      </c>
      <c r="Q123" s="67">
        <f>uurtarief40</f>
        <v>0</v>
      </c>
      <c r="R123" s="64" t="e">
        <f t="shared" si="31"/>
        <v>#DIV/0!</v>
      </c>
      <c r="S123" s="64" t="e">
        <f t="shared" si="32"/>
        <v>#DIV/0!</v>
      </c>
      <c r="T123" s="67" t="e">
        <f t="shared" si="33"/>
        <v>#DIV/0!</v>
      </c>
      <c r="U123" s="64" t="e">
        <f t="shared" si="34"/>
        <v>#DIV/0!</v>
      </c>
      <c r="V123" s="69" t="e">
        <f t="shared" si="35"/>
        <v>#DIV/0!</v>
      </c>
    </row>
    <row r="124" spans="1:22" x14ac:dyDescent="0.3">
      <c r="A124" s="61" t="s">
        <v>316</v>
      </c>
      <c r="B124" s="62" t="s">
        <v>317</v>
      </c>
      <c r="C124" s="62" t="s">
        <v>318</v>
      </c>
      <c r="D124" s="62" t="s">
        <v>487</v>
      </c>
      <c r="E124" s="63" t="s">
        <v>352</v>
      </c>
      <c r="F124" s="62" t="s">
        <v>353</v>
      </c>
      <c r="G124" s="62" t="s">
        <v>266</v>
      </c>
      <c r="H124" s="62" t="s">
        <v>11</v>
      </c>
      <c r="I124" s="62" t="s">
        <v>210</v>
      </c>
      <c r="J124" s="63" t="s">
        <v>267</v>
      </c>
      <c r="K124" s="62" t="s">
        <v>317</v>
      </c>
      <c r="L124" s="64">
        <v>25.779999999999998</v>
      </c>
      <c r="M124" s="64">
        <f t="shared" si="30"/>
        <v>25.779999999999998</v>
      </c>
      <c r="N124" s="65">
        <f>prodnorm39</f>
        <v>0</v>
      </c>
      <c r="O124" s="66">
        <f>dagwerk39</f>
        <v>0</v>
      </c>
      <c r="P124" s="62" t="s">
        <v>40</v>
      </c>
      <c r="Q124" s="67">
        <f>uurtarief39</f>
        <v>0</v>
      </c>
      <c r="R124" s="64" t="e">
        <f t="shared" si="31"/>
        <v>#DIV/0!</v>
      </c>
      <c r="S124" s="64" t="e">
        <f t="shared" si="32"/>
        <v>#DIV/0!</v>
      </c>
      <c r="T124" s="67" t="e">
        <f t="shared" si="33"/>
        <v>#DIV/0!</v>
      </c>
      <c r="U124" s="64" t="e">
        <f t="shared" si="34"/>
        <v>#DIV/0!</v>
      </c>
      <c r="V124" s="69" t="e">
        <f t="shared" si="35"/>
        <v>#DIV/0!</v>
      </c>
    </row>
    <row r="125" spans="1:22" x14ac:dyDescent="0.3">
      <c r="A125" s="61" t="s">
        <v>316</v>
      </c>
      <c r="B125" s="62" t="s">
        <v>317</v>
      </c>
      <c r="C125" s="62" t="s">
        <v>318</v>
      </c>
      <c r="D125" s="62" t="s">
        <v>487</v>
      </c>
      <c r="E125" s="63" t="s">
        <v>352</v>
      </c>
      <c r="F125" s="62" t="s">
        <v>353</v>
      </c>
      <c r="G125" s="62" t="s">
        <v>268</v>
      </c>
      <c r="H125" s="62" t="s">
        <v>11</v>
      </c>
      <c r="I125" s="62" t="s">
        <v>210</v>
      </c>
      <c r="J125" s="63" t="s">
        <v>269</v>
      </c>
      <c r="K125" s="62" t="s">
        <v>317</v>
      </c>
      <c r="L125" s="64">
        <v>25.779999999999998</v>
      </c>
      <c r="M125" s="64">
        <f t="shared" si="30"/>
        <v>25.779999999999998</v>
      </c>
      <c r="N125" s="65">
        <f>prodnorm40</f>
        <v>0</v>
      </c>
      <c r="O125" s="66">
        <f>dagwerk40</f>
        <v>0</v>
      </c>
      <c r="P125" s="62" t="s">
        <v>40</v>
      </c>
      <c r="Q125" s="67">
        <f>uurtarief40</f>
        <v>0</v>
      </c>
      <c r="R125" s="64" t="e">
        <f t="shared" si="31"/>
        <v>#DIV/0!</v>
      </c>
      <c r="S125" s="64" t="e">
        <f t="shared" si="32"/>
        <v>#DIV/0!</v>
      </c>
      <c r="T125" s="67" t="e">
        <f t="shared" si="33"/>
        <v>#DIV/0!</v>
      </c>
      <c r="U125" s="64" t="e">
        <f t="shared" si="34"/>
        <v>#DIV/0!</v>
      </c>
      <c r="V125" s="69" t="e">
        <f t="shared" si="35"/>
        <v>#DIV/0!</v>
      </c>
    </row>
    <row r="126" spans="1:22" x14ac:dyDescent="0.3">
      <c r="A126" s="61" t="s">
        <v>316</v>
      </c>
      <c r="B126" s="62" t="s">
        <v>317</v>
      </c>
      <c r="C126" s="62" t="s">
        <v>318</v>
      </c>
      <c r="D126" s="62" t="s">
        <v>488</v>
      </c>
      <c r="E126" s="63" t="s">
        <v>400</v>
      </c>
      <c r="F126" s="62" t="s">
        <v>389</v>
      </c>
      <c r="G126" s="62" t="s">
        <v>214</v>
      </c>
      <c r="H126" s="62" t="s">
        <v>14</v>
      </c>
      <c r="I126" s="62" t="s">
        <v>210</v>
      </c>
      <c r="J126" s="63" t="s">
        <v>215</v>
      </c>
      <c r="K126" s="62" t="s">
        <v>317</v>
      </c>
      <c r="L126" s="64">
        <v>11.46</v>
      </c>
      <c r="M126" s="64">
        <f t="shared" si="30"/>
        <v>6.8760000000000003</v>
      </c>
      <c r="N126" s="65">
        <f>prodnorm12</f>
        <v>0</v>
      </c>
      <c r="O126" s="66">
        <f>dagwerk12</f>
        <v>0</v>
      </c>
      <c r="P126" s="62" t="s">
        <v>40</v>
      </c>
      <c r="Q126" s="67">
        <f>uurtarief12</f>
        <v>0</v>
      </c>
      <c r="R126" s="64" t="e">
        <f t="shared" si="31"/>
        <v>#DIV/0!</v>
      </c>
      <c r="S126" s="64" t="e">
        <f t="shared" si="32"/>
        <v>#DIV/0!</v>
      </c>
      <c r="T126" s="67" t="e">
        <f t="shared" si="33"/>
        <v>#DIV/0!</v>
      </c>
      <c r="U126" s="64" t="e">
        <f t="shared" si="34"/>
        <v>#DIV/0!</v>
      </c>
      <c r="V126" s="69" t="e">
        <f t="shared" si="35"/>
        <v>#DIV/0!</v>
      </c>
    </row>
    <row r="127" spans="1:22" x14ac:dyDescent="0.3">
      <c r="A127" s="61" t="s">
        <v>316</v>
      </c>
      <c r="B127" s="62" t="s">
        <v>317</v>
      </c>
      <c r="C127" s="62" t="s">
        <v>318</v>
      </c>
      <c r="D127" s="62" t="s">
        <v>489</v>
      </c>
      <c r="E127" s="63" t="s">
        <v>400</v>
      </c>
      <c r="F127" s="62" t="s">
        <v>389</v>
      </c>
      <c r="G127" s="62" t="s">
        <v>214</v>
      </c>
      <c r="H127" s="62" t="s">
        <v>14</v>
      </c>
      <c r="I127" s="62" t="s">
        <v>210</v>
      </c>
      <c r="J127" s="63" t="s">
        <v>215</v>
      </c>
      <c r="K127" s="62" t="s">
        <v>317</v>
      </c>
      <c r="L127" s="64">
        <v>12.58</v>
      </c>
      <c r="M127" s="64">
        <f t="shared" si="30"/>
        <v>7.548</v>
      </c>
      <c r="N127" s="65">
        <f>prodnorm12</f>
        <v>0</v>
      </c>
      <c r="O127" s="66">
        <f>dagwerk12</f>
        <v>0</v>
      </c>
      <c r="P127" s="62" t="s">
        <v>40</v>
      </c>
      <c r="Q127" s="67">
        <f>uurtarief12</f>
        <v>0</v>
      </c>
      <c r="R127" s="64" t="e">
        <f t="shared" si="31"/>
        <v>#DIV/0!</v>
      </c>
      <c r="S127" s="64" t="e">
        <f t="shared" si="32"/>
        <v>#DIV/0!</v>
      </c>
      <c r="T127" s="67" t="e">
        <f t="shared" si="33"/>
        <v>#DIV/0!</v>
      </c>
      <c r="U127" s="64" t="e">
        <f t="shared" si="34"/>
        <v>#DIV/0!</v>
      </c>
      <c r="V127" s="69" t="e">
        <f t="shared" si="35"/>
        <v>#DIV/0!</v>
      </c>
    </row>
    <row r="128" spans="1:22" x14ac:dyDescent="0.3">
      <c r="A128" s="61" t="s">
        <v>316</v>
      </c>
      <c r="B128" s="62" t="s">
        <v>317</v>
      </c>
      <c r="C128" s="62" t="s">
        <v>318</v>
      </c>
      <c r="D128" s="62" t="s">
        <v>490</v>
      </c>
      <c r="E128" s="63" t="s">
        <v>391</v>
      </c>
      <c r="F128" s="62" t="s">
        <v>389</v>
      </c>
      <c r="G128" s="62" t="s">
        <v>234</v>
      </c>
      <c r="H128" s="62" t="s">
        <v>14</v>
      </c>
      <c r="I128" s="62" t="s">
        <v>210</v>
      </c>
      <c r="J128" s="63" t="s">
        <v>235</v>
      </c>
      <c r="K128" s="62" t="s">
        <v>317</v>
      </c>
      <c r="L128" s="64">
        <v>101.13</v>
      </c>
      <c r="M128" s="64">
        <f t="shared" si="30"/>
        <v>60.677999999999997</v>
      </c>
      <c r="N128" s="65">
        <f>prodnorm22</f>
        <v>0</v>
      </c>
      <c r="O128" s="66">
        <f>dagwerk22</f>
        <v>0</v>
      </c>
      <c r="P128" s="62" t="s">
        <v>40</v>
      </c>
      <c r="Q128" s="67">
        <f>uurtarief22</f>
        <v>0</v>
      </c>
      <c r="R128" s="64" t="e">
        <f t="shared" si="31"/>
        <v>#DIV/0!</v>
      </c>
      <c r="S128" s="64" t="e">
        <f t="shared" si="32"/>
        <v>#DIV/0!</v>
      </c>
      <c r="T128" s="67" t="e">
        <f t="shared" si="33"/>
        <v>#DIV/0!</v>
      </c>
      <c r="U128" s="64" t="e">
        <f t="shared" si="34"/>
        <v>#DIV/0!</v>
      </c>
      <c r="V128" s="69" t="e">
        <f t="shared" si="35"/>
        <v>#DIV/0!</v>
      </c>
    </row>
    <row r="129" spans="1:22" x14ac:dyDescent="0.3">
      <c r="A129" s="61" t="s">
        <v>316</v>
      </c>
      <c r="B129" s="62" t="s">
        <v>317</v>
      </c>
      <c r="C129" s="62" t="s">
        <v>318</v>
      </c>
      <c r="D129" s="62" t="s">
        <v>491</v>
      </c>
      <c r="E129" s="63" t="s">
        <v>492</v>
      </c>
      <c r="F129" s="62" t="s">
        <v>389</v>
      </c>
      <c r="G129" s="62" t="s">
        <v>238</v>
      </c>
      <c r="H129" s="62" t="s">
        <v>11</v>
      </c>
      <c r="I129" s="62" t="s">
        <v>210</v>
      </c>
      <c r="J129" s="63" t="s">
        <v>239</v>
      </c>
      <c r="K129" s="62" t="s">
        <v>317</v>
      </c>
      <c r="L129" s="64">
        <v>74.940000000000012</v>
      </c>
      <c r="M129" s="64">
        <f t="shared" si="30"/>
        <v>74.940000000000012</v>
      </c>
      <c r="N129" s="65">
        <f>prodnorm24</f>
        <v>0</v>
      </c>
      <c r="O129" s="66">
        <f>dagwerk24</f>
        <v>0</v>
      </c>
      <c r="P129" s="62" t="s">
        <v>40</v>
      </c>
      <c r="Q129" s="67">
        <f>uurtarief24</f>
        <v>0</v>
      </c>
      <c r="R129" s="64" t="e">
        <f t="shared" si="31"/>
        <v>#DIV/0!</v>
      </c>
      <c r="S129" s="64" t="e">
        <f t="shared" si="32"/>
        <v>#DIV/0!</v>
      </c>
      <c r="T129" s="67" t="e">
        <f t="shared" si="33"/>
        <v>#DIV/0!</v>
      </c>
      <c r="U129" s="64" t="e">
        <f t="shared" si="34"/>
        <v>#DIV/0!</v>
      </c>
      <c r="V129" s="69" t="e">
        <f t="shared" si="35"/>
        <v>#DIV/0!</v>
      </c>
    </row>
    <row r="130" spans="1:22" x14ac:dyDescent="0.3">
      <c r="A130" s="61" t="s">
        <v>316</v>
      </c>
      <c r="B130" s="62" t="s">
        <v>317</v>
      </c>
      <c r="C130" s="62" t="s">
        <v>318</v>
      </c>
      <c r="D130" s="62" t="s">
        <v>493</v>
      </c>
      <c r="E130" s="63" t="s">
        <v>400</v>
      </c>
      <c r="F130" s="62" t="s">
        <v>348</v>
      </c>
      <c r="G130" s="62" t="s">
        <v>216</v>
      </c>
      <c r="H130" s="62" t="s">
        <v>14</v>
      </c>
      <c r="I130" s="62" t="s">
        <v>210</v>
      </c>
      <c r="J130" s="63" t="s">
        <v>217</v>
      </c>
      <c r="K130" s="62" t="s">
        <v>317</v>
      </c>
      <c r="L130" s="64">
        <v>11.98</v>
      </c>
      <c r="M130" s="64">
        <f t="shared" si="30"/>
        <v>7.1879999999999997</v>
      </c>
      <c r="N130" s="65">
        <f>prodnorm13</f>
        <v>0</v>
      </c>
      <c r="O130" s="66">
        <f>dagwerk13</f>
        <v>0</v>
      </c>
      <c r="P130" s="62" t="s">
        <v>40</v>
      </c>
      <c r="Q130" s="67">
        <f>uurtarief13</f>
        <v>0</v>
      </c>
      <c r="R130" s="64" t="e">
        <f t="shared" si="31"/>
        <v>#DIV/0!</v>
      </c>
      <c r="S130" s="64" t="e">
        <f t="shared" si="32"/>
        <v>#DIV/0!</v>
      </c>
      <c r="T130" s="67" t="e">
        <f t="shared" si="33"/>
        <v>#DIV/0!</v>
      </c>
      <c r="U130" s="64" t="e">
        <f t="shared" si="34"/>
        <v>#DIV/0!</v>
      </c>
      <c r="V130" s="69" t="e">
        <f t="shared" si="35"/>
        <v>#DIV/0!</v>
      </c>
    </row>
    <row r="131" spans="1:22" x14ac:dyDescent="0.3">
      <c r="A131" s="61" t="s">
        <v>316</v>
      </c>
      <c r="B131" s="62" t="s">
        <v>317</v>
      </c>
      <c r="C131" s="62" t="s">
        <v>318</v>
      </c>
      <c r="D131" s="62" t="s">
        <v>494</v>
      </c>
      <c r="E131" s="63" t="s">
        <v>356</v>
      </c>
      <c r="F131" s="62" t="s">
        <v>389</v>
      </c>
      <c r="G131" s="62" t="s">
        <v>209</v>
      </c>
      <c r="H131" s="62" t="s">
        <v>17</v>
      </c>
      <c r="I131" s="62" t="s">
        <v>210</v>
      </c>
      <c r="J131" s="63" t="s">
        <v>211</v>
      </c>
      <c r="K131" s="62" t="s">
        <v>317</v>
      </c>
      <c r="L131" s="64">
        <v>24.279999999999998</v>
      </c>
      <c r="M131" s="64">
        <f t="shared" si="30"/>
        <v>4.8559999999999999</v>
      </c>
      <c r="N131" s="65">
        <f>prodnorm10</f>
        <v>0</v>
      </c>
      <c r="O131" s="66">
        <f>dagwerk10</f>
        <v>0</v>
      </c>
      <c r="P131" s="62" t="s">
        <v>40</v>
      </c>
      <c r="Q131" s="67">
        <f>uurtarief10</f>
        <v>0</v>
      </c>
      <c r="R131" s="64" t="e">
        <f t="shared" si="31"/>
        <v>#DIV/0!</v>
      </c>
      <c r="S131" s="64" t="e">
        <f t="shared" si="32"/>
        <v>#DIV/0!</v>
      </c>
      <c r="T131" s="67" t="e">
        <f t="shared" si="33"/>
        <v>#DIV/0!</v>
      </c>
      <c r="U131" s="64" t="e">
        <f t="shared" si="34"/>
        <v>#DIV/0!</v>
      </c>
      <c r="V131" s="69" t="e">
        <f t="shared" si="35"/>
        <v>#DIV/0!</v>
      </c>
    </row>
    <row r="132" spans="1:22" x14ac:dyDescent="0.3">
      <c r="A132" s="61" t="s">
        <v>316</v>
      </c>
      <c r="B132" s="62" t="s">
        <v>317</v>
      </c>
      <c r="C132" s="62" t="s">
        <v>318</v>
      </c>
      <c r="D132" s="62" t="s">
        <v>495</v>
      </c>
      <c r="E132" s="63" t="s">
        <v>391</v>
      </c>
      <c r="F132" s="62" t="s">
        <v>389</v>
      </c>
      <c r="G132" s="62" t="s">
        <v>234</v>
      </c>
      <c r="H132" s="62" t="s">
        <v>14</v>
      </c>
      <c r="I132" s="62" t="s">
        <v>210</v>
      </c>
      <c r="J132" s="63" t="s">
        <v>235</v>
      </c>
      <c r="K132" s="62" t="s">
        <v>317</v>
      </c>
      <c r="L132" s="64">
        <v>49.47</v>
      </c>
      <c r="M132" s="64">
        <f t="shared" si="30"/>
        <v>29.681999999999999</v>
      </c>
      <c r="N132" s="65">
        <f>prodnorm22</f>
        <v>0</v>
      </c>
      <c r="O132" s="66">
        <f>dagwerk22</f>
        <v>0</v>
      </c>
      <c r="P132" s="62" t="s">
        <v>40</v>
      </c>
      <c r="Q132" s="67">
        <f>uurtarief22</f>
        <v>0</v>
      </c>
      <c r="R132" s="64" t="e">
        <f t="shared" si="31"/>
        <v>#DIV/0!</v>
      </c>
      <c r="S132" s="64" t="e">
        <f t="shared" si="32"/>
        <v>#DIV/0!</v>
      </c>
      <c r="T132" s="67" t="e">
        <f t="shared" si="33"/>
        <v>#DIV/0!</v>
      </c>
      <c r="U132" s="64" t="e">
        <f t="shared" si="34"/>
        <v>#DIV/0!</v>
      </c>
      <c r="V132" s="69" t="e">
        <f t="shared" si="35"/>
        <v>#DIV/0!</v>
      </c>
    </row>
    <row r="133" spans="1:22" x14ac:dyDescent="0.3">
      <c r="A133" s="61" t="s">
        <v>316</v>
      </c>
      <c r="B133" s="62" t="s">
        <v>317</v>
      </c>
      <c r="C133" s="62" t="s">
        <v>318</v>
      </c>
      <c r="D133" s="62" t="s">
        <v>496</v>
      </c>
      <c r="E133" s="63" t="s">
        <v>356</v>
      </c>
      <c r="F133" s="62" t="s">
        <v>389</v>
      </c>
      <c r="G133" s="62" t="s">
        <v>209</v>
      </c>
      <c r="H133" s="62" t="s">
        <v>17</v>
      </c>
      <c r="I133" s="62" t="s">
        <v>210</v>
      </c>
      <c r="J133" s="63" t="s">
        <v>211</v>
      </c>
      <c r="K133" s="62" t="s">
        <v>317</v>
      </c>
      <c r="L133" s="64">
        <v>24.19</v>
      </c>
      <c r="M133" s="64">
        <f t="shared" si="30"/>
        <v>4.838000000000001</v>
      </c>
      <c r="N133" s="65">
        <f>prodnorm10</f>
        <v>0</v>
      </c>
      <c r="O133" s="66">
        <f>dagwerk10</f>
        <v>0</v>
      </c>
      <c r="P133" s="62" t="s">
        <v>40</v>
      </c>
      <c r="Q133" s="67">
        <f>uurtarief10</f>
        <v>0</v>
      </c>
      <c r="R133" s="64" t="e">
        <f t="shared" si="31"/>
        <v>#DIV/0!</v>
      </c>
      <c r="S133" s="64" t="e">
        <f t="shared" si="32"/>
        <v>#DIV/0!</v>
      </c>
      <c r="T133" s="67" t="e">
        <f t="shared" si="33"/>
        <v>#DIV/0!</v>
      </c>
      <c r="U133" s="64" t="e">
        <f t="shared" si="34"/>
        <v>#DIV/0!</v>
      </c>
      <c r="V133" s="69" t="e">
        <f t="shared" si="35"/>
        <v>#DIV/0!</v>
      </c>
    </row>
    <row r="134" spans="1:22" x14ac:dyDescent="0.3">
      <c r="A134" s="61" t="s">
        <v>316</v>
      </c>
      <c r="B134" s="62" t="s">
        <v>317</v>
      </c>
      <c r="C134" s="62" t="s">
        <v>318</v>
      </c>
      <c r="D134" s="62" t="s">
        <v>497</v>
      </c>
      <c r="E134" s="63" t="s">
        <v>391</v>
      </c>
      <c r="F134" s="62" t="s">
        <v>389</v>
      </c>
      <c r="G134" s="62" t="s">
        <v>234</v>
      </c>
      <c r="H134" s="62" t="s">
        <v>14</v>
      </c>
      <c r="I134" s="62" t="s">
        <v>210</v>
      </c>
      <c r="J134" s="63" t="s">
        <v>235</v>
      </c>
      <c r="K134" s="62" t="s">
        <v>317</v>
      </c>
      <c r="L134" s="64">
        <v>62.48</v>
      </c>
      <c r="M134" s="64">
        <f t="shared" si="30"/>
        <v>37.488</v>
      </c>
      <c r="N134" s="65">
        <f>prodnorm22</f>
        <v>0</v>
      </c>
      <c r="O134" s="66">
        <f>dagwerk22</f>
        <v>0</v>
      </c>
      <c r="P134" s="62" t="s">
        <v>40</v>
      </c>
      <c r="Q134" s="67">
        <f>uurtarief22</f>
        <v>0</v>
      </c>
      <c r="R134" s="64" t="e">
        <f t="shared" si="31"/>
        <v>#DIV/0!</v>
      </c>
      <c r="S134" s="64" t="e">
        <f t="shared" si="32"/>
        <v>#DIV/0!</v>
      </c>
      <c r="T134" s="67" t="e">
        <f t="shared" si="33"/>
        <v>#DIV/0!</v>
      </c>
      <c r="U134" s="64" t="e">
        <f t="shared" si="34"/>
        <v>#DIV/0!</v>
      </c>
      <c r="V134" s="69" t="e">
        <f t="shared" si="35"/>
        <v>#DIV/0!</v>
      </c>
    </row>
    <row r="135" spans="1:22" x14ac:dyDescent="0.3">
      <c r="A135" s="61" t="s">
        <v>316</v>
      </c>
      <c r="B135" s="62" t="s">
        <v>317</v>
      </c>
      <c r="C135" s="62" t="s">
        <v>318</v>
      </c>
      <c r="D135" s="62" t="s">
        <v>498</v>
      </c>
      <c r="E135" s="63" t="s">
        <v>391</v>
      </c>
      <c r="F135" s="62" t="s">
        <v>353</v>
      </c>
      <c r="G135" s="62" t="s">
        <v>234</v>
      </c>
      <c r="H135" s="62" t="s">
        <v>14</v>
      </c>
      <c r="I135" s="62" t="s">
        <v>210</v>
      </c>
      <c r="J135" s="63" t="s">
        <v>235</v>
      </c>
      <c r="K135" s="62" t="s">
        <v>317</v>
      </c>
      <c r="L135" s="64">
        <v>62.349999999999994</v>
      </c>
      <c r="M135" s="64">
        <f t="shared" si="30"/>
        <v>37.409999999999997</v>
      </c>
      <c r="N135" s="65">
        <f>prodnorm22</f>
        <v>0</v>
      </c>
      <c r="O135" s="66">
        <f>dagwerk22</f>
        <v>0</v>
      </c>
      <c r="P135" s="62" t="s">
        <v>40</v>
      </c>
      <c r="Q135" s="67">
        <f>uurtarief22</f>
        <v>0</v>
      </c>
      <c r="R135" s="64" t="e">
        <f t="shared" si="31"/>
        <v>#DIV/0!</v>
      </c>
      <c r="S135" s="64" t="e">
        <f t="shared" si="32"/>
        <v>#DIV/0!</v>
      </c>
      <c r="T135" s="67" t="e">
        <f t="shared" si="33"/>
        <v>#DIV/0!</v>
      </c>
      <c r="U135" s="64" t="e">
        <f t="shared" si="34"/>
        <v>#DIV/0!</v>
      </c>
      <c r="V135" s="69" t="e">
        <f t="shared" si="35"/>
        <v>#DIV/0!</v>
      </c>
    </row>
    <row r="136" spans="1:22" x14ac:dyDescent="0.3">
      <c r="A136" s="61" t="s">
        <v>316</v>
      </c>
      <c r="B136" s="62" t="s">
        <v>317</v>
      </c>
      <c r="C136" s="62" t="s">
        <v>318</v>
      </c>
      <c r="D136" s="62" t="s">
        <v>499</v>
      </c>
      <c r="E136" s="63" t="s">
        <v>391</v>
      </c>
      <c r="F136" s="62" t="s">
        <v>353</v>
      </c>
      <c r="G136" s="62" t="s">
        <v>234</v>
      </c>
      <c r="H136" s="62" t="s">
        <v>14</v>
      </c>
      <c r="I136" s="62" t="s">
        <v>210</v>
      </c>
      <c r="J136" s="63" t="s">
        <v>235</v>
      </c>
      <c r="K136" s="62" t="s">
        <v>317</v>
      </c>
      <c r="L136" s="64">
        <v>62.09</v>
      </c>
      <c r="M136" s="64">
        <f t="shared" si="30"/>
        <v>37.253999999999998</v>
      </c>
      <c r="N136" s="65">
        <f>prodnorm22</f>
        <v>0</v>
      </c>
      <c r="O136" s="66">
        <f>dagwerk22</f>
        <v>0</v>
      </c>
      <c r="P136" s="62" t="s">
        <v>40</v>
      </c>
      <c r="Q136" s="67">
        <f>uurtarief22</f>
        <v>0</v>
      </c>
      <c r="R136" s="64" t="e">
        <f t="shared" si="31"/>
        <v>#DIV/0!</v>
      </c>
      <c r="S136" s="64" t="e">
        <f t="shared" si="32"/>
        <v>#DIV/0!</v>
      </c>
      <c r="T136" s="67" t="e">
        <f t="shared" si="33"/>
        <v>#DIV/0!</v>
      </c>
      <c r="U136" s="64" t="e">
        <f t="shared" si="34"/>
        <v>#DIV/0!</v>
      </c>
      <c r="V136" s="69" t="e">
        <f t="shared" si="35"/>
        <v>#DIV/0!</v>
      </c>
    </row>
    <row r="137" spans="1:22" x14ac:dyDescent="0.3">
      <c r="A137" s="61" t="s">
        <v>316</v>
      </c>
      <c r="B137" s="62" t="s">
        <v>317</v>
      </c>
      <c r="C137" s="62" t="s">
        <v>318</v>
      </c>
      <c r="D137" s="62" t="s">
        <v>500</v>
      </c>
      <c r="E137" s="63" t="s">
        <v>356</v>
      </c>
      <c r="F137" s="62" t="s">
        <v>353</v>
      </c>
      <c r="G137" s="62" t="s">
        <v>209</v>
      </c>
      <c r="H137" s="62" t="s">
        <v>17</v>
      </c>
      <c r="I137" s="62" t="s">
        <v>210</v>
      </c>
      <c r="J137" s="63" t="s">
        <v>211</v>
      </c>
      <c r="K137" s="62" t="s">
        <v>317</v>
      </c>
      <c r="L137" s="64">
        <v>21.479999999999997</v>
      </c>
      <c r="M137" s="64">
        <f t="shared" si="30"/>
        <v>4.2959999999999994</v>
      </c>
      <c r="N137" s="65">
        <f>prodnorm10</f>
        <v>0</v>
      </c>
      <c r="O137" s="66">
        <f>dagwerk10</f>
        <v>0</v>
      </c>
      <c r="P137" s="62" t="s">
        <v>40</v>
      </c>
      <c r="Q137" s="67">
        <f>uurtarief10</f>
        <v>0</v>
      </c>
      <c r="R137" s="64" t="e">
        <f t="shared" si="31"/>
        <v>#DIV/0!</v>
      </c>
      <c r="S137" s="64" t="e">
        <f t="shared" si="32"/>
        <v>#DIV/0!</v>
      </c>
      <c r="T137" s="67" t="e">
        <f t="shared" si="33"/>
        <v>#DIV/0!</v>
      </c>
      <c r="U137" s="64" t="e">
        <f t="shared" si="34"/>
        <v>#DIV/0!</v>
      </c>
      <c r="V137" s="69" t="e">
        <f t="shared" si="35"/>
        <v>#DIV/0!</v>
      </c>
    </row>
    <row r="138" spans="1:22" x14ac:dyDescent="0.3">
      <c r="A138" s="61" t="s">
        <v>316</v>
      </c>
      <c r="B138" s="62" t="s">
        <v>317</v>
      </c>
      <c r="C138" s="62" t="s">
        <v>318</v>
      </c>
      <c r="D138" s="62" t="s">
        <v>501</v>
      </c>
      <c r="E138" s="63" t="s">
        <v>467</v>
      </c>
      <c r="F138" s="62" t="s">
        <v>322</v>
      </c>
      <c r="G138" s="62" t="s">
        <v>323</v>
      </c>
      <c r="H138" s="62"/>
      <c r="I138" s="62"/>
      <c r="J138" s="62"/>
      <c r="K138" s="62" t="s">
        <v>317</v>
      </c>
      <c r="L138" s="64">
        <v>7.34</v>
      </c>
      <c r="M138" s="64"/>
      <c r="N138" s="65"/>
      <c r="O138" s="66"/>
      <c r="P138" s="62"/>
      <c r="Q138" s="67"/>
      <c r="R138" s="64"/>
      <c r="S138" s="64"/>
      <c r="T138" s="67"/>
      <c r="U138" s="68"/>
      <c r="V138" s="69"/>
    </row>
    <row r="139" spans="1:22" x14ac:dyDescent="0.3">
      <c r="A139" s="61" t="s">
        <v>316</v>
      </c>
      <c r="B139" s="62" t="s">
        <v>317</v>
      </c>
      <c r="C139" s="62" t="s">
        <v>318</v>
      </c>
      <c r="D139" s="62" t="s">
        <v>502</v>
      </c>
      <c r="E139" s="63" t="s">
        <v>467</v>
      </c>
      <c r="F139" s="62" t="s">
        <v>322</v>
      </c>
      <c r="G139" s="62" t="s">
        <v>323</v>
      </c>
      <c r="H139" s="62"/>
      <c r="I139" s="62"/>
      <c r="J139" s="62"/>
      <c r="K139" s="62" t="s">
        <v>317</v>
      </c>
      <c r="L139" s="64">
        <v>10.88</v>
      </c>
      <c r="M139" s="64"/>
      <c r="N139" s="65"/>
      <c r="O139" s="66"/>
      <c r="P139" s="62"/>
      <c r="Q139" s="67"/>
      <c r="R139" s="64"/>
      <c r="S139" s="64"/>
      <c r="T139" s="67"/>
      <c r="U139" s="68"/>
      <c r="V139" s="69"/>
    </row>
    <row r="140" spans="1:22" ht="28.8" x14ac:dyDescent="0.3">
      <c r="A140" s="61" t="s">
        <v>316</v>
      </c>
      <c r="B140" s="62" t="s">
        <v>317</v>
      </c>
      <c r="C140" s="62" t="s">
        <v>318</v>
      </c>
      <c r="D140" s="62" t="s">
        <v>503</v>
      </c>
      <c r="E140" s="63" t="s">
        <v>504</v>
      </c>
      <c r="F140" s="62" t="s">
        <v>353</v>
      </c>
      <c r="G140" s="62" t="s">
        <v>295</v>
      </c>
      <c r="H140" s="62" t="s">
        <v>24</v>
      </c>
      <c r="I140" s="62" t="s">
        <v>289</v>
      </c>
      <c r="J140" s="63" t="s">
        <v>296</v>
      </c>
      <c r="K140" s="62" t="s">
        <v>317</v>
      </c>
      <c r="L140" s="64">
        <v>548.11</v>
      </c>
      <c r="M140" s="64">
        <f t="shared" ref="M140:M147" si="36">L140*VLOOKUP(H140,dagsoorttabel1,2,FALSE)</f>
        <v>5.2200952380952383</v>
      </c>
      <c r="N140" s="65">
        <f>prodnorm9</f>
        <v>0</v>
      </c>
      <c r="O140" s="66">
        <f>dagwerk9</f>
        <v>0</v>
      </c>
      <c r="P140" s="62" t="s">
        <v>40</v>
      </c>
      <c r="Q140" s="67">
        <f>uurtarief9</f>
        <v>0</v>
      </c>
      <c r="R140" s="64" t="e">
        <f t="shared" ref="R140:R147" si="37">IF(ISBLANK(N140),0,M140/ROUND(N140,4))</f>
        <v>#DIV/0!</v>
      </c>
      <c r="S140" s="64" t="e">
        <f t="shared" ref="S140:S147" si="38">IF(ISBLANK(N140),0,R140*ROUND(O140,2))</f>
        <v>#DIV/0!</v>
      </c>
      <c r="T140" s="67" t="e">
        <f t="shared" ref="T140:T147" si="39">ROUND(Q140,2)*R140</f>
        <v>#DIV/0!</v>
      </c>
      <c r="U140" s="64" t="e">
        <f t="shared" ref="U140:U147" si="40">R140*dagenperjaar1</f>
        <v>#DIV/0!</v>
      </c>
      <c r="V140" s="69" t="e">
        <f t="shared" ref="V140:V147" si="41">U140*ROUND(Q140,2)</f>
        <v>#DIV/0!</v>
      </c>
    </row>
    <row r="141" spans="1:22" x14ac:dyDescent="0.3">
      <c r="A141" s="61" t="s">
        <v>316</v>
      </c>
      <c r="B141" s="62" t="s">
        <v>317</v>
      </c>
      <c r="C141" s="62" t="s">
        <v>318</v>
      </c>
      <c r="D141" s="62" t="s">
        <v>503</v>
      </c>
      <c r="E141" s="63" t="s">
        <v>504</v>
      </c>
      <c r="F141" s="62" t="s">
        <v>353</v>
      </c>
      <c r="G141" s="62" t="s">
        <v>260</v>
      </c>
      <c r="H141" s="62" t="s">
        <v>11</v>
      </c>
      <c r="I141" s="62" t="s">
        <v>210</v>
      </c>
      <c r="J141" s="63" t="s">
        <v>261</v>
      </c>
      <c r="K141" s="62" t="s">
        <v>317</v>
      </c>
      <c r="L141" s="64">
        <v>548.11</v>
      </c>
      <c r="M141" s="64">
        <f t="shared" si="36"/>
        <v>548.11</v>
      </c>
      <c r="N141" s="65">
        <f>prodnorm36</f>
        <v>0</v>
      </c>
      <c r="O141" s="66">
        <f>dagwerk36</f>
        <v>0</v>
      </c>
      <c r="P141" s="62" t="s">
        <v>40</v>
      </c>
      <c r="Q141" s="67">
        <f>uurtarief36</f>
        <v>0</v>
      </c>
      <c r="R141" s="64" t="e">
        <f t="shared" si="37"/>
        <v>#DIV/0!</v>
      </c>
      <c r="S141" s="64" t="e">
        <f t="shared" si="38"/>
        <v>#DIV/0!</v>
      </c>
      <c r="T141" s="67" t="e">
        <f t="shared" si="39"/>
        <v>#DIV/0!</v>
      </c>
      <c r="U141" s="64" t="e">
        <f t="shared" si="40"/>
        <v>#DIV/0!</v>
      </c>
      <c r="V141" s="69" t="e">
        <f t="shared" si="41"/>
        <v>#DIV/0!</v>
      </c>
    </row>
    <row r="142" spans="1:22" ht="28.8" x14ac:dyDescent="0.3">
      <c r="A142" s="61" t="s">
        <v>316</v>
      </c>
      <c r="B142" s="62" t="s">
        <v>317</v>
      </c>
      <c r="C142" s="62" t="s">
        <v>318</v>
      </c>
      <c r="D142" s="62" t="s">
        <v>505</v>
      </c>
      <c r="E142" s="63" t="s">
        <v>506</v>
      </c>
      <c r="F142" s="62" t="s">
        <v>353</v>
      </c>
      <c r="G142" s="62" t="s">
        <v>295</v>
      </c>
      <c r="H142" s="62" t="s">
        <v>24</v>
      </c>
      <c r="I142" s="62" t="s">
        <v>289</v>
      </c>
      <c r="J142" s="63" t="s">
        <v>296</v>
      </c>
      <c r="K142" s="62" t="s">
        <v>317</v>
      </c>
      <c r="L142" s="64">
        <v>49.9</v>
      </c>
      <c r="M142" s="64">
        <f t="shared" si="36"/>
        <v>0.47523809523809529</v>
      </c>
      <c r="N142" s="65">
        <f>prodnorm9</f>
        <v>0</v>
      </c>
      <c r="O142" s="66">
        <f>dagwerk9</f>
        <v>0</v>
      </c>
      <c r="P142" s="62" t="s">
        <v>40</v>
      </c>
      <c r="Q142" s="67">
        <f>uurtarief9</f>
        <v>0</v>
      </c>
      <c r="R142" s="64" t="e">
        <f t="shared" si="37"/>
        <v>#DIV/0!</v>
      </c>
      <c r="S142" s="64" t="e">
        <f t="shared" si="38"/>
        <v>#DIV/0!</v>
      </c>
      <c r="T142" s="67" t="e">
        <f t="shared" si="39"/>
        <v>#DIV/0!</v>
      </c>
      <c r="U142" s="64" t="e">
        <f t="shared" si="40"/>
        <v>#DIV/0!</v>
      </c>
      <c r="V142" s="69" t="e">
        <f t="shared" si="41"/>
        <v>#DIV/0!</v>
      </c>
    </row>
    <row r="143" spans="1:22" x14ac:dyDescent="0.3">
      <c r="A143" s="61" t="s">
        <v>316</v>
      </c>
      <c r="B143" s="62" t="s">
        <v>317</v>
      </c>
      <c r="C143" s="62" t="s">
        <v>318</v>
      </c>
      <c r="D143" s="62" t="s">
        <v>505</v>
      </c>
      <c r="E143" s="63" t="s">
        <v>506</v>
      </c>
      <c r="F143" s="62" t="s">
        <v>353</v>
      </c>
      <c r="G143" s="62" t="s">
        <v>260</v>
      </c>
      <c r="H143" s="62" t="s">
        <v>11</v>
      </c>
      <c r="I143" s="62" t="s">
        <v>210</v>
      </c>
      <c r="J143" s="63" t="s">
        <v>261</v>
      </c>
      <c r="K143" s="62" t="s">
        <v>317</v>
      </c>
      <c r="L143" s="64">
        <v>49.9</v>
      </c>
      <c r="M143" s="64">
        <f t="shared" si="36"/>
        <v>49.9</v>
      </c>
      <c r="N143" s="65">
        <f>prodnorm36</f>
        <v>0</v>
      </c>
      <c r="O143" s="66">
        <f>dagwerk36</f>
        <v>0</v>
      </c>
      <c r="P143" s="62" t="s">
        <v>40</v>
      </c>
      <c r="Q143" s="67">
        <f>uurtarief36</f>
        <v>0</v>
      </c>
      <c r="R143" s="64" t="e">
        <f t="shared" si="37"/>
        <v>#DIV/0!</v>
      </c>
      <c r="S143" s="64" t="e">
        <f t="shared" si="38"/>
        <v>#DIV/0!</v>
      </c>
      <c r="T143" s="67" t="e">
        <f t="shared" si="39"/>
        <v>#DIV/0!</v>
      </c>
      <c r="U143" s="64" t="e">
        <f t="shared" si="40"/>
        <v>#DIV/0!</v>
      </c>
      <c r="V143" s="69" t="e">
        <f t="shared" si="41"/>
        <v>#DIV/0!</v>
      </c>
    </row>
    <row r="144" spans="1:22" ht="28.8" x14ac:dyDescent="0.3">
      <c r="A144" s="61" t="s">
        <v>316</v>
      </c>
      <c r="B144" s="62" t="s">
        <v>317</v>
      </c>
      <c r="C144" s="62" t="s">
        <v>318</v>
      </c>
      <c r="D144" s="62" t="s">
        <v>507</v>
      </c>
      <c r="E144" s="63" t="s">
        <v>504</v>
      </c>
      <c r="F144" s="62" t="s">
        <v>353</v>
      </c>
      <c r="G144" s="62" t="s">
        <v>295</v>
      </c>
      <c r="H144" s="62" t="s">
        <v>24</v>
      </c>
      <c r="I144" s="62" t="s">
        <v>289</v>
      </c>
      <c r="J144" s="63" t="s">
        <v>296</v>
      </c>
      <c r="K144" s="62" t="s">
        <v>317</v>
      </c>
      <c r="L144" s="64">
        <v>342.13</v>
      </c>
      <c r="M144" s="64">
        <f t="shared" si="36"/>
        <v>3.2583809523809526</v>
      </c>
      <c r="N144" s="65">
        <f>prodnorm9</f>
        <v>0</v>
      </c>
      <c r="O144" s="66">
        <f>dagwerk9</f>
        <v>0</v>
      </c>
      <c r="P144" s="62" t="s">
        <v>40</v>
      </c>
      <c r="Q144" s="67">
        <f>uurtarief9</f>
        <v>0</v>
      </c>
      <c r="R144" s="64" t="e">
        <f t="shared" si="37"/>
        <v>#DIV/0!</v>
      </c>
      <c r="S144" s="64" t="e">
        <f t="shared" si="38"/>
        <v>#DIV/0!</v>
      </c>
      <c r="T144" s="67" t="e">
        <f t="shared" si="39"/>
        <v>#DIV/0!</v>
      </c>
      <c r="U144" s="64" t="e">
        <f t="shared" si="40"/>
        <v>#DIV/0!</v>
      </c>
      <c r="V144" s="69" t="e">
        <f t="shared" si="41"/>
        <v>#DIV/0!</v>
      </c>
    </row>
    <row r="145" spans="1:22" x14ac:dyDescent="0.3">
      <c r="A145" s="61" t="s">
        <v>316</v>
      </c>
      <c r="B145" s="62" t="s">
        <v>317</v>
      </c>
      <c r="C145" s="62" t="s">
        <v>318</v>
      </c>
      <c r="D145" s="62" t="s">
        <v>507</v>
      </c>
      <c r="E145" s="63" t="s">
        <v>504</v>
      </c>
      <c r="F145" s="62" t="s">
        <v>353</v>
      </c>
      <c r="G145" s="62" t="s">
        <v>260</v>
      </c>
      <c r="H145" s="62" t="s">
        <v>11</v>
      </c>
      <c r="I145" s="62" t="s">
        <v>210</v>
      </c>
      <c r="J145" s="63" t="s">
        <v>261</v>
      </c>
      <c r="K145" s="62" t="s">
        <v>317</v>
      </c>
      <c r="L145" s="64">
        <v>342.13</v>
      </c>
      <c r="M145" s="64">
        <f t="shared" si="36"/>
        <v>342.13</v>
      </c>
      <c r="N145" s="65">
        <f>prodnorm36</f>
        <v>0</v>
      </c>
      <c r="O145" s="66">
        <f>dagwerk36</f>
        <v>0</v>
      </c>
      <c r="P145" s="62" t="s">
        <v>40</v>
      </c>
      <c r="Q145" s="67">
        <f>uurtarief36</f>
        <v>0</v>
      </c>
      <c r="R145" s="64" t="e">
        <f t="shared" si="37"/>
        <v>#DIV/0!</v>
      </c>
      <c r="S145" s="64" t="e">
        <f t="shared" si="38"/>
        <v>#DIV/0!</v>
      </c>
      <c r="T145" s="67" t="e">
        <f t="shared" si="39"/>
        <v>#DIV/0!</v>
      </c>
      <c r="U145" s="64" t="e">
        <f t="shared" si="40"/>
        <v>#DIV/0!</v>
      </c>
      <c r="V145" s="69" t="e">
        <f t="shared" si="41"/>
        <v>#DIV/0!</v>
      </c>
    </row>
    <row r="146" spans="1:22" x14ac:dyDescent="0.3">
      <c r="A146" s="61" t="s">
        <v>316</v>
      </c>
      <c r="B146" s="62" t="s">
        <v>317</v>
      </c>
      <c r="C146" s="62" t="s">
        <v>318</v>
      </c>
      <c r="D146" s="62" t="s">
        <v>508</v>
      </c>
      <c r="E146" s="63" t="s">
        <v>509</v>
      </c>
      <c r="F146" s="62" t="s">
        <v>353</v>
      </c>
      <c r="G146" s="62" t="s">
        <v>286</v>
      </c>
      <c r="H146" s="62" t="s">
        <v>11</v>
      </c>
      <c r="I146" s="62" t="s">
        <v>210</v>
      </c>
      <c r="J146" s="63" t="s">
        <v>287</v>
      </c>
      <c r="K146" s="62" t="s">
        <v>317</v>
      </c>
      <c r="L146" s="64">
        <v>10.07</v>
      </c>
      <c r="M146" s="64">
        <f t="shared" si="36"/>
        <v>10.07</v>
      </c>
      <c r="N146" s="65">
        <f>prodnorm49</f>
        <v>0</v>
      </c>
      <c r="O146" s="66">
        <f>dagwerk49</f>
        <v>0</v>
      </c>
      <c r="P146" s="62" t="s">
        <v>40</v>
      </c>
      <c r="Q146" s="67">
        <f>uurtarief49</f>
        <v>0</v>
      </c>
      <c r="R146" s="64" t="e">
        <f t="shared" si="37"/>
        <v>#DIV/0!</v>
      </c>
      <c r="S146" s="64" t="e">
        <f t="shared" si="38"/>
        <v>#DIV/0!</v>
      </c>
      <c r="T146" s="67" t="e">
        <f t="shared" si="39"/>
        <v>#DIV/0!</v>
      </c>
      <c r="U146" s="64" t="e">
        <f t="shared" si="40"/>
        <v>#DIV/0!</v>
      </c>
      <c r="V146" s="69" t="e">
        <f t="shared" si="41"/>
        <v>#DIV/0!</v>
      </c>
    </row>
    <row r="147" spans="1:22" x14ac:dyDescent="0.3">
      <c r="A147" s="61" t="s">
        <v>316</v>
      </c>
      <c r="B147" s="62" t="s">
        <v>317</v>
      </c>
      <c r="C147" s="62" t="s">
        <v>318</v>
      </c>
      <c r="D147" s="62" t="s">
        <v>510</v>
      </c>
      <c r="E147" s="63" t="s">
        <v>381</v>
      </c>
      <c r="F147" s="62" t="s">
        <v>357</v>
      </c>
      <c r="G147" s="62" t="s">
        <v>280</v>
      </c>
      <c r="H147" s="62" t="s">
        <v>11</v>
      </c>
      <c r="I147" s="62" t="s">
        <v>210</v>
      </c>
      <c r="J147" s="63" t="s">
        <v>281</v>
      </c>
      <c r="K147" s="62" t="s">
        <v>317</v>
      </c>
      <c r="L147" s="64">
        <v>1.5</v>
      </c>
      <c r="M147" s="64">
        <f t="shared" si="36"/>
        <v>1.5</v>
      </c>
      <c r="N147" s="65">
        <f>prodnorm46</f>
        <v>0</v>
      </c>
      <c r="O147" s="66">
        <f>dagwerk46</f>
        <v>0</v>
      </c>
      <c r="P147" s="62" t="s">
        <v>40</v>
      </c>
      <c r="Q147" s="67">
        <f>uurtarief46</f>
        <v>0</v>
      </c>
      <c r="R147" s="64" t="e">
        <f t="shared" si="37"/>
        <v>#DIV/0!</v>
      </c>
      <c r="S147" s="64" t="e">
        <f t="shared" si="38"/>
        <v>#DIV/0!</v>
      </c>
      <c r="T147" s="67" t="e">
        <f t="shared" si="39"/>
        <v>#DIV/0!</v>
      </c>
      <c r="U147" s="64" t="e">
        <f t="shared" si="40"/>
        <v>#DIV/0!</v>
      </c>
      <c r="V147" s="69" t="e">
        <f t="shared" si="41"/>
        <v>#DIV/0!</v>
      </c>
    </row>
    <row r="148" spans="1:22" x14ac:dyDescent="0.3">
      <c r="A148" s="61" t="s">
        <v>316</v>
      </c>
      <c r="B148" s="62" t="s">
        <v>317</v>
      </c>
      <c r="C148" s="62" t="s">
        <v>318</v>
      </c>
      <c r="D148" s="62" t="s">
        <v>511</v>
      </c>
      <c r="E148" s="63" t="s">
        <v>512</v>
      </c>
      <c r="F148" s="62" t="s">
        <v>322</v>
      </c>
      <c r="G148" s="62" t="s">
        <v>323</v>
      </c>
      <c r="H148" s="62"/>
      <c r="I148" s="62"/>
      <c r="J148" s="62"/>
      <c r="K148" s="62" t="s">
        <v>317</v>
      </c>
      <c r="L148" s="64">
        <v>159.4</v>
      </c>
      <c r="M148" s="64"/>
      <c r="N148" s="65"/>
      <c r="O148" s="66"/>
      <c r="P148" s="62"/>
      <c r="Q148" s="67"/>
      <c r="R148" s="64"/>
      <c r="S148" s="64"/>
      <c r="T148" s="67"/>
      <c r="U148" s="68"/>
      <c r="V148" s="69"/>
    </row>
    <row r="149" spans="1:22" x14ac:dyDescent="0.3">
      <c r="A149" s="61" t="s">
        <v>316</v>
      </c>
      <c r="B149" s="62" t="s">
        <v>317</v>
      </c>
      <c r="C149" s="62" t="s">
        <v>318</v>
      </c>
      <c r="D149" s="62" t="s">
        <v>513</v>
      </c>
      <c r="E149" s="63" t="s">
        <v>514</v>
      </c>
      <c r="F149" s="62" t="s">
        <v>353</v>
      </c>
      <c r="G149" s="62" t="s">
        <v>323</v>
      </c>
      <c r="H149" s="62"/>
      <c r="I149" s="62"/>
      <c r="J149" s="62"/>
      <c r="K149" s="62" t="s">
        <v>317</v>
      </c>
      <c r="L149" s="64">
        <v>16.09</v>
      </c>
      <c r="M149" s="64"/>
      <c r="N149" s="65"/>
      <c r="O149" s="66"/>
      <c r="P149" s="62"/>
      <c r="Q149" s="67"/>
      <c r="R149" s="64"/>
      <c r="S149" s="64"/>
      <c r="T149" s="67"/>
      <c r="U149" s="68"/>
      <c r="V149" s="69"/>
    </row>
    <row r="150" spans="1:22" x14ac:dyDescent="0.3">
      <c r="A150" s="61" t="s">
        <v>316</v>
      </c>
      <c r="B150" s="62" t="s">
        <v>317</v>
      </c>
      <c r="C150" s="62" t="s">
        <v>318</v>
      </c>
      <c r="D150" s="62" t="s">
        <v>515</v>
      </c>
      <c r="E150" s="63" t="s">
        <v>516</v>
      </c>
      <c r="F150" s="62" t="s">
        <v>353</v>
      </c>
      <c r="G150" s="62" t="s">
        <v>323</v>
      </c>
      <c r="H150" s="62"/>
      <c r="I150" s="62"/>
      <c r="J150" s="62"/>
      <c r="K150" s="62" t="s">
        <v>317</v>
      </c>
      <c r="L150" s="64">
        <v>21.32</v>
      </c>
      <c r="M150" s="64"/>
      <c r="N150" s="65"/>
      <c r="O150" s="66"/>
      <c r="P150" s="62"/>
      <c r="Q150" s="67"/>
      <c r="R150" s="64"/>
      <c r="S150" s="64"/>
      <c r="T150" s="67"/>
      <c r="U150" s="68"/>
      <c r="V150" s="69"/>
    </row>
    <row r="151" spans="1:22" ht="28.8" x14ac:dyDescent="0.3">
      <c r="A151" s="61" t="s">
        <v>316</v>
      </c>
      <c r="B151" s="62" t="s">
        <v>317</v>
      </c>
      <c r="C151" s="62" t="s">
        <v>318</v>
      </c>
      <c r="D151" s="62" t="s">
        <v>517</v>
      </c>
      <c r="E151" s="63" t="s">
        <v>518</v>
      </c>
      <c r="F151" s="62" t="s">
        <v>389</v>
      </c>
      <c r="G151" s="62" t="s">
        <v>295</v>
      </c>
      <c r="H151" s="62" t="s">
        <v>24</v>
      </c>
      <c r="I151" s="62" t="s">
        <v>289</v>
      </c>
      <c r="J151" s="63" t="s">
        <v>296</v>
      </c>
      <c r="K151" s="62" t="s">
        <v>317</v>
      </c>
      <c r="L151" s="64">
        <v>270.71999999999997</v>
      </c>
      <c r="M151" s="64">
        <f>L151*VLOOKUP(H151,dagsoorttabel1,2,FALSE)</f>
        <v>2.5782857142857143</v>
      </c>
      <c r="N151" s="65">
        <f>prodnorm9</f>
        <v>0</v>
      </c>
      <c r="O151" s="66">
        <f>dagwerk9</f>
        <v>0</v>
      </c>
      <c r="P151" s="62" t="s">
        <v>40</v>
      </c>
      <c r="Q151" s="67">
        <f>uurtarief9</f>
        <v>0</v>
      </c>
      <c r="R151" s="64" t="e">
        <f>IF(ISBLANK(N151),0,M151/ROUND(N151,4))</f>
        <v>#DIV/0!</v>
      </c>
      <c r="S151" s="64" t="e">
        <f>IF(ISBLANK(N151),0,R151*ROUND(O151,2))</f>
        <v>#DIV/0!</v>
      </c>
      <c r="T151" s="67" t="e">
        <f>ROUND(Q151,2)*R151</f>
        <v>#DIV/0!</v>
      </c>
      <c r="U151" s="64" t="e">
        <f>R151*dagenperjaar1</f>
        <v>#DIV/0!</v>
      </c>
      <c r="V151" s="69" t="e">
        <f>U151*ROUND(Q151,2)</f>
        <v>#DIV/0!</v>
      </c>
    </row>
    <row r="152" spans="1:22" ht="28.8" x14ac:dyDescent="0.3">
      <c r="A152" s="61" t="s">
        <v>316</v>
      </c>
      <c r="B152" s="62" t="s">
        <v>317</v>
      </c>
      <c r="C152" s="62" t="s">
        <v>318</v>
      </c>
      <c r="D152" s="62" t="s">
        <v>517</v>
      </c>
      <c r="E152" s="63" t="s">
        <v>518</v>
      </c>
      <c r="F152" s="62" t="s">
        <v>389</v>
      </c>
      <c r="G152" s="62" t="s">
        <v>260</v>
      </c>
      <c r="H152" s="62" t="s">
        <v>11</v>
      </c>
      <c r="I152" s="62" t="s">
        <v>210</v>
      </c>
      <c r="J152" s="63" t="s">
        <v>261</v>
      </c>
      <c r="K152" s="62" t="s">
        <v>317</v>
      </c>
      <c r="L152" s="64">
        <v>270.71999999999997</v>
      </c>
      <c r="M152" s="64">
        <f>L152*VLOOKUP(H152,dagsoorttabel1,2,FALSE)</f>
        <v>270.71999999999997</v>
      </c>
      <c r="N152" s="65">
        <f>prodnorm36</f>
        <v>0</v>
      </c>
      <c r="O152" s="66">
        <f>dagwerk36</f>
        <v>0</v>
      </c>
      <c r="P152" s="62" t="s">
        <v>40</v>
      </c>
      <c r="Q152" s="67">
        <f>uurtarief36</f>
        <v>0</v>
      </c>
      <c r="R152" s="64" t="e">
        <f>IF(ISBLANK(N152),0,M152/ROUND(N152,4))</f>
        <v>#DIV/0!</v>
      </c>
      <c r="S152" s="64" t="e">
        <f>IF(ISBLANK(N152),0,R152*ROUND(O152,2))</f>
        <v>#DIV/0!</v>
      </c>
      <c r="T152" s="67" t="e">
        <f>ROUND(Q152,2)*R152</f>
        <v>#DIV/0!</v>
      </c>
      <c r="U152" s="64" t="e">
        <f>R152*dagenperjaar1</f>
        <v>#DIV/0!</v>
      </c>
      <c r="V152" s="69" t="e">
        <f>U152*ROUND(Q152,2)</f>
        <v>#DIV/0!</v>
      </c>
    </row>
    <row r="153" spans="1:22" ht="28.8" x14ac:dyDescent="0.3">
      <c r="A153" s="61" t="s">
        <v>316</v>
      </c>
      <c r="B153" s="62" t="s">
        <v>317</v>
      </c>
      <c r="C153" s="62" t="s">
        <v>318</v>
      </c>
      <c r="D153" s="62" t="s">
        <v>519</v>
      </c>
      <c r="E153" s="63" t="s">
        <v>518</v>
      </c>
      <c r="F153" s="62" t="s">
        <v>389</v>
      </c>
      <c r="G153" s="62" t="s">
        <v>295</v>
      </c>
      <c r="H153" s="62" t="s">
        <v>24</v>
      </c>
      <c r="I153" s="62" t="s">
        <v>289</v>
      </c>
      <c r="J153" s="63" t="s">
        <v>296</v>
      </c>
      <c r="K153" s="62" t="s">
        <v>317</v>
      </c>
      <c r="L153" s="64">
        <v>115.96000000000001</v>
      </c>
      <c r="M153" s="64">
        <f>L153*VLOOKUP(H153,dagsoorttabel1,2,FALSE)</f>
        <v>1.1043809523809525</v>
      </c>
      <c r="N153" s="65">
        <f>prodnorm9</f>
        <v>0</v>
      </c>
      <c r="O153" s="66">
        <f>dagwerk9</f>
        <v>0</v>
      </c>
      <c r="P153" s="62" t="s">
        <v>40</v>
      </c>
      <c r="Q153" s="67">
        <f>uurtarief9</f>
        <v>0</v>
      </c>
      <c r="R153" s="64" t="e">
        <f>IF(ISBLANK(N153),0,M153/ROUND(N153,4))</f>
        <v>#DIV/0!</v>
      </c>
      <c r="S153" s="64" t="e">
        <f>IF(ISBLANK(N153),0,R153*ROUND(O153,2))</f>
        <v>#DIV/0!</v>
      </c>
      <c r="T153" s="67" t="e">
        <f>ROUND(Q153,2)*R153</f>
        <v>#DIV/0!</v>
      </c>
      <c r="U153" s="64" t="e">
        <f>R153*dagenperjaar1</f>
        <v>#DIV/0!</v>
      </c>
      <c r="V153" s="69" t="e">
        <f>U153*ROUND(Q153,2)</f>
        <v>#DIV/0!</v>
      </c>
    </row>
    <row r="154" spans="1:22" ht="28.8" x14ac:dyDescent="0.3">
      <c r="A154" s="61" t="s">
        <v>316</v>
      </c>
      <c r="B154" s="62" t="s">
        <v>317</v>
      </c>
      <c r="C154" s="62" t="s">
        <v>318</v>
      </c>
      <c r="D154" s="62" t="s">
        <v>519</v>
      </c>
      <c r="E154" s="63" t="s">
        <v>518</v>
      </c>
      <c r="F154" s="62" t="s">
        <v>389</v>
      </c>
      <c r="G154" s="62" t="s">
        <v>260</v>
      </c>
      <c r="H154" s="62" t="s">
        <v>11</v>
      </c>
      <c r="I154" s="62" t="s">
        <v>210</v>
      </c>
      <c r="J154" s="63" t="s">
        <v>261</v>
      </c>
      <c r="K154" s="62" t="s">
        <v>317</v>
      </c>
      <c r="L154" s="64">
        <v>115.96000000000001</v>
      </c>
      <c r="M154" s="64">
        <f>L154*VLOOKUP(H154,dagsoorttabel1,2,FALSE)</f>
        <v>115.96000000000001</v>
      </c>
      <c r="N154" s="65">
        <f>prodnorm36</f>
        <v>0</v>
      </c>
      <c r="O154" s="66">
        <f>dagwerk36</f>
        <v>0</v>
      </c>
      <c r="P154" s="62" t="s">
        <v>40</v>
      </c>
      <c r="Q154" s="67">
        <f>uurtarief36</f>
        <v>0</v>
      </c>
      <c r="R154" s="64" t="e">
        <f>IF(ISBLANK(N154),0,M154/ROUND(N154,4))</f>
        <v>#DIV/0!</v>
      </c>
      <c r="S154" s="64" t="e">
        <f>IF(ISBLANK(N154),0,R154*ROUND(O154,2))</f>
        <v>#DIV/0!</v>
      </c>
      <c r="T154" s="67" t="e">
        <f>ROUND(Q154,2)*R154</f>
        <v>#DIV/0!</v>
      </c>
      <c r="U154" s="64" t="e">
        <f>R154*dagenperjaar1</f>
        <v>#DIV/0!</v>
      </c>
      <c r="V154" s="69" t="e">
        <f>U154*ROUND(Q154,2)</f>
        <v>#DIV/0!</v>
      </c>
    </row>
    <row r="155" spans="1:22" x14ac:dyDescent="0.3">
      <c r="A155" s="61" t="s">
        <v>316</v>
      </c>
      <c r="B155" s="62" t="s">
        <v>317</v>
      </c>
      <c r="C155" s="62" t="s">
        <v>318</v>
      </c>
      <c r="D155" s="62" t="s">
        <v>520</v>
      </c>
      <c r="E155" s="63" t="s">
        <v>321</v>
      </c>
      <c r="F155" s="62" t="s">
        <v>389</v>
      </c>
      <c r="G155" s="62" t="s">
        <v>323</v>
      </c>
      <c r="H155" s="62"/>
      <c r="I155" s="62"/>
      <c r="J155" s="62"/>
      <c r="K155" s="62" t="s">
        <v>317</v>
      </c>
      <c r="L155" s="64">
        <v>25.21</v>
      </c>
      <c r="M155" s="64"/>
      <c r="N155" s="65"/>
      <c r="O155" s="66"/>
      <c r="P155" s="62"/>
      <c r="Q155" s="67"/>
      <c r="R155" s="64"/>
      <c r="S155" s="64"/>
      <c r="T155" s="67"/>
      <c r="U155" s="68"/>
      <c r="V155" s="69"/>
    </row>
    <row r="156" spans="1:22" ht="28.8" x14ac:dyDescent="0.3">
      <c r="A156" s="61" t="s">
        <v>316</v>
      </c>
      <c r="B156" s="62" t="s">
        <v>317</v>
      </c>
      <c r="C156" s="62" t="s">
        <v>318</v>
      </c>
      <c r="D156" s="62" t="s">
        <v>521</v>
      </c>
      <c r="E156" s="63" t="s">
        <v>522</v>
      </c>
      <c r="F156" s="62" t="s">
        <v>322</v>
      </c>
      <c r="G156" s="62" t="s">
        <v>295</v>
      </c>
      <c r="H156" s="62" t="s">
        <v>24</v>
      </c>
      <c r="I156" s="62" t="s">
        <v>289</v>
      </c>
      <c r="J156" s="63" t="s">
        <v>296</v>
      </c>
      <c r="K156" s="62" t="s">
        <v>317</v>
      </c>
      <c r="L156" s="64">
        <v>13.09</v>
      </c>
      <c r="M156" s="64">
        <f t="shared" ref="M156:M173" si="42">L156*VLOOKUP(H156,dagsoorttabel1,2,FALSE)</f>
        <v>0.12466666666666668</v>
      </c>
      <c r="N156" s="65">
        <f>prodnorm9</f>
        <v>0</v>
      </c>
      <c r="O156" s="66">
        <f>dagwerk9</f>
        <v>0</v>
      </c>
      <c r="P156" s="62" t="s">
        <v>40</v>
      </c>
      <c r="Q156" s="67">
        <f>uurtarief9</f>
        <v>0</v>
      </c>
      <c r="R156" s="64" t="e">
        <f t="shared" ref="R156:R173" si="43">IF(ISBLANK(N156),0,M156/ROUND(N156,4))</f>
        <v>#DIV/0!</v>
      </c>
      <c r="S156" s="64" t="e">
        <f t="shared" ref="S156:S173" si="44">IF(ISBLANK(N156),0,R156*ROUND(O156,2))</f>
        <v>#DIV/0!</v>
      </c>
      <c r="T156" s="67" t="e">
        <f t="shared" ref="T156:T173" si="45">ROUND(Q156,2)*R156</f>
        <v>#DIV/0!</v>
      </c>
      <c r="U156" s="64" t="e">
        <f t="shared" ref="U156:U173" si="46">R156*dagenperjaar1</f>
        <v>#DIV/0!</v>
      </c>
      <c r="V156" s="69" t="e">
        <f t="shared" ref="V156:V173" si="47">U156*ROUND(Q156,2)</f>
        <v>#DIV/0!</v>
      </c>
    </row>
    <row r="157" spans="1:22" ht="28.8" x14ac:dyDescent="0.3">
      <c r="A157" s="61" t="s">
        <v>316</v>
      </c>
      <c r="B157" s="62" t="s">
        <v>317</v>
      </c>
      <c r="C157" s="62" t="s">
        <v>318</v>
      </c>
      <c r="D157" s="62" t="s">
        <v>521</v>
      </c>
      <c r="E157" s="63" t="s">
        <v>522</v>
      </c>
      <c r="F157" s="62" t="s">
        <v>322</v>
      </c>
      <c r="G157" s="62" t="s">
        <v>260</v>
      </c>
      <c r="H157" s="62" t="s">
        <v>11</v>
      </c>
      <c r="I157" s="62" t="s">
        <v>210</v>
      </c>
      <c r="J157" s="63" t="s">
        <v>261</v>
      </c>
      <c r="K157" s="62" t="s">
        <v>317</v>
      </c>
      <c r="L157" s="64">
        <v>13.09</v>
      </c>
      <c r="M157" s="64">
        <f t="shared" si="42"/>
        <v>13.09</v>
      </c>
      <c r="N157" s="65">
        <f>prodnorm36</f>
        <v>0</v>
      </c>
      <c r="O157" s="66">
        <f>dagwerk36</f>
        <v>0</v>
      </c>
      <c r="P157" s="62" t="s">
        <v>40</v>
      </c>
      <c r="Q157" s="67">
        <f>uurtarief36</f>
        <v>0</v>
      </c>
      <c r="R157" s="64" t="e">
        <f t="shared" si="43"/>
        <v>#DIV/0!</v>
      </c>
      <c r="S157" s="64" t="e">
        <f t="shared" si="44"/>
        <v>#DIV/0!</v>
      </c>
      <c r="T157" s="67" t="e">
        <f t="shared" si="45"/>
        <v>#DIV/0!</v>
      </c>
      <c r="U157" s="64" t="e">
        <f t="shared" si="46"/>
        <v>#DIV/0!</v>
      </c>
      <c r="V157" s="69" t="e">
        <f t="shared" si="47"/>
        <v>#DIV/0!</v>
      </c>
    </row>
    <row r="158" spans="1:22" x14ac:dyDescent="0.3">
      <c r="A158" s="61" t="s">
        <v>316</v>
      </c>
      <c r="B158" s="62" t="s">
        <v>317</v>
      </c>
      <c r="C158" s="62" t="s">
        <v>318</v>
      </c>
      <c r="D158" s="62" t="s">
        <v>523</v>
      </c>
      <c r="E158" s="63" t="s">
        <v>356</v>
      </c>
      <c r="F158" s="62" t="s">
        <v>389</v>
      </c>
      <c r="G158" s="62" t="s">
        <v>209</v>
      </c>
      <c r="H158" s="62" t="s">
        <v>17</v>
      </c>
      <c r="I158" s="62" t="s">
        <v>210</v>
      </c>
      <c r="J158" s="63" t="s">
        <v>211</v>
      </c>
      <c r="K158" s="62" t="s">
        <v>317</v>
      </c>
      <c r="L158" s="64">
        <v>24.3</v>
      </c>
      <c r="M158" s="64">
        <f t="shared" si="42"/>
        <v>4.8600000000000003</v>
      </c>
      <c r="N158" s="65">
        <f>prodnorm10</f>
        <v>0</v>
      </c>
      <c r="O158" s="66">
        <f>dagwerk10</f>
        <v>0</v>
      </c>
      <c r="P158" s="62" t="s">
        <v>40</v>
      </c>
      <c r="Q158" s="67">
        <f>uurtarief10</f>
        <v>0</v>
      </c>
      <c r="R158" s="64" t="e">
        <f t="shared" si="43"/>
        <v>#DIV/0!</v>
      </c>
      <c r="S158" s="64" t="e">
        <f t="shared" si="44"/>
        <v>#DIV/0!</v>
      </c>
      <c r="T158" s="67" t="e">
        <f t="shared" si="45"/>
        <v>#DIV/0!</v>
      </c>
      <c r="U158" s="64" t="e">
        <f t="shared" si="46"/>
        <v>#DIV/0!</v>
      </c>
      <c r="V158" s="69" t="e">
        <f t="shared" si="47"/>
        <v>#DIV/0!</v>
      </c>
    </row>
    <row r="159" spans="1:22" ht="28.8" x14ac:dyDescent="0.3">
      <c r="A159" s="61" t="s">
        <v>316</v>
      </c>
      <c r="B159" s="62" t="s">
        <v>317</v>
      </c>
      <c r="C159" s="62" t="s">
        <v>318</v>
      </c>
      <c r="D159" s="62" t="s">
        <v>524</v>
      </c>
      <c r="E159" s="63" t="s">
        <v>525</v>
      </c>
      <c r="F159" s="62" t="s">
        <v>389</v>
      </c>
      <c r="G159" s="62" t="s">
        <v>295</v>
      </c>
      <c r="H159" s="62" t="s">
        <v>24</v>
      </c>
      <c r="I159" s="62" t="s">
        <v>289</v>
      </c>
      <c r="J159" s="63" t="s">
        <v>296</v>
      </c>
      <c r="K159" s="62" t="s">
        <v>317</v>
      </c>
      <c r="L159" s="64">
        <v>73.400000000000006</v>
      </c>
      <c r="M159" s="64">
        <f t="shared" si="42"/>
        <v>0.69904761904761914</v>
      </c>
      <c r="N159" s="65">
        <f>prodnorm9</f>
        <v>0</v>
      </c>
      <c r="O159" s="66">
        <f>dagwerk9</f>
        <v>0</v>
      </c>
      <c r="P159" s="62" t="s">
        <v>40</v>
      </c>
      <c r="Q159" s="67">
        <f>uurtarief9</f>
        <v>0</v>
      </c>
      <c r="R159" s="64" t="e">
        <f t="shared" si="43"/>
        <v>#DIV/0!</v>
      </c>
      <c r="S159" s="64" t="e">
        <f t="shared" si="44"/>
        <v>#DIV/0!</v>
      </c>
      <c r="T159" s="67" t="e">
        <f t="shared" si="45"/>
        <v>#DIV/0!</v>
      </c>
      <c r="U159" s="64" t="e">
        <f t="shared" si="46"/>
        <v>#DIV/0!</v>
      </c>
      <c r="V159" s="69" t="e">
        <f t="shared" si="47"/>
        <v>#DIV/0!</v>
      </c>
    </row>
    <row r="160" spans="1:22" x14ac:dyDescent="0.3">
      <c r="A160" s="61" t="s">
        <v>316</v>
      </c>
      <c r="B160" s="62" t="s">
        <v>317</v>
      </c>
      <c r="C160" s="62" t="s">
        <v>318</v>
      </c>
      <c r="D160" s="62" t="s">
        <v>524</v>
      </c>
      <c r="E160" s="63" t="s">
        <v>525</v>
      </c>
      <c r="F160" s="62" t="s">
        <v>389</v>
      </c>
      <c r="G160" s="62" t="s">
        <v>260</v>
      </c>
      <c r="H160" s="62" t="s">
        <v>11</v>
      </c>
      <c r="I160" s="62" t="s">
        <v>210</v>
      </c>
      <c r="J160" s="63" t="s">
        <v>261</v>
      </c>
      <c r="K160" s="62" t="s">
        <v>317</v>
      </c>
      <c r="L160" s="64">
        <v>73.400000000000006</v>
      </c>
      <c r="M160" s="64">
        <f t="shared" si="42"/>
        <v>73.400000000000006</v>
      </c>
      <c r="N160" s="65">
        <f>prodnorm36</f>
        <v>0</v>
      </c>
      <c r="O160" s="66">
        <f>dagwerk36</f>
        <v>0</v>
      </c>
      <c r="P160" s="62" t="s">
        <v>40</v>
      </c>
      <c r="Q160" s="67">
        <f>uurtarief36</f>
        <v>0</v>
      </c>
      <c r="R160" s="64" t="e">
        <f t="shared" si="43"/>
        <v>#DIV/0!</v>
      </c>
      <c r="S160" s="64" t="e">
        <f t="shared" si="44"/>
        <v>#DIV/0!</v>
      </c>
      <c r="T160" s="67" t="e">
        <f t="shared" si="45"/>
        <v>#DIV/0!</v>
      </c>
      <c r="U160" s="64" t="e">
        <f t="shared" si="46"/>
        <v>#DIV/0!</v>
      </c>
      <c r="V160" s="69" t="e">
        <f t="shared" si="47"/>
        <v>#DIV/0!</v>
      </c>
    </row>
    <row r="161" spans="1:22" x14ac:dyDescent="0.3">
      <c r="A161" s="61" t="s">
        <v>316</v>
      </c>
      <c r="B161" s="62" t="s">
        <v>317</v>
      </c>
      <c r="C161" s="62" t="s">
        <v>318</v>
      </c>
      <c r="D161" s="62" t="s">
        <v>526</v>
      </c>
      <c r="E161" s="63" t="s">
        <v>527</v>
      </c>
      <c r="F161" s="62" t="s">
        <v>389</v>
      </c>
      <c r="G161" s="62" t="s">
        <v>224</v>
      </c>
      <c r="H161" s="62" t="s">
        <v>14</v>
      </c>
      <c r="I161" s="62" t="s">
        <v>210</v>
      </c>
      <c r="J161" s="63" t="s">
        <v>225</v>
      </c>
      <c r="K161" s="62" t="s">
        <v>317</v>
      </c>
      <c r="L161" s="64">
        <v>58.97</v>
      </c>
      <c r="M161" s="64">
        <f t="shared" si="42"/>
        <v>35.381999999999998</v>
      </c>
      <c r="N161" s="65">
        <f>prodnorm17</f>
        <v>0</v>
      </c>
      <c r="O161" s="66">
        <f>dagwerk17</f>
        <v>0</v>
      </c>
      <c r="P161" s="62" t="s">
        <v>40</v>
      </c>
      <c r="Q161" s="67">
        <f>uurtarief17</f>
        <v>0</v>
      </c>
      <c r="R161" s="64" t="e">
        <f t="shared" si="43"/>
        <v>#DIV/0!</v>
      </c>
      <c r="S161" s="64" t="e">
        <f t="shared" si="44"/>
        <v>#DIV/0!</v>
      </c>
      <c r="T161" s="67" t="e">
        <f t="shared" si="45"/>
        <v>#DIV/0!</v>
      </c>
      <c r="U161" s="64" t="e">
        <f t="shared" si="46"/>
        <v>#DIV/0!</v>
      </c>
      <c r="V161" s="69" t="e">
        <f t="shared" si="47"/>
        <v>#DIV/0!</v>
      </c>
    </row>
    <row r="162" spans="1:22" x14ac:dyDescent="0.3">
      <c r="A162" s="61" t="s">
        <v>316</v>
      </c>
      <c r="B162" s="62" t="s">
        <v>317</v>
      </c>
      <c r="C162" s="62" t="s">
        <v>318</v>
      </c>
      <c r="D162" s="62" t="s">
        <v>528</v>
      </c>
      <c r="E162" s="63" t="s">
        <v>400</v>
      </c>
      <c r="F162" s="62" t="s">
        <v>389</v>
      </c>
      <c r="G162" s="62" t="s">
        <v>214</v>
      </c>
      <c r="H162" s="62" t="s">
        <v>14</v>
      </c>
      <c r="I162" s="62" t="s">
        <v>210</v>
      </c>
      <c r="J162" s="63" t="s">
        <v>215</v>
      </c>
      <c r="K162" s="62" t="s">
        <v>317</v>
      </c>
      <c r="L162" s="64">
        <v>11.9</v>
      </c>
      <c r="M162" s="64">
        <f t="shared" si="42"/>
        <v>7.14</v>
      </c>
      <c r="N162" s="65">
        <f>prodnorm12</f>
        <v>0</v>
      </c>
      <c r="O162" s="66">
        <f>dagwerk12</f>
        <v>0</v>
      </c>
      <c r="P162" s="62" t="s">
        <v>40</v>
      </c>
      <c r="Q162" s="67">
        <f>uurtarief12</f>
        <v>0</v>
      </c>
      <c r="R162" s="64" t="e">
        <f t="shared" si="43"/>
        <v>#DIV/0!</v>
      </c>
      <c r="S162" s="64" t="e">
        <f t="shared" si="44"/>
        <v>#DIV/0!</v>
      </c>
      <c r="T162" s="67" t="e">
        <f t="shared" si="45"/>
        <v>#DIV/0!</v>
      </c>
      <c r="U162" s="64" t="e">
        <f t="shared" si="46"/>
        <v>#DIV/0!</v>
      </c>
      <c r="V162" s="69" t="e">
        <f t="shared" si="47"/>
        <v>#DIV/0!</v>
      </c>
    </row>
    <row r="163" spans="1:22" x14ac:dyDescent="0.3">
      <c r="A163" s="61" t="s">
        <v>316</v>
      </c>
      <c r="B163" s="62" t="s">
        <v>317</v>
      </c>
      <c r="C163" s="62" t="s">
        <v>318</v>
      </c>
      <c r="D163" s="62" t="s">
        <v>529</v>
      </c>
      <c r="E163" s="63" t="s">
        <v>400</v>
      </c>
      <c r="F163" s="62" t="s">
        <v>389</v>
      </c>
      <c r="G163" s="62" t="s">
        <v>214</v>
      </c>
      <c r="H163" s="62" t="s">
        <v>14</v>
      </c>
      <c r="I163" s="62" t="s">
        <v>210</v>
      </c>
      <c r="J163" s="63" t="s">
        <v>215</v>
      </c>
      <c r="K163" s="62" t="s">
        <v>317</v>
      </c>
      <c r="L163" s="64">
        <v>11.9</v>
      </c>
      <c r="M163" s="64">
        <f t="shared" si="42"/>
        <v>7.14</v>
      </c>
      <c r="N163" s="65">
        <f>prodnorm12</f>
        <v>0</v>
      </c>
      <c r="O163" s="66">
        <f>dagwerk12</f>
        <v>0</v>
      </c>
      <c r="P163" s="62" t="s">
        <v>40</v>
      </c>
      <c r="Q163" s="67">
        <f>uurtarief12</f>
        <v>0</v>
      </c>
      <c r="R163" s="64" t="e">
        <f t="shared" si="43"/>
        <v>#DIV/0!</v>
      </c>
      <c r="S163" s="64" t="e">
        <f t="shared" si="44"/>
        <v>#DIV/0!</v>
      </c>
      <c r="T163" s="67" t="e">
        <f t="shared" si="45"/>
        <v>#DIV/0!</v>
      </c>
      <c r="U163" s="64" t="e">
        <f t="shared" si="46"/>
        <v>#DIV/0!</v>
      </c>
      <c r="V163" s="69" t="e">
        <f t="shared" si="47"/>
        <v>#DIV/0!</v>
      </c>
    </row>
    <row r="164" spans="1:22" x14ac:dyDescent="0.3">
      <c r="A164" s="61" t="s">
        <v>316</v>
      </c>
      <c r="B164" s="62" t="s">
        <v>317</v>
      </c>
      <c r="C164" s="62" t="s">
        <v>318</v>
      </c>
      <c r="D164" s="62" t="s">
        <v>530</v>
      </c>
      <c r="E164" s="63" t="s">
        <v>531</v>
      </c>
      <c r="F164" s="62" t="s">
        <v>389</v>
      </c>
      <c r="G164" s="62" t="s">
        <v>234</v>
      </c>
      <c r="H164" s="62" t="s">
        <v>14</v>
      </c>
      <c r="I164" s="62" t="s">
        <v>210</v>
      </c>
      <c r="J164" s="63" t="s">
        <v>235</v>
      </c>
      <c r="K164" s="62" t="s">
        <v>317</v>
      </c>
      <c r="L164" s="64">
        <v>94.5</v>
      </c>
      <c r="M164" s="64">
        <f t="shared" si="42"/>
        <v>56.699999999999996</v>
      </c>
      <c r="N164" s="65">
        <f>prodnorm22</f>
        <v>0</v>
      </c>
      <c r="O164" s="66">
        <f>dagwerk22</f>
        <v>0</v>
      </c>
      <c r="P164" s="62" t="s">
        <v>40</v>
      </c>
      <c r="Q164" s="67">
        <f>uurtarief22</f>
        <v>0</v>
      </c>
      <c r="R164" s="64" t="e">
        <f t="shared" si="43"/>
        <v>#DIV/0!</v>
      </c>
      <c r="S164" s="64" t="e">
        <f t="shared" si="44"/>
        <v>#DIV/0!</v>
      </c>
      <c r="T164" s="67" t="e">
        <f t="shared" si="45"/>
        <v>#DIV/0!</v>
      </c>
      <c r="U164" s="64" t="e">
        <f t="shared" si="46"/>
        <v>#DIV/0!</v>
      </c>
      <c r="V164" s="69" t="e">
        <f t="shared" si="47"/>
        <v>#DIV/0!</v>
      </c>
    </row>
    <row r="165" spans="1:22" x14ac:dyDescent="0.3">
      <c r="A165" s="61" t="s">
        <v>316</v>
      </c>
      <c r="B165" s="62" t="s">
        <v>317</v>
      </c>
      <c r="C165" s="62" t="s">
        <v>318</v>
      </c>
      <c r="D165" s="62" t="s">
        <v>532</v>
      </c>
      <c r="E165" s="63" t="s">
        <v>391</v>
      </c>
      <c r="F165" s="62" t="s">
        <v>389</v>
      </c>
      <c r="G165" s="62" t="s">
        <v>234</v>
      </c>
      <c r="H165" s="62" t="s">
        <v>14</v>
      </c>
      <c r="I165" s="62" t="s">
        <v>210</v>
      </c>
      <c r="J165" s="63" t="s">
        <v>235</v>
      </c>
      <c r="K165" s="62" t="s">
        <v>317</v>
      </c>
      <c r="L165" s="64">
        <v>67.06</v>
      </c>
      <c r="M165" s="64">
        <f t="shared" si="42"/>
        <v>40.235999999999997</v>
      </c>
      <c r="N165" s="65">
        <f>prodnorm22</f>
        <v>0</v>
      </c>
      <c r="O165" s="66">
        <f>dagwerk22</f>
        <v>0</v>
      </c>
      <c r="P165" s="62" t="s">
        <v>40</v>
      </c>
      <c r="Q165" s="67">
        <f>uurtarief22</f>
        <v>0</v>
      </c>
      <c r="R165" s="64" t="e">
        <f t="shared" si="43"/>
        <v>#DIV/0!</v>
      </c>
      <c r="S165" s="64" t="e">
        <f t="shared" si="44"/>
        <v>#DIV/0!</v>
      </c>
      <c r="T165" s="67" t="e">
        <f t="shared" si="45"/>
        <v>#DIV/0!</v>
      </c>
      <c r="U165" s="64" t="e">
        <f t="shared" si="46"/>
        <v>#DIV/0!</v>
      </c>
      <c r="V165" s="69" t="e">
        <f t="shared" si="47"/>
        <v>#DIV/0!</v>
      </c>
    </row>
    <row r="166" spans="1:22" x14ac:dyDescent="0.3">
      <c r="A166" s="61" t="s">
        <v>316</v>
      </c>
      <c r="B166" s="62" t="s">
        <v>317</v>
      </c>
      <c r="C166" s="62" t="s">
        <v>318</v>
      </c>
      <c r="D166" s="62" t="s">
        <v>533</v>
      </c>
      <c r="E166" s="63" t="s">
        <v>531</v>
      </c>
      <c r="F166" s="62" t="s">
        <v>389</v>
      </c>
      <c r="G166" s="62" t="s">
        <v>234</v>
      </c>
      <c r="H166" s="62" t="s">
        <v>14</v>
      </c>
      <c r="I166" s="62" t="s">
        <v>210</v>
      </c>
      <c r="J166" s="63" t="s">
        <v>235</v>
      </c>
      <c r="K166" s="62" t="s">
        <v>317</v>
      </c>
      <c r="L166" s="64">
        <v>66.78</v>
      </c>
      <c r="M166" s="64">
        <f t="shared" si="42"/>
        <v>40.067999999999998</v>
      </c>
      <c r="N166" s="65">
        <f>prodnorm22</f>
        <v>0</v>
      </c>
      <c r="O166" s="66">
        <f>dagwerk22</f>
        <v>0</v>
      </c>
      <c r="P166" s="62" t="s">
        <v>40</v>
      </c>
      <c r="Q166" s="67">
        <f>uurtarief22</f>
        <v>0</v>
      </c>
      <c r="R166" s="64" t="e">
        <f t="shared" si="43"/>
        <v>#DIV/0!</v>
      </c>
      <c r="S166" s="64" t="e">
        <f t="shared" si="44"/>
        <v>#DIV/0!</v>
      </c>
      <c r="T166" s="67" t="e">
        <f t="shared" si="45"/>
        <v>#DIV/0!</v>
      </c>
      <c r="U166" s="64" t="e">
        <f t="shared" si="46"/>
        <v>#DIV/0!</v>
      </c>
      <c r="V166" s="69" t="e">
        <f t="shared" si="47"/>
        <v>#DIV/0!</v>
      </c>
    </row>
    <row r="167" spans="1:22" x14ac:dyDescent="0.3">
      <c r="A167" s="61" t="s">
        <v>316</v>
      </c>
      <c r="B167" s="62" t="s">
        <v>317</v>
      </c>
      <c r="C167" s="62" t="s">
        <v>318</v>
      </c>
      <c r="D167" s="62" t="s">
        <v>534</v>
      </c>
      <c r="E167" s="63" t="s">
        <v>391</v>
      </c>
      <c r="F167" s="62" t="s">
        <v>389</v>
      </c>
      <c r="G167" s="62" t="s">
        <v>234</v>
      </c>
      <c r="H167" s="62" t="s">
        <v>14</v>
      </c>
      <c r="I167" s="62" t="s">
        <v>210</v>
      </c>
      <c r="J167" s="63" t="s">
        <v>235</v>
      </c>
      <c r="K167" s="62" t="s">
        <v>317</v>
      </c>
      <c r="L167" s="64">
        <v>88.36</v>
      </c>
      <c r="M167" s="64">
        <f t="shared" si="42"/>
        <v>53.015999999999998</v>
      </c>
      <c r="N167" s="65">
        <f>prodnorm22</f>
        <v>0</v>
      </c>
      <c r="O167" s="66">
        <f>dagwerk22</f>
        <v>0</v>
      </c>
      <c r="P167" s="62" t="s">
        <v>40</v>
      </c>
      <c r="Q167" s="67">
        <f>uurtarief22</f>
        <v>0</v>
      </c>
      <c r="R167" s="64" t="e">
        <f t="shared" si="43"/>
        <v>#DIV/0!</v>
      </c>
      <c r="S167" s="64" t="e">
        <f t="shared" si="44"/>
        <v>#DIV/0!</v>
      </c>
      <c r="T167" s="67" t="e">
        <f t="shared" si="45"/>
        <v>#DIV/0!</v>
      </c>
      <c r="U167" s="64" t="e">
        <f t="shared" si="46"/>
        <v>#DIV/0!</v>
      </c>
      <c r="V167" s="69" t="e">
        <f t="shared" si="47"/>
        <v>#DIV/0!</v>
      </c>
    </row>
    <row r="168" spans="1:22" x14ac:dyDescent="0.3">
      <c r="A168" s="61" t="s">
        <v>316</v>
      </c>
      <c r="B168" s="62" t="s">
        <v>317</v>
      </c>
      <c r="C168" s="62" t="s">
        <v>318</v>
      </c>
      <c r="D168" s="62" t="s">
        <v>535</v>
      </c>
      <c r="E168" s="63" t="s">
        <v>536</v>
      </c>
      <c r="F168" s="62" t="s">
        <v>348</v>
      </c>
      <c r="G168" s="62" t="s">
        <v>216</v>
      </c>
      <c r="H168" s="62" t="s">
        <v>14</v>
      </c>
      <c r="I168" s="62" t="s">
        <v>210</v>
      </c>
      <c r="J168" s="63" t="s">
        <v>217</v>
      </c>
      <c r="K168" s="62" t="s">
        <v>317</v>
      </c>
      <c r="L168" s="64">
        <v>19.059999999999999</v>
      </c>
      <c r="M168" s="64">
        <f t="shared" si="42"/>
        <v>11.435999999999998</v>
      </c>
      <c r="N168" s="65">
        <f>prodnorm13</f>
        <v>0</v>
      </c>
      <c r="O168" s="66">
        <f>dagwerk13</f>
        <v>0</v>
      </c>
      <c r="P168" s="62" t="s">
        <v>40</v>
      </c>
      <c r="Q168" s="67">
        <f>uurtarief13</f>
        <v>0</v>
      </c>
      <c r="R168" s="64" t="e">
        <f t="shared" si="43"/>
        <v>#DIV/0!</v>
      </c>
      <c r="S168" s="64" t="e">
        <f t="shared" si="44"/>
        <v>#DIV/0!</v>
      </c>
      <c r="T168" s="67" t="e">
        <f t="shared" si="45"/>
        <v>#DIV/0!</v>
      </c>
      <c r="U168" s="64" t="e">
        <f t="shared" si="46"/>
        <v>#DIV/0!</v>
      </c>
      <c r="V168" s="69" t="e">
        <f t="shared" si="47"/>
        <v>#DIV/0!</v>
      </c>
    </row>
    <row r="169" spans="1:22" x14ac:dyDescent="0.3">
      <c r="A169" s="61" t="s">
        <v>316</v>
      </c>
      <c r="B169" s="62" t="s">
        <v>317</v>
      </c>
      <c r="C169" s="62" t="s">
        <v>318</v>
      </c>
      <c r="D169" s="62" t="s">
        <v>537</v>
      </c>
      <c r="E169" s="63" t="s">
        <v>400</v>
      </c>
      <c r="F169" s="62" t="s">
        <v>348</v>
      </c>
      <c r="G169" s="62" t="s">
        <v>216</v>
      </c>
      <c r="H169" s="62" t="s">
        <v>14</v>
      </c>
      <c r="I169" s="62" t="s">
        <v>210</v>
      </c>
      <c r="J169" s="63" t="s">
        <v>217</v>
      </c>
      <c r="K169" s="62" t="s">
        <v>317</v>
      </c>
      <c r="L169" s="64">
        <v>18.110000000000003</v>
      </c>
      <c r="M169" s="64">
        <f t="shared" si="42"/>
        <v>10.866000000000001</v>
      </c>
      <c r="N169" s="65">
        <f>prodnorm13</f>
        <v>0</v>
      </c>
      <c r="O169" s="66">
        <f>dagwerk13</f>
        <v>0</v>
      </c>
      <c r="P169" s="62" t="s">
        <v>40</v>
      </c>
      <c r="Q169" s="67">
        <f>uurtarief13</f>
        <v>0</v>
      </c>
      <c r="R169" s="64" t="e">
        <f t="shared" si="43"/>
        <v>#DIV/0!</v>
      </c>
      <c r="S169" s="64" t="e">
        <f t="shared" si="44"/>
        <v>#DIV/0!</v>
      </c>
      <c r="T169" s="67" t="e">
        <f t="shared" si="45"/>
        <v>#DIV/0!</v>
      </c>
      <c r="U169" s="64" t="e">
        <f t="shared" si="46"/>
        <v>#DIV/0!</v>
      </c>
      <c r="V169" s="69" t="e">
        <f t="shared" si="47"/>
        <v>#DIV/0!</v>
      </c>
    </row>
    <row r="170" spans="1:22" x14ac:dyDescent="0.3">
      <c r="A170" s="61" t="s">
        <v>316</v>
      </c>
      <c r="B170" s="62" t="s">
        <v>317</v>
      </c>
      <c r="C170" s="62" t="s">
        <v>318</v>
      </c>
      <c r="D170" s="62" t="s">
        <v>538</v>
      </c>
      <c r="E170" s="63" t="s">
        <v>356</v>
      </c>
      <c r="F170" s="62" t="s">
        <v>348</v>
      </c>
      <c r="G170" s="62" t="s">
        <v>212</v>
      </c>
      <c r="H170" s="62" t="s">
        <v>17</v>
      </c>
      <c r="I170" s="62" t="s">
        <v>210</v>
      </c>
      <c r="J170" s="63" t="s">
        <v>213</v>
      </c>
      <c r="K170" s="62" t="s">
        <v>317</v>
      </c>
      <c r="L170" s="64">
        <v>18.54</v>
      </c>
      <c r="M170" s="64">
        <f t="shared" si="42"/>
        <v>3.7080000000000002</v>
      </c>
      <c r="N170" s="65">
        <f>prodnorm11</f>
        <v>0</v>
      </c>
      <c r="O170" s="66">
        <f>dagwerk11</f>
        <v>0</v>
      </c>
      <c r="P170" s="62" t="s">
        <v>40</v>
      </c>
      <c r="Q170" s="67">
        <f>uurtarief11</f>
        <v>0</v>
      </c>
      <c r="R170" s="64" t="e">
        <f t="shared" si="43"/>
        <v>#DIV/0!</v>
      </c>
      <c r="S170" s="64" t="e">
        <f t="shared" si="44"/>
        <v>#DIV/0!</v>
      </c>
      <c r="T170" s="67" t="e">
        <f t="shared" si="45"/>
        <v>#DIV/0!</v>
      </c>
      <c r="U170" s="64" t="e">
        <f t="shared" si="46"/>
        <v>#DIV/0!</v>
      </c>
      <c r="V170" s="69" t="e">
        <f t="shared" si="47"/>
        <v>#DIV/0!</v>
      </c>
    </row>
    <row r="171" spans="1:22" x14ac:dyDescent="0.3">
      <c r="A171" s="61" t="s">
        <v>316</v>
      </c>
      <c r="B171" s="62" t="s">
        <v>317</v>
      </c>
      <c r="C171" s="62" t="s">
        <v>318</v>
      </c>
      <c r="D171" s="62" t="s">
        <v>539</v>
      </c>
      <c r="E171" s="63" t="s">
        <v>356</v>
      </c>
      <c r="F171" s="62" t="s">
        <v>348</v>
      </c>
      <c r="G171" s="62" t="s">
        <v>212</v>
      </c>
      <c r="H171" s="62" t="s">
        <v>17</v>
      </c>
      <c r="I171" s="62" t="s">
        <v>210</v>
      </c>
      <c r="J171" s="63" t="s">
        <v>213</v>
      </c>
      <c r="K171" s="62" t="s">
        <v>317</v>
      </c>
      <c r="L171" s="64">
        <v>18.54</v>
      </c>
      <c r="M171" s="64">
        <f t="shared" si="42"/>
        <v>3.7080000000000002</v>
      </c>
      <c r="N171" s="65">
        <f>prodnorm11</f>
        <v>0</v>
      </c>
      <c r="O171" s="66">
        <f>dagwerk11</f>
        <v>0</v>
      </c>
      <c r="P171" s="62" t="s">
        <v>40</v>
      </c>
      <c r="Q171" s="67">
        <f>uurtarief11</f>
        <v>0</v>
      </c>
      <c r="R171" s="64" t="e">
        <f t="shared" si="43"/>
        <v>#DIV/0!</v>
      </c>
      <c r="S171" s="64" t="e">
        <f t="shared" si="44"/>
        <v>#DIV/0!</v>
      </c>
      <c r="T171" s="67" t="e">
        <f t="shared" si="45"/>
        <v>#DIV/0!</v>
      </c>
      <c r="U171" s="64" t="e">
        <f t="shared" si="46"/>
        <v>#DIV/0!</v>
      </c>
      <c r="V171" s="69" t="e">
        <f t="shared" si="47"/>
        <v>#DIV/0!</v>
      </c>
    </row>
    <row r="172" spans="1:22" x14ac:dyDescent="0.3">
      <c r="A172" s="61" t="s">
        <v>316</v>
      </c>
      <c r="B172" s="62" t="s">
        <v>317</v>
      </c>
      <c r="C172" s="62" t="s">
        <v>318</v>
      </c>
      <c r="D172" s="62" t="s">
        <v>540</v>
      </c>
      <c r="E172" s="63" t="s">
        <v>391</v>
      </c>
      <c r="F172" s="62" t="s">
        <v>389</v>
      </c>
      <c r="G172" s="62" t="s">
        <v>234</v>
      </c>
      <c r="H172" s="62" t="s">
        <v>14</v>
      </c>
      <c r="I172" s="62" t="s">
        <v>210</v>
      </c>
      <c r="J172" s="63" t="s">
        <v>235</v>
      </c>
      <c r="K172" s="62" t="s">
        <v>317</v>
      </c>
      <c r="L172" s="64">
        <v>64.460000000000008</v>
      </c>
      <c r="M172" s="64">
        <f t="shared" si="42"/>
        <v>38.676000000000002</v>
      </c>
      <c r="N172" s="65">
        <f>prodnorm22</f>
        <v>0</v>
      </c>
      <c r="O172" s="66">
        <f>dagwerk22</f>
        <v>0</v>
      </c>
      <c r="P172" s="62" t="s">
        <v>40</v>
      </c>
      <c r="Q172" s="67">
        <f>uurtarief22</f>
        <v>0</v>
      </c>
      <c r="R172" s="64" t="e">
        <f t="shared" si="43"/>
        <v>#DIV/0!</v>
      </c>
      <c r="S172" s="64" t="e">
        <f t="shared" si="44"/>
        <v>#DIV/0!</v>
      </c>
      <c r="T172" s="67" t="e">
        <f t="shared" si="45"/>
        <v>#DIV/0!</v>
      </c>
      <c r="U172" s="64" t="e">
        <f t="shared" si="46"/>
        <v>#DIV/0!</v>
      </c>
      <c r="V172" s="69" t="e">
        <f t="shared" si="47"/>
        <v>#DIV/0!</v>
      </c>
    </row>
    <row r="173" spans="1:22" x14ac:dyDescent="0.3">
      <c r="A173" s="61" t="s">
        <v>316</v>
      </c>
      <c r="B173" s="62" t="s">
        <v>317</v>
      </c>
      <c r="C173" s="62" t="s">
        <v>318</v>
      </c>
      <c r="D173" s="62" t="s">
        <v>541</v>
      </c>
      <c r="E173" s="63" t="s">
        <v>391</v>
      </c>
      <c r="F173" s="62" t="s">
        <v>389</v>
      </c>
      <c r="G173" s="62" t="s">
        <v>234</v>
      </c>
      <c r="H173" s="62" t="s">
        <v>14</v>
      </c>
      <c r="I173" s="62" t="s">
        <v>210</v>
      </c>
      <c r="J173" s="63" t="s">
        <v>235</v>
      </c>
      <c r="K173" s="62" t="s">
        <v>317</v>
      </c>
      <c r="L173" s="64">
        <v>58.17</v>
      </c>
      <c r="M173" s="64">
        <f t="shared" si="42"/>
        <v>34.902000000000001</v>
      </c>
      <c r="N173" s="65">
        <f>prodnorm22</f>
        <v>0</v>
      </c>
      <c r="O173" s="66">
        <f>dagwerk22</f>
        <v>0</v>
      </c>
      <c r="P173" s="62" t="s">
        <v>40</v>
      </c>
      <c r="Q173" s="67">
        <f>uurtarief22</f>
        <v>0</v>
      </c>
      <c r="R173" s="64" t="e">
        <f t="shared" si="43"/>
        <v>#DIV/0!</v>
      </c>
      <c r="S173" s="64" t="e">
        <f t="shared" si="44"/>
        <v>#DIV/0!</v>
      </c>
      <c r="T173" s="67" t="e">
        <f t="shared" si="45"/>
        <v>#DIV/0!</v>
      </c>
      <c r="U173" s="64" t="e">
        <f t="shared" si="46"/>
        <v>#DIV/0!</v>
      </c>
      <c r="V173" s="69" t="e">
        <f t="shared" si="47"/>
        <v>#DIV/0!</v>
      </c>
    </row>
    <row r="174" spans="1:22" x14ac:dyDescent="0.3">
      <c r="A174" s="61" t="s">
        <v>316</v>
      </c>
      <c r="B174" s="62" t="s">
        <v>317</v>
      </c>
      <c r="C174" s="62" t="s">
        <v>318</v>
      </c>
      <c r="D174" s="62" t="s">
        <v>542</v>
      </c>
      <c r="E174" s="63" t="s">
        <v>543</v>
      </c>
      <c r="F174" s="62" t="s">
        <v>353</v>
      </c>
      <c r="G174" s="62" t="s">
        <v>323</v>
      </c>
      <c r="H174" s="62"/>
      <c r="I174" s="62"/>
      <c r="J174" s="62"/>
      <c r="K174" s="62" t="s">
        <v>317</v>
      </c>
      <c r="L174" s="64">
        <v>120.76</v>
      </c>
      <c r="M174" s="64"/>
      <c r="N174" s="65"/>
      <c r="O174" s="66"/>
      <c r="P174" s="62"/>
      <c r="Q174" s="67"/>
      <c r="R174" s="64"/>
      <c r="S174" s="64"/>
      <c r="T174" s="67"/>
      <c r="U174" s="68"/>
      <c r="V174" s="69"/>
    </row>
    <row r="175" spans="1:22" x14ac:dyDescent="0.3">
      <c r="A175" s="61" t="s">
        <v>316</v>
      </c>
      <c r="B175" s="62" t="s">
        <v>317</v>
      </c>
      <c r="C175" s="62" t="s">
        <v>318</v>
      </c>
      <c r="D175" s="62" t="s">
        <v>544</v>
      </c>
      <c r="E175" s="63" t="s">
        <v>321</v>
      </c>
      <c r="F175" s="62" t="s">
        <v>353</v>
      </c>
      <c r="G175" s="62" t="s">
        <v>323</v>
      </c>
      <c r="H175" s="62"/>
      <c r="I175" s="62"/>
      <c r="J175" s="62"/>
      <c r="K175" s="62" t="s">
        <v>317</v>
      </c>
      <c r="L175" s="64">
        <v>113</v>
      </c>
      <c r="M175" s="64"/>
      <c r="N175" s="65"/>
      <c r="O175" s="66"/>
      <c r="P175" s="62"/>
      <c r="Q175" s="67"/>
      <c r="R175" s="64"/>
      <c r="S175" s="64"/>
      <c r="T175" s="67"/>
      <c r="U175" s="68"/>
      <c r="V175" s="69"/>
    </row>
    <row r="176" spans="1:22" x14ac:dyDescent="0.3">
      <c r="A176" s="61" t="s">
        <v>316</v>
      </c>
      <c r="B176" s="62" t="s">
        <v>317</v>
      </c>
      <c r="C176" s="62" t="s">
        <v>318</v>
      </c>
      <c r="D176" s="62" t="s">
        <v>545</v>
      </c>
      <c r="E176" s="63" t="s">
        <v>546</v>
      </c>
      <c r="F176" s="62" t="s">
        <v>389</v>
      </c>
      <c r="G176" s="62" t="s">
        <v>209</v>
      </c>
      <c r="H176" s="62" t="s">
        <v>17</v>
      </c>
      <c r="I176" s="62" t="s">
        <v>210</v>
      </c>
      <c r="J176" s="63" t="s">
        <v>211</v>
      </c>
      <c r="K176" s="62" t="s">
        <v>317</v>
      </c>
      <c r="L176" s="64">
        <v>41.6</v>
      </c>
      <c r="M176" s="64">
        <f>L176*VLOOKUP(H176,dagsoorttabel1,2,FALSE)</f>
        <v>8.32</v>
      </c>
      <c r="N176" s="65">
        <f>prodnorm10</f>
        <v>0</v>
      </c>
      <c r="O176" s="66">
        <f>dagwerk10</f>
        <v>0</v>
      </c>
      <c r="P176" s="62" t="s">
        <v>40</v>
      </c>
      <c r="Q176" s="67">
        <f>uurtarief10</f>
        <v>0</v>
      </c>
      <c r="R176" s="64" t="e">
        <f>IF(ISBLANK(N176),0,M176/ROUND(N176,4))</f>
        <v>#DIV/0!</v>
      </c>
      <c r="S176" s="64" t="e">
        <f>IF(ISBLANK(N176),0,R176*ROUND(O176,2))</f>
        <v>#DIV/0!</v>
      </c>
      <c r="T176" s="67" t="e">
        <f>ROUND(Q176,2)*R176</f>
        <v>#DIV/0!</v>
      </c>
      <c r="U176" s="64" t="e">
        <f>R176*dagenperjaar1</f>
        <v>#DIV/0!</v>
      </c>
      <c r="V176" s="69" t="e">
        <f>U176*ROUND(Q176,2)</f>
        <v>#DIV/0!</v>
      </c>
    </row>
    <row r="177" spans="1:22" x14ac:dyDescent="0.3">
      <c r="A177" s="61" t="s">
        <v>316</v>
      </c>
      <c r="B177" s="62" t="s">
        <v>317</v>
      </c>
      <c r="C177" s="62" t="s">
        <v>318</v>
      </c>
      <c r="D177" s="62" t="s">
        <v>547</v>
      </c>
      <c r="E177" s="63" t="s">
        <v>321</v>
      </c>
      <c r="F177" s="62" t="s">
        <v>377</v>
      </c>
      <c r="G177" s="62" t="s">
        <v>323</v>
      </c>
      <c r="H177" s="62"/>
      <c r="I177" s="62"/>
      <c r="J177" s="62"/>
      <c r="K177" s="62" t="s">
        <v>317</v>
      </c>
      <c r="L177" s="64">
        <v>17.29</v>
      </c>
      <c r="M177" s="64"/>
      <c r="N177" s="65"/>
      <c r="O177" s="66"/>
      <c r="P177" s="62"/>
      <c r="Q177" s="67"/>
      <c r="R177" s="64"/>
      <c r="S177" s="64"/>
      <c r="T177" s="67"/>
      <c r="U177" s="68"/>
      <c r="V177" s="69"/>
    </row>
    <row r="178" spans="1:22" ht="28.8" x14ac:dyDescent="0.3">
      <c r="A178" s="61" t="s">
        <v>316</v>
      </c>
      <c r="B178" s="62" t="s">
        <v>317</v>
      </c>
      <c r="C178" s="62" t="s">
        <v>318</v>
      </c>
      <c r="D178" s="62" t="s">
        <v>548</v>
      </c>
      <c r="E178" s="63" t="s">
        <v>549</v>
      </c>
      <c r="F178" s="62" t="s">
        <v>389</v>
      </c>
      <c r="G178" s="62" t="s">
        <v>246</v>
      </c>
      <c r="H178" s="62" t="s">
        <v>20</v>
      </c>
      <c r="I178" s="62" t="s">
        <v>210</v>
      </c>
      <c r="J178" s="63" t="s">
        <v>247</v>
      </c>
      <c r="K178" s="62" t="s">
        <v>317</v>
      </c>
      <c r="L178" s="64">
        <v>19.939999999999998</v>
      </c>
      <c r="M178" s="64">
        <f>L178*VLOOKUP(H178,dagsoorttabel1,2,FALSE)</f>
        <v>0.94952380952380933</v>
      </c>
      <c r="N178" s="65">
        <f>prodnorm28</f>
        <v>0</v>
      </c>
      <c r="O178" s="66">
        <f>dagwerk28</f>
        <v>0</v>
      </c>
      <c r="P178" s="62" t="s">
        <v>40</v>
      </c>
      <c r="Q178" s="67">
        <f>uurtarief28</f>
        <v>0</v>
      </c>
      <c r="R178" s="64" t="e">
        <f>IF(ISBLANK(N178),0,M178/ROUND(N178,4))</f>
        <v>#DIV/0!</v>
      </c>
      <c r="S178" s="64" t="e">
        <f>IF(ISBLANK(N178),0,R178*ROUND(O178,2))</f>
        <v>#DIV/0!</v>
      </c>
      <c r="T178" s="67" t="e">
        <f>ROUND(Q178,2)*R178</f>
        <v>#DIV/0!</v>
      </c>
      <c r="U178" s="64" t="e">
        <f>R178*dagenperjaar1</f>
        <v>#DIV/0!</v>
      </c>
      <c r="V178" s="69" t="e">
        <f>U178*ROUND(Q178,2)</f>
        <v>#DIV/0!</v>
      </c>
    </row>
    <row r="179" spans="1:22" x14ac:dyDescent="0.3">
      <c r="A179" s="61" t="s">
        <v>316</v>
      </c>
      <c r="B179" s="62" t="s">
        <v>317</v>
      </c>
      <c r="C179" s="62" t="s">
        <v>318</v>
      </c>
      <c r="D179" s="62" t="s">
        <v>550</v>
      </c>
      <c r="E179" s="63" t="s">
        <v>551</v>
      </c>
      <c r="F179" s="62" t="s">
        <v>353</v>
      </c>
      <c r="G179" s="62" t="s">
        <v>266</v>
      </c>
      <c r="H179" s="62" t="s">
        <v>11</v>
      </c>
      <c r="I179" s="62" t="s">
        <v>210</v>
      </c>
      <c r="J179" s="63" t="s">
        <v>267</v>
      </c>
      <c r="K179" s="62" t="s">
        <v>317</v>
      </c>
      <c r="L179" s="64">
        <v>5.59</v>
      </c>
      <c r="M179" s="64">
        <f>L179*VLOOKUP(H179,dagsoorttabel1,2,FALSE)</f>
        <v>5.59</v>
      </c>
      <c r="N179" s="65">
        <f>prodnorm39</f>
        <v>0</v>
      </c>
      <c r="O179" s="66">
        <f>dagwerk39</f>
        <v>0</v>
      </c>
      <c r="P179" s="62" t="s">
        <v>40</v>
      </c>
      <c r="Q179" s="67">
        <f>uurtarief39</f>
        <v>0</v>
      </c>
      <c r="R179" s="64" t="e">
        <f>IF(ISBLANK(N179),0,M179/ROUND(N179,4))</f>
        <v>#DIV/0!</v>
      </c>
      <c r="S179" s="64" t="e">
        <f>IF(ISBLANK(N179),0,R179*ROUND(O179,2))</f>
        <v>#DIV/0!</v>
      </c>
      <c r="T179" s="67" t="e">
        <f>ROUND(Q179,2)*R179</f>
        <v>#DIV/0!</v>
      </c>
      <c r="U179" s="64" t="e">
        <f>R179*dagenperjaar1</f>
        <v>#DIV/0!</v>
      </c>
      <c r="V179" s="69" t="e">
        <f>U179*ROUND(Q179,2)</f>
        <v>#DIV/0!</v>
      </c>
    </row>
    <row r="180" spans="1:22" x14ac:dyDescent="0.3">
      <c r="A180" s="61" t="s">
        <v>316</v>
      </c>
      <c r="B180" s="62" t="s">
        <v>317</v>
      </c>
      <c r="C180" s="62" t="s">
        <v>318</v>
      </c>
      <c r="D180" s="62" t="s">
        <v>552</v>
      </c>
      <c r="E180" s="63" t="s">
        <v>553</v>
      </c>
      <c r="F180" s="62" t="s">
        <v>389</v>
      </c>
      <c r="G180" s="62" t="s">
        <v>323</v>
      </c>
      <c r="H180" s="62"/>
      <c r="I180" s="62"/>
      <c r="J180" s="62"/>
      <c r="K180" s="62" t="s">
        <v>317</v>
      </c>
      <c r="L180" s="64">
        <v>60.63</v>
      </c>
      <c r="M180" s="64"/>
      <c r="N180" s="65"/>
      <c r="O180" s="66"/>
      <c r="P180" s="62"/>
      <c r="Q180" s="67"/>
      <c r="R180" s="64"/>
      <c r="S180" s="64"/>
      <c r="T180" s="67"/>
      <c r="U180" s="68"/>
      <c r="V180" s="69"/>
    </row>
    <row r="181" spans="1:22" x14ac:dyDescent="0.3">
      <c r="A181" s="61" t="s">
        <v>316</v>
      </c>
      <c r="B181" s="62" t="s">
        <v>317</v>
      </c>
      <c r="C181" s="62" t="s">
        <v>318</v>
      </c>
      <c r="D181" s="62" t="s">
        <v>554</v>
      </c>
      <c r="E181" s="63" t="s">
        <v>553</v>
      </c>
      <c r="F181" s="62" t="s">
        <v>389</v>
      </c>
      <c r="G181" s="62" t="s">
        <v>323</v>
      </c>
      <c r="H181" s="62"/>
      <c r="I181" s="62"/>
      <c r="J181" s="62"/>
      <c r="K181" s="62" t="s">
        <v>317</v>
      </c>
      <c r="L181" s="64">
        <v>10.629999999999999</v>
      </c>
      <c r="M181" s="64"/>
      <c r="N181" s="65"/>
      <c r="O181" s="66"/>
      <c r="P181" s="62"/>
      <c r="Q181" s="67"/>
      <c r="R181" s="64"/>
      <c r="S181" s="64"/>
      <c r="T181" s="67"/>
      <c r="U181" s="68"/>
      <c r="V181" s="69"/>
    </row>
    <row r="182" spans="1:22" x14ac:dyDescent="0.3">
      <c r="A182" s="61" t="s">
        <v>316</v>
      </c>
      <c r="B182" s="62" t="s">
        <v>317</v>
      </c>
      <c r="C182" s="62" t="s">
        <v>318</v>
      </c>
      <c r="D182" s="62" t="s">
        <v>555</v>
      </c>
      <c r="E182" s="63" t="s">
        <v>321</v>
      </c>
      <c r="F182" s="62" t="s">
        <v>389</v>
      </c>
      <c r="G182" s="62" t="s">
        <v>323</v>
      </c>
      <c r="H182" s="62"/>
      <c r="I182" s="62"/>
      <c r="J182" s="62"/>
      <c r="K182" s="62" t="s">
        <v>317</v>
      </c>
      <c r="L182" s="64">
        <v>16.899999999999999</v>
      </c>
      <c r="M182" s="64"/>
      <c r="N182" s="65"/>
      <c r="O182" s="66"/>
      <c r="P182" s="62"/>
      <c r="Q182" s="67"/>
      <c r="R182" s="64"/>
      <c r="S182" s="64"/>
      <c r="T182" s="67"/>
      <c r="U182" s="68"/>
      <c r="V182" s="69"/>
    </row>
    <row r="183" spans="1:22" x14ac:dyDescent="0.3">
      <c r="A183" s="61" t="s">
        <v>316</v>
      </c>
      <c r="B183" s="62" t="s">
        <v>317</v>
      </c>
      <c r="C183" s="62" t="s">
        <v>318</v>
      </c>
      <c r="D183" s="62" t="s">
        <v>556</v>
      </c>
      <c r="E183" s="63" t="s">
        <v>394</v>
      </c>
      <c r="F183" s="62" t="s">
        <v>353</v>
      </c>
      <c r="G183" s="62" t="s">
        <v>272</v>
      </c>
      <c r="H183" s="62" t="s">
        <v>11</v>
      </c>
      <c r="I183" s="62" t="s">
        <v>210</v>
      </c>
      <c r="J183" s="63" t="s">
        <v>273</v>
      </c>
      <c r="K183" s="62" t="s">
        <v>317</v>
      </c>
      <c r="L183" s="64">
        <v>11.26</v>
      </c>
      <c r="M183" s="64">
        <f t="shared" ref="M183:M194" si="48">L183*VLOOKUP(H183,dagsoorttabel1,2,FALSE)</f>
        <v>11.26</v>
      </c>
      <c r="N183" s="65">
        <f>prodnorm42</f>
        <v>0</v>
      </c>
      <c r="O183" s="66">
        <f>dagwerk42</f>
        <v>0</v>
      </c>
      <c r="P183" s="62" t="s">
        <v>40</v>
      </c>
      <c r="Q183" s="67">
        <f>uurtarief42</f>
        <v>0</v>
      </c>
      <c r="R183" s="64" t="e">
        <f t="shared" ref="R183:R194" si="49">IF(ISBLANK(N183),0,M183/ROUND(N183,4))</f>
        <v>#DIV/0!</v>
      </c>
      <c r="S183" s="64" t="e">
        <f t="shared" ref="S183:S194" si="50">IF(ISBLANK(N183),0,R183*ROUND(O183,2))</f>
        <v>#DIV/0!</v>
      </c>
      <c r="T183" s="67" t="e">
        <f t="shared" ref="T183:T194" si="51">ROUND(Q183,2)*R183</f>
        <v>#DIV/0!</v>
      </c>
      <c r="U183" s="64" t="e">
        <f t="shared" ref="U183:U194" si="52">R183*dagenperjaar1</f>
        <v>#DIV/0!</v>
      </c>
      <c r="V183" s="69" t="e">
        <f t="shared" ref="V183:V194" si="53">U183*ROUND(Q183,2)</f>
        <v>#DIV/0!</v>
      </c>
    </row>
    <row r="184" spans="1:22" x14ac:dyDescent="0.3">
      <c r="A184" s="61" t="s">
        <v>316</v>
      </c>
      <c r="B184" s="62" t="s">
        <v>317</v>
      </c>
      <c r="C184" s="62" t="s">
        <v>318</v>
      </c>
      <c r="D184" s="62" t="s">
        <v>557</v>
      </c>
      <c r="E184" s="63" t="s">
        <v>391</v>
      </c>
      <c r="F184" s="62" t="s">
        <v>389</v>
      </c>
      <c r="G184" s="62" t="s">
        <v>234</v>
      </c>
      <c r="H184" s="62" t="s">
        <v>14</v>
      </c>
      <c r="I184" s="62" t="s">
        <v>210</v>
      </c>
      <c r="J184" s="63" t="s">
        <v>235</v>
      </c>
      <c r="K184" s="62" t="s">
        <v>317</v>
      </c>
      <c r="L184" s="64">
        <v>99.06</v>
      </c>
      <c r="M184" s="64">
        <f t="shared" si="48"/>
        <v>59.436</v>
      </c>
      <c r="N184" s="65">
        <f>prodnorm22</f>
        <v>0</v>
      </c>
      <c r="O184" s="66">
        <f>dagwerk22</f>
        <v>0</v>
      </c>
      <c r="P184" s="62" t="s">
        <v>40</v>
      </c>
      <c r="Q184" s="67">
        <f>uurtarief22</f>
        <v>0</v>
      </c>
      <c r="R184" s="64" t="e">
        <f t="shared" si="49"/>
        <v>#DIV/0!</v>
      </c>
      <c r="S184" s="64" t="e">
        <f t="shared" si="50"/>
        <v>#DIV/0!</v>
      </c>
      <c r="T184" s="67" t="e">
        <f t="shared" si="51"/>
        <v>#DIV/0!</v>
      </c>
      <c r="U184" s="64" t="e">
        <f t="shared" si="52"/>
        <v>#DIV/0!</v>
      </c>
      <c r="V184" s="69" t="e">
        <f t="shared" si="53"/>
        <v>#DIV/0!</v>
      </c>
    </row>
    <row r="185" spans="1:22" x14ac:dyDescent="0.3">
      <c r="A185" s="61" t="s">
        <v>316</v>
      </c>
      <c r="B185" s="62" t="s">
        <v>317</v>
      </c>
      <c r="C185" s="62" t="s">
        <v>318</v>
      </c>
      <c r="D185" s="62" t="s">
        <v>558</v>
      </c>
      <c r="E185" s="63" t="s">
        <v>391</v>
      </c>
      <c r="F185" s="62" t="s">
        <v>389</v>
      </c>
      <c r="G185" s="62" t="s">
        <v>234</v>
      </c>
      <c r="H185" s="62" t="s">
        <v>14</v>
      </c>
      <c r="I185" s="62" t="s">
        <v>210</v>
      </c>
      <c r="J185" s="63" t="s">
        <v>235</v>
      </c>
      <c r="K185" s="62" t="s">
        <v>317</v>
      </c>
      <c r="L185" s="64">
        <v>66.98</v>
      </c>
      <c r="M185" s="64">
        <f t="shared" si="48"/>
        <v>40.188000000000002</v>
      </c>
      <c r="N185" s="65">
        <f>prodnorm22</f>
        <v>0</v>
      </c>
      <c r="O185" s="66">
        <f>dagwerk22</f>
        <v>0</v>
      </c>
      <c r="P185" s="62" t="s">
        <v>40</v>
      </c>
      <c r="Q185" s="67">
        <f>uurtarief22</f>
        <v>0</v>
      </c>
      <c r="R185" s="64" t="e">
        <f t="shared" si="49"/>
        <v>#DIV/0!</v>
      </c>
      <c r="S185" s="64" t="e">
        <f t="shared" si="50"/>
        <v>#DIV/0!</v>
      </c>
      <c r="T185" s="67" t="e">
        <f t="shared" si="51"/>
        <v>#DIV/0!</v>
      </c>
      <c r="U185" s="64" t="e">
        <f t="shared" si="52"/>
        <v>#DIV/0!</v>
      </c>
      <c r="V185" s="69" t="e">
        <f t="shared" si="53"/>
        <v>#DIV/0!</v>
      </c>
    </row>
    <row r="186" spans="1:22" ht="28.8" x14ac:dyDescent="0.3">
      <c r="A186" s="61" t="s">
        <v>316</v>
      </c>
      <c r="B186" s="62" t="s">
        <v>317</v>
      </c>
      <c r="C186" s="62" t="s">
        <v>318</v>
      </c>
      <c r="D186" s="62" t="s">
        <v>559</v>
      </c>
      <c r="E186" s="63" t="s">
        <v>560</v>
      </c>
      <c r="F186" s="62" t="s">
        <v>389</v>
      </c>
      <c r="G186" s="62" t="s">
        <v>295</v>
      </c>
      <c r="H186" s="62" t="s">
        <v>24</v>
      </c>
      <c r="I186" s="62" t="s">
        <v>289</v>
      </c>
      <c r="J186" s="63" t="s">
        <v>296</v>
      </c>
      <c r="K186" s="62" t="s">
        <v>317</v>
      </c>
      <c r="L186" s="64">
        <v>277.25</v>
      </c>
      <c r="M186" s="64">
        <f t="shared" si="48"/>
        <v>2.6404761904761909</v>
      </c>
      <c r="N186" s="65">
        <f>prodnorm9</f>
        <v>0</v>
      </c>
      <c r="O186" s="66">
        <f>dagwerk9</f>
        <v>0</v>
      </c>
      <c r="P186" s="62" t="s">
        <v>40</v>
      </c>
      <c r="Q186" s="67">
        <f>uurtarief9</f>
        <v>0</v>
      </c>
      <c r="R186" s="64" t="e">
        <f t="shared" si="49"/>
        <v>#DIV/0!</v>
      </c>
      <c r="S186" s="64" t="e">
        <f t="shared" si="50"/>
        <v>#DIV/0!</v>
      </c>
      <c r="T186" s="67" t="e">
        <f t="shared" si="51"/>
        <v>#DIV/0!</v>
      </c>
      <c r="U186" s="64" t="e">
        <f t="shared" si="52"/>
        <v>#DIV/0!</v>
      </c>
      <c r="V186" s="69" t="e">
        <f t="shared" si="53"/>
        <v>#DIV/0!</v>
      </c>
    </row>
    <row r="187" spans="1:22" x14ac:dyDescent="0.3">
      <c r="A187" s="61" t="s">
        <v>316</v>
      </c>
      <c r="B187" s="62" t="s">
        <v>317</v>
      </c>
      <c r="C187" s="62" t="s">
        <v>318</v>
      </c>
      <c r="D187" s="62" t="s">
        <v>559</v>
      </c>
      <c r="E187" s="63" t="s">
        <v>560</v>
      </c>
      <c r="F187" s="62" t="s">
        <v>389</v>
      </c>
      <c r="G187" s="62" t="s">
        <v>260</v>
      </c>
      <c r="H187" s="62" t="s">
        <v>11</v>
      </c>
      <c r="I187" s="62" t="s">
        <v>210</v>
      </c>
      <c r="J187" s="63" t="s">
        <v>261</v>
      </c>
      <c r="K187" s="62" t="s">
        <v>317</v>
      </c>
      <c r="L187" s="64">
        <v>277.25</v>
      </c>
      <c r="M187" s="64">
        <f t="shared" si="48"/>
        <v>277.25</v>
      </c>
      <c r="N187" s="65">
        <f>prodnorm36</f>
        <v>0</v>
      </c>
      <c r="O187" s="66">
        <f>dagwerk36</f>
        <v>0</v>
      </c>
      <c r="P187" s="62" t="s">
        <v>40</v>
      </c>
      <c r="Q187" s="67">
        <f>uurtarief36</f>
        <v>0</v>
      </c>
      <c r="R187" s="64" t="e">
        <f t="shared" si="49"/>
        <v>#DIV/0!</v>
      </c>
      <c r="S187" s="64" t="e">
        <f t="shared" si="50"/>
        <v>#DIV/0!</v>
      </c>
      <c r="T187" s="67" t="e">
        <f t="shared" si="51"/>
        <v>#DIV/0!</v>
      </c>
      <c r="U187" s="64" t="e">
        <f t="shared" si="52"/>
        <v>#DIV/0!</v>
      </c>
      <c r="V187" s="69" t="e">
        <f t="shared" si="53"/>
        <v>#DIV/0!</v>
      </c>
    </row>
    <row r="188" spans="1:22" x14ac:dyDescent="0.3">
      <c r="A188" s="61" t="s">
        <v>316</v>
      </c>
      <c r="B188" s="62" t="s">
        <v>317</v>
      </c>
      <c r="C188" s="62" t="s">
        <v>318</v>
      </c>
      <c r="D188" s="62" t="s">
        <v>561</v>
      </c>
      <c r="E188" s="63" t="s">
        <v>562</v>
      </c>
      <c r="F188" s="62" t="s">
        <v>357</v>
      </c>
      <c r="G188" s="62" t="s">
        <v>209</v>
      </c>
      <c r="H188" s="62" t="s">
        <v>17</v>
      </c>
      <c r="I188" s="62" t="s">
        <v>210</v>
      </c>
      <c r="J188" s="63" t="s">
        <v>211</v>
      </c>
      <c r="K188" s="62" t="s">
        <v>317</v>
      </c>
      <c r="L188" s="64">
        <v>12.03</v>
      </c>
      <c r="M188" s="64">
        <f t="shared" si="48"/>
        <v>2.4060000000000001</v>
      </c>
      <c r="N188" s="65">
        <f>prodnorm10</f>
        <v>0</v>
      </c>
      <c r="O188" s="66">
        <f>dagwerk10</f>
        <v>0</v>
      </c>
      <c r="P188" s="62" t="s">
        <v>40</v>
      </c>
      <c r="Q188" s="67">
        <f>uurtarief10</f>
        <v>0</v>
      </c>
      <c r="R188" s="64" t="e">
        <f t="shared" si="49"/>
        <v>#DIV/0!</v>
      </c>
      <c r="S188" s="64" t="e">
        <f t="shared" si="50"/>
        <v>#DIV/0!</v>
      </c>
      <c r="T188" s="67" t="e">
        <f t="shared" si="51"/>
        <v>#DIV/0!</v>
      </c>
      <c r="U188" s="64" t="e">
        <f t="shared" si="52"/>
        <v>#DIV/0!</v>
      </c>
      <c r="V188" s="69" t="e">
        <f t="shared" si="53"/>
        <v>#DIV/0!</v>
      </c>
    </row>
    <row r="189" spans="1:22" ht="28.8" x14ac:dyDescent="0.3">
      <c r="A189" s="61" t="s">
        <v>316</v>
      </c>
      <c r="B189" s="62" t="s">
        <v>317</v>
      </c>
      <c r="C189" s="62" t="s">
        <v>318</v>
      </c>
      <c r="D189" s="62" t="s">
        <v>563</v>
      </c>
      <c r="E189" s="63" t="s">
        <v>564</v>
      </c>
      <c r="F189" s="62" t="s">
        <v>389</v>
      </c>
      <c r="G189" s="62" t="s">
        <v>295</v>
      </c>
      <c r="H189" s="62" t="s">
        <v>24</v>
      </c>
      <c r="I189" s="62" t="s">
        <v>289</v>
      </c>
      <c r="J189" s="63" t="s">
        <v>296</v>
      </c>
      <c r="K189" s="62" t="s">
        <v>317</v>
      </c>
      <c r="L189" s="64">
        <v>407.95</v>
      </c>
      <c r="M189" s="64">
        <f t="shared" si="48"/>
        <v>3.8852380952380954</v>
      </c>
      <c r="N189" s="65">
        <f>prodnorm9</f>
        <v>0</v>
      </c>
      <c r="O189" s="66">
        <f>dagwerk9</f>
        <v>0</v>
      </c>
      <c r="P189" s="62" t="s">
        <v>40</v>
      </c>
      <c r="Q189" s="67">
        <f>uurtarief9</f>
        <v>0</v>
      </c>
      <c r="R189" s="64" t="e">
        <f t="shared" si="49"/>
        <v>#DIV/0!</v>
      </c>
      <c r="S189" s="64" t="e">
        <f t="shared" si="50"/>
        <v>#DIV/0!</v>
      </c>
      <c r="T189" s="67" t="e">
        <f t="shared" si="51"/>
        <v>#DIV/0!</v>
      </c>
      <c r="U189" s="64" t="e">
        <f t="shared" si="52"/>
        <v>#DIV/0!</v>
      </c>
      <c r="V189" s="69" t="e">
        <f t="shared" si="53"/>
        <v>#DIV/0!</v>
      </c>
    </row>
    <row r="190" spans="1:22" x14ac:dyDescent="0.3">
      <c r="A190" s="61" t="s">
        <v>316</v>
      </c>
      <c r="B190" s="62" t="s">
        <v>317</v>
      </c>
      <c r="C190" s="62" t="s">
        <v>318</v>
      </c>
      <c r="D190" s="62" t="s">
        <v>563</v>
      </c>
      <c r="E190" s="63" t="s">
        <v>564</v>
      </c>
      <c r="F190" s="62" t="s">
        <v>389</v>
      </c>
      <c r="G190" s="62" t="s">
        <v>260</v>
      </c>
      <c r="H190" s="62" t="s">
        <v>11</v>
      </c>
      <c r="I190" s="62" t="s">
        <v>210</v>
      </c>
      <c r="J190" s="63" t="s">
        <v>261</v>
      </c>
      <c r="K190" s="62" t="s">
        <v>317</v>
      </c>
      <c r="L190" s="64">
        <v>407.95</v>
      </c>
      <c r="M190" s="64">
        <f t="shared" si="48"/>
        <v>407.95</v>
      </c>
      <c r="N190" s="65">
        <f>prodnorm36</f>
        <v>0</v>
      </c>
      <c r="O190" s="66">
        <f>dagwerk36</f>
        <v>0</v>
      </c>
      <c r="P190" s="62" t="s">
        <v>40</v>
      </c>
      <c r="Q190" s="67">
        <f>uurtarief36</f>
        <v>0</v>
      </c>
      <c r="R190" s="64" t="e">
        <f t="shared" si="49"/>
        <v>#DIV/0!</v>
      </c>
      <c r="S190" s="64" t="e">
        <f t="shared" si="50"/>
        <v>#DIV/0!</v>
      </c>
      <c r="T190" s="67" t="e">
        <f t="shared" si="51"/>
        <v>#DIV/0!</v>
      </c>
      <c r="U190" s="64" t="e">
        <f t="shared" si="52"/>
        <v>#DIV/0!</v>
      </c>
      <c r="V190" s="69" t="e">
        <f t="shared" si="53"/>
        <v>#DIV/0!</v>
      </c>
    </row>
    <row r="191" spans="1:22" ht="28.8" x14ac:dyDescent="0.3">
      <c r="A191" s="61" t="s">
        <v>316</v>
      </c>
      <c r="B191" s="62" t="s">
        <v>317</v>
      </c>
      <c r="C191" s="62" t="s">
        <v>318</v>
      </c>
      <c r="D191" s="62" t="s">
        <v>565</v>
      </c>
      <c r="E191" s="63" t="s">
        <v>566</v>
      </c>
      <c r="F191" s="62" t="s">
        <v>389</v>
      </c>
      <c r="G191" s="62" t="s">
        <v>295</v>
      </c>
      <c r="H191" s="62" t="s">
        <v>24</v>
      </c>
      <c r="I191" s="62" t="s">
        <v>289</v>
      </c>
      <c r="J191" s="63" t="s">
        <v>296</v>
      </c>
      <c r="K191" s="62" t="s">
        <v>317</v>
      </c>
      <c r="L191" s="64">
        <v>11.83</v>
      </c>
      <c r="M191" s="64">
        <f t="shared" si="48"/>
        <v>0.11266666666666668</v>
      </c>
      <c r="N191" s="65">
        <f>prodnorm9</f>
        <v>0</v>
      </c>
      <c r="O191" s="66">
        <f>dagwerk9</f>
        <v>0</v>
      </c>
      <c r="P191" s="62" t="s">
        <v>40</v>
      </c>
      <c r="Q191" s="67">
        <f>uurtarief9</f>
        <v>0</v>
      </c>
      <c r="R191" s="64" t="e">
        <f t="shared" si="49"/>
        <v>#DIV/0!</v>
      </c>
      <c r="S191" s="64" t="e">
        <f t="shared" si="50"/>
        <v>#DIV/0!</v>
      </c>
      <c r="T191" s="67" t="e">
        <f t="shared" si="51"/>
        <v>#DIV/0!</v>
      </c>
      <c r="U191" s="64" t="e">
        <f t="shared" si="52"/>
        <v>#DIV/0!</v>
      </c>
      <c r="V191" s="69" t="e">
        <f t="shared" si="53"/>
        <v>#DIV/0!</v>
      </c>
    </row>
    <row r="192" spans="1:22" x14ac:dyDescent="0.3">
      <c r="A192" s="61" t="s">
        <v>316</v>
      </c>
      <c r="B192" s="62" t="s">
        <v>317</v>
      </c>
      <c r="C192" s="62" t="s">
        <v>318</v>
      </c>
      <c r="D192" s="62" t="s">
        <v>565</v>
      </c>
      <c r="E192" s="63" t="s">
        <v>566</v>
      </c>
      <c r="F192" s="62" t="s">
        <v>389</v>
      </c>
      <c r="G192" s="62" t="s">
        <v>260</v>
      </c>
      <c r="H192" s="62" t="s">
        <v>11</v>
      </c>
      <c r="I192" s="62" t="s">
        <v>210</v>
      </c>
      <c r="J192" s="63" t="s">
        <v>261</v>
      </c>
      <c r="K192" s="62" t="s">
        <v>317</v>
      </c>
      <c r="L192" s="64">
        <v>11.83</v>
      </c>
      <c r="M192" s="64">
        <f t="shared" si="48"/>
        <v>11.83</v>
      </c>
      <c r="N192" s="65">
        <f>prodnorm36</f>
        <v>0</v>
      </c>
      <c r="O192" s="66">
        <f>dagwerk36</f>
        <v>0</v>
      </c>
      <c r="P192" s="62" t="s">
        <v>40</v>
      </c>
      <c r="Q192" s="67">
        <f>uurtarief36</f>
        <v>0</v>
      </c>
      <c r="R192" s="64" t="e">
        <f t="shared" si="49"/>
        <v>#DIV/0!</v>
      </c>
      <c r="S192" s="64" t="e">
        <f t="shared" si="50"/>
        <v>#DIV/0!</v>
      </c>
      <c r="T192" s="67" t="e">
        <f t="shared" si="51"/>
        <v>#DIV/0!</v>
      </c>
      <c r="U192" s="64" t="e">
        <f t="shared" si="52"/>
        <v>#DIV/0!</v>
      </c>
      <c r="V192" s="69" t="e">
        <f t="shared" si="53"/>
        <v>#DIV/0!</v>
      </c>
    </row>
    <row r="193" spans="1:22" ht="28.8" x14ac:dyDescent="0.3">
      <c r="A193" s="61" t="s">
        <v>316</v>
      </c>
      <c r="B193" s="62" t="s">
        <v>317</v>
      </c>
      <c r="C193" s="62" t="s">
        <v>318</v>
      </c>
      <c r="D193" s="62" t="s">
        <v>567</v>
      </c>
      <c r="E193" s="63" t="s">
        <v>568</v>
      </c>
      <c r="F193" s="62" t="s">
        <v>389</v>
      </c>
      <c r="G193" s="62" t="s">
        <v>295</v>
      </c>
      <c r="H193" s="62" t="s">
        <v>24</v>
      </c>
      <c r="I193" s="62" t="s">
        <v>289</v>
      </c>
      <c r="J193" s="63" t="s">
        <v>296</v>
      </c>
      <c r="K193" s="62" t="s">
        <v>317</v>
      </c>
      <c r="L193" s="64">
        <v>12.09</v>
      </c>
      <c r="M193" s="64">
        <f t="shared" si="48"/>
        <v>0.11514285714285716</v>
      </c>
      <c r="N193" s="65">
        <f>prodnorm9</f>
        <v>0</v>
      </c>
      <c r="O193" s="66">
        <f>dagwerk9</f>
        <v>0</v>
      </c>
      <c r="P193" s="62" t="s">
        <v>40</v>
      </c>
      <c r="Q193" s="67">
        <f>uurtarief9</f>
        <v>0</v>
      </c>
      <c r="R193" s="64" t="e">
        <f t="shared" si="49"/>
        <v>#DIV/0!</v>
      </c>
      <c r="S193" s="64" t="e">
        <f t="shared" si="50"/>
        <v>#DIV/0!</v>
      </c>
      <c r="T193" s="67" t="e">
        <f t="shared" si="51"/>
        <v>#DIV/0!</v>
      </c>
      <c r="U193" s="64" t="e">
        <f t="shared" si="52"/>
        <v>#DIV/0!</v>
      </c>
      <c r="V193" s="69" t="e">
        <f t="shared" si="53"/>
        <v>#DIV/0!</v>
      </c>
    </row>
    <row r="194" spans="1:22" x14ac:dyDescent="0.3">
      <c r="A194" s="61" t="s">
        <v>316</v>
      </c>
      <c r="B194" s="62" t="s">
        <v>317</v>
      </c>
      <c r="C194" s="62" t="s">
        <v>318</v>
      </c>
      <c r="D194" s="62" t="s">
        <v>567</v>
      </c>
      <c r="E194" s="63" t="s">
        <v>568</v>
      </c>
      <c r="F194" s="62" t="s">
        <v>389</v>
      </c>
      <c r="G194" s="62" t="s">
        <v>260</v>
      </c>
      <c r="H194" s="62" t="s">
        <v>11</v>
      </c>
      <c r="I194" s="62" t="s">
        <v>210</v>
      </c>
      <c r="J194" s="63" t="s">
        <v>261</v>
      </c>
      <c r="K194" s="62" t="s">
        <v>317</v>
      </c>
      <c r="L194" s="64">
        <v>12.09</v>
      </c>
      <c r="M194" s="64">
        <f t="shared" si="48"/>
        <v>12.09</v>
      </c>
      <c r="N194" s="65">
        <f>prodnorm36</f>
        <v>0</v>
      </c>
      <c r="O194" s="66">
        <f>dagwerk36</f>
        <v>0</v>
      </c>
      <c r="P194" s="62" t="s">
        <v>40</v>
      </c>
      <c r="Q194" s="67">
        <f>uurtarief36</f>
        <v>0</v>
      </c>
      <c r="R194" s="64" t="e">
        <f t="shared" si="49"/>
        <v>#DIV/0!</v>
      </c>
      <c r="S194" s="64" t="e">
        <f t="shared" si="50"/>
        <v>#DIV/0!</v>
      </c>
      <c r="T194" s="67" t="e">
        <f t="shared" si="51"/>
        <v>#DIV/0!</v>
      </c>
      <c r="U194" s="64" t="e">
        <f t="shared" si="52"/>
        <v>#DIV/0!</v>
      </c>
      <c r="V194" s="69" t="e">
        <f t="shared" si="53"/>
        <v>#DIV/0!</v>
      </c>
    </row>
    <row r="195" spans="1:22" x14ac:dyDescent="0.3">
      <c r="A195" s="61" t="s">
        <v>316</v>
      </c>
      <c r="B195" s="62" t="s">
        <v>317</v>
      </c>
      <c r="C195" s="62" t="s">
        <v>318</v>
      </c>
      <c r="D195" s="62" t="s">
        <v>569</v>
      </c>
      <c r="E195" s="63" t="s">
        <v>570</v>
      </c>
      <c r="F195" s="62" t="s">
        <v>322</v>
      </c>
      <c r="G195" s="62" t="s">
        <v>323</v>
      </c>
      <c r="H195" s="62"/>
      <c r="I195" s="62"/>
      <c r="J195" s="62"/>
      <c r="K195" s="62" t="s">
        <v>317</v>
      </c>
      <c r="L195" s="64">
        <v>5.51</v>
      </c>
      <c r="M195" s="64"/>
      <c r="N195" s="65"/>
      <c r="O195" s="66"/>
      <c r="P195" s="62"/>
      <c r="Q195" s="67"/>
      <c r="R195" s="64"/>
      <c r="S195" s="64"/>
      <c r="T195" s="67"/>
      <c r="U195" s="68"/>
      <c r="V195" s="69"/>
    </row>
    <row r="196" spans="1:22" x14ac:dyDescent="0.3">
      <c r="A196" s="61" t="s">
        <v>316</v>
      </c>
      <c r="B196" s="62" t="s">
        <v>317</v>
      </c>
      <c r="C196" s="62" t="s">
        <v>318</v>
      </c>
      <c r="D196" s="62" t="s">
        <v>571</v>
      </c>
      <c r="E196" s="63" t="s">
        <v>572</v>
      </c>
      <c r="F196" s="62" t="s">
        <v>317</v>
      </c>
      <c r="G196" s="62" t="s">
        <v>280</v>
      </c>
      <c r="H196" s="62" t="s">
        <v>11</v>
      </c>
      <c r="I196" s="62" t="s">
        <v>210</v>
      </c>
      <c r="J196" s="63" t="s">
        <v>281</v>
      </c>
      <c r="K196" s="62" t="s">
        <v>317</v>
      </c>
      <c r="L196" s="64">
        <v>2.96</v>
      </c>
      <c r="M196" s="64">
        <f>L196*VLOOKUP(H196,dagsoorttabel1,2,FALSE)</f>
        <v>2.96</v>
      </c>
      <c r="N196" s="65">
        <f>prodnorm46</f>
        <v>0</v>
      </c>
      <c r="O196" s="66">
        <f>dagwerk46</f>
        <v>0</v>
      </c>
      <c r="P196" s="62" t="s">
        <v>40</v>
      </c>
      <c r="Q196" s="67">
        <f>uurtarief46</f>
        <v>0</v>
      </c>
      <c r="R196" s="64" t="e">
        <f>IF(ISBLANK(N196),0,M196/ROUND(N196,4))</f>
        <v>#DIV/0!</v>
      </c>
      <c r="S196" s="64" t="e">
        <f>IF(ISBLANK(N196),0,R196*ROUND(O196,2))</f>
        <v>#DIV/0!</v>
      </c>
      <c r="T196" s="67" t="e">
        <f>ROUND(Q196,2)*R196</f>
        <v>#DIV/0!</v>
      </c>
      <c r="U196" s="64" t="e">
        <f>R196*dagenperjaar1</f>
        <v>#DIV/0!</v>
      </c>
      <c r="V196" s="69" t="e">
        <f>U196*ROUND(Q196,2)</f>
        <v>#DIV/0!</v>
      </c>
    </row>
    <row r="197" spans="1:22" x14ac:dyDescent="0.3">
      <c r="A197" s="61" t="s">
        <v>316</v>
      </c>
      <c r="B197" s="62" t="s">
        <v>317</v>
      </c>
      <c r="C197" s="62" t="s">
        <v>318</v>
      </c>
      <c r="D197" s="62" t="s">
        <v>573</v>
      </c>
      <c r="E197" s="63" t="s">
        <v>352</v>
      </c>
      <c r="F197" s="62" t="s">
        <v>353</v>
      </c>
      <c r="G197" s="62" t="s">
        <v>266</v>
      </c>
      <c r="H197" s="62" t="s">
        <v>11</v>
      </c>
      <c r="I197" s="62" t="s">
        <v>210</v>
      </c>
      <c r="J197" s="63" t="s">
        <v>267</v>
      </c>
      <c r="K197" s="62" t="s">
        <v>317</v>
      </c>
      <c r="L197" s="64">
        <v>11.15</v>
      </c>
      <c r="M197" s="64">
        <f>L197*VLOOKUP(H197,dagsoorttabel1,2,FALSE)</f>
        <v>11.15</v>
      </c>
      <c r="N197" s="65">
        <f>prodnorm39</f>
        <v>0</v>
      </c>
      <c r="O197" s="66">
        <f>dagwerk39</f>
        <v>0</v>
      </c>
      <c r="P197" s="62" t="s">
        <v>40</v>
      </c>
      <c r="Q197" s="67">
        <f>uurtarief39</f>
        <v>0</v>
      </c>
      <c r="R197" s="64" t="e">
        <f>IF(ISBLANK(N197),0,M197/ROUND(N197,4))</f>
        <v>#DIV/0!</v>
      </c>
      <c r="S197" s="64" t="e">
        <f>IF(ISBLANK(N197),0,R197*ROUND(O197,2))</f>
        <v>#DIV/0!</v>
      </c>
      <c r="T197" s="67" t="e">
        <f>ROUND(Q197,2)*R197</f>
        <v>#DIV/0!</v>
      </c>
      <c r="U197" s="64" t="e">
        <f>R197*dagenperjaar1</f>
        <v>#DIV/0!</v>
      </c>
      <c r="V197" s="69" t="e">
        <f>U197*ROUND(Q197,2)</f>
        <v>#DIV/0!</v>
      </c>
    </row>
    <row r="198" spans="1:22" x14ac:dyDescent="0.3">
      <c r="A198" s="61" t="s">
        <v>316</v>
      </c>
      <c r="B198" s="62" t="s">
        <v>317</v>
      </c>
      <c r="C198" s="62" t="s">
        <v>318</v>
      </c>
      <c r="D198" s="62" t="s">
        <v>573</v>
      </c>
      <c r="E198" s="63" t="s">
        <v>352</v>
      </c>
      <c r="F198" s="62" t="s">
        <v>353</v>
      </c>
      <c r="G198" s="62" t="s">
        <v>268</v>
      </c>
      <c r="H198" s="62" t="s">
        <v>11</v>
      </c>
      <c r="I198" s="62" t="s">
        <v>210</v>
      </c>
      <c r="J198" s="63" t="s">
        <v>269</v>
      </c>
      <c r="K198" s="62" t="s">
        <v>317</v>
      </c>
      <c r="L198" s="64">
        <v>11.15</v>
      </c>
      <c r="M198" s="64">
        <f>L198*VLOOKUP(H198,dagsoorttabel1,2,FALSE)</f>
        <v>11.15</v>
      </c>
      <c r="N198" s="65">
        <f>prodnorm40</f>
        <v>0</v>
      </c>
      <c r="O198" s="66">
        <f>dagwerk40</f>
        <v>0</v>
      </c>
      <c r="P198" s="62" t="s">
        <v>40</v>
      </c>
      <c r="Q198" s="67">
        <f>uurtarief40</f>
        <v>0</v>
      </c>
      <c r="R198" s="64" t="e">
        <f>IF(ISBLANK(N198),0,M198/ROUND(N198,4))</f>
        <v>#DIV/0!</v>
      </c>
      <c r="S198" s="64" t="e">
        <f>IF(ISBLANK(N198),0,R198*ROUND(O198,2))</f>
        <v>#DIV/0!</v>
      </c>
      <c r="T198" s="67" t="e">
        <f>ROUND(Q198,2)*R198</f>
        <v>#DIV/0!</v>
      </c>
      <c r="U198" s="64" t="e">
        <f>R198*dagenperjaar1</f>
        <v>#DIV/0!</v>
      </c>
      <c r="V198" s="69" t="e">
        <f>U198*ROUND(Q198,2)</f>
        <v>#DIV/0!</v>
      </c>
    </row>
    <row r="199" spans="1:22" x14ac:dyDescent="0.3">
      <c r="A199" s="61" t="s">
        <v>316</v>
      </c>
      <c r="B199" s="62" t="s">
        <v>317</v>
      </c>
      <c r="C199" s="62" t="s">
        <v>318</v>
      </c>
      <c r="D199" s="62" t="s">
        <v>574</v>
      </c>
      <c r="E199" s="63" t="s">
        <v>575</v>
      </c>
      <c r="F199" s="62" t="s">
        <v>365</v>
      </c>
      <c r="G199" s="62" t="s">
        <v>323</v>
      </c>
      <c r="H199" s="62"/>
      <c r="I199" s="62"/>
      <c r="J199" s="62"/>
      <c r="K199" s="62" t="s">
        <v>317</v>
      </c>
      <c r="L199" s="64">
        <v>6.4300000000000006</v>
      </c>
      <c r="M199" s="64"/>
      <c r="N199" s="65"/>
      <c r="O199" s="66"/>
      <c r="P199" s="62"/>
      <c r="Q199" s="67"/>
      <c r="R199" s="64"/>
      <c r="S199" s="64"/>
      <c r="T199" s="67"/>
      <c r="U199" s="68"/>
      <c r="V199" s="69"/>
    </row>
    <row r="200" spans="1:22" x14ac:dyDescent="0.3">
      <c r="A200" s="61" t="s">
        <v>316</v>
      </c>
      <c r="B200" s="62" t="s">
        <v>317</v>
      </c>
      <c r="C200" s="62" t="s">
        <v>318</v>
      </c>
      <c r="D200" s="62" t="s">
        <v>576</v>
      </c>
      <c r="E200" s="63" t="s">
        <v>321</v>
      </c>
      <c r="F200" s="62" t="s">
        <v>389</v>
      </c>
      <c r="G200" s="62" t="s">
        <v>323</v>
      </c>
      <c r="H200" s="62"/>
      <c r="I200" s="62"/>
      <c r="J200" s="62"/>
      <c r="K200" s="62" t="s">
        <v>317</v>
      </c>
      <c r="L200" s="64">
        <v>6.4300000000000006</v>
      </c>
      <c r="M200" s="64"/>
      <c r="N200" s="65"/>
      <c r="O200" s="66"/>
      <c r="P200" s="62"/>
      <c r="Q200" s="67"/>
      <c r="R200" s="64"/>
      <c r="S200" s="64"/>
      <c r="T200" s="67"/>
      <c r="U200" s="68"/>
      <c r="V200" s="69"/>
    </row>
    <row r="201" spans="1:22" x14ac:dyDescent="0.3">
      <c r="A201" s="61" t="s">
        <v>316</v>
      </c>
      <c r="B201" s="62" t="s">
        <v>317</v>
      </c>
      <c r="C201" s="62" t="s">
        <v>318</v>
      </c>
      <c r="D201" s="62" t="s">
        <v>577</v>
      </c>
      <c r="E201" s="63" t="s">
        <v>578</v>
      </c>
      <c r="F201" s="62" t="s">
        <v>353</v>
      </c>
      <c r="G201" s="62" t="s">
        <v>266</v>
      </c>
      <c r="H201" s="62" t="s">
        <v>11</v>
      </c>
      <c r="I201" s="62" t="s">
        <v>210</v>
      </c>
      <c r="J201" s="63" t="s">
        <v>267</v>
      </c>
      <c r="K201" s="62" t="s">
        <v>317</v>
      </c>
      <c r="L201" s="64">
        <v>11.04</v>
      </c>
      <c r="M201" s="64">
        <f t="shared" ref="M201:M211" si="54">L201*VLOOKUP(H201,dagsoorttabel1,2,FALSE)</f>
        <v>11.04</v>
      </c>
      <c r="N201" s="65">
        <f>prodnorm39</f>
        <v>0</v>
      </c>
      <c r="O201" s="66">
        <f>dagwerk39</f>
        <v>0</v>
      </c>
      <c r="P201" s="62" t="s">
        <v>40</v>
      </c>
      <c r="Q201" s="67">
        <f>uurtarief39</f>
        <v>0</v>
      </c>
      <c r="R201" s="64" t="e">
        <f t="shared" ref="R201:R211" si="55">IF(ISBLANK(N201),0,M201/ROUND(N201,4))</f>
        <v>#DIV/0!</v>
      </c>
      <c r="S201" s="64" t="e">
        <f t="shared" ref="S201:S211" si="56">IF(ISBLANK(N201),0,R201*ROUND(O201,2))</f>
        <v>#DIV/0!</v>
      </c>
      <c r="T201" s="67" t="e">
        <f t="shared" ref="T201:T211" si="57">ROUND(Q201,2)*R201</f>
        <v>#DIV/0!</v>
      </c>
      <c r="U201" s="64" t="e">
        <f t="shared" ref="U201:U211" si="58">R201*dagenperjaar1</f>
        <v>#DIV/0!</v>
      </c>
      <c r="V201" s="69" t="e">
        <f t="shared" ref="V201:V211" si="59">U201*ROUND(Q201,2)</f>
        <v>#DIV/0!</v>
      </c>
    </row>
    <row r="202" spans="1:22" x14ac:dyDescent="0.3">
      <c r="A202" s="61" t="s">
        <v>316</v>
      </c>
      <c r="B202" s="62" t="s">
        <v>317</v>
      </c>
      <c r="C202" s="62" t="s">
        <v>318</v>
      </c>
      <c r="D202" s="62" t="s">
        <v>577</v>
      </c>
      <c r="E202" s="63" t="s">
        <v>578</v>
      </c>
      <c r="F202" s="62" t="s">
        <v>353</v>
      </c>
      <c r="G202" s="62" t="s">
        <v>268</v>
      </c>
      <c r="H202" s="62" t="s">
        <v>11</v>
      </c>
      <c r="I202" s="62" t="s">
        <v>210</v>
      </c>
      <c r="J202" s="63" t="s">
        <v>269</v>
      </c>
      <c r="K202" s="62" t="s">
        <v>317</v>
      </c>
      <c r="L202" s="64">
        <v>11.04</v>
      </c>
      <c r="M202" s="64">
        <f t="shared" si="54"/>
        <v>11.04</v>
      </c>
      <c r="N202" s="65">
        <f>prodnorm40</f>
        <v>0</v>
      </c>
      <c r="O202" s="66">
        <f>dagwerk40</f>
        <v>0</v>
      </c>
      <c r="P202" s="62" t="s">
        <v>40</v>
      </c>
      <c r="Q202" s="67">
        <f>uurtarief40</f>
        <v>0</v>
      </c>
      <c r="R202" s="64" t="e">
        <f t="shared" si="55"/>
        <v>#DIV/0!</v>
      </c>
      <c r="S202" s="64" t="e">
        <f t="shared" si="56"/>
        <v>#DIV/0!</v>
      </c>
      <c r="T202" s="67" t="e">
        <f t="shared" si="57"/>
        <v>#DIV/0!</v>
      </c>
      <c r="U202" s="64" t="e">
        <f t="shared" si="58"/>
        <v>#DIV/0!</v>
      </c>
      <c r="V202" s="69" t="e">
        <f t="shared" si="59"/>
        <v>#DIV/0!</v>
      </c>
    </row>
    <row r="203" spans="1:22" x14ac:dyDescent="0.3">
      <c r="A203" s="61" t="s">
        <v>316</v>
      </c>
      <c r="B203" s="62" t="s">
        <v>317</v>
      </c>
      <c r="C203" s="62" t="s">
        <v>318</v>
      </c>
      <c r="D203" s="62" t="s">
        <v>579</v>
      </c>
      <c r="E203" s="63" t="s">
        <v>580</v>
      </c>
      <c r="F203" s="62" t="s">
        <v>348</v>
      </c>
      <c r="G203" s="62" t="s">
        <v>212</v>
      </c>
      <c r="H203" s="62" t="s">
        <v>17</v>
      </c>
      <c r="I203" s="62" t="s">
        <v>210</v>
      </c>
      <c r="J203" s="63" t="s">
        <v>213</v>
      </c>
      <c r="K203" s="62" t="s">
        <v>317</v>
      </c>
      <c r="L203" s="64">
        <v>21.459999999999997</v>
      </c>
      <c r="M203" s="64">
        <f t="shared" si="54"/>
        <v>4.2919999999999998</v>
      </c>
      <c r="N203" s="65">
        <f>prodnorm11</f>
        <v>0</v>
      </c>
      <c r="O203" s="66">
        <f>dagwerk11</f>
        <v>0</v>
      </c>
      <c r="P203" s="62" t="s">
        <v>40</v>
      </c>
      <c r="Q203" s="67">
        <f>uurtarief11</f>
        <v>0</v>
      </c>
      <c r="R203" s="64" t="e">
        <f t="shared" si="55"/>
        <v>#DIV/0!</v>
      </c>
      <c r="S203" s="64" t="e">
        <f t="shared" si="56"/>
        <v>#DIV/0!</v>
      </c>
      <c r="T203" s="67" t="e">
        <f t="shared" si="57"/>
        <v>#DIV/0!</v>
      </c>
      <c r="U203" s="64" t="e">
        <f t="shared" si="58"/>
        <v>#DIV/0!</v>
      </c>
      <c r="V203" s="69" t="e">
        <f t="shared" si="59"/>
        <v>#DIV/0!</v>
      </c>
    </row>
    <row r="204" spans="1:22" x14ac:dyDescent="0.3">
      <c r="A204" s="61" t="s">
        <v>316</v>
      </c>
      <c r="B204" s="62" t="s">
        <v>317</v>
      </c>
      <c r="C204" s="62" t="s">
        <v>318</v>
      </c>
      <c r="D204" s="62" t="s">
        <v>581</v>
      </c>
      <c r="E204" s="63" t="s">
        <v>582</v>
      </c>
      <c r="F204" s="62" t="s">
        <v>348</v>
      </c>
      <c r="G204" s="62" t="s">
        <v>212</v>
      </c>
      <c r="H204" s="62" t="s">
        <v>17</v>
      </c>
      <c r="I204" s="62" t="s">
        <v>210</v>
      </c>
      <c r="J204" s="63" t="s">
        <v>213</v>
      </c>
      <c r="K204" s="62" t="s">
        <v>317</v>
      </c>
      <c r="L204" s="64">
        <v>84.11999999999999</v>
      </c>
      <c r="M204" s="64">
        <f t="shared" si="54"/>
        <v>16.823999999999998</v>
      </c>
      <c r="N204" s="65">
        <f>prodnorm11</f>
        <v>0</v>
      </c>
      <c r="O204" s="66">
        <f>dagwerk11</f>
        <v>0</v>
      </c>
      <c r="P204" s="62" t="s">
        <v>40</v>
      </c>
      <c r="Q204" s="67">
        <f>uurtarief11</f>
        <v>0</v>
      </c>
      <c r="R204" s="64" t="e">
        <f t="shared" si="55"/>
        <v>#DIV/0!</v>
      </c>
      <c r="S204" s="64" t="e">
        <f t="shared" si="56"/>
        <v>#DIV/0!</v>
      </c>
      <c r="T204" s="67" t="e">
        <f t="shared" si="57"/>
        <v>#DIV/0!</v>
      </c>
      <c r="U204" s="64" t="e">
        <f t="shared" si="58"/>
        <v>#DIV/0!</v>
      </c>
      <c r="V204" s="69" t="e">
        <f t="shared" si="59"/>
        <v>#DIV/0!</v>
      </c>
    </row>
    <row r="205" spans="1:22" x14ac:dyDescent="0.3">
      <c r="A205" s="61" t="s">
        <v>316</v>
      </c>
      <c r="B205" s="62" t="s">
        <v>317</v>
      </c>
      <c r="C205" s="62" t="s">
        <v>318</v>
      </c>
      <c r="D205" s="62" t="s">
        <v>583</v>
      </c>
      <c r="E205" s="63" t="s">
        <v>582</v>
      </c>
      <c r="F205" s="62" t="s">
        <v>348</v>
      </c>
      <c r="G205" s="62" t="s">
        <v>212</v>
      </c>
      <c r="H205" s="62" t="s">
        <v>17</v>
      </c>
      <c r="I205" s="62" t="s">
        <v>210</v>
      </c>
      <c r="J205" s="63" t="s">
        <v>213</v>
      </c>
      <c r="K205" s="62" t="s">
        <v>317</v>
      </c>
      <c r="L205" s="64">
        <v>21.36</v>
      </c>
      <c r="M205" s="64">
        <f t="shared" si="54"/>
        <v>4.2720000000000002</v>
      </c>
      <c r="N205" s="65">
        <f>prodnorm11</f>
        <v>0</v>
      </c>
      <c r="O205" s="66">
        <f>dagwerk11</f>
        <v>0</v>
      </c>
      <c r="P205" s="62" t="s">
        <v>40</v>
      </c>
      <c r="Q205" s="67">
        <f>uurtarief11</f>
        <v>0</v>
      </c>
      <c r="R205" s="64" t="e">
        <f t="shared" si="55"/>
        <v>#DIV/0!</v>
      </c>
      <c r="S205" s="64" t="e">
        <f t="shared" si="56"/>
        <v>#DIV/0!</v>
      </c>
      <c r="T205" s="67" t="e">
        <f t="shared" si="57"/>
        <v>#DIV/0!</v>
      </c>
      <c r="U205" s="64" t="e">
        <f t="shared" si="58"/>
        <v>#DIV/0!</v>
      </c>
      <c r="V205" s="69" t="e">
        <f t="shared" si="59"/>
        <v>#DIV/0!</v>
      </c>
    </row>
    <row r="206" spans="1:22" x14ac:dyDescent="0.3">
      <c r="A206" s="61" t="s">
        <v>316</v>
      </c>
      <c r="B206" s="62" t="s">
        <v>317</v>
      </c>
      <c r="C206" s="62" t="s">
        <v>318</v>
      </c>
      <c r="D206" s="62" t="s">
        <v>584</v>
      </c>
      <c r="E206" s="63" t="s">
        <v>582</v>
      </c>
      <c r="F206" s="62" t="s">
        <v>348</v>
      </c>
      <c r="G206" s="62" t="s">
        <v>212</v>
      </c>
      <c r="H206" s="62" t="s">
        <v>17</v>
      </c>
      <c r="I206" s="62" t="s">
        <v>210</v>
      </c>
      <c r="J206" s="63" t="s">
        <v>213</v>
      </c>
      <c r="K206" s="62" t="s">
        <v>317</v>
      </c>
      <c r="L206" s="64">
        <v>19.68</v>
      </c>
      <c r="M206" s="64">
        <f t="shared" si="54"/>
        <v>3.9359999999999999</v>
      </c>
      <c r="N206" s="65">
        <f>prodnorm11</f>
        <v>0</v>
      </c>
      <c r="O206" s="66">
        <f>dagwerk11</f>
        <v>0</v>
      </c>
      <c r="P206" s="62" t="s">
        <v>40</v>
      </c>
      <c r="Q206" s="67">
        <f>uurtarief11</f>
        <v>0</v>
      </c>
      <c r="R206" s="64" t="e">
        <f t="shared" si="55"/>
        <v>#DIV/0!</v>
      </c>
      <c r="S206" s="64" t="e">
        <f t="shared" si="56"/>
        <v>#DIV/0!</v>
      </c>
      <c r="T206" s="67" t="e">
        <f t="shared" si="57"/>
        <v>#DIV/0!</v>
      </c>
      <c r="U206" s="64" t="e">
        <f t="shared" si="58"/>
        <v>#DIV/0!</v>
      </c>
      <c r="V206" s="69" t="e">
        <f t="shared" si="59"/>
        <v>#DIV/0!</v>
      </c>
    </row>
    <row r="207" spans="1:22" x14ac:dyDescent="0.3">
      <c r="A207" s="61" t="s">
        <v>316</v>
      </c>
      <c r="B207" s="62" t="s">
        <v>317</v>
      </c>
      <c r="C207" s="62" t="s">
        <v>318</v>
      </c>
      <c r="D207" s="62" t="s">
        <v>585</v>
      </c>
      <c r="E207" s="63" t="s">
        <v>582</v>
      </c>
      <c r="F207" s="62" t="s">
        <v>348</v>
      </c>
      <c r="G207" s="62" t="s">
        <v>212</v>
      </c>
      <c r="H207" s="62" t="s">
        <v>17</v>
      </c>
      <c r="I207" s="62" t="s">
        <v>210</v>
      </c>
      <c r="J207" s="63" t="s">
        <v>213</v>
      </c>
      <c r="K207" s="62" t="s">
        <v>317</v>
      </c>
      <c r="L207" s="64">
        <v>29.54</v>
      </c>
      <c r="M207" s="64">
        <f t="shared" si="54"/>
        <v>5.9080000000000004</v>
      </c>
      <c r="N207" s="65">
        <f>prodnorm11</f>
        <v>0</v>
      </c>
      <c r="O207" s="66">
        <f>dagwerk11</f>
        <v>0</v>
      </c>
      <c r="P207" s="62" t="s">
        <v>40</v>
      </c>
      <c r="Q207" s="67">
        <f>uurtarief11</f>
        <v>0</v>
      </c>
      <c r="R207" s="64" t="e">
        <f t="shared" si="55"/>
        <v>#DIV/0!</v>
      </c>
      <c r="S207" s="64" t="e">
        <f t="shared" si="56"/>
        <v>#DIV/0!</v>
      </c>
      <c r="T207" s="67" t="e">
        <f t="shared" si="57"/>
        <v>#DIV/0!</v>
      </c>
      <c r="U207" s="64" t="e">
        <f t="shared" si="58"/>
        <v>#DIV/0!</v>
      </c>
      <c r="V207" s="69" t="e">
        <f t="shared" si="59"/>
        <v>#DIV/0!</v>
      </c>
    </row>
    <row r="208" spans="1:22" x14ac:dyDescent="0.3">
      <c r="A208" s="61" t="s">
        <v>316</v>
      </c>
      <c r="B208" s="62" t="s">
        <v>317</v>
      </c>
      <c r="C208" s="62" t="s">
        <v>318</v>
      </c>
      <c r="D208" s="62" t="s">
        <v>586</v>
      </c>
      <c r="E208" s="63" t="s">
        <v>400</v>
      </c>
      <c r="F208" s="62" t="s">
        <v>348</v>
      </c>
      <c r="G208" s="62" t="s">
        <v>216</v>
      </c>
      <c r="H208" s="62" t="s">
        <v>14</v>
      </c>
      <c r="I208" s="62" t="s">
        <v>210</v>
      </c>
      <c r="J208" s="63" t="s">
        <v>217</v>
      </c>
      <c r="K208" s="62" t="s">
        <v>317</v>
      </c>
      <c r="L208" s="64">
        <v>81.19</v>
      </c>
      <c r="M208" s="64">
        <f t="shared" si="54"/>
        <v>48.713999999999999</v>
      </c>
      <c r="N208" s="65">
        <f>prodnorm13</f>
        <v>0</v>
      </c>
      <c r="O208" s="66">
        <f>dagwerk13</f>
        <v>0</v>
      </c>
      <c r="P208" s="62" t="s">
        <v>40</v>
      </c>
      <c r="Q208" s="67">
        <f>uurtarief13</f>
        <v>0</v>
      </c>
      <c r="R208" s="64" t="e">
        <f t="shared" si="55"/>
        <v>#DIV/0!</v>
      </c>
      <c r="S208" s="64" t="e">
        <f t="shared" si="56"/>
        <v>#DIV/0!</v>
      </c>
      <c r="T208" s="67" t="e">
        <f t="shared" si="57"/>
        <v>#DIV/0!</v>
      </c>
      <c r="U208" s="64" t="e">
        <f t="shared" si="58"/>
        <v>#DIV/0!</v>
      </c>
      <c r="V208" s="69" t="e">
        <f t="shared" si="59"/>
        <v>#DIV/0!</v>
      </c>
    </row>
    <row r="209" spans="1:22" x14ac:dyDescent="0.3">
      <c r="A209" s="61" t="s">
        <v>316</v>
      </c>
      <c r="B209" s="62" t="s">
        <v>317</v>
      </c>
      <c r="C209" s="62" t="s">
        <v>318</v>
      </c>
      <c r="D209" s="62" t="s">
        <v>587</v>
      </c>
      <c r="E209" s="63" t="s">
        <v>582</v>
      </c>
      <c r="F209" s="62" t="s">
        <v>348</v>
      </c>
      <c r="G209" s="62" t="s">
        <v>212</v>
      </c>
      <c r="H209" s="62" t="s">
        <v>17</v>
      </c>
      <c r="I209" s="62" t="s">
        <v>210</v>
      </c>
      <c r="J209" s="63" t="s">
        <v>213</v>
      </c>
      <c r="K209" s="62" t="s">
        <v>317</v>
      </c>
      <c r="L209" s="64">
        <v>49.879999999999995</v>
      </c>
      <c r="M209" s="64">
        <f t="shared" si="54"/>
        <v>9.9759999999999991</v>
      </c>
      <c r="N209" s="65">
        <f>prodnorm11</f>
        <v>0</v>
      </c>
      <c r="O209" s="66">
        <f>dagwerk11</f>
        <v>0</v>
      </c>
      <c r="P209" s="62" t="s">
        <v>40</v>
      </c>
      <c r="Q209" s="67">
        <f>uurtarief11</f>
        <v>0</v>
      </c>
      <c r="R209" s="64" t="e">
        <f t="shared" si="55"/>
        <v>#DIV/0!</v>
      </c>
      <c r="S209" s="64" t="e">
        <f t="shared" si="56"/>
        <v>#DIV/0!</v>
      </c>
      <c r="T209" s="67" t="e">
        <f t="shared" si="57"/>
        <v>#DIV/0!</v>
      </c>
      <c r="U209" s="64" t="e">
        <f t="shared" si="58"/>
        <v>#DIV/0!</v>
      </c>
      <c r="V209" s="69" t="e">
        <f t="shared" si="59"/>
        <v>#DIV/0!</v>
      </c>
    </row>
    <row r="210" spans="1:22" x14ac:dyDescent="0.3">
      <c r="A210" s="61" t="s">
        <v>316</v>
      </c>
      <c r="B210" s="62" t="s">
        <v>317</v>
      </c>
      <c r="C210" s="62" t="s">
        <v>318</v>
      </c>
      <c r="D210" s="62" t="s">
        <v>588</v>
      </c>
      <c r="E210" s="63" t="s">
        <v>394</v>
      </c>
      <c r="F210" s="62" t="s">
        <v>348</v>
      </c>
      <c r="G210" s="62" t="s">
        <v>274</v>
      </c>
      <c r="H210" s="62" t="s">
        <v>11</v>
      </c>
      <c r="I210" s="62" t="s">
        <v>210</v>
      </c>
      <c r="J210" s="63" t="s">
        <v>275</v>
      </c>
      <c r="K210" s="62" t="s">
        <v>317</v>
      </c>
      <c r="L210" s="64">
        <v>64.669999999999987</v>
      </c>
      <c r="M210" s="64">
        <f t="shared" si="54"/>
        <v>64.669999999999987</v>
      </c>
      <c r="N210" s="65">
        <f>prodnorm43</f>
        <v>0</v>
      </c>
      <c r="O210" s="66">
        <f>dagwerk43</f>
        <v>0</v>
      </c>
      <c r="P210" s="62" t="s">
        <v>40</v>
      </c>
      <c r="Q210" s="67">
        <f>uurtarief43</f>
        <v>0</v>
      </c>
      <c r="R210" s="64" t="e">
        <f t="shared" si="55"/>
        <v>#DIV/0!</v>
      </c>
      <c r="S210" s="64" t="e">
        <f t="shared" si="56"/>
        <v>#DIV/0!</v>
      </c>
      <c r="T210" s="67" t="e">
        <f t="shared" si="57"/>
        <v>#DIV/0!</v>
      </c>
      <c r="U210" s="64" t="e">
        <f t="shared" si="58"/>
        <v>#DIV/0!</v>
      </c>
      <c r="V210" s="69" t="e">
        <f t="shared" si="59"/>
        <v>#DIV/0!</v>
      </c>
    </row>
    <row r="211" spans="1:22" x14ac:dyDescent="0.3">
      <c r="A211" s="61" t="s">
        <v>316</v>
      </c>
      <c r="B211" s="62" t="s">
        <v>317</v>
      </c>
      <c r="C211" s="62" t="s">
        <v>318</v>
      </c>
      <c r="D211" s="62" t="s">
        <v>589</v>
      </c>
      <c r="E211" s="63" t="s">
        <v>400</v>
      </c>
      <c r="F211" s="62" t="s">
        <v>348</v>
      </c>
      <c r="G211" s="62" t="s">
        <v>216</v>
      </c>
      <c r="H211" s="62" t="s">
        <v>14</v>
      </c>
      <c r="I211" s="62" t="s">
        <v>210</v>
      </c>
      <c r="J211" s="63" t="s">
        <v>217</v>
      </c>
      <c r="K211" s="62" t="s">
        <v>317</v>
      </c>
      <c r="L211" s="64">
        <v>10.77</v>
      </c>
      <c r="M211" s="64">
        <f t="shared" si="54"/>
        <v>6.4619999999999997</v>
      </c>
      <c r="N211" s="65">
        <f>prodnorm13</f>
        <v>0</v>
      </c>
      <c r="O211" s="66">
        <f>dagwerk13</f>
        <v>0</v>
      </c>
      <c r="P211" s="62" t="s">
        <v>40</v>
      </c>
      <c r="Q211" s="67">
        <f>uurtarief13</f>
        <v>0</v>
      </c>
      <c r="R211" s="64" t="e">
        <f t="shared" si="55"/>
        <v>#DIV/0!</v>
      </c>
      <c r="S211" s="64" t="e">
        <f t="shared" si="56"/>
        <v>#DIV/0!</v>
      </c>
      <c r="T211" s="67" t="e">
        <f t="shared" si="57"/>
        <v>#DIV/0!</v>
      </c>
      <c r="U211" s="64" t="e">
        <f t="shared" si="58"/>
        <v>#DIV/0!</v>
      </c>
      <c r="V211" s="69" t="e">
        <f t="shared" si="59"/>
        <v>#DIV/0!</v>
      </c>
    </row>
    <row r="212" spans="1:22" x14ac:dyDescent="0.3">
      <c r="A212" s="61" t="s">
        <v>316</v>
      </c>
      <c r="B212" s="62" t="s">
        <v>317</v>
      </c>
      <c r="C212" s="62" t="s">
        <v>318</v>
      </c>
      <c r="D212" s="62" t="s">
        <v>590</v>
      </c>
      <c r="E212" s="63" t="s">
        <v>374</v>
      </c>
      <c r="F212" s="62" t="s">
        <v>348</v>
      </c>
      <c r="G212" s="62" t="s">
        <v>323</v>
      </c>
      <c r="H212" s="62"/>
      <c r="I212" s="62"/>
      <c r="J212" s="62"/>
      <c r="K212" s="62" t="s">
        <v>317</v>
      </c>
      <c r="L212" s="64">
        <v>0.47000000000000003</v>
      </c>
      <c r="M212" s="64"/>
      <c r="N212" s="65"/>
      <c r="O212" s="66"/>
      <c r="P212" s="62"/>
      <c r="Q212" s="67"/>
      <c r="R212" s="64"/>
      <c r="S212" s="64"/>
      <c r="T212" s="67"/>
      <c r="U212" s="68"/>
      <c r="V212" s="69"/>
    </row>
    <row r="213" spans="1:22" x14ac:dyDescent="0.3">
      <c r="A213" s="61" t="s">
        <v>316</v>
      </c>
      <c r="B213" s="62" t="s">
        <v>317</v>
      </c>
      <c r="C213" s="62" t="s">
        <v>318</v>
      </c>
      <c r="D213" s="62" t="s">
        <v>591</v>
      </c>
      <c r="E213" s="63" t="s">
        <v>592</v>
      </c>
      <c r="F213" s="62" t="s">
        <v>348</v>
      </c>
      <c r="G213" s="62" t="s">
        <v>222</v>
      </c>
      <c r="H213" s="62" t="s">
        <v>11</v>
      </c>
      <c r="I213" s="62" t="s">
        <v>210</v>
      </c>
      <c r="J213" s="63" t="s">
        <v>223</v>
      </c>
      <c r="K213" s="62" t="s">
        <v>317</v>
      </c>
      <c r="L213" s="64">
        <v>28.85</v>
      </c>
      <c r="M213" s="64">
        <f>L213*VLOOKUP(H213,dagsoorttabel1,2,FALSE)</f>
        <v>28.85</v>
      </c>
      <c r="N213" s="65">
        <f>prodnorm16</f>
        <v>0</v>
      </c>
      <c r="O213" s="66">
        <f>dagwerk16</f>
        <v>0</v>
      </c>
      <c r="P213" s="62" t="s">
        <v>40</v>
      </c>
      <c r="Q213" s="67">
        <f>uurtarief16</f>
        <v>0</v>
      </c>
      <c r="R213" s="64" t="e">
        <f>IF(ISBLANK(N213),0,M213/ROUND(N213,4))</f>
        <v>#DIV/0!</v>
      </c>
      <c r="S213" s="64" t="e">
        <f>IF(ISBLANK(N213),0,R213*ROUND(O213,2))</f>
        <v>#DIV/0!</v>
      </c>
      <c r="T213" s="67" t="e">
        <f>ROUND(Q213,2)*R213</f>
        <v>#DIV/0!</v>
      </c>
      <c r="U213" s="64" t="e">
        <f>R213*dagenperjaar1</f>
        <v>#DIV/0!</v>
      </c>
      <c r="V213" s="69" t="e">
        <f>U213*ROUND(Q213,2)</f>
        <v>#DIV/0!</v>
      </c>
    </row>
    <row r="214" spans="1:22" x14ac:dyDescent="0.3">
      <c r="A214" s="61" t="s">
        <v>316</v>
      </c>
      <c r="B214" s="62" t="s">
        <v>317</v>
      </c>
      <c r="C214" s="62" t="s">
        <v>318</v>
      </c>
      <c r="D214" s="62" t="s">
        <v>593</v>
      </c>
      <c r="E214" s="63" t="s">
        <v>394</v>
      </c>
      <c r="F214" s="62" t="s">
        <v>389</v>
      </c>
      <c r="G214" s="62" t="s">
        <v>272</v>
      </c>
      <c r="H214" s="62" t="s">
        <v>11</v>
      </c>
      <c r="I214" s="62" t="s">
        <v>210</v>
      </c>
      <c r="J214" s="63" t="s">
        <v>273</v>
      </c>
      <c r="K214" s="62" t="s">
        <v>317</v>
      </c>
      <c r="L214" s="64">
        <v>8.77</v>
      </c>
      <c r="M214" s="64">
        <f>L214*VLOOKUP(H214,dagsoorttabel1,2,FALSE)</f>
        <v>8.77</v>
      </c>
      <c r="N214" s="65">
        <f>prodnorm42</f>
        <v>0</v>
      </c>
      <c r="O214" s="66">
        <f>dagwerk42</f>
        <v>0</v>
      </c>
      <c r="P214" s="62" t="s">
        <v>40</v>
      </c>
      <c r="Q214" s="67">
        <f>uurtarief42</f>
        <v>0</v>
      </c>
      <c r="R214" s="64" t="e">
        <f>IF(ISBLANK(N214),0,M214/ROUND(N214,4))</f>
        <v>#DIV/0!</v>
      </c>
      <c r="S214" s="64" t="e">
        <f>IF(ISBLANK(N214),0,R214*ROUND(O214,2))</f>
        <v>#DIV/0!</v>
      </c>
      <c r="T214" s="67" t="e">
        <f>ROUND(Q214,2)*R214</f>
        <v>#DIV/0!</v>
      </c>
      <c r="U214" s="64" t="e">
        <f>R214*dagenperjaar1</f>
        <v>#DIV/0!</v>
      </c>
      <c r="V214" s="69" t="e">
        <f>U214*ROUND(Q214,2)</f>
        <v>#DIV/0!</v>
      </c>
    </row>
    <row r="215" spans="1:22" x14ac:dyDescent="0.3">
      <c r="A215" s="61" t="s">
        <v>316</v>
      </c>
      <c r="B215" s="62" t="s">
        <v>317</v>
      </c>
      <c r="C215" s="62" t="s">
        <v>318</v>
      </c>
      <c r="D215" s="62" t="s">
        <v>594</v>
      </c>
      <c r="E215" s="63" t="s">
        <v>352</v>
      </c>
      <c r="F215" s="62" t="s">
        <v>353</v>
      </c>
      <c r="G215" s="62" t="s">
        <v>266</v>
      </c>
      <c r="H215" s="62" t="s">
        <v>11</v>
      </c>
      <c r="I215" s="62" t="s">
        <v>210</v>
      </c>
      <c r="J215" s="63" t="s">
        <v>267</v>
      </c>
      <c r="K215" s="62" t="s">
        <v>317</v>
      </c>
      <c r="L215" s="64">
        <v>4.28</v>
      </c>
      <c r="M215" s="64">
        <f>L215*VLOOKUP(H215,dagsoorttabel1,2,FALSE)</f>
        <v>4.28</v>
      </c>
      <c r="N215" s="65">
        <f>prodnorm39</f>
        <v>0</v>
      </c>
      <c r="O215" s="66">
        <f>dagwerk39</f>
        <v>0</v>
      </c>
      <c r="P215" s="62" t="s">
        <v>40</v>
      </c>
      <c r="Q215" s="67">
        <f>uurtarief39</f>
        <v>0</v>
      </c>
      <c r="R215" s="64" t="e">
        <f>IF(ISBLANK(N215),0,M215/ROUND(N215,4))</f>
        <v>#DIV/0!</v>
      </c>
      <c r="S215" s="64" t="e">
        <f>IF(ISBLANK(N215),0,R215*ROUND(O215,2))</f>
        <v>#DIV/0!</v>
      </c>
      <c r="T215" s="67" t="e">
        <f>ROUND(Q215,2)*R215</f>
        <v>#DIV/0!</v>
      </c>
      <c r="U215" s="64" t="e">
        <f>R215*dagenperjaar1</f>
        <v>#DIV/0!</v>
      </c>
      <c r="V215" s="69" t="e">
        <f>U215*ROUND(Q215,2)</f>
        <v>#DIV/0!</v>
      </c>
    </row>
    <row r="216" spans="1:22" x14ac:dyDescent="0.3">
      <c r="A216" s="61" t="s">
        <v>316</v>
      </c>
      <c r="B216" s="62" t="s">
        <v>317</v>
      </c>
      <c r="C216" s="62" t="s">
        <v>318</v>
      </c>
      <c r="D216" s="62" t="s">
        <v>595</v>
      </c>
      <c r="E216" s="63" t="s">
        <v>352</v>
      </c>
      <c r="F216" s="62" t="s">
        <v>353</v>
      </c>
      <c r="G216" s="62" t="s">
        <v>266</v>
      </c>
      <c r="H216" s="62" t="s">
        <v>11</v>
      </c>
      <c r="I216" s="62" t="s">
        <v>210</v>
      </c>
      <c r="J216" s="63" t="s">
        <v>267</v>
      </c>
      <c r="K216" s="62" t="s">
        <v>317</v>
      </c>
      <c r="L216" s="64">
        <v>5.7</v>
      </c>
      <c r="M216" s="64">
        <f>L216*VLOOKUP(H216,dagsoorttabel1,2,FALSE)</f>
        <v>5.7</v>
      </c>
      <c r="N216" s="65">
        <f>prodnorm39</f>
        <v>0</v>
      </c>
      <c r="O216" s="66">
        <f>dagwerk39</f>
        <v>0</v>
      </c>
      <c r="P216" s="62" t="s">
        <v>40</v>
      </c>
      <c r="Q216" s="67">
        <f>uurtarief39</f>
        <v>0</v>
      </c>
      <c r="R216" s="64" t="e">
        <f>IF(ISBLANK(N216),0,M216/ROUND(N216,4))</f>
        <v>#DIV/0!</v>
      </c>
      <c r="S216" s="64" t="e">
        <f>IF(ISBLANK(N216),0,R216*ROUND(O216,2))</f>
        <v>#DIV/0!</v>
      </c>
      <c r="T216" s="67" t="e">
        <f>ROUND(Q216,2)*R216</f>
        <v>#DIV/0!</v>
      </c>
      <c r="U216" s="64" t="e">
        <f>R216*dagenperjaar1</f>
        <v>#DIV/0!</v>
      </c>
      <c r="V216" s="69" t="e">
        <f>U216*ROUND(Q216,2)</f>
        <v>#DIV/0!</v>
      </c>
    </row>
    <row r="217" spans="1:22" x14ac:dyDescent="0.3">
      <c r="A217" s="61" t="s">
        <v>316</v>
      </c>
      <c r="B217" s="62" t="s">
        <v>317</v>
      </c>
      <c r="C217" s="62" t="s">
        <v>318</v>
      </c>
      <c r="D217" s="62" t="s">
        <v>596</v>
      </c>
      <c r="E217" s="63" t="s">
        <v>400</v>
      </c>
      <c r="F217" s="62" t="s">
        <v>389</v>
      </c>
      <c r="G217" s="62" t="s">
        <v>214</v>
      </c>
      <c r="H217" s="62" t="s">
        <v>14</v>
      </c>
      <c r="I217" s="62" t="s">
        <v>210</v>
      </c>
      <c r="J217" s="63" t="s">
        <v>215</v>
      </c>
      <c r="K217" s="62" t="s">
        <v>317</v>
      </c>
      <c r="L217" s="64">
        <v>73.179999999999993</v>
      </c>
      <c r="M217" s="64">
        <f>L217*VLOOKUP(H217,dagsoorttabel1,2,FALSE)</f>
        <v>43.907999999999994</v>
      </c>
      <c r="N217" s="65">
        <f>prodnorm12</f>
        <v>0</v>
      </c>
      <c r="O217" s="66">
        <f>dagwerk12</f>
        <v>0</v>
      </c>
      <c r="P217" s="62" t="s">
        <v>40</v>
      </c>
      <c r="Q217" s="67">
        <f>uurtarief12</f>
        <v>0</v>
      </c>
      <c r="R217" s="64" t="e">
        <f>IF(ISBLANK(N217),0,M217/ROUND(N217,4))</f>
        <v>#DIV/0!</v>
      </c>
      <c r="S217" s="64" t="e">
        <f>IF(ISBLANK(N217),0,R217*ROUND(O217,2))</f>
        <v>#DIV/0!</v>
      </c>
      <c r="T217" s="67" t="e">
        <f>ROUND(Q217,2)*R217</f>
        <v>#DIV/0!</v>
      </c>
      <c r="U217" s="64" t="e">
        <f>R217*dagenperjaar1</f>
        <v>#DIV/0!</v>
      </c>
      <c r="V217" s="69" t="e">
        <f>U217*ROUND(Q217,2)</f>
        <v>#DIV/0!</v>
      </c>
    </row>
    <row r="218" spans="1:22" x14ac:dyDescent="0.3">
      <c r="A218" s="61" t="s">
        <v>316</v>
      </c>
      <c r="B218" s="62" t="s">
        <v>317</v>
      </c>
      <c r="C218" s="62" t="s">
        <v>318</v>
      </c>
      <c r="D218" s="62" t="s">
        <v>597</v>
      </c>
      <c r="E218" s="63" t="s">
        <v>321</v>
      </c>
      <c r="F218" s="62" t="s">
        <v>389</v>
      </c>
      <c r="G218" s="62" t="s">
        <v>323</v>
      </c>
      <c r="H218" s="62"/>
      <c r="I218" s="62"/>
      <c r="J218" s="62"/>
      <c r="K218" s="62" t="s">
        <v>317</v>
      </c>
      <c r="L218" s="64">
        <v>11.2</v>
      </c>
      <c r="M218" s="64"/>
      <c r="N218" s="65"/>
      <c r="O218" s="66"/>
      <c r="P218" s="62"/>
      <c r="Q218" s="67"/>
      <c r="R218" s="64"/>
      <c r="S218" s="64"/>
      <c r="T218" s="67"/>
      <c r="U218" s="68"/>
      <c r="V218" s="69"/>
    </row>
    <row r="219" spans="1:22" x14ac:dyDescent="0.3">
      <c r="A219" s="61" t="s">
        <v>316</v>
      </c>
      <c r="B219" s="62" t="s">
        <v>317</v>
      </c>
      <c r="C219" s="62" t="s">
        <v>318</v>
      </c>
      <c r="D219" s="62" t="s">
        <v>598</v>
      </c>
      <c r="E219" s="63" t="s">
        <v>599</v>
      </c>
      <c r="F219" s="62" t="s">
        <v>389</v>
      </c>
      <c r="G219" s="62" t="s">
        <v>224</v>
      </c>
      <c r="H219" s="62" t="s">
        <v>14</v>
      </c>
      <c r="I219" s="62" t="s">
        <v>210</v>
      </c>
      <c r="J219" s="63" t="s">
        <v>225</v>
      </c>
      <c r="K219" s="62" t="s">
        <v>317</v>
      </c>
      <c r="L219" s="64">
        <v>229.08</v>
      </c>
      <c r="M219" s="64">
        <f>L219*VLOOKUP(H219,dagsoorttabel1,2,FALSE)</f>
        <v>137.44800000000001</v>
      </c>
      <c r="N219" s="65">
        <f>prodnorm17</f>
        <v>0</v>
      </c>
      <c r="O219" s="66">
        <f>dagwerk17</f>
        <v>0</v>
      </c>
      <c r="P219" s="62" t="s">
        <v>40</v>
      </c>
      <c r="Q219" s="67">
        <f>uurtarief17</f>
        <v>0</v>
      </c>
      <c r="R219" s="64" t="e">
        <f>IF(ISBLANK(N219),0,M219/ROUND(N219,4))</f>
        <v>#DIV/0!</v>
      </c>
      <c r="S219" s="64" t="e">
        <f>IF(ISBLANK(N219),0,R219*ROUND(O219,2))</f>
        <v>#DIV/0!</v>
      </c>
      <c r="T219" s="67" t="e">
        <f>ROUND(Q219,2)*R219</f>
        <v>#DIV/0!</v>
      </c>
      <c r="U219" s="64" t="e">
        <f>R219*dagenperjaar1</f>
        <v>#DIV/0!</v>
      </c>
      <c r="V219" s="69" t="e">
        <f>U219*ROUND(Q219,2)</f>
        <v>#DIV/0!</v>
      </c>
    </row>
    <row r="220" spans="1:22" x14ac:dyDescent="0.3">
      <c r="A220" s="61" t="s">
        <v>316</v>
      </c>
      <c r="B220" s="62" t="s">
        <v>317</v>
      </c>
      <c r="C220" s="62" t="s">
        <v>318</v>
      </c>
      <c r="D220" s="62" t="s">
        <v>600</v>
      </c>
      <c r="E220" s="63" t="s">
        <v>356</v>
      </c>
      <c r="F220" s="62" t="s">
        <v>389</v>
      </c>
      <c r="G220" s="62" t="s">
        <v>209</v>
      </c>
      <c r="H220" s="62" t="s">
        <v>17</v>
      </c>
      <c r="I220" s="62" t="s">
        <v>210</v>
      </c>
      <c r="J220" s="63" t="s">
        <v>211</v>
      </c>
      <c r="K220" s="62" t="s">
        <v>317</v>
      </c>
      <c r="L220" s="64">
        <v>76.98</v>
      </c>
      <c r="M220" s="64">
        <f>L220*VLOOKUP(H220,dagsoorttabel1,2,FALSE)</f>
        <v>15.396000000000001</v>
      </c>
      <c r="N220" s="65">
        <f>prodnorm10</f>
        <v>0</v>
      </c>
      <c r="O220" s="66">
        <f>dagwerk10</f>
        <v>0</v>
      </c>
      <c r="P220" s="62" t="s">
        <v>40</v>
      </c>
      <c r="Q220" s="67">
        <f>uurtarief10</f>
        <v>0</v>
      </c>
      <c r="R220" s="64" t="e">
        <f>IF(ISBLANK(N220),0,M220/ROUND(N220,4))</f>
        <v>#DIV/0!</v>
      </c>
      <c r="S220" s="64" t="e">
        <f>IF(ISBLANK(N220),0,R220*ROUND(O220,2))</f>
        <v>#DIV/0!</v>
      </c>
      <c r="T220" s="67" t="e">
        <f>ROUND(Q220,2)*R220</f>
        <v>#DIV/0!</v>
      </c>
      <c r="U220" s="64" t="e">
        <f>R220*dagenperjaar1</f>
        <v>#DIV/0!</v>
      </c>
      <c r="V220" s="69" t="e">
        <f>U220*ROUND(Q220,2)</f>
        <v>#DIV/0!</v>
      </c>
    </row>
    <row r="221" spans="1:22" x14ac:dyDescent="0.3">
      <c r="A221" s="61" t="s">
        <v>316</v>
      </c>
      <c r="B221" s="62" t="s">
        <v>317</v>
      </c>
      <c r="C221" s="62" t="s">
        <v>318</v>
      </c>
      <c r="D221" s="62" t="s">
        <v>601</v>
      </c>
      <c r="E221" s="63" t="s">
        <v>391</v>
      </c>
      <c r="F221" s="62" t="s">
        <v>389</v>
      </c>
      <c r="G221" s="62" t="s">
        <v>234</v>
      </c>
      <c r="H221" s="62" t="s">
        <v>14</v>
      </c>
      <c r="I221" s="62" t="s">
        <v>210</v>
      </c>
      <c r="J221" s="63" t="s">
        <v>235</v>
      </c>
      <c r="K221" s="62" t="s">
        <v>317</v>
      </c>
      <c r="L221" s="64">
        <v>78.52</v>
      </c>
      <c r="M221" s="64">
        <f>L221*VLOOKUP(H221,dagsoorttabel1,2,FALSE)</f>
        <v>47.111999999999995</v>
      </c>
      <c r="N221" s="65">
        <f>prodnorm22</f>
        <v>0</v>
      </c>
      <c r="O221" s="66">
        <f>dagwerk22</f>
        <v>0</v>
      </c>
      <c r="P221" s="62" t="s">
        <v>40</v>
      </c>
      <c r="Q221" s="67">
        <f>uurtarief22</f>
        <v>0</v>
      </c>
      <c r="R221" s="64" t="e">
        <f>IF(ISBLANK(N221),0,M221/ROUND(N221,4))</f>
        <v>#DIV/0!</v>
      </c>
      <c r="S221" s="64" t="e">
        <f>IF(ISBLANK(N221),0,R221*ROUND(O221,2))</f>
        <v>#DIV/0!</v>
      </c>
      <c r="T221" s="67" t="e">
        <f>ROUND(Q221,2)*R221</f>
        <v>#DIV/0!</v>
      </c>
      <c r="U221" s="64" t="e">
        <f>R221*dagenperjaar1</f>
        <v>#DIV/0!</v>
      </c>
      <c r="V221" s="69" t="e">
        <f>U221*ROUND(Q221,2)</f>
        <v>#DIV/0!</v>
      </c>
    </row>
    <row r="222" spans="1:22" x14ac:dyDescent="0.3">
      <c r="A222" s="61" t="s">
        <v>316</v>
      </c>
      <c r="B222" s="62" t="s">
        <v>317</v>
      </c>
      <c r="C222" s="62" t="s">
        <v>318</v>
      </c>
      <c r="D222" s="62" t="s">
        <v>602</v>
      </c>
      <c r="E222" s="63" t="s">
        <v>391</v>
      </c>
      <c r="F222" s="62" t="s">
        <v>389</v>
      </c>
      <c r="G222" s="62" t="s">
        <v>234</v>
      </c>
      <c r="H222" s="62" t="s">
        <v>14</v>
      </c>
      <c r="I222" s="62" t="s">
        <v>210</v>
      </c>
      <c r="J222" s="63" t="s">
        <v>235</v>
      </c>
      <c r="K222" s="62" t="s">
        <v>317</v>
      </c>
      <c r="L222" s="64">
        <v>77.58</v>
      </c>
      <c r="M222" s="64">
        <f>L222*VLOOKUP(H222,dagsoorttabel1,2,FALSE)</f>
        <v>46.547999999999995</v>
      </c>
      <c r="N222" s="65">
        <f>prodnorm22</f>
        <v>0</v>
      </c>
      <c r="O222" s="66">
        <f>dagwerk22</f>
        <v>0</v>
      </c>
      <c r="P222" s="62" t="s">
        <v>40</v>
      </c>
      <c r="Q222" s="67">
        <f>uurtarief22</f>
        <v>0</v>
      </c>
      <c r="R222" s="64" t="e">
        <f>IF(ISBLANK(N222),0,M222/ROUND(N222,4))</f>
        <v>#DIV/0!</v>
      </c>
      <c r="S222" s="64" t="e">
        <f>IF(ISBLANK(N222),0,R222*ROUND(O222,2))</f>
        <v>#DIV/0!</v>
      </c>
      <c r="T222" s="67" t="e">
        <f>ROUND(Q222,2)*R222</f>
        <v>#DIV/0!</v>
      </c>
      <c r="U222" s="64" t="e">
        <f>R222*dagenperjaar1</f>
        <v>#DIV/0!</v>
      </c>
      <c r="V222" s="69" t="e">
        <f>U222*ROUND(Q222,2)</f>
        <v>#DIV/0!</v>
      </c>
    </row>
    <row r="223" spans="1:22" x14ac:dyDescent="0.3">
      <c r="A223" s="61" t="s">
        <v>316</v>
      </c>
      <c r="B223" s="62" t="s">
        <v>317</v>
      </c>
      <c r="C223" s="62" t="s">
        <v>318</v>
      </c>
      <c r="D223" s="62" t="s">
        <v>603</v>
      </c>
      <c r="E223" s="63" t="s">
        <v>330</v>
      </c>
      <c r="F223" s="62" t="s">
        <v>389</v>
      </c>
      <c r="G223" s="62" t="s">
        <v>286</v>
      </c>
      <c r="H223" s="62" t="s">
        <v>11</v>
      </c>
      <c r="I223" s="62" t="s">
        <v>210</v>
      </c>
      <c r="J223" s="63" t="s">
        <v>287</v>
      </c>
      <c r="K223" s="62" t="s">
        <v>317</v>
      </c>
      <c r="L223" s="64">
        <v>17.739999999999998</v>
      </c>
      <c r="M223" s="64">
        <f>L223*VLOOKUP(H223,dagsoorttabel1,2,FALSE)</f>
        <v>17.739999999999998</v>
      </c>
      <c r="N223" s="65">
        <f>prodnorm49</f>
        <v>0</v>
      </c>
      <c r="O223" s="66">
        <f>dagwerk49</f>
        <v>0</v>
      </c>
      <c r="P223" s="62" t="s">
        <v>40</v>
      </c>
      <c r="Q223" s="67">
        <f>uurtarief49</f>
        <v>0</v>
      </c>
      <c r="R223" s="64" t="e">
        <f>IF(ISBLANK(N223),0,M223/ROUND(N223,4))</f>
        <v>#DIV/0!</v>
      </c>
      <c r="S223" s="64" t="e">
        <f>IF(ISBLANK(N223),0,R223*ROUND(O223,2))</f>
        <v>#DIV/0!</v>
      </c>
      <c r="T223" s="67" t="e">
        <f>ROUND(Q223,2)*R223</f>
        <v>#DIV/0!</v>
      </c>
      <c r="U223" s="64" t="e">
        <f>R223*dagenperjaar1</f>
        <v>#DIV/0!</v>
      </c>
      <c r="V223" s="69" t="e">
        <f>U223*ROUND(Q223,2)</f>
        <v>#DIV/0!</v>
      </c>
    </row>
    <row r="224" spans="1:22" x14ac:dyDescent="0.3">
      <c r="A224" s="61" t="s">
        <v>316</v>
      </c>
      <c r="B224" s="62" t="s">
        <v>317</v>
      </c>
      <c r="C224" s="62" t="s">
        <v>318</v>
      </c>
      <c r="D224" s="62" t="s">
        <v>604</v>
      </c>
      <c r="E224" s="63" t="s">
        <v>321</v>
      </c>
      <c r="F224" s="62" t="s">
        <v>432</v>
      </c>
      <c r="G224" s="62" t="s">
        <v>323</v>
      </c>
      <c r="H224" s="62"/>
      <c r="I224" s="62"/>
      <c r="J224" s="62"/>
      <c r="K224" s="62" t="s">
        <v>317</v>
      </c>
      <c r="L224" s="64">
        <v>5.7700000000000005</v>
      </c>
      <c r="M224" s="64"/>
      <c r="N224" s="65"/>
      <c r="O224" s="66"/>
      <c r="P224" s="62"/>
      <c r="Q224" s="67"/>
      <c r="R224" s="64"/>
      <c r="S224" s="64"/>
      <c r="T224" s="67"/>
      <c r="U224" s="68"/>
      <c r="V224" s="69"/>
    </row>
    <row r="225" spans="1:22" x14ac:dyDescent="0.3">
      <c r="A225" s="61" t="s">
        <v>316</v>
      </c>
      <c r="B225" s="62" t="s">
        <v>317</v>
      </c>
      <c r="C225" s="62" t="s">
        <v>318</v>
      </c>
      <c r="D225" s="62" t="s">
        <v>605</v>
      </c>
      <c r="E225" s="63" t="s">
        <v>606</v>
      </c>
      <c r="F225" s="62" t="s">
        <v>353</v>
      </c>
      <c r="G225" s="62" t="s">
        <v>270</v>
      </c>
      <c r="H225" s="62" t="s">
        <v>11</v>
      </c>
      <c r="I225" s="62" t="s">
        <v>210</v>
      </c>
      <c r="J225" s="63" t="s">
        <v>271</v>
      </c>
      <c r="K225" s="62" t="s">
        <v>317</v>
      </c>
      <c r="L225" s="64">
        <v>8.42</v>
      </c>
      <c r="M225" s="64">
        <f>L225*VLOOKUP(H225,dagsoorttabel1,2,FALSE)</f>
        <v>8.42</v>
      </c>
      <c r="N225" s="65">
        <f>prodnorm41</f>
        <v>0</v>
      </c>
      <c r="O225" s="66">
        <f>dagwerk41</f>
        <v>0</v>
      </c>
      <c r="P225" s="62" t="s">
        <v>40</v>
      </c>
      <c r="Q225" s="67">
        <f>uurtarief41</f>
        <v>0</v>
      </c>
      <c r="R225" s="64" t="e">
        <f>IF(ISBLANK(N225),0,M225/ROUND(N225,4))</f>
        <v>#DIV/0!</v>
      </c>
      <c r="S225" s="64" t="e">
        <f>IF(ISBLANK(N225),0,R225*ROUND(O225,2))</f>
        <v>#DIV/0!</v>
      </c>
      <c r="T225" s="67" t="e">
        <f>ROUND(Q225,2)*R225</f>
        <v>#DIV/0!</v>
      </c>
      <c r="U225" s="64" t="e">
        <f>R225*dagenperjaar1</f>
        <v>#DIV/0!</v>
      </c>
      <c r="V225" s="69" t="e">
        <f>U225*ROUND(Q225,2)</f>
        <v>#DIV/0!</v>
      </c>
    </row>
    <row r="226" spans="1:22" x14ac:dyDescent="0.3">
      <c r="A226" s="61" t="s">
        <v>316</v>
      </c>
      <c r="B226" s="62" t="s">
        <v>317</v>
      </c>
      <c r="C226" s="62" t="s">
        <v>318</v>
      </c>
      <c r="D226" s="62" t="s">
        <v>607</v>
      </c>
      <c r="E226" s="63" t="s">
        <v>374</v>
      </c>
      <c r="F226" s="62" t="s">
        <v>353</v>
      </c>
      <c r="G226" s="62" t="s">
        <v>323</v>
      </c>
      <c r="H226" s="62"/>
      <c r="I226" s="62"/>
      <c r="J226" s="62"/>
      <c r="K226" s="62" t="s">
        <v>317</v>
      </c>
      <c r="L226" s="64">
        <v>1.51</v>
      </c>
      <c r="M226" s="64"/>
      <c r="N226" s="65"/>
      <c r="O226" s="66"/>
      <c r="P226" s="62"/>
      <c r="Q226" s="67"/>
      <c r="R226" s="64"/>
      <c r="S226" s="64"/>
      <c r="T226" s="67"/>
      <c r="U226" s="68"/>
      <c r="V226" s="69"/>
    </row>
    <row r="227" spans="1:22" x14ac:dyDescent="0.3">
      <c r="A227" s="61" t="s">
        <v>316</v>
      </c>
      <c r="B227" s="62" t="s">
        <v>317</v>
      </c>
      <c r="C227" s="62" t="s">
        <v>318</v>
      </c>
      <c r="D227" s="62" t="s">
        <v>608</v>
      </c>
      <c r="E227" s="63" t="s">
        <v>575</v>
      </c>
      <c r="F227" s="62" t="s">
        <v>322</v>
      </c>
      <c r="G227" s="62" t="s">
        <v>323</v>
      </c>
      <c r="H227" s="62"/>
      <c r="I227" s="62"/>
      <c r="J227" s="62"/>
      <c r="K227" s="62" t="s">
        <v>317</v>
      </c>
      <c r="L227" s="64">
        <v>6.85</v>
      </c>
      <c r="M227" s="64"/>
      <c r="N227" s="65"/>
      <c r="O227" s="66"/>
      <c r="P227" s="62"/>
      <c r="Q227" s="67"/>
      <c r="R227" s="64"/>
      <c r="S227" s="64"/>
      <c r="T227" s="67"/>
      <c r="U227" s="68"/>
      <c r="V227" s="69"/>
    </row>
    <row r="228" spans="1:22" x14ac:dyDescent="0.3">
      <c r="A228" s="61" t="s">
        <v>316</v>
      </c>
      <c r="B228" s="62" t="s">
        <v>317</v>
      </c>
      <c r="C228" s="62" t="s">
        <v>318</v>
      </c>
      <c r="D228" s="62" t="s">
        <v>609</v>
      </c>
      <c r="E228" s="63" t="s">
        <v>578</v>
      </c>
      <c r="F228" s="62" t="s">
        <v>353</v>
      </c>
      <c r="G228" s="62" t="s">
        <v>266</v>
      </c>
      <c r="H228" s="62" t="s">
        <v>11</v>
      </c>
      <c r="I228" s="62" t="s">
        <v>210</v>
      </c>
      <c r="J228" s="63" t="s">
        <v>267</v>
      </c>
      <c r="K228" s="62" t="s">
        <v>317</v>
      </c>
      <c r="L228" s="64">
        <v>5.46</v>
      </c>
      <c r="M228" s="64">
        <f t="shared" ref="M228:M237" si="60">L228*VLOOKUP(H228,dagsoorttabel1,2,FALSE)</f>
        <v>5.46</v>
      </c>
      <c r="N228" s="65">
        <f>prodnorm39</f>
        <v>0</v>
      </c>
      <c r="O228" s="66">
        <f>dagwerk39</f>
        <v>0</v>
      </c>
      <c r="P228" s="62" t="s">
        <v>40</v>
      </c>
      <c r="Q228" s="67">
        <f>uurtarief39</f>
        <v>0</v>
      </c>
      <c r="R228" s="64" t="e">
        <f t="shared" ref="R228:R237" si="61">IF(ISBLANK(N228),0,M228/ROUND(N228,4))</f>
        <v>#DIV/0!</v>
      </c>
      <c r="S228" s="64" t="e">
        <f t="shared" ref="S228:S237" si="62">IF(ISBLANK(N228),0,R228*ROUND(O228,2))</f>
        <v>#DIV/0!</v>
      </c>
      <c r="T228" s="67" t="e">
        <f t="shared" ref="T228:T237" si="63">ROUND(Q228,2)*R228</f>
        <v>#DIV/0!</v>
      </c>
      <c r="U228" s="64" t="e">
        <f t="shared" ref="U228:U237" si="64">R228*dagenperjaar1</f>
        <v>#DIV/0!</v>
      </c>
      <c r="V228" s="69" t="e">
        <f t="shared" ref="V228:V237" si="65">U228*ROUND(Q228,2)</f>
        <v>#DIV/0!</v>
      </c>
    </row>
    <row r="229" spans="1:22" x14ac:dyDescent="0.3">
      <c r="A229" s="61" t="s">
        <v>316</v>
      </c>
      <c r="B229" s="62" t="s">
        <v>317</v>
      </c>
      <c r="C229" s="62" t="s">
        <v>318</v>
      </c>
      <c r="D229" s="62" t="s">
        <v>610</v>
      </c>
      <c r="E229" s="63" t="s">
        <v>352</v>
      </c>
      <c r="F229" s="62" t="s">
        <v>353</v>
      </c>
      <c r="G229" s="62" t="s">
        <v>266</v>
      </c>
      <c r="H229" s="62" t="s">
        <v>11</v>
      </c>
      <c r="I229" s="62" t="s">
        <v>210</v>
      </c>
      <c r="J229" s="63" t="s">
        <v>267</v>
      </c>
      <c r="K229" s="62" t="s">
        <v>317</v>
      </c>
      <c r="L229" s="64">
        <v>18.87</v>
      </c>
      <c r="M229" s="64">
        <f t="shared" si="60"/>
        <v>18.87</v>
      </c>
      <c r="N229" s="65">
        <f>prodnorm39</f>
        <v>0</v>
      </c>
      <c r="O229" s="66">
        <f>dagwerk39</f>
        <v>0</v>
      </c>
      <c r="P229" s="62" t="s">
        <v>40</v>
      </c>
      <c r="Q229" s="67">
        <f>uurtarief39</f>
        <v>0</v>
      </c>
      <c r="R229" s="64" t="e">
        <f t="shared" si="61"/>
        <v>#DIV/0!</v>
      </c>
      <c r="S229" s="64" t="e">
        <f t="shared" si="62"/>
        <v>#DIV/0!</v>
      </c>
      <c r="T229" s="67" t="e">
        <f t="shared" si="63"/>
        <v>#DIV/0!</v>
      </c>
      <c r="U229" s="64" t="e">
        <f t="shared" si="64"/>
        <v>#DIV/0!</v>
      </c>
      <c r="V229" s="69" t="e">
        <f t="shared" si="65"/>
        <v>#DIV/0!</v>
      </c>
    </row>
    <row r="230" spans="1:22" x14ac:dyDescent="0.3">
      <c r="A230" s="61" t="s">
        <v>316</v>
      </c>
      <c r="B230" s="62" t="s">
        <v>317</v>
      </c>
      <c r="C230" s="62" t="s">
        <v>318</v>
      </c>
      <c r="D230" s="62" t="s">
        <v>611</v>
      </c>
      <c r="E230" s="63" t="s">
        <v>394</v>
      </c>
      <c r="F230" s="62" t="s">
        <v>353</v>
      </c>
      <c r="G230" s="62" t="s">
        <v>272</v>
      </c>
      <c r="H230" s="62" t="s">
        <v>11</v>
      </c>
      <c r="I230" s="62" t="s">
        <v>210</v>
      </c>
      <c r="J230" s="63" t="s">
        <v>273</v>
      </c>
      <c r="K230" s="62" t="s">
        <v>317</v>
      </c>
      <c r="L230" s="64">
        <v>79.010000000000005</v>
      </c>
      <c r="M230" s="64">
        <f t="shared" si="60"/>
        <v>79.010000000000005</v>
      </c>
      <c r="N230" s="65">
        <f>prodnorm42</f>
        <v>0</v>
      </c>
      <c r="O230" s="66">
        <f>dagwerk42</f>
        <v>0</v>
      </c>
      <c r="P230" s="62" t="s">
        <v>40</v>
      </c>
      <c r="Q230" s="67">
        <f>uurtarief42</f>
        <v>0</v>
      </c>
      <c r="R230" s="64" t="e">
        <f t="shared" si="61"/>
        <v>#DIV/0!</v>
      </c>
      <c r="S230" s="64" t="e">
        <f t="shared" si="62"/>
        <v>#DIV/0!</v>
      </c>
      <c r="T230" s="67" t="e">
        <f t="shared" si="63"/>
        <v>#DIV/0!</v>
      </c>
      <c r="U230" s="64" t="e">
        <f t="shared" si="64"/>
        <v>#DIV/0!</v>
      </c>
      <c r="V230" s="69" t="e">
        <f t="shared" si="65"/>
        <v>#DIV/0!</v>
      </c>
    </row>
    <row r="231" spans="1:22" x14ac:dyDescent="0.3">
      <c r="A231" s="61" t="s">
        <v>316</v>
      </c>
      <c r="B231" s="62" t="s">
        <v>317</v>
      </c>
      <c r="C231" s="62" t="s">
        <v>318</v>
      </c>
      <c r="D231" s="62" t="s">
        <v>612</v>
      </c>
      <c r="E231" s="63" t="s">
        <v>613</v>
      </c>
      <c r="F231" s="62" t="s">
        <v>353</v>
      </c>
      <c r="G231" s="62" t="s">
        <v>272</v>
      </c>
      <c r="H231" s="62" t="s">
        <v>11</v>
      </c>
      <c r="I231" s="62" t="s">
        <v>210</v>
      </c>
      <c r="J231" s="63" t="s">
        <v>273</v>
      </c>
      <c r="K231" s="62" t="s">
        <v>317</v>
      </c>
      <c r="L231" s="64">
        <v>131.06</v>
      </c>
      <c r="M231" s="64">
        <f t="shared" si="60"/>
        <v>131.06</v>
      </c>
      <c r="N231" s="65">
        <f>prodnorm42</f>
        <v>0</v>
      </c>
      <c r="O231" s="66">
        <f>dagwerk42</f>
        <v>0</v>
      </c>
      <c r="P231" s="62" t="s">
        <v>40</v>
      </c>
      <c r="Q231" s="67">
        <f>uurtarief42</f>
        <v>0</v>
      </c>
      <c r="R231" s="64" t="e">
        <f t="shared" si="61"/>
        <v>#DIV/0!</v>
      </c>
      <c r="S231" s="64" t="e">
        <f t="shared" si="62"/>
        <v>#DIV/0!</v>
      </c>
      <c r="T231" s="67" t="e">
        <f t="shared" si="63"/>
        <v>#DIV/0!</v>
      </c>
      <c r="U231" s="64" t="e">
        <f t="shared" si="64"/>
        <v>#DIV/0!</v>
      </c>
      <c r="V231" s="69" t="e">
        <f t="shared" si="65"/>
        <v>#DIV/0!</v>
      </c>
    </row>
    <row r="232" spans="1:22" x14ac:dyDescent="0.3">
      <c r="A232" s="61" t="s">
        <v>316</v>
      </c>
      <c r="B232" s="62" t="s">
        <v>317</v>
      </c>
      <c r="C232" s="62" t="s">
        <v>318</v>
      </c>
      <c r="D232" s="62" t="s">
        <v>614</v>
      </c>
      <c r="E232" s="63" t="s">
        <v>394</v>
      </c>
      <c r="F232" s="62" t="s">
        <v>353</v>
      </c>
      <c r="G232" s="62" t="s">
        <v>272</v>
      </c>
      <c r="H232" s="62" t="s">
        <v>11</v>
      </c>
      <c r="I232" s="62" t="s">
        <v>210</v>
      </c>
      <c r="J232" s="63" t="s">
        <v>273</v>
      </c>
      <c r="K232" s="62" t="s">
        <v>317</v>
      </c>
      <c r="L232" s="64">
        <v>143.60999999999999</v>
      </c>
      <c r="M232" s="64">
        <f t="shared" si="60"/>
        <v>143.60999999999999</v>
      </c>
      <c r="N232" s="65">
        <f>prodnorm42</f>
        <v>0</v>
      </c>
      <c r="O232" s="66">
        <f>dagwerk42</f>
        <v>0</v>
      </c>
      <c r="P232" s="62" t="s">
        <v>40</v>
      </c>
      <c r="Q232" s="67">
        <f>uurtarief42</f>
        <v>0</v>
      </c>
      <c r="R232" s="64" t="e">
        <f t="shared" si="61"/>
        <v>#DIV/0!</v>
      </c>
      <c r="S232" s="64" t="e">
        <f t="shared" si="62"/>
        <v>#DIV/0!</v>
      </c>
      <c r="T232" s="67" t="e">
        <f t="shared" si="63"/>
        <v>#DIV/0!</v>
      </c>
      <c r="U232" s="64" t="e">
        <f t="shared" si="64"/>
        <v>#DIV/0!</v>
      </c>
      <c r="V232" s="69" t="e">
        <f t="shared" si="65"/>
        <v>#DIV/0!</v>
      </c>
    </row>
    <row r="233" spans="1:22" x14ac:dyDescent="0.3">
      <c r="A233" s="61" t="s">
        <v>316</v>
      </c>
      <c r="B233" s="62" t="s">
        <v>317</v>
      </c>
      <c r="C233" s="62" t="s">
        <v>318</v>
      </c>
      <c r="D233" s="62" t="s">
        <v>615</v>
      </c>
      <c r="E233" s="63" t="s">
        <v>330</v>
      </c>
      <c r="F233" s="62" t="s">
        <v>389</v>
      </c>
      <c r="G233" s="62" t="s">
        <v>286</v>
      </c>
      <c r="H233" s="62" t="s">
        <v>11</v>
      </c>
      <c r="I233" s="62" t="s">
        <v>210</v>
      </c>
      <c r="J233" s="63" t="s">
        <v>287</v>
      </c>
      <c r="K233" s="62" t="s">
        <v>317</v>
      </c>
      <c r="L233" s="64">
        <v>7.56</v>
      </c>
      <c r="M233" s="64">
        <f t="shared" si="60"/>
        <v>7.56</v>
      </c>
      <c r="N233" s="65">
        <f>prodnorm49</f>
        <v>0</v>
      </c>
      <c r="O233" s="66">
        <f>dagwerk49</f>
        <v>0</v>
      </c>
      <c r="P233" s="62" t="s">
        <v>40</v>
      </c>
      <c r="Q233" s="67">
        <f>uurtarief49</f>
        <v>0</v>
      </c>
      <c r="R233" s="64" t="e">
        <f t="shared" si="61"/>
        <v>#DIV/0!</v>
      </c>
      <c r="S233" s="64" t="e">
        <f t="shared" si="62"/>
        <v>#DIV/0!</v>
      </c>
      <c r="T233" s="67" t="e">
        <f t="shared" si="63"/>
        <v>#DIV/0!</v>
      </c>
      <c r="U233" s="64" t="e">
        <f t="shared" si="64"/>
        <v>#DIV/0!</v>
      </c>
      <c r="V233" s="69" t="e">
        <f t="shared" si="65"/>
        <v>#DIV/0!</v>
      </c>
    </row>
    <row r="234" spans="1:22" x14ac:dyDescent="0.3">
      <c r="A234" s="61" t="s">
        <v>316</v>
      </c>
      <c r="B234" s="62" t="s">
        <v>317</v>
      </c>
      <c r="C234" s="62" t="s">
        <v>318</v>
      </c>
      <c r="D234" s="62" t="s">
        <v>616</v>
      </c>
      <c r="E234" s="63" t="s">
        <v>394</v>
      </c>
      <c r="F234" s="62" t="s">
        <v>389</v>
      </c>
      <c r="G234" s="62" t="s">
        <v>272</v>
      </c>
      <c r="H234" s="62" t="s">
        <v>11</v>
      </c>
      <c r="I234" s="62" t="s">
        <v>210</v>
      </c>
      <c r="J234" s="63" t="s">
        <v>273</v>
      </c>
      <c r="K234" s="62" t="s">
        <v>317</v>
      </c>
      <c r="L234" s="64">
        <v>41.93</v>
      </c>
      <c r="M234" s="64">
        <f t="shared" si="60"/>
        <v>41.93</v>
      </c>
      <c r="N234" s="65">
        <f>prodnorm42</f>
        <v>0</v>
      </c>
      <c r="O234" s="66">
        <f>dagwerk42</f>
        <v>0</v>
      </c>
      <c r="P234" s="62" t="s">
        <v>40</v>
      </c>
      <c r="Q234" s="67">
        <f>uurtarief42</f>
        <v>0</v>
      </c>
      <c r="R234" s="64" t="e">
        <f t="shared" si="61"/>
        <v>#DIV/0!</v>
      </c>
      <c r="S234" s="64" t="e">
        <f t="shared" si="62"/>
        <v>#DIV/0!</v>
      </c>
      <c r="T234" s="67" t="e">
        <f t="shared" si="63"/>
        <v>#DIV/0!</v>
      </c>
      <c r="U234" s="64" t="e">
        <f t="shared" si="64"/>
        <v>#DIV/0!</v>
      </c>
      <c r="V234" s="69" t="e">
        <f t="shared" si="65"/>
        <v>#DIV/0!</v>
      </c>
    </row>
    <row r="235" spans="1:22" x14ac:dyDescent="0.3">
      <c r="A235" s="61" t="s">
        <v>316</v>
      </c>
      <c r="B235" s="62" t="s">
        <v>317</v>
      </c>
      <c r="C235" s="62" t="s">
        <v>318</v>
      </c>
      <c r="D235" s="62" t="s">
        <v>617</v>
      </c>
      <c r="E235" s="63" t="s">
        <v>394</v>
      </c>
      <c r="F235" s="62" t="s">
        <v>353</v>
      </c>
      <c r="G235" s="62" t="s">
        <v>272</v>
      </c>
      <c r="H235" s="62" t="s">
        <v>11</v>
      </c>
      <c r="I235" s="62" t="s">
        <v>210</v>
      </c>
      <c r="J235" s="63" t="s">
        <v>273</v>
      </c>
      <c r="K235" s="62" t="s">
        <v>317</v>
      </c>
      <c r="L235" s="64">
        <v>64.319999999999993</v>
      </c>
      <c r="M235" s="64">
        <f t="shared" si="60"/>
        <v>64.319999999999993</v>
      </c>
      <c r="N235" s="65">
        <f>prodnorm42</f>
        <v>0</v>
      </c>
      <c r="O235" s="66">
        <f>dagwerk42</f>
        <v>0</v>
      </c>
      <c r="P235" s="62" t="s">
        <v>40</v>
      </c>
      <c r="Q235" s="67">
        <f>uurtarief42</f>
        <v>0</v>
      </c>
      <c r="R235" s="64" t="e">
        <f t="shared" si="61"/>
        <v>#DIV/0!</v>
      </c>
      <c r="S235" s="64" t="e">
        <f t="shared" si="62"/>
        <v>#DIV/0!</v>
      </c>
      <c r="T235" s="67" t="e">
        <f t="shared" si="63"/>
        <v>#DIV/0!</v>
      </c>
      <c r="U235" s="64" t="e">
        <f t="shared" si="64"/>
        <v>#DIV/0!</v>
      </c>
      <c r="V235" s="69" t="e">
        <f t="shared" si="65"/>
        <v>#DIV/0!</v>
      </c>
    </row>
    <row r="236" spans="1:22" x14ac:dyDescent="0.3">
      <c r="A236" s="61" t="s">
        <v>316</v>
      </c>
      <c r="B236" s="62" t="s">
        <v>317</v>
      </c>
      <c r="C236" s="62" t="s">
        <v>318</v>
      </c>
      <c r="D236" s="62" t="s">
        <v>618</v>
      </c>
      <c r="E236" s="63" t="s">
        <v>619</v>
      </c>
      <c r="F236" s="62" t="s">
        <v>353</v>
      </c>
      <c r="G236" s="62" t="s">
        <v>238</v>
      </c>
      <c r="H236" s="62" t="s">
        <v>11</v>
      </c>
      <c r="I236" s="62" t="s">
        <v>210</v>
      </c>
      <c r="J236" s="63" t="s">
        <v>239</v>
      </c>
      <c r="K236" s="62" t="s">
        <v>317</v>
      </c>
      <c r="L236" s="64">
        <v>49.7</v>
      </c>
      <c r="M236" s="64">
        <f t="shared" si="60"/>
        <v>49.7</v>
      </c>
      <c r="N236" s="65">
        <f>prodnorm24</f>
        <v>0</v>
      </c>
      <c r="O236" s="66">
        <f>dagwerk24</f>
        <v>0</v>
      </c>
      <c r="P236" s="62" t="s">
        <v>40</v>
      </c>
      <c r="Q236" s="67">
        <f>uurtarief24</f>
        <v>0</v>
      </c>
      <c r="R236" s="64" t="e">
        <f t="shared" si="61"/>
        <v>#DIV/0!</v>
      </c>
      <c r="S236" s="64" t="e">
        <f t="shared" si="62"/>
        <v>#DIV/0!</v>
      </c>
      <c r="T236" s="67" t="e">
        <f t="shared" si="63"/>
        <v>#DIV/0!</v>
      </c>
      <c r="U236" s="64" t="e">
        <f t="shared" si="64"/>
        <v>#DIV/0!</v>
      </c>
      <c r="V236" s="69" t="e">
        <f t="shared" si="65"/>
        <v>#DIV/0!</v>
      </c>
    </row>
    <row r="237" spans="1:22" x14ac:dyDescent="0.3">
      <c r="A237" s="61" t="s">
        <v>316</v>
      </c>
      <c r="B237" s="62" t="s">
        <v>317</v>
      </c>
      <c r="C237" s="62" t="s">
        <v>318</v>
      </c>
      <c r="D237" s="62" t="s">
        <v>620</v>
      </c>
      <c r="E237" s="63" t="s">
        <v>394</v>
      </c>
      <c r="F237" s="62" t="s">
        <v>353</v>
      </c>
      <c r="G237" s="62" t="s">
        <v>272</v>
      </c>
      <c r="H237" s="62" t="s">
        <v>11</v>
      </c>
      <c r="I237" s="62" t="s">
        <v>210</v>
      </c>
      <c r="J237" s="63" t="s">
        <v>273</v>
      </c>
      <c r="K237" s="62" t="s">
        <v>317</v>
      </c>
      <c r="L237" s="64">
        <v>24.73</v>
      </c>
      <c r="M237" s="64">
        <f t="shared" si="60"/>
        <v>24.73</v>
      </c>
      <c r="N237" s="65">
        <f>prodnorm42</f>
        <v>0</v>
      </c>
      <c r="O237" s="66">
        <f>dagwerk42</f>
        <v>0</v>
      </c>
      <c r="P237" s="62" t="s">
        <v>40</v>
      </c>
      <c r="Q237" s="67">
        <f>uurtarief42</f>
        <v>0</v>
      </c>
      <c r="R237" s="64" t="e">
        <f t="shared" si="61"/>
        <v>#DIV/0!</v>
      </c>
      <c r="S237" s="64" t="e">
        <f t="shared" si="62"/>
        <v>#DIV/0!</v>
      </c>
      <c r="T237" s="67" t="e">
        <f t="shared" si="63"/>
        <v>#DIV/0!</v>
      </c>
      <c r="U237" s="64" t="e">
        <f t="shared" si="64"/>
        <v>#DIV/0!</v>
      </c>
      <c r="V237" s="69" t="e">
        <f t="shared" si="65"/>
        <v>#DIV/0!</v>
      </c>
    </row>
    <row r="238" spans="1:22" x14ac:dyDescent="0.3">
      <c r="A238" s="61" t="s">
        <v>316</v>
      </c>
      <c r="B238" s="62" t="s">
        <v>317</v>
      </c>
      <c r="C238" s="62" t="s">
        <v>318</v>
      </c>
      <c r="D238" s="62" t="s">
        <v>621</v>
      </c>
      <c r="E238" s="63" t="s">
        <v>374</v>
      </c>
      <c r="F238" s="62" t="s">
        <v>322</v>
      </c>
      <c r="G238" s="62" t="s">
        <v>323</v>
      </c>
      <c r="H238" s="62"/>
      <c r="I238" s="62"/>
      <c r="J238" s="62"/>
      <c r="K238" s="62" t="s">
        <v>317</v>
      </c>
      <c r="L238" s="64">
        <v>3.52</v>
      </c>
      <c r="M238" s="64"/>
      <c r="N238" s="65"/>
      <c r="O238" s="66"/>
      <c r="P238" s="62"/>
      <c r="Q238" s="67"/>
      <c r="R238" s="64"/>
      <c r="S238" s="64"/>
      <c r="T238" s="67"/>
      <c r="U238" s="68"/>
      <c r="V238" s="69"/>
    </row>
    <row r="239" spans="1:22" x14ac:dyDescent="0.3">
      <c r="A239" s="61" t="s">
        <v>316</v>
      </c>
      <c r="B239" s="62" t="s">
        <v>317</v>
      </c>
      <c r="C239" s="62" t="s">
        <v>318</v>
      </c>
      <c r="D239" s="62" t="s">
        <v>622</v>
      </c>
      <c r="E239" s="63" t="s">
        <v>394</v>
      </c>
      <c r="F239" s="62" t="s">
        <v>353</v>
      </c>
      <c r="G239" s="62" t="s">
        <v>272</v>
      </c>
      <c r="H239" s="62" t="s">
        <v>11</v>
      </c>
      <c r="I239" s="62" t="s">
        <v>210</v>
      </c>
      <c r="J239" s="63" t="s">
        <v>273</v>
      </c>
      <c r="K239" s="62" t="s">
        <v>317</v>
      </c>
      <c r="L239" s="64">
        <v>54.879999999999995</v>
      </c>
      <c r="M239" s="64">
        <f>L239*VLOOKUP(H239,dagsoorttabel1,2,FALSE)</f>
        <v>54.879999999999995</v>
      </c>
      <c r="N239" s="65">
        <f>prodnorm42</f>
        <v>0</v>
      </c>
      <c r="O239" s="66">
        <f>dagwerk42</f>
        <v>0</v>
      </c>
      <c r="P239" s="62" t="s">
        <v>40</v>
      </c>
      <c r="Q239" s="67">
        <f>uurtarief42</f>
        <v>0</v>
      </c>
      <c r="R239" s="64" t="e">
        <f>IF(ISBLANK(N239),0,M239/ROUND(N239,4))</f>
        <v>#DIV/0!</v>
      </c>
      <c r="S239" s="64" t="e">
        <f>IF(ISBLANK(N239),0,R239*ROUND(O239,2))</f>
        <v>#DIV/0!</v>
      </c>
      <c r="T239" s="67" t="e">
        <f>ROUND(Q239,2)*R239</f>
        <v>#DIV/0!</v>
      </c>
      <c r="U239" s="64" t="e">
        <f>R239*dagenperjaar1</f>
        <v>#DIV/0!</v>
      </c>
      <c r="V239" s="69" t="e">
        <f>U239*ROUND(Q239,2)</f>
        <v>#DIV/0!</v>
      </c>
    </row>
    <row r="240" spans="1:22" x14ac:dyDescent="0.3">
      <c r="A240" s="61" t="s">
        <v>316</v>
      </c>
      <c r="B240" s="62" t="s">
        <v>317</v>
      </c>
      <c r="C240" s="62" t="s">
        <v>318</v>
      </c>
      <c r="D240" s="62" t="s">
        <v>623</v>
      </c>
      <c r="E240" s="63" t="s">
        <v>624</v>
      </c>
      <c r="F240" s="62" t="s">
        <v>348</v>
      </c>
      <c r="G240" s="62" t="s">
        <v>278</v>
      </c>
      <c r="H240" s="62" t="s">
        <v>11</v>
      </c>
      <c r="I240" s="62" t="s">
        <v>210</v>
      </c>
      <c r="J240" s="63" t="s">
        <v>279</v>
      </c>
      <c r="K240" s="62" t="s">
        <v>317</v>
      </c>
      <c r="L240" s="64">
        <v>13.34</v>
      </c>
      <c r="M240" s="64">
        <f>L240*VLOOKUP(H240,dagsoorttabel1,2,FALSE)</f>
        <v>13.34</v>
      </c>
      <c r="N240" s="65">
        <f>prodnorm45</f>
        <v>0</v>
      </c>
      <c r="O240" s="66">
        <f>dagwerk45</f>
        <v>0</v>
      </c>
      <c r="P240" s="62" t="s">
        <v>40</v>
      </c>
      <c r="Q240" s="67">
        <f>uurtarief45</f>
        <v>0</v>
      </c>
      <c r="R240" s="64" t="e">
        <f>IF(ISBLANK(N240),0,M240/ROUND(N240,4))</f>
        <v>#DIV/0!</v>
      </c>
      <c r="S240" s="64" t="e">
        <f>IF(ISBLANK(N240),0,R240*ROUND(O240,2))</f>
        <v>#DIV/0!</v>
      </c>
      <c r="T240" s="67" t="e">
        <f>ROUND(Q240,2)*R240</f>
        <v>#DIV/0!</v>
      </c>
      <c r="U240" s="64" t="e">
        <f>R240*dagenperjaar1</f>
        <v>#DIV/0!</v>
      </c>
      <c r="V240" s="69" t="e">
        <f>U240*ROUND(Q240,2)</f>
        <v>#DIV/0!</v>
      </c>
    </row>
    <row r="241" spans="1:22" x14ac:dyDescent="0.3">
      <c r="A241" s="61" t="s">
        <v>316</v>
      </c>
      <c r="B241" s="62" t="s">
        <v>317</v>
      </c>
      <c r="C241" s="62" t="s">
        <v>318</v>
      </c>
      <c r="D241" s="62" t="s">
        <v>625</v>
      </c>
      <c r="E241" s="63" t="s">
        <v>394</v>
      </c>
      <c r="F241" s="62" t="s">
        <v>389</v>
      </c>
      <c r="G241" s="62" t="s">
        <v>272</v>
      </c>
      <c r="H241" s="62" t="s">
        <v>11</v>
      </c>
      <c r="I241" s="62" t="s">
        <v>210</v>
      </c>
      <c r="J241" s="63" t="s">
        <v>273</v>
      </c>
      <c r="K241" s="62" t="s">
        <v>317</v>
      </c>
      <c r="L241" s="64">
        <v>75.33</v>
      </c>
      <c r="M241" s="64">
        <f>L241*VLOOKUP(H241,dagsoorttabel1,2,FALSE)</f>
        <v>75.33</v>
      </c>
      <c r="N241" s="65">
        <f>prodnorm42</f>
        <v>0</v>
      </c>
      <c r="O241" s="66">
        <f>dagwerk42</f>
        <v>0</v>
      </c>
      <c r="P241" s="62" t="s">
        <v>40</v>
      </c>
      <c r="Q241" s="67">
        <f>uurtarief42</f>
        <v>0</v>
      </c>
      <c r="R241" s="64" t="e">
        <f>IF(ISBLANK(N241),0,M241/ROUND(N241,4))</f>
        <v>#DIV/0!</v>
      </c>
      <c r="S241" s="64" t="e">
        <f>IF(ISBLANK(N241),0,R241*ROUND(O241,2))</f>
        <v>#DIV/0!</v>
      </c>
      <c r="T241" s="67" t="e">
        <f>ROUND(Q241,2)*R241</f>
        <v>#DIV/0!</v>
      </c>
      <c r="U241" s="64" t="e">
        <f>R241*dagenperjaar1</f>
        <v>#DIV/0!</v>
      </c>
      <c r="V241" s="69" t="e">
        <f>U241*ROUND(Q241,2)</f>
        <v>#DIV/0!</v>
      </c>
    </row>
    <row r="242" spans="1:22" x14ac:dyDescent="0.3">
      <c r="A242" s="61" t="s">
        <v>316</v>
      </c>
      <c r="B242" s="62" t="s">
        <v>317</v>
      </c>
      <c r="C242" s="62" t="s">
        <v>318</v>
      </c>
      <c r="D242" s="62" t="s">
        <v>626</v>
      </c>
      <c r="E242" s="63" t="s">
        <v>394</v>
      </c>
      <c r="F242" s="62" t="s">
        <v>389</v>
      </c>
      <c r="G242" s="62" t="s">
        <v>272</v>
      </c>
      <c r="H242" s="62" t="s">
        <v>11</v>
      </c>
      <c r="I242" s="62" t="s">
        <v>210</v>
      </c>
      <c r="J242" s="63" t="s">
        <v>273</v>
      </c>
      <c r="K242" s="62" t="s">
        <v>317</v>
      </c>
      <c r="L242" s="64">
        <v>74.19</v>
      </c>
      <c r="M242" s="64">
        <f>L242*VLOOKUP(H242,dagsoorttabel1,2,FALSE)</f>
        <v>74.19</v>
      </c>
      <c r="N242" s="65">
        <f>prodnorm42</f>
        <v>0</v>
      </c>
      <c r="O242" s="66">
        <f>dagwerk42</f>
        <v>0</v>
      </c>
      <c r="P242" s="62" t="s">
        <v>40</v>
      </c>
      <c r="Q242" s="67">
        <f>uurtarief42</f>
        <v>0</v>
      </c>
      <c r="R242" s="64" t="e">
        <f>IF(ISBLANK(N242),0,M242/ROUND(N242,4))</f>
        <v>#DIV/0!</v>
      </c>
      <c r="S242" s="64" t="e">
        <f>IF(ISBLANK(N242),0,R242*ROUND(O242,2))</f>
        <v>#DIV/0!</v>
      </c>
      <c r="T242" s="67" t="e">
        <f>ROUND(Q242,2)*R242</f>
        <v>#DIV/0!</v>
      </c>
      <c r="U242" s="64" t="e">
        <f>R242*dagenperjaar1</f>
        <v>#DIV/0!</v>
      </c>
      <c r="V242" s="69" t="e">
        <f>U242*ROUND(Q242,2)</f>
        <v>#DIV/0!</v>
      </c>
    </row>
    <row r="243" spans="1:22" x14ac:dyDescent="0.3">
      <c r="A243" s="61" t="s">
        <v>316</v>
      </c>
      <c r="B243" s="62" t="s">
        <v>317</v>
      </c>
      <c r="C243" s="62" t="s">
        <v>318</v>
      </c>
      <c r="D243" s="62" t="s">
        <v>627</v>
      </c>
      <c r="E243" s="63" t="s">
        <v>628</v>
      </c>
      <c r="F243" s="62" t="s">
        <v>322</v>
      </c>
      <c r="G243" s="62" t="s">
        <v>323</v>
      </c>
      <c r="H243" s="62"/>
      <c r="I243" s="62"/>
      <c r="J243" s="62"/>
      <c r="K243" s="62" t="s">
        <v>317</v>
      </c>
      <c r="L243" s="64">
        <v>34.67</v>
      </c>
      <c r="M243" s="64"/>
      <c r="N243" s="65"/>
      <c r="O243" s="66"/>
      <c r="P243" s="62"/>
      <c r="Q243" s="67"/>
      <c r="R243" s="64"/>
      <c r="S243" s="64"/>
      <c r="T243" s="67"/>
      <c r="U243" s="68"/>
      <c r="V243" s="69"/>
    </row>
    <row r="244" spans="1:22" x14ac:dyDescent="0.3">
      <c r="A244" s="61" t="s">
        <v>316</v>
      </c>
      <c r="B244" s="62" t="s">
        <v>317</v>
      </c>
      <c r="C244" s="62" t="s">
        <v>629</v>
      </c>
      <c r="D244" s="62" t="s">
        <v>630</v>
      </c>
      <c r="E244" s="63" t="s">
        <v>381</v>
      </c>
      <c r="F244" s="62" t="s">
        <v>357</v>
      </c>
      <c r="G244" s="62" t="s">
        <v>280</v>
      </c>
      <c r="H244" s="62" t="s">
        <v>11</v>
      </c>
      <c r="I244" s="62" t="s">
        <v>210</v>
      </c>
      <c r="J244" s="63" t="s">
        <v>281</v>
      </c>
      <c r="K244" s="62" t="s">
        <v>317</v>
      </c>
      <c r="L244" s="64">
        <v>1.6400000000000001</v>
      </c>
      <c r="M244" s="64">
        <f>L244*VLOOKUP(H244,dagsoorttabel1,2,FALSE)</f>
        <v>1.6400000000000001</v>
      </c>
      <c r="N244" s="65">
        <f>prodnorm46</f>
        <v>0</v>
      </c>
      <c r="O244" s="66">
        <f>dagwerk46</f>
        <v>0</v>
      </c>
      <c r="P244" s="62" t="s">
        <v>40</v>
      </c>
      <c r="Q244" s="67">
        <f>uurtarief46</f>
        <v>0</v>
      </c>
      <c r="R244" s="64" t="e">
        <f>IF(ISBLANK(N244),0,M244/ROUND(N244,4))</f>
        <v>#DIV/0!</v>
      </c>
      <c r="S244" s="64" t="e">
        <f>IF(ISBLANK(N244),0,R244*ROUND(O244,2))</f>
        <v>#DIV/0!</v>
      </c>
      <c r="T244" s="67" t="e">
        <f>ROUND(Q244,2)*R244</f>
        <v>#DIV/0!</v>
      </c>
      <c r="U244" s="64" t="e">
        <f>R244*dagenperjaar1</f>
        <v>#DIV/0!</v>
      </c>
      <c r="V244" s="69" t="e">
        <f>U244*ROUND(Q244,2)</f>
        <v>#DIV/0!</v>
      </c>
    </row>
    <row r="245" spans="1:22" x14ac:dyDescent="0.3">
      <c r="A245" s="61" t="s">
        <v>316</v>
      </c>
      <c r="B245" s="62" t="s">
        <v>317</v>
      </c>
      <c r="C245" s="62" t="s">
        <v>629</v>
      </c>
      <c r="D245" s="62" t="s">
        <v>631</v>
      </c>
      <c r="E245" s="63" t="s">
        <v>321</v>
      </c>
      <c r="F245" s="62" t="s">
        <v>632</v>
      </c>
      <c r="G245" s="62" t="s">
        <v>323</v>
      </c>
      <c r="H245" s="62"/>
      <c r="I245" s="62"/>
      <c r="J245" s="62"/>
      <c r="K245" s="62" t="s">
        <v>317</v>
      </c>
      <c r="L245" s="64">
        <v>41.09</v>
      </c>
      <c r="M245" s="64"/>
      <c r="N245" s="65"/>
      <c r="O245" s="66"/>
      <c r="P245" s="62"/>
      <c r="Q245" s="67"/>
      <c r="R245" s="64"/>
      <c r="S245" s="64"/>
      <c r="T245" s="67"/>
      <c r="U245" s="68"/>
      <c r="V245" s="69"/>
    </row>
    <row r="246" spans="1:22" x14ac:dyDescent="0.3">
      <c r="A246" s="61" t="s">
        <v>316</v>
      </c>
      <c r="B246" s="62" t="s">
        <v>317</v>
      </c>
      <c r="C246" s="62" t="s">
        <v>629</v>
      </c>
      <c r="D246" s="62" t="s">
        <v>633</v>
      </c>
      <c r="E246" s="63" t="s">
        <v>462</v>
      </c>
      <c r="F246" s="62" t="s">
        <v>335</v>
      </c>
      <c r="G246" s="62" t="s">
        <v>264</v>
      </c>
      <c r="H246" s="62" t="s">
        <v>11</v>
      </c>
      <c r="I246" s="62" t="s">
        <v>210</v>
      </c>
      <c r="J246" s="63" t="s">
        <v>265</v>
      </c>
      <c r="K246" s="62" t="s">
        <v>317</v>
      </c>
      <c r="L246" s="64">
        <v>20.8</v>
      </c>
      <c r="M246" s="64">
        <f>L246*VLOOKUP(H246,dagsoorttabel1,2,FALSE)</f>
        <v>20.8</v>
      </c>
      <c r="N246" s="65">
        <f>prodnorm38</f>
        <v>0</v>
      </c>
      <c r="O246" s="66">
        <f>dagwerk38</f>
        <v>0</v>
      </c>
      <c r="P246" s="62" t="s">
        <v>40</v>
      </c>
      <c r="Q246" s="67">
        <f>uurtarief38</f>
        <v>0</v>
      </c>
      <c r="R246" s="64" t="e">
        <f>IF(ISBLANK(N246),0,M246/ROUND(N246,4))</f>
        <v>#DIV/0!</v>
      </c>
      <c r="S246" s="64" t="e">
        <f>IF(ISBLANK(N246),0,R246*ROUND(O246,2))</f>
        <v>#DIV/0!</v>
      </c>
      <c r="T246" s="67" t="e">
        <f>ROUND(Q246,2)*R246</f>
        <v>#DIV/0!</v>
      </c>
      <c r="U246" s="64" t="e">
        <f>R246*dagenperjaar1</f>
        <v>#DIV/0!</v>
      </c>
      <c r="V246" s="69" t="e">
        <f>U246*ROUND(Q246,2)</f>
        <v>#DIV/0!</v>
      </c>
    </row>
    <row r="247" spans="1:22" x14ac:dyDescent="0.3">
      <c r="A247" s="61" t="s">
        <v>316</v>
      </c>
      <c r="B247" s="62" t="s">
        <v>317</v>
      </c>
      <c r="C247" s="62" t="s">
        <v>629</v>
      </c>
      <c r="D247" s="62" t="s">
        <v>634</v>
      </c>
      <c r="E247" s="63" t="s">
        <v>369</v>
      </c>
      <c r="F247" s="62" t="s">
        <v>335</v>
      </c>
      <c r="G247" s="62" t="s">
        <v>323</v>
      </c>
      <c r="H247" s="62"/>
      <c r="I247" s="62"/>
      <c r="J247" s="62"/>
      <c r="K247" s="62" t="s">
        <v>317</v>
      </c>
      <c r="L247" s="64">
        <v>1.55</v>
      </c>
      <c r="M247" s="64"/>
      <c r="N247" s="65"/>
      <c r="O247" s="66"/>
      <c r="P247" s="62"/>
      <c r="Q247" s="67"/>
      <c r="R247" s="64"/>
      <c r="S247" s="64"/>
      <c r="T247" s="67"/>
      <c r="U247" s="68"/>
      <c r="V247" s="69"/>
    </row>
    <row r="248" spans="1:22" x14ac:dyDescent="0.3">
      <c r="A248" s="61" t="s">
        <v>316</v>
      </c>
      <c r="B248" s="62" t="s">
        <v>317</v>
      </c>
      <c r="C248" s="62" t="s">
        <v>629</v>
      </c>
      <c r="D248" s="62" t="s">
        <v>635</v>
      </c>
      <c r="E248" s="63" t="s">
        <v>330</v>
      </c>
      <c r="F248" s="62" t="s">
        <v>357</v>
      </c>
      <c r="G248" s="62" t="s">
        <v>286</v>
      </c>
      <c r="H248" s="62" t="s">
        <v>11</v>
      </c>
      <c r="I248" s="62" t="s">
        <v>210</v>
      </c>
      <c r="J248" s="63" t="s">
        <v>287</v>
      </c>
      <c r="K248" s="62" t="s">
        <v>317</v>
      </c>
      <c r="L248" s="64">
        <v>14.42</v>
      </c>
      <c r="M248" s="64">
        <f>L248*VLOOKUP(H248,dagsoorttabel1,2,FALSE)</f>
        <v>14.42</v>
      </c>
      <c r="N248" s="65">
        <f>prodnorm49</f>
        <v>0</v>
      </c>
      <c r="O248" s="66">
        <f>dagwerk49</f>
        <v>0</v>
      </c>
      <c r="P248" s="62" t="s">
        <v>40</v>
      </c>
      <c r="Q248" s="67">
        <f>uurtarief49</f>
        <v>0</v>
      </c>
      <c r="R248" s="64" t="e">
        <f>IF(ISBLANK(N248),0,M248/ROUND(N248,4))</f>
        <v>#DIV/0!</v>
      </c>
      <c r="S248" s="64" t="e">
        <f>IF(ISBLANK(N248),0,R248*ROUND(O248,2))</f>
        <v>#DIV/0!</v>
      </c>
      <c r="T248" s="67" t="e">
        <f>ROUND(Q248,2)*R248</f>
        <v>#DIV/0!</v>
      </c>
      <c r="U248" s="64" t="e">
        <f>R248*dagenperjaar1</f>
        <v>#DIV/0!</v>
      </c>
      <c r="V248" s="69" t="e">
        <f>U248*ROUND(Q248,2)</f>
        <v>#DIV/0!</v>
      </c>
    </row>
    <row r="249" spans="1:22" ht="28.8" x14ac:dyDescent="0.3">
      <c r="A249" s="61" t="s">
        <v>316</v>
      </c>
      <c r="B249" s="62" t="s">
        <v>317</v>
      </c>
      <c r="C249" s="62" t="s">
        <v>629</v>
      </c>
      <c r="D249" s="62" t="s">
        <v>636</v>
      </c>
      <c r="E249" s="63" t="s">
        <v>637</v>
      </c>
      <c r="F249" s="62" t="s">
        <v>632</v>
      </c>
      <c r="G249" s="62" t="s">
        <v>218</v>
      </c>
      <c r="H249" s="62" t="s">
        <v>11</v>
      </c>
      <c r="I249" s="62" t="s">
        <v>210</v>
      </c>
      <c r="J249" s="63" t="s">
        <v>219</v>
      </c>
      <c r="K249" s="62" t="s">
        <v>317</v>
      </c>
      <c r="L249" s="64">
        <v>315.11</v>
      </c>
      <c r="M249" s="64">
        <f>L249*VLOOKUP(H249,dagsoorttabel1,2,FALSE)</f>
        <v>315.11</v>
      </c>
      <c r="N249" s="65">
        <f>prodnorm14</f>
        <v>0</v>
      </c>
      <c r="O249" s="66">
        <f>dagwerk14</f>
        <v>0</v>
      </c>
      <c r="P249" s="62" t="s">
        <v>40</v>
      </c>
      <c r="Q249" s="67">
        <f>uurtarief14</f>
        <v>0</v>
      </c>
      <c r="R249" s="64" t="e">
        <f>IF(ISBLANK(N249),0,M249/ROUND(N249,4))</f>
        <v>#DIV/0!</v>
      </c>
      <c r="S249" s="64" t="e">
        <f>IF(ISBLANK(N249),0,R249*ROUND(O249,2))</f>
        <v>#DIV/0!</v>
      </c>
      <c r="T249" s="67" t="e">
        <f>ROUND(Q249,2)*R249</f>
        <v>#DIV/0!</v>
      </c>
      <c r="U249" s="64" t="e">
        <f>R249*dagenperjaar1</f>
        <v>#DIV/0!</v>
      </c>
      <c r="V249" s="69" t="e">
        <f>U249*ROUND(Q249,2)</f>
        <v>#DIV/0!</v>
      </c>
    </row>
    <row r="250" spans="1:22" x14ac:dyDescent="0.3">
      <c r="A250" s="61" t="s">
        <v>316</v>
      </c>
      <c r="B250" s="62" t="s">
        <v>317</v>
      </c>
      <c r="C250" s="62" t="s">
        <v>629</v>
      </c>
      <c r="D250" s="62" t="s">
        <v>638</v>
      </c>
      <c r="E250" s="63" t="s">
        <v>639</v>
      </c>
      <c r="F250" s="62" t="s">
        <v>640</v>
      </c>
      <c r="G250" s="62" t="s">
        <v>286</v>
      </c>
      <c r="H250" s="62" t="s">
        <v>11</v>
      </c>
      <c r="I250" s="62" t="s">
        <v>210</v>
      </c>
      <c r="J250" s="63" t="s">
        <v>287</v>
      </c>
      <c r="K250" s="62" t="s">
        <v>317</v>
      </c>
      <c r="L250" s="64">
        <v>23.69</v>
      </c>
      <c r="M250" s="64">
        <f>L250*VLOOKUP(H250,dagsoorttabel1,2,FALSE)</f>
        <v>23.69</v>
      </c>
      <c r="N250" s="65">
        <f>prodnorm49</f>
        <v>0</v>
      </c>
      <c r="O250" s="66">
        <f>dagwerk49</f>
        <v>0</v>
      </c>
      <c r="P250" s="62" t="s">
        <v>40</v>
      </c>
      <c r="Q250" s="67">
        <f>uurtarief49</f>
        <v>0</v>
      </c>
      <c r="R250" s="64" t="e">
        <f>IF(ISBLANK(N250),0,M250/ROUND(N250,4))</f>
        <v>#DIV/0!</v>
      </c>
      <c r="S250" s="64" t="e">
        <f>IF(ISBLANK(N250),0,R250*ROUND(O250,2))</f>
        <v>#DIV/0!</v>
      </c>
      <c r="T250" s="67" t="e">
        <f>ROUND(Q250,2)*R250</f>
        <v>#DIV/0!</v>
      </c>
      <c r="U250" s="64" t="e">
        <f>R250*dagenperjaar1</f>
        <v>#DIV/0!</v>
      </c>
      <c r="V250" s="69" t="e">
        <f>U250*ROUND(Q250,2)</f>
        <v>#DIV/0!</v>
      </c>
    </row>
    <row r="251" spans="1:22" x14ac:dyDescent="0.3">
      <c r="A251" s="61" t="s">
        <v>316</v>
      </c>
      <c r="B251" s="62" t="s">
        <v>317</v>
      </c>
      <c r="C251" s="62" t="s">
        <v>629</v>
      </c>
      <c r="D251" s="62" t="s">
        <v>641</v>
      </c>
      <c r="E251" s="63" t="s">
        <v>321</v>
      </c>
      <c r="F251" s="62" t="s">
        <v>365</v>
      </c>
      <c r="G251" s="62" t="s">
        <v>323</v>
      </c>
      <c r="H251" s="62"/>
      <c r="I251" s="62"/>
      <c r="J251" s="62"/>
      <c r="K251" s="62" t="s">
        <v>317</v>
      </c>
      <c r="L251" s="64">
        <v>9.16</v>
      </c>
      <c r="M251" s="64"/>
      <c r="N251" s="65"/>
      <c r="O251" s="66"/>
      <c r="P251" s="62"/>
      <c r="Q251" s="67"/>
      <c r="R251" s="64"/>
      <c r="S251" s="64"/>
      <c r="T251" s="67"/>
      <c r="U251" s="68"/>
      <c r="V251" s="69"/>
    </row>
    <row r="252" spans="1:22" x14ac:dyDescent="0.3">
      <c r="A252" s="61" t="s">
        <v>316</v>
      </c>
      <c r="B252" s="62" t="s">
        <v>317</v>
      </c>
      <c r="C252" s="62" t="s">
        <v>629</v>
      </c>
      <c r="D252" s="62" t="s">
        <v>642</v>
      </c>
      <c r="E252" s="63" t="s">
        <v>330</v>
      </c>
      <c r="F252" s="62" t="s">
        <v>389</v>
      </c>
      <c r="G252" s="62" t="s">
        <v>286</v>
      </c>
      <c r="H252" s="62" t="s">
        <v>11</v>
      </c>
      <c r="I252" s="62" t="s">
        <v>210</v>
      </c>
      <c r="J252" s="63" t="s">
        <v>287</v>
      </c>
      <c r="K252" s="62" t="s">
        <v>317</v>
      </c>
      <c r="L252" s="64">
        <v>26.3</v>
      </c>
      <c r="M252" s="64">
        <f t="shared" ref="M252:M259" si="66">L252*VLOOKUP(H252,dagsoorttabel1,2,FALSE)</f>
        <v>26.3</v>
      </c>
      <c r="N252" s="65">
        <f>prodnorm49</f>
        <v>0</v>
      </c>
      <c r="O252" s="66">
        <f>dagwerk49</f>
        <v>0</v>
      </c>
      <c r="P252" s="62" t="s">
        <v>40</v>
      </c>
      <c r="Q252" s="67">
        <f>uurtarief49</f>
        <v>0</v>
      </c>
      <c r="R252" s="64" t="e">
        <f t="shared" ref="R252:R259" si="67">IF(ISBLANK(N252),0,M252/ROUND(N252,4))</f>
        <v>#DIV/0!</v>
      </c>
      <c r="S252" s="64" t="e">
        <f t="shared" ref="S252:S259" si="68">IF(ISBLANK(N252),0,R252*ROUND(O252,2))</f>
        <v>#DIV/0!</v>
      </c>
      <c r="T252" s="67" t="e">
        <f t="shared" ref="T252:T259" si="69">ROUND(Q252,2)*R252</f>
        <v>#DIV/0!</v>
      </c>
      <c r="U252" s="64" t="e">
        <f t="shared" ref="U252:U259" si="70">R252*dagenperjaar1</f>
        <v>#DIV/0!</v>
      </c>
      <c r="V252" s="69" t="e">
        <f t="shared" ref="V252:V259" si="71">U252*ROUND(Q252,2)</f>
        <v>#DIV/0!</v>
      </c>
    </row>
    <row r="253" spans="1:22" x14ac:dyDescent="0.3">
      <c r="A253" s="61" t="s">
        <v>316</v>
      </c>
      <c r="B253" s="62" t="s">
        <v>317</v>
      </c>
      <c r="C253" s="62" t="s">
        <v>629</v>
      </c>
      <c r="D253" s="62" t="s">
        <v>643</v>
      </c>
      <c r="E253" s="63" t="s">
        <v>330</v>
      </c>
      <c r="F253" s="62" t="s">
        <v>389</v>
      </c>
      <c r="G253" s="62" t="s">
        <v>286</v>
      </c>
      <c r="H253" s="62" t="s">
        <v>11</v>
      </c>
      <c r="I253" s="62" t="s">
        <v>210</v>
      </c>
      <c r="J253" s="63" t="s">
        <v>287</v>
      </c>
      <c r="K253" s="62" t="s">
        <v>317</v>
      </c>
      <c r="L253" s="64">
        <v>26.3</v>
      </c>
      <c r="M253" s="64">
        <f t="shared" si="66"/>
        <v>26.3</v>
      </c>
      <c r="N253" s="65">
        <f>prodnorm49</f>
        <v>0</v>
      </c>
      <c r="O253" s="66">
        <f>dagwerk49</f>
        <v>0</v>
      </c>
      <c r="P253" s="62" t="s">
        <v>40</v>
      </c>
      <c r="Q253" s="67">
        <f>uurtarief49</f>
        <v>0</v>
      </c>
      <c r="R253" s="64" t="e">
        <f t="shared" si="67"/>
        <v>#DIV/0!</v>
      </c>
      <c r="S253" s="64" t="e">
        <f t="shared" si="68"/>
        <v>#DIV/0!</v>
      </c>
      <c r="T253" s="67" t="e">
        <f t="shared" si="69"/>
        <v>#DIV/0!</v>
      </c>
      <c r="U253" s="64" t="e">
        <f t="shared" si="70"/>
        <v>#DIV/0!</v>
      </c>
      <c r="V253" s="69" t="e">
        <f t="shared" si="71"/>
        <v>#DIV/0!</v>
      </c>
    </row>
    <row r="254" spans="1:22" x14ac:dyDescent="0.3">
      <c r="A254" s="61" t="s">
        <v>316</v>
      </c>
      <c r="B254" s="62" t="s">
        <v>317</v>
      </c>
      <c r="C254" s="62" t="s">
        <v>629</v>
      </c>
      <c r="D254" s="62" t="s">
        <v>644</v>
      </c>
      <c r="E254" s="63" t="s">
        <v>394</v>
      </c>
      <c r="F254" s="62" t="s">
        <v>389</v>
      </c>
      <c r="G254" s="62" t="s">
        <v>272</v>
      </c>
      <c r="H254" s="62" t="s">
        <v>11</v>
      </c>
      <c r="I254" s="62" t="s">
        <v>210</v>
      </c>
      <c r="J254" s="63" t="s">
        <v>273</v>
      </c>
      <c r="K254" s="62" t="s">
        <v>317</v>
      </c>
      <c r="L254" s="64">
        <v>99.05</v>
      </c>
      <c r="M254" s="64">
        <f t="shared" si="66"/>
        <v>99.05</v>
      </c>
      <c r="N254" s="65">
        <f>prodnorm42</f>
        <v>0</v>
      </c>
      <c r="O254" s="66">
        <f>dagwerk42</f>
        <v>0</v>
      </c>
      <c r="P254" s="62" t="s">
        <v>40</v>
      </c>
      <c r="Q254" s="67">
        <f>uurtarief42</f>
        <v>0</v>
      </c>
      <c r="R254" s="64" t="e">
        <f t="shared" si="67"/>
        <v>#DIV/0!</v>
      </c>
      <c r="S254" s="64" t="e">
        <f t="shared" si="68"/>
        <v>#DIV/0!</v>
      </c>
      <c r="T254" s="67" t="e">
        <f t="shared" si="69"/>
        <v>#DIV/0!</v>
      </c>
      <c r="U254" s="64" t="e">
        <f t="shared" si="70"/>
        <v>#DIV/0!</v>
      </c>
      <c r="V254" s="69" t="e">
        <f t="shared" si="71"/>
        <v>#DIV/0!</v>
      </c>
    </row>
    <row r="255" spans="1:22" x14ac:dyDescent="0.3">
      <c r="A255" s="61" t="s">
        <v>316</v>
      </c>
      <c r="B255" s="62" t="s">
        <v>317</v>
      </c>
      <c r="C255" s="62" t="s">
        <v>629</v>
      </c>
      <c r="D255" s="62" t="s">
        <v>645</v>
      </c>
      <c r="E255" s="63" t="s">
        <v>394</v>
      </c>
      <c r="F255" s="62" t="s">
        <v>389</v>
      </c>
      <c r="G255" s="62" t="s">
        <v>272</v>
      </c>
      <c r="H255" s="62" t="s">
        <v>11</v>
      </c>
      <c r="I255" s="62" t="s">
        <v>210</v>
      </c>
      <c r="J255" s="63" t="s">
        <v>273</v>
      </c>
      <c r="K255" s="62" t="s">
        <v>317</v>
      </c>
      <c r="L255" s="64">
        <v>45.49</v>
      </c>
      <c r="M255" s="64">
        <f t="shared" si="66"/>
        <v>45.49</v>
      </c>
      <c r="N255" s="65">
        <f>prodnorm42</f>
        <v>0</v>
      </c>
      <c r="O255" s="66">
        <f>dagwerk42</f>
        <v>0</v>
      </c>
      <c r="P255" s="62" t="s">
        <v>40</v>
      </c>
      <c r="Q255" s="67">
        <f>uurtarief42</f>
        <v>0</v>
      </c>
      <c r="R255" s="64" t="e">
        <f t="shared" si="67"/>
        <v>#DIV/0!</v>
      </c>
      <c r="S255" s="64" t="e">
        <f t="shared" si="68"/>
        <v>#DIV/0!</v>
      </c>
      <c r="T255" s="67" t="e">
        <f t="shared" si="69"/>
        <v>#DIV/0!</v>
      </c>
      <c r="U255" s="64" t="e">
        <f t="shared" si="70"/>
        <v>#DIV/0!</v>
      </c>
      <c r="V255" s="69" t="e">
        <f t="shared" si="71"/>
        <v>#DIV/0!</v>
      </c>
    </row>
    <row r="256" spans="1:22" x14ac:dyDescent="0.3">
      <c r="A256" s="61" t="s">
        <v>316</v>
      </c>
      <c r="B256" s="62" t="s">
        <v>317</v>
      </c>
      <c r="C256" s="62" t="s">
        <v>629</v>
      </c>
      <c r="D256" s="62" t="s">
        <v>646</v>
      </c>
      <c r="E256" s="63" t="s">
        <v>394</v>
      </c>
      <c r="F256" s="62" t="s">
        <v>389</v>
      </c>
      <c r="G256" s="62" t="s">
        <v>272</v>
      </c>
      <c r="H256" s="62" t="s">
        <v>11</v>
      </c>
      <c r="I256" s="62" t="s">
        <v>210</v>
      </c>
      <c r="J256" s="63" t="s">
        <v>273</v>
      </c>
      <c r="K256" s="62" t="s">
        <v>317</v>
      </c>
      <c r="L256" s="64">
        <v>70.819999999999993</v>
      </c>
      <c r="M256" s="64">
        <f t="shared" si="66"/>
        <v>70.819999999999993</v>
      </c>
      <c r="N256" s="65">
        <f>prodnorm42</f>
        <v>0</v>
      </c>
      <c r="O256" s="66">
        <f>dagwerk42</f>
        <v>0</v>
      </c>
      <c r="P256" s="62" t="s">
        <v>40</v>
      </c>
      <c r="Q256" s="67">
        <f>uurtarief42</f>
        <v>0</v>
      </c>
      <c r="R256" s="64" t="e">
        <f t="shared" si="67"/>
        <v>#DIV/0!</v>
      </c>
      <c r="S256" s="64" t="e">
        <f t="shared" si="68"/>
        <v>#DIV/0!</v>
      </c>
      <c r="T256" s="67" t="e">
        <f t="shared" si="69"/>
        <v>#DIV/0!</v>
      </c>
      <c r="U256" s="64" t="e">
        <f t="shared" si="70"/>
        <v>#DIV/0!</v>
      </c>
      <c r="V256" s="69" t="e">
        <f t="shared" si="71"/>
        <v>#DIV/0!</v>
      </c>
    </row>
    <row r="257" spans="1:22" x14ac:dyDescent="0.3">
      <c r="A257" s="61" t="s">
        <v>316</v>
      </c>
      <c r="B257" s="62" t="s">
        <v>317</v>
      </c>
      <c r="C257" s="62" t="s">
        <v>629</v>
      </c>
      <c r="D257" s="62" t="s">
        <v>647</v>
      </c>
      <c r="E257" s="63" t="s">
        <v>394</v>
      </c>
      <c r="F257" s="62" t="s">
        <v>389</v>
      </c>
      <c r="G257" s="62" t="s">
        <v>272</v>
      </c>
      <c r="H257" s="62" t="s">
        <v>11</v>
      </c>
      <c r="I257" s="62" t="s">
        <v>210</v>
      </c>
      <c r="J257" s="63" t="s">
        <v>273</v>
      </c>
      <c r="K257" s="62" t="s">
        <v>317</v>
      </c>
      <c r="L257" s="64">
        <v>39.630000000000003</v>
      </c>
      <c r="M257" s="64">
        <f t="shared" si="66"/>
        <v>39.630000000000003</v>
      </c>
      <c r="N257" s="65">
        <f>prodnorm42</f>
        <v>0</v>
      </c>
      <c r="O257" s="66">
        <f>dagwerk42</f>
        <v>0</v>
      </c>
      <c r="P257" s="62" t="s">
        <v>40</v>
      </c>
      <c r="Q257" s="67">
        <f>uurtarief42</f>
        <v>0</v>
      </c>
      <c r="R257" s="64" t="e">
        <f t="shared" si="67"/>
        <v>#DIV/0!</v>
      </c>
      <c r="S257" s="64" t="e">
        <f t="shared" si="68"/>
        <v>#DIV/0!</v>
      </c>
      <c r="T257" s="67" t="e">
        <f t="shared" si="69"/>
        <v>#DIV/0!</v>
      </c>
      <c r="U257" s="64" t="e">
        <f t="shared" si="70"/>
        <v>#DIV/0!</v>
      </c>
      <c r="V257" s="69" t="e">
        <f t="shared" si="71"/>
        <v>#DIV/0!</v>
      </c>
    </row>
    <row r="258" spans="1:22" x14ac:dyDescent="0.3">
      <c r="A258" s="61" t="s">
        <v>316</v>
      </c>
      <c r="B258" s="62" t="s">
        <v>317</v>
      </c>
      <c r="C258" s="62" t="s">
        <v>629</v>
      </c>
      <c r="D258" s="62" t="s">
        <v>648</v>
      </c>
      <c r="E258" s="63" t="s">
        <v>394</v>
      </c>
      <c r="F258" s="62" t="s">
        <v>389</v>
      </c>
      <c r="G258" s="62" t="s">
        <v>272</v>
      </c>
      <c r="H258" s="62" t="s">
        <v>11</v>
      </c>
      <c r="I258" s="62" t="s">
        <v>210</v>
      </c>
      <c r="J258" s="63" t="s">
        <v>273</v>
      </c>
      <c r="K258" s="62" t="s">
        <v>317</v>
      </c>
      <c r="L258" s="64">
        <v>65.14</v>
      </c>
      <c r="M258" s="64">
        <f t="shared" si="66"/>
        <v>65.14</v>
      </c>
      <c r="N258" s="65">
        <f>prodnorm42</f>
        <v>0</v>
      </c>
      <c r="O258" s="66">
        <f>dagwerk42</f>
        <v>0</v>
      </c>
      <c r="P258" s="62" t="s">
        <v>40</v>
      </c>
      <c r="Q258" s="67">
        <f>uurtarief42</f>
        <v>0</v>
      </c>
      <c r="R258" s="64" t="e">
        <f t="shared" si="67"/>
        <v>#DIV/0!</v>
      </c>
      <c r="S258" s="64" t="e">
        <f t="shared" si="68"/>
        <v>#DIV/0!</v>
      </c>
      <c r="T258" s="67" t="e">
        <f t="shared" si="69"/>
        <v>#DIV/0!</v>
      </c>
      <c r="U258" s="64" t="e">
        <f t="shared" si="70"/>
        <v>#DIV/0!</v>
      </c>
      <c r="V258" s="69" t="e">
        <f t="shared" si="71"/>
        <v>#DIV/0!</v>
      </c>
    </row>
    <row r="259" spans="1:22" x14ac:dyDescent="0.3">
      <c r="A259" s="61" t="s">
        <v>316</v>
      </c>
      <c r="B259" s="62" t="s">
        <v>317</v>
      </c>
      <c r="C259" s="62" t="s">
        <v>629</v>
      </c>
      <c r="D259" s="62" t="s">
        <v>649</v>
      </c>
      <c r="E259" s="63" t="s">
        <v>492</v>
      </c>
      <c r="F259" s="62" t="s">
        <v>389</v>
      </c>
      <c r="G259" s="62" t="s">
        <v>238</v>
      </c>
      <c r="H259" s="62" t="s">
        <v>11</v>
      </c>
      <c r="I259" s="62" t="s">
        <v>210</v>
      </c>
      <c r="J259" s="63" t="s">
        <v>239</v>
      </c>
      <c r="K259" s="62" t="s">
        <v>317</v>
      </c>
      <c r="L259" s="64">
        <v>365.16</v>
      </c>
      <c r="M259" s="64">
        <f t="shared" si="66"/>
        <v>365.16</v>
      </c>
      <c r="N259" s="65">
        <f>prodnorm24</f>
        <v>0</v>
      </c>
      <c r="O259" s="66">
        <f>dagwerk24</f>
        <v>0</v>
      </c>
      <c r="P259" s="62" t="s">
        <v>40</v>
      </c>
      <c r="Q259" s="67">
        <f>uurtarief24</f>
        <v>0</v>
      </c>
      <c r="R259" s="64" t="e">
        <f t="shared" si="67"/>
        <v>#DIV/0!</v>
      </c>
      <c r="S259" s="64" t="e">
        <f t="shared" si="68"/>
        <v>#DIV/0!</v>
      </c>
      <c r="T259" s="67" t="e">
        <f t="shared" si="69"/>
        <v>#DIV/0!</v>
      </c>
      <c r="U259" s="64" t="e">
        <f t="shared" si="70"/>
        <v>#DIV/0!</v>
      </c>
      <c r="V259" s="69" t="e">
        <f t="shared" si="71"/>
        <v>#DIV/0!</v>
      </c>
    </row>
    <row r="260" spans="1:22" x14ac:dyDescent="0.3">
      <c r="A260" s="61" t="s">
        <v>316</v>
      </c>
      <c r="B260" s="62" t="s">
        <v>317</v>
      </c>
      <c r="C260" s="62" t="s">
        <v>629</v>
      </c>
      <c r="D260" s="62" t="s">
        <v>650</v>
      </c>
      <c r="E260" s="63" t="s">
        <v>321</v>
      </c>
      <c r="F260" s="62" t="s">
        <v>389</v>
      </c>
      <c r="G260" s="62" t="s">
        <v>323</v>
      </c>
      <c r="H260" s="62"/>
      <c r="I260" s="62"/>
      <c r="J260" s="62"/>
      <c r="K260" s="62" t="s">
        <v>317</v>
      </c>
      <c r="L260" s="64">
        <v>2.3299999999999996</v>
      </c>
      <c r="M260" s="64"/>
      <c r="N260" s="65"/>
      <c r="O260" s="66"/>
      <c r="P260" s="62"/>
      <c r="Q260" s="67"/>
      <c r="R260" s="64"/>
      <c r="S260" s="64"/>
      <c r="T260" s="67"/>
      <c r="U260" s="68"/>
      <c r="V260" s="69"/>
    </row>
    <row r="261" spans="1:22" x14ac:dyDescent="0.3">
      <c r="A261" s="61" t="s">
        <v>316</v>
      </c>
      <c r="B261" s="62" t="s">
        <v>317</v>
      </c>
      <c r="C261" s="62" t="s">
        <v>629</v>
      </c>
      <c r="D261" s="62" t="s">
        <v>651</v>
      </c>
      <c r="E261" s="63" t="s">
        <v>536</v>
      </c>
      <c r="F261" s="62" t="s">
        <v>348</v>
      </c>
      <c r="G261" s="62" t="s">
        <v>216</v>
      </c>
      <c r="H261" s="62" t="s">
        <v>14</v>
      </c>
      <c r="I261" s="62" t="s">
        <v>210</v>
      </c>
      <c r="J261" s="63" t="s">
        <v>217</v>
      </c>
      <c r="K261" s="62" t="s">
        <v>317</v>
      </c>
      <c r="L261" s="64">
        <v>16.66</v>
      </c>
      <c r="M261" s="64">
        <f t="shared" ref="M261:M270" si="72">L261*VLOOKUP(H261,dagsoorttabel1,2,FALSE)</f>
        <v>9.9960000000000004</v>
      </c>
      <c r="N261" s="65">
        <f>prodnorm13</f>
        <v>0</v>
      </c>
      <c r="O261" s="66">
        <f>dagwerk13</f>
        <v>0</v>
      </c>
      <c r="P261" s="62" t="s">
        <v>40</v>
      </c>
      <c r="Q261" s="67">
        <f>uurtarief13</f>
        <v>0</v>
      </c>
      <c r="R261" s="64" t="e">
        <f t="shared" ref="R261:R270" si="73">IF(ISBLANK(N261),0,M261/ROUND(N261,4))</f>
        <v>#DIV/0!</v>
      </c>
      <c r="S261" s="64" t="e">
        <f t="shared" ref="S261:S270" si="74">IF(ISBLANK(N261),0,R261*ROUND(O261,2))</f>
        <v>#DIV/0!</v>
      </c>
      <c r="T261" s="67" t="e">
        <f t="shared" ref="T261:T270" si="75">ROUND(Q261,2)*R261</f>
        <v>#DIV/0!</v>
      </c>
      <c r="U261" s="64" t="e">
        <f t="shared" ref="U261:U270" si="76">R261*dagenperjaar1</f>
        <v>#DIV/0!</v>
      </c>
      <c r="V261" s="69" t="e">
        <f t="shared" ref="V261:V270" si="77">U261*ROUND(Q261,2)</f>
        <v>#DIV/0!</v>
      </c>
    </row>
    <row r="262" spans="1:22" x14ac:dyDescent="0.3">
      <c r="A262" s="61" t="s">
        <v>316</v>
      </c>
      <c r="B262" s="62" t="s">
        <v>317</v>
      </c>
      <c r="C262" s="62" t="s">
        <v>629</v>
      </c>
      <c r="D262" s="62" t="s">
        <v>652</v>
      </c>
      <c r="E262" s="63" t="s">
        <v>536</v>
      </c>
      <c r="F262" s="62" t="s">
        <v>348</v>
      </c>
      <c r="G262" s="62" t="s">
        <v>216</v>
      </c>
      <c r="H262" s="62" t="s">
        <v>14</v>
      </c>
      <c r="I262" s="62" t="s">
        <v>210</v>
      </c>
      <c r="J262" s="63" t="s">
        <v>217</v>
      </c>
      <c r="K262" s="62" t="s">
        <v>317</v>
      </c>
      <c r="L262" s="64">
        <v>17.439999999999998</v>
      </c>
      <c r="M262" s="64">
        <f t="shared" si="72"/>
        <v>10.463999999999999</v>
      </c>
      <c r="N262" s="65">
        <f>prodnorm13</f>
        <v>0</v>
      </c>
      <c r="O262" s="66">
        <f>dagwerk13</f>
        <v>0</v>
      </c>
      <c r="P262" s="62" t="s">
        <v>40</v>
      </c>
      <c r="Q262" s="67">
        <f>uurtarief13</f>
        <v>0</v>
      </c>
      <c r="R262" s="64" t="e">
        <f t="shared" si="73"/>
        <v>#DIV/0!</v>
      </c>
      <c r="S262" s="64" t="e">
        <f t="shared" si="74"/>
        <v>#DIV/0!</v>
      </c>
      <c r="T262" s="67" t="e">
        <f t="shared" si="75"/>
        <v>#DIV/0!</v>
      </c>
      <c r="U262" s="64" t="e">
        <f t="shared" si="76"/>
        <v>#DIV/0!</v>
      </c>
      <c r="V262" s="69" t="e">
        <f t="shared" si="77"/>
        <v>#DIV/0!</v>
      </c>
    </row>
    <row r="263" spans="1:22" x14ac:dyDescent="0.3">
      <c r="A263" s="61" t="s">
        <v>316</v>
      </c>
      <c r="B263" s="62" t="s">
        <v>317</v>
      </c>
      <c r="C263" s="62" t="s">
        <v>629</v>
      </c>
      <c r="D263" s="62" t="s">
        <v>653</v>
      </c>
      <c r="E263" s="63" t="s">
        <v>536</v>
      </c>
      <c r="F263" s="62" t="s">
        <v>348</v>
      </c>
      <c r="G263" s="62" t="s">
        <v>216</v>
      </c>
      <c r="H263" s="62" t="s">
        <v>14</v>
      </c>
      <c r="I263" s="62" t="s">
        <v>210</v>
      </c>
      <c r="J263" s="63" t="s">
        <v>217</v>
      </c>
      <c r="K263" s="62" t="s">
        <v>317</v>
      </c>
      <c r="L263" s="64">
        <v>17.439999999999998</v>
      </c>
      <c r="M263" s="64">
        <f t="shared" si="72"/>
        <v>10.463999999999999</v>
      </c>
      <c r="N263" s="65">
        <f>prodnorm13</f>
        <v>0</v>
      </c>
      <c r="O263" s="66">
        <f>dagwerk13</f>
        <v>0</v>
      </c>
      <c r="P263" s="62" t="s">
        <v>40</v>
      </c>
      <c r="Q263" s="67">
        <f>uurtarief13</f>
        <v>0</v>
      </c>
      <c r="R263" s="64" t="e">
        <f t="shared" si="73"/>
        <v>#DIV/0!</v>
      </c>
      <c r="S263" s="64" t="e">
        <f t="shared" si="74"/>
        <v>#DIV/0!</v>
      </c>
      <c r="T263" s="67" t="e">
        <f t="shared" si="75"/>
        <v>#DIV/0!</v>
      </c>
      <c r="U263" s="64" t="e">
        <f t="shared" si="76"/>
        <v>#DIV/0!</v>
      </c>
      <c r="V263" s="69" t="e">
        <f t="shared" si="77"/>
        <v>#DIV/0!</v>
      </c>
    </row>
    <row r="264" spans="1:22" x14ac:dyDescent="0.3">
      <c r="A264" s="61" t="s">
        <v>316</v>
      </c>
      <c r="B264" s="62" t="s">
        <v>317</v>
      </c>
      <c r="C264" s="62" t="s">
        <v>629</v>
      </c>
      <c r="D264" s="62" t="s">
        <v>654</v>
      </c>
      <c r="E264" s="63" t="s">
        <v>536</v>
      </c>
      <c r="F264" s="62" t="s">
        <v>348</v>
      </c>
      <c r="G264" s="62" t="s">
        <v>216</v>
      </c>
      <c r="H264" s="62" t="s">
        <v>14</v>
      </c>
      <c r="I264" s="62" t="s">
        <v>210</v>
      </c>
      <c r="J264" s="63" t="s">
        <v>217</v>
      </c>
      <c r="K264" s="62" t="s">
        <v>317</v>
      </c>
      <c r="L264" s="64">
        <v>16.489999999999998</v>
      </c>
      <c r="M264" s="64">
        <f t="shared" si="72"/>
        <v>9.8939999999999984</v>
      </c>
      <c r="N264" s="65">
        <f>prodnorm13</f>
        <v>0</v>
      </c>
      <c r="O264" s="66">
        <f>dagwerk13</f>
        <v>0</v>
      </c>
      <c r="P264" s="62" t="s">
        <v>40</v>
      </c>
      <c r="Q264" s="67">
        <f>uurtarief13</f>
        <v>0</v>
      </c>
      <c r="R264" s="64" t="e">
        <f t="shared" si="73"/>
        <v>#DIV/0!</v>
      </c>
      <c r="S264" s="64" t="e">
        <f t="shared" si="74"/>
        <v>#DIV/0!</v>
      </c>
      <c r="T264" s="67" t="e">
        <f t="shared" si="75"/>
        <v>#DIV/0!</v>
      </c>
      <c r="U264" s="64" t="e">
        <f t="shared" si="76"/>
        <v>#DIV/0!</v>
      </c>
      <c r="V264" s="69" t="e">
        <f t="shared" si="77"/>
        <v>#DIV/0!</v>
      </c>
    </row>
    <row r="265" spans="1:22" x14ac:dyDescent="0.3">
      <c r="A265" s="61" t="s">
        <v>316</v>
      </c>
      <c r="B265" s="62" t="s">
        <v>317</v>
      </c>
      <c r="C265" s="62" t="s">
        <v>629</v>
      </c>
      <c r="D265" s="62" t="s">
        <v>655</v>
      </c>
      <c r="E265" s="63" t="s">
        <v>396</v>
      </c>
      <c r="F265" s="62" t="s">
        <v>348</v>
      </c>
      <c r="G265" s="62" t="s">
        <v>240</v>
      </c>
      <c r="H265" s="62" t="s">
        <v>11</v>
      </c>
      <c r="I265" s="62" t="s">
        <v>210</v>
      </c>
      <c r="J265" s="63" t="s">
        <v>241</v>
      </c>
      <c r="K265" s="62" t="s">
        <v>317</v>
      </c>
      <c r="L265" s="64">
        <v>34.47</v>
      </c>
      <c r="M265" s="64">
        <f t="shared" si="72"/>
        <v>34.47</v>
      </c>
      <c r="N265" s="65">
        <f>prodnorm25</f>
        <v>0</v>
      </c>
      <c r="O265" s="66">
        <f>dagwerk25</f>
        <v>0</v>
      </c>
      <c r="P265" s="62" t="s">
        <v>40</v>
      </c>
      <c r="Q265" s="67">
        <f>uurtarief25</f>
        <v>0</v>
      </c>
      <c r="R265" s="64" t="e">
        <f t="shared" si="73"/>
        <v>#DIV/0!</v>
      </c>
      <c r="S265" s="64" t="e">
        <f t="shared" si="74"/>
        <v>#DIV/0!</v>
      </c>
      <c r="T265" s="67" t="e">
        <f t="shared" si="75"/>
        <v>#DIV/0!</v>
      </c>
      <c r="U265" s="64" t="e">
        <f t="shared" si="76"/>
        <v>#DIV/0!</v>
      </c>
      <c r="V265" s="69" t="e">
        <f t="shared" si="77"/>
        <v>#DIV/0!</v>
      </c>
    </row>
    <row r="266" spans="1:22" x14ac:dyDescent="0.3">
      <c r="A266" s="61" t="s">
        <v>316</v>
      </c>
      <c r="B266" s="62" t="s">
        <v>317</v>
      </c>
      <c r="C266" s="62" t="s">
        <v>629</v>
      </c>
      <c r="D266" s="62" t="s">
        <v>656</v>
      </c>
      <c r="E266" s="63" t="s">
        <v>391</v>
      </c>
      <c r="F266" s="62" t="s">
        <v>348</v>
      </c>
      <c r="G266" s="62" t="s">
        <v>236</v>
      </c>
      <c r="H266" s="62" t="s">
        <v>14</v>
      </c>
      <c r="I266" s="62" t="s">
        <v>210</v>
      </c>
      <c r="J266" s="63" t="s">
        <v>237</v>
      </c>
      <c r="K266" s="62" t="s">
        <v>317</v>
      </c>
      <c r="L266" s="64">
        <v>24.97</v>
      </c>
      <c r="M266" s="64">
        <f t="shared" si="72"/>
        <v>14.981999999999999</v>
      </c>
      <c r="N266" s="65">
        <f>prodnorm23</f>
        <v>0</v>
      </c>
      <c r="O266" s="66">
        <f>dagwerk23</f>
        <v>0</v>
      </c>
      <c r="P266" s="62" t="s">
        <v>40</v>
      </c>
      <c r="Q266" s="67">
        <f>uurtarief23</f>
        <v>0</v>
      </c>
      <c r="R266" s="64" t="e">
        <f t="shared" si="73"/>
        <v>#DIV/0!</v>
      </c>
      <c r="S266" s="64" t="e">
        <f t="shared" si="74"/>
        <v>#DIV/0!</v>
      </c>
      <c r="T266" s="67" t="e">
        <f t="shared" si="75"/>
        <v>#DIV/0!</v>
      </c>
      <c r="U266" s="64" t="e">
        <f t="shared" si="76"/>
        <v>#DIV/0!</v>
      </c>
      <c r="V266" s="69" t="e">
        <f t="shared" si="77"/>
        <v>#DIV/0!</v>
      </c>
    </row>
    <row r="267" spans="1:22" x14ac:dyDescent="0.3">
      <c r="A267" s="61" t="s">
        <v>316</v>
      </c>
      <c r="B267" s="62" t="s">
        <v>317</v>
      </c>
      <c r="C267" s="62" t="s">
        <v>629</v>
      </c>
      <c r="D267" s="62" t="s">
        <v>657</v>
      </c>
      <c r="E267" s="63" t="s">
        <v>536</v>
      </c>
      <c r="F267" s="62" t="s">
        <v>348</v>
      </c>
      <c r="G267" s="62" t="s">
        <v>216</v>
      </c>
      <c r="H267" s="62" t="s">
        <v>14</v>
      </c>
      <c r="I267" s="62" t="s">
        <v>210</v>
      </c>
      <c r="J267" s="63" t="s">
        <v>217</v>
      </c>
      <c r="K267" s="62" t="s">
        <v>317</v>
      </c>
      <c r="L267" s="64">
        <v>14.719999999999999</v>
      </c>
      <c r="M267" s="64">
        <f t="shared" si="72"/>
        <v>8.831999999999999</v>
      </c>
      <c r="N267" s="65">
        <f>prodnorm13</f>
        <v>0</v>
      </c>
      <c r="O267" s="66">
        <f>dagwerk13</f>
        <v>0</v>
      </c>
      <c r="P267" s="62" t="s">
        <v>40</v>
      </c>
      <c r="Q267" s="67">
        <f>uurtarief13</f>
        <v>0</v>
      </c>
      <c r="R267" s="64" t="e">
        <f t="shared" si="73"/>
        <v>#DIV/0!</v>
      </c>
      <c r="S267" s="64" t="e">
        <f t="shared" si="74"/>
        <v>#DIV/0!</v>
      </c>
      <c r="T267" s="67" t="e">
        <f t="shared" si="75"/>
        <v>#DIV/0!</v>
      </c>
      <c r="U267" s="64" t="e">
        <f t="shared" si="76"/>
        <v>#DIV/0!</v>
      </c>
      <c r="V267" s="69" t="e">
        <f t="shared" si="77"/>
        <v>#DIV/0!</v>
      </c>
    </row>
    <row r="268" spans="1:22" x14ac:dyDescent="0.3">
      <c r="A268" s="61" t="s">
        <v>316</v>
      </c>
      <c r="B268" s="62" t="s">
        <v>317</v>
      </c>
      <c r="C268" s="62" t="s">
        <v>629</v>
      </c>
      <c r="D268" s="62" t="s">
        <v>658</v>
      </c>
      <c r="E268" s="63" t="s">
        <v>536</v>
      </c>
      <c r="F268" s="62" t="s">
        <v>348</v>
      </c>
      <c r="G268" s="62" t="s">
        <v>216</v>
      </c>
      <c r="H268" s="62" t="s">
        <v>14</v>
      </c>
      <c r="I268" s="62" t="s">
        <v>210</v>
      </c>
      <c r="J268" s="63" t="s">
        <v>217</v>
      </c>
      <c r="K268" s="62" t="s">
        <v>317</v>
      </c>
      <c r="L268" s="64">
        <v>16.34</v>
      </c>
      <c r="M268" s="64">
        <f t="shared" si="72"/>
        <v>9.8040000000000003</v>
      </c>
      <c r="N268" s="65">
        <f>prodnorm13</f>
        <v>0</v>
      </c>
      <c r="O268" s="66">
        <f>dagwerk13</f>
        <v>0</v>
      </c>
      <c r="P268" s="62" t="s">
        <v>40</v>
      </c>
      <c r="Q268" s="67">
        <f>uurtarief13</f>
        <v>0</v>
      </c>
      <c r="R268" s="64" t="e">
        <f t="shared" si="73"/>
        <v>#DIV/0!</v>
      </c>
      <c r="S268" s="64" t="e">
        <f t="shared" si="74"/>
        <v>#DIV/0!</v>
      </c>
      <c r="T268" s="67" t="e">
        <f t="shared" si="75"/>
        <v>#DIV/0!</v>
      </c>
      <c r="U268" s="64" t="e">
        <f t="shared" si="76"/>
        <v>#DIV/0!</v>
      </c>
      <c r="V268" s="69" t="e">
        <f t="shared" si="77"/>
        <v>#DIV/0!</v>
      </c>
    </row>
    <row r="269" spans="1:22" ht="28.8" x14ac:dyDescent="0.3">
      <c r="A269" s="61" t="s">
        <v>316</v>
      </c>
      <c r="B269" s="62" t="s">
        <v>317</v>
      </c>
      <c r="C269" s="62" t="s">
        <v>629</v>
      </c>
      <c r="D269" s="62" t="s">
        <v>659</v>
      </c>
      <c r="E269" s="63" t="s">
        <v>660</v>
      </c>
      <c r="F269" s="62" t="s">
        <v>389</v>
      </c>
      <c r="G269" s="62" t="s">
        <v>209</v>
      </c>
      <c r="H269" s="62" t="s">
        <v>17</v>
      </c>
      <c r="I269" s="62" t="s">
        <v>210</v>
      </c>
      <c r="J269" s="63" t="s">
        <v>211</v>
      </c>
      <c r="K269" s="62" t="s">
        <v>317</v>
      </c>
      <c r="L269" s="64">
        <v>35.11</v>
      </c>
      <c r="M269" s="64">
        <f t="shared" si="72"/>
        <v>7.0220000000000002</v>
      </c>
      <c r="N269" s="65">
        <f>prodnorm10</f>
        <v>0</v>
      </c>
      <c r="O269" s="66">
        <f>dagwerk10</f>
        <v>0</v>
      </c>
      <c r="P269" s="62" t="s">
        <v>40</v>
      </c>
      <c r="Q269" s="67">
        <f>uurtarief10</f>
        <v>0</v>
      </c>
      <c r="R269" s="64" t="e">
        <f t="shared" si="73"/>
        <v>#DIV/0!</v>
      </c>
      <c r="S269" s="64" t="e">
        <f t="shared" si="74"/>
        <v>#DIV/0!</v>
      </c>
      <c r="T269" s="67" t="e">
        <f t="shared" si="75"/>
        <v>#DIV/0!</v>
      </c>
      <c r="U269" s="64" t="e">
        <f t="shared" si="76"/>
        <v>#DIV/0!</v>
      </c>
      <c r="V269" s="69" t="e">
        <f t="shared" si="77"/>
        <v>#DIV/0!</v>
      </c>
    </row>
    <row r="270" spans="1:22" ht="28.8" x14ac:dyDescent="0.3">
      <c r="A270" s="61" t="s">
        <v>316</v>
      </c>
      <c r="B270" s="62" t="s">
        <v>317</v>
      </c>
      <c r="C270" s="62" t="s">
        <v>629</v>
      </c>
      <c r="D270" s="62" t="s">
        <v>661</v>
      </c>
      <c r="E270" s="63" t="s">
        <v>662</v>
      </c>
      <c r="F270" s="62" t="s">
        <v>389</v>
      </c>
      <c r="G270" s="62" t="s">
        <v>258</v>
      </c>
      <c r="H270" s="62" t="s">
        <v>11</v>
      </c>
      <c r="I270" s="62" t="s">
        <v>210</v>
      </c>
      <c r="J270" s="63" t="s">
        <v>259</v>
      </c>
      <c r="K270" s="62" t="s">
        <v>317</v>
      </c>
      <c r="L270" s="64">
        <v>68.59</v>
      </c>
      <c r="M270" s="64">
        <f t="shared" si="72"/>
        <v>68.59</v>
      </c>
      <c r="N270" s="65">
        <f>prodnorm35</f>
        <v>0</v>
      </c>
      <c r="O270" s="66">
        <f>dagwerk35</f>
        <v>0</v>
      </c>
      <c r="P270" s="62" t="s">
        <v>40</v>
      </c>
      <c r="Q270" s="67">
        <f>uurtarief35</f>
        <v>0</v>
      </c>
      <c r="R270" s="64" t="e">
        <f t="shared" si="73"/>
        <v>#DIV/0!</v>
      </c>
      <c r="S270" s="64" t="e">
        <f t="shared" si="74"/>
        <v>#DIV/0!</v>
      </c>
      <c r="T270" s="67" t="e">
        <f t="shared" si="75"/>
        <v>#DIV/0!</v>
      </c>
      <c r="U270" s="64" t="e">
        <f t="shared" si="76"/>
        <v>#DIV/0!</v>
      </c>
      <c r="V270" s="69" t="e">
        <f t="shared" si="77"/>
        <v>#DIV/0!</v>
      </c>
    </row>
    <row r="271" spans="1:22" x14ac:dyDescent="0.3">
      <c r="A271" s="61" t="s">
        <v>316</v>
      </c>
      <c r="B271" s="62" t="s">
        <v>317</v>
      </c>
      <c r="C271" s="62" t="s">
        <v>629</v>
      </c>
      <c r="D271" s="62" t="s">
        <v>663</v>
      </c>
      <c r="E271" s="63" t="s">
        <v>664</v>
      </c>
      <c r="F271" s="62" t="s">
        <v>322</v>
      </c>
      <c r="G271" s="62" t="s">
        <v>323</v>
      </c>
      <c r="H271" s="62"/>
      <c r="I271" s="62"/>
      <c r="J271" s="62"/>
      <c r="K271" s="62" t="s">
        <v>317</v>
      </c>
      <c r="L271" s="64">
        <v>0.65000000000000013</v>
      </c>
      <c r="M271" s="64"/>
      <c r="N271" s="65"/>
      <c r="O271" s="66"/>
      <c r="P271" s="62"/>
      <c r="Q271" s="67"/>
      <c r="R271" s="64"/>
      <c r="S271" s="64"/>
      <c r="T271" s="67"/>
      <c r="U271" s="68"/>
      <c r="V271" s="69"/>
    </row>
    <row r="272" spans="1:22" x14ac:dyDescent="0.3">
      <c r="A272" s="61" t="s">
        <v>316</v>
      </c>
      <c r="B272" s="62" t="s">
        <v>317</v>
      </c>
      <c r="C272" s="62" t="s">
        <v>629</v>
      </c>
      <c r="D272" s="62" t="s">
        <v>665</v>
      </c>
      <c r="E272" s="63" t="s">
        <v>369</v>
      </c>
      <c r="F272" s="62" t="s">
        <v>335</v>
      </c>
      <c r="G272" s="62" t="s">
        <v>323</v>
      </c>
      <c r="H272" s="62"/>
      <c r="I272" s="62"/>
      <c r="J272" s="62"/>
      <c r="K272" s="62" t="s">
        <v>317</v>
      </c>
      <c r="L272" s="64">
        <v>2.3099999999999996</v>
      </c>
      <c r="M272" s="64"/>
      <c r="N272" s="65"/>
      <c r="O272" s="66"/>
      <c r="P272" s="62"/>
      <c r="Q272" s="67"/>
      <c r="R272" s="64"/>
      <c r="S272" s="64"/>
      <c r="T272" s="67"/>
      <c r="U272" s="68"/>
      <c r="V272" s="69"/>
    </row>
    <row r="273" spans="1:22" x14ac:dyDescent="0.3">
      <c r="A273" s="61" t="s">
        <v>316</v>
      </c>
      <c r="B273" s="62" t="s">
        <v>317</v>
      </c>
      <c r="C273" s="62" t="s">
        <v>629</v>
      </c>
      <c r="D273" s="62" t="s">
        <v>666</v>
      </c>
      <c r="E273" s="63" t="s">
        <v>352</v>
      </c>
      <c r="F273" s="62" t="s">
        <v>353</v>
      </c>
      <c r="G273" s="62" t="s">
        <v>266</v>
      </c>
      <c r="H273" s="62" t="s">
        <v>11</v>
      </c>
      <c r="I273" s="62" t="s">
        <v>210</v>
      </c>
      <c r="J273" s="63" t="s">
        <v>267</v>
      </c>
      <c r="K273" s="62" t="s">
        <v>317</v>
      </c>
      <c r="L273" s="64">
        <v>14.48</v>
      </c>
      <c r="M273" s="64">
        <f t="shared" ref="M273:M283" si="78">L273*VLOOKUP(H273,dagsoorttabel1,2,FALSE)</f>
        <v>14.48</v>
      </c>
      <c r="N273" s="65">
        <f>prodnorm39</f>
        <v>0</v>
      </c>
      <c r="O273" s="66">
        <f>dagwerk39</f>
        <v>0</v>
      </c>
      <c r="P273" s="62" t="s">
        <v>40</v>
      </c>
      <c r="Q273" s="67">
        <f>uurtarief39</f>
        <v>0</v>
      </c>
      <c r="R273" s="64" t="e">
        <f t="shared" ref="R273:R283" si="79">IF(ISBLANK(N273),0,M273/ROUND(N273,4))</f>
        <v>#DIV/0!</v>
      </c>
      <c r="S273" s="64" t="e">
        <f t="shared" ref="S273:S283" si="80">IF(ISBLANK(N273),0,R273*ROUND(O273,2))</f>
        <v>#DIV/0!</v>
      </c>
      <c r="T273" s="67" t="e">
        <f t="shared" ref="T273:T283" si="81">ROUND(Q273,2)*R273</f>
        <v>#DIV/0!</v>
      </c>
      <c r="U273" s="64" t="e">
        <f t="shared" ref="U273:U283" si="82">R273*dagenperjaar1</f>
        <v>#DIV/0!</v>
      </c>
      <c r="V273" s="69" t="e">
        <f t="shared" ref="V273:V283" si="83">U273*ROUND(Q273,2)</f>
        <v>#DIV/0!</v>
      </c>
    </row>
    <row r="274" spans="1:22" x14ac:dyDescent="0.3">
      <c r="A274" s="61" t="s">
        <v>316</v>
      </c>
      <c r="B274" s="62" t="s">
        <v>317</v>
      </c>
      <c r="C274" s="62" t="s">
        <v>629</v>
      </c>
      <c r="D274" s="62" t="s">
        <v>667</v>
      </c>
      <c r="E274" s="63" t="s">
        <v>352</v>
      </c>
      <c r="F274" s="62" t="s">
        <v>353</v>
      </c>
      <c r="G274" s="62" t="s">
        <v>266</v>
      </c>
      <c r="H274" s="62" t="s">
        <v>11</v>
      </c>
      <c r="I274" s="62" t="s">
        <v>210</v>
      </c>
      <c r="J274" s="63" t="s">
        <v>267</v>
      </c>
      <c r="K274" s="62" t="s">
        <v>317</v>
      </c>
      <c r="L274" s="64">
        <v>18.72</v>
      </c>
      <c r="M274" s="64">
        <f t="shared" si="78"/>
        <v>18.72</v>
      </c>
      <c r="N274" s="65">
        <f>prodnorm39</f>
        <v>0</v>
      </c>
      <c r="O274" s="66">
        <f>dagwerk39</f>
        <v>0</v>
      </c>
      <c r="P274" s="62" t="s">
        <v>40</v>
      </c>
      <c r="Q274" s="67">
        <f>uurtarief39</f>
        <v>0</v>
      </c>
      <c r="R274" s="64" t="e">
        <f t="shared" si="79"/>
        <v>#DIV/0!</v>
      </c>
      <c r="S274" s="64" t="e">
        <f t="shared" si="80"/>
        <v>#DIV/0!</v>
      </c>
      <c r="T274" s="67" t="e">
        <f t="shared" si="81"/>
        <v>#DIV/0!</v>
      </c>
      <c r="U274" s="64" t="e">
        <f t="shared" si="82"/>
        <v>#DIV/0!</v>
      </c>
      <c r="V274" s="69" t="e">
        <f t="shared" si="83"/>
        <v>#DIV/0!</v>
      </c>
    </row>
    <row r="275" spans="1:22" x14ac:dyDescent="0.3">
      <c r="A275" s="61" t="s">
        <v>316</v>
      </c>
      <c r="B275" s="62" t="s">
        <v>317</v>
      </c>
      <c r="C275" s="62" t="s">
        <v>629</v>
      </c>
      <c r="D275" s="62" t="s">
        <v>668</v>
      </c>
      <c r="E275" s="63" t="s">
        <v>536</v>
      </c>
      <c r="F275" s="62" t="s">
        <v>389</v>
      </c>
      <c r="G275" s="62" t="s">
        <v>214</v>
      </c>
      <c r="H275" s="62" t="s">
        <v>14</v>
      </c>
      <c r="I275" s="62" t="s">
        <v>210</v>
      </c>
      <c r="J275" s="63" t="s">
        <v>215</v>
      </c>
      <c r="K275" s="62" t="s">
        <v>317</v>
      </c>
      <c r="L275" s="64">
        <v>34.090000000000003</v>
      </c>
      <c r="M275" s="64">
        <f t="shared" si="78"/>
        <v>20.454000000000001</v>
      </c>
      <c r="N275" s="65">
        <f>prodnorm12</f>
        <v>0</v>
      </c>
      <c r="O275" s="66">
        <f>dagwerk12</f>
        <v>0</v>
      </c>
      <c r="P275" s="62" t="s">
        <v>40</v>
      </c>
      <c r="Q275" s="67">
        <f>uurtarief12</f>
        <v>0</v>
      </c>
      <c r="R275" s="64" t="e">
        <f t="shared" si="79"/>
        <v>#DIV/0!</v>
      </c>
      <c r="S275" s="64" t="e">
        <f t="shared" si="80"/>
        <v>#DIV/0!</v>
      </c>
      <c r="T275" s="67" t="e">
        <f t="shared" si="81"/>
        <v>#DIV/0!</v>
      </c>
      <c r="U275" s="64" t="e">
        <f t="shared" si="82"/>
        <v>#DIV/0!</v>
      </c>
      <c r="V275" s="69" t="e">
        <f t="shared" si="83"/>
        <v>#DIV/0!</v>
      </c>
    </row>
    <row r="276" spans="1:22" x14ac:dyDescent="0.3">
      <c r="A276" s="61" t="s">
        <v>316</v>
      </c>
      <c r="B276" s="62" t="s">
        <v>317</v>
      </c>
      <c r="C276" s="62" t="s">
        <v>629</v>
      </c>
      <c r="D276" s="62" t="s">
        <v>669</v>
      </c>
      <c r="E276" s="63" t="s">
        <v>391</v>
      </c>
      <c r="F276" s="62" t="s">
        <v>348</v>
      </c>
      <c r="G276" s="62" t="s">
        <v>236</v>
      </c>
      <c r="H276" s="62" t="s">
        <v>14</v>
      </c>
      <c r="I276" s="62" t="s">
        <v>210</v>
      </c>
      <c r="J276" s="63" t="s">
        <v>237</v>
      </c>
      <c r="K276" s="62" t="s">
        <v>317</v>
      </c>
      <c r="L276" s="64">
        <v>71.069999999999993</v>
      </c>
      <c r="M276" s="64">
        <f t="shared" si="78"/>
        <v>42.641999999999996</v>
      </c>
      <c r="N276" s="65">
        <f>prodnorm23</f>
        <v>0</v>
      </c>
      <c r="O276" s="66">
        <f>dagwerk23</f>
        <v>0</v>
      </c>
      <c r="P276" s="62" t="s">
        <v>40</v>
      </c>
      <c r="Q276" s="67">
        <f>uurtarief23</f>
        <v>0</v>
      </c>
      <c r="R276" s="64" t="e">
        <f t="shared" si="79"/>
        <v>#DIV/0!</v>
      </c>
      <c r="S276" s="64" t="e">
        <f t="shared" si="80"/>
        <v>#DIV/0!</v>
      </c>
      <c r="T276" s="67" t="e">
        <f t="shared" si="81"/>
        <v>#DIV/0!</v>
      </c>
      <c r="U276" s="64" t="e">
        <f t="shared" si="82"/>
        <v>#DIV/0!</v>
      </c>
      <c r="V276" s="69" t="e">
        <f t="shared" si="83"/>
        <v>#DIV/0!</v>
      </c>
    </row>
    <row r="277" spans="1:22" x14ac:dyDescent="0.3">
      <c r="A277" s="61" t="s">
        <v>316</v>
      </c>
      <c r="B277" s="62" t="s">
        <v>317</v>
      </c>
      <c r="C277" s="62" t="s">
        <v>629</v>
      </c>
      <c r="D277" s="62" t="s">
        <v>670</v>
      </c>
      <c r="E277" s="63" t="s">
        <v>391</v>
      </c>
      <c r="F277" s="62" t="s">
        <v>348</v>
      </c>
      <c r="G277" s="62" t="s">
        <v>236</v>
      </c>
      <c r="H277" s="62" t="s">
        <v>14</v>
      </c>
      <c r="I277" s="62" t="s">
        <v>210</v>
      </c>
      <c r="J277" s="63" t="s">
        <v>237</v>
      </c>
      <c r="K277" s="62" t="s">
        <v>317</v>
      </c>
      <c r="L277" s="64">
        <v>53.08</v>
      </c>
      <c r="M277" s="64">
        <f t="shared" si="78"/>
        <v>31.847999999999999</v>
      </c>
      <c r="N277" s="65">
        <f>prodnorm23</f>
        <v>0</v>
      </c>
      <c r="O277" s="66">
        <f>dagwerk23</f>
        <v>0</v>
      </c>
      <c r="P277" s="62" t="s">
        <v>40</v>
      </c>
      <c r="Q277" s="67">
        <f>uurtarief23</f>
        <v>0</v>
      </c>
      <c r="R277" s="64" t="e">
        <f t="shared" si="79"/>
        <v>#DIV/0!</v>
      </c>
      <c r="S277" s="64" t="e">
        <f t="shared" si="80"/>
        <v>#DIV/0!</v>
      </c>
      <c r="T277" s="67" t="e">
        <f t="shared" si="81"/>
        <v>#DIV/0!</v>
      </c>
      <c r="U277" s="64" t="e">
        <f t="shared" si="82"/>
        <v>#DIV/0!</v>
      </c>
      <c r="V277" s="69" t="e">
        <f t="shared" si="83"/>
        <v>#DIV/0!</v>
      </c>
    </row>
    <row r="278" spans="1:22" x14ac:dyDescent="0.3">
      <c r="A278" s="61" t="s">
        <v>316</v>
      </c>
      <c r="B278" s="62" t="s">
        <v>317</v>
      </c>
      <c r="C278" s="62" t="s">
        <v>629</v>
      </c>
      <c r="D278" s="62" t="s">
        <v>671</v>
      </c>
      <c r="E278" s="63" t="s">
        <v>391</v>
      </c>
      <c r="F278" s="62" t="s">
        <v>348</v>
      </c>
      <c r="G278" s="62" t="s">
        <v>236</v>
      </c>
      <c r="H278" s="62" t="s">
        <v>14</v>
      </c>
      <c r="I278" s="62" t="s">
        <v>210</v>
      </c>
      <c r="J278" s="63" t="s">
        <v>237</v>
      </c>
      <c r="K278" s="62" t="s">
        <v>317</v>
      </c>
      <c r="L278" s="64">
        <v>90.43</v>
      </c>
      <c r="M278" s="64">
        <f t="shared" si="78"/>
        <v>54.258000000000003</v>
      </c>
      <c r="N278" s="65">
        <f>prodnorm23</f>
        <v>0</v>
      </c>
      <c r="O278" s="66">
        <f>dagwerk23</f>
        <v>0</v>
      </c>
      <c r="P278" s="62" t="s">
        <v>40</v>
      </c>
      <c r="Q278" s="67">
        <f>uurtarief23</f>
        <v>0</v>
      </c>
      <c r="R278" s="64" t="e">
        <f t="shared" si="79"/>
        <v>#DIV/0!</v>
      </c>
      <c r="S278" s="64" t="e">
        <f t="shared" si="80"/>
        <v>#DIV/0!</v>
      </c>
      <c r="T278" s="67" t="e">
        <f t="shared" si="81"/>
        <v>#DIV/0!</v>
      </c>
      <c r="U278" s="64" t="e">
        <f t="shared" si="82"/>
        <v>#DIV/0!</v>
      </c>
      <c r="V278" s="69" t="e">
        <f t="shared" si="83"/>
        <v>#DIV/0!</v>
      </c>
    </row>
    <row r="279" spans="1:22" x14ac:dyDescent="0.3">
      <c r="A279" s="61" t="s">
        <v>316</v>
      </c>
      <c r="B279" s="62" t="s">
        <v>317</v>
      </c>
      <c r="C279" s="62" t="s">
        <v>629</v>
      </c>
      <c r="D279" s="62" t="s">
        <v>672</v>
      </c>
      <c r="E279" s="63" t="s">
        <v>536</v>
      </c>
      <c r="F279" s="62" t="s">
        <v>348</v>
      </c>
      <c r="G279" s="62" t="s">
        <v>216</v>
      </c>
      <c r="H279" s="62" t="s">
        <v>14</v>
      </c>
      <c r="I279" s="62" t="s">
        <v>210</v>
      </c>
      <c r="J279" s="63" t="s">
        <v>217</v>
      </c>
      <c r="K279" s="62" t="s">
        <v>317</v>
      </c>
      <c r="L279" s="64">
        <v>9.7399999999999984</v>
      </c>
      <c r="M279" s="64">
        <f t="shared" si="78"/>
        <v>5.8439999999999985</v>
      </c>
      <c r="N279" s="65">
        <f>prodnorm13</f>
        <v>0</v>
      </c>
      <c r="O279" s="66">
        <f>dagwerk13</f>
        <v>0</v>
      </c>
      <c r="P279" s="62" t="s">
        <v>40</v>
      </c>
      <c r="Q279" s="67">
        <f>uurtarief13</f>
        <v>0</v>
      </c>
      <c r="R279" s="64" t="e">
        <f t="shared" si="79"/>
        <v>#DIV/0!</v>
      </c>
      <c r="S279" s="64" t="e">
        <f t="shared" si="80"/>
        <v>#DIV/0!</v>
      </c>
      <c r="T279" s="67" t="e">
        <f t="shared" si="81"/>
        <v>#DIV/0!</v>
      </c>
      <c r="U279" s="64" t="e">
        <f t="shared" si="82"/>
        <v>#DIV/0!</v>
      </c>
      <c r="V279" s="69" t="e">
        <f t="shared" si="83"/>
        <v>#DIV/0!</v>
      </c>
    </row>
    <row r="280" spans="1:22" x14ac:dyDescent="0.3">
      <c r="A280" s="61" t="s">
        <v>316</v>
      </c>
      <c r="B280" s="62" t="s">
        <v>317</v>
      </c>
      <c r="C280" s="62" t="s">
        <v>629</v>
      </c>
      <c r="D280" s="62" t="s">
        <v>673</v>
      </c>
      <c r="E280" s="63" t="s">
        <v>531</v>
      </c>
      <c r="F280" s="62" t="s">
        <v>348</v>
      </c>
      <c r="G280" s="62" t="s">
        <v>236</v>
      </c>
      <c r="H280" s="62" t="s">
        <v>14</v>
      </c>
      <c r="I280" s="62" t="s">
        <v>210</v>
      </c>
      <c r="J280" s="63" t="s">
        <v>237</v>
      </c>
      <c r="K280" s="62" t="s">
        <v>317</v>
      </c>
      <c r="L280" s="64">
        <v>42.96</v>
      </c>
      <c r="M280" s="64">
        <f t="shared" si="78"/>
        <v>25.776</v>
      </c>
      <c r="N280" s="65">
        <f>prodnorm23</f>
        <v>0</v>
      </c>
      <c r="O280" s="66">
        <f>dagwerk23</f>
        <v>0</v>
      </c>
      <c r="P280" s="62" t="s">
        <v>40</v>
      </c>
      <c r="Q280" s="67">
        <f>uurtarief23</f>
        <v>0</v>
      </c>
      <c r="R280" s="64" t="e">
        <f t="shared" si="79"/>
        <v>#DIV/0!</v>
      </c>
      <c r="S280" s="64" t="e">
        <f t="shared" si="80"/>
        <v>#DIV/0!</v>
      </c>
      <c r="T280" s="67" t="e">
        <f t="shared" si="81"/>
        <v>#DIV/0!</v>
      </c>
      <c r="U280" s="64" t="e">
        <f t="shared" si="82"/>
        <v>#DIV/0!</v>
      </c>
      <c r="V280" s="69" t="e">
        <f t="shared" si="83"/>
        <v>#DIV/0!</v>
      </c>
    </row>
    <row r="281" spans="1:22" x14ac:dyDescent="0.3">
      <c r="A281" s="61" t="s">
        <v>316</v>
      </c>
      <c r="B281" s="62" t="s">
        <v>317</v>
      </c>
      <c r="C281" s="62" t="s">
        <v>629</v>
      </c>
      <c r="D281" s="62" t="s">
        <v>674</v>
      </c>
      <c r="E281" s="63" t="s">
        <v>536</v>
      </c>
      <c r="F281" s="62" t="s">
        <v>348</v>
      </c>
      <c r="G281" s="62" t="s">
        <v>216</v>
      </c>
      <c r="H281" s="62" t="s">
        <v>14</v>
      </c>
      <c r="I281" s="62" t="s">
        <v>210</v>
      </c>
      <c r="J281" s="63" t="s">
        <v>217</v>
      </c>
      <c r="K281" s="62" t="s">
        <v>317</v>
      </c>
      <c r="L281" s="64">
        <v>6.51</v>
      </c>
      <c r="M281" s="64">
        <f t="shared" si="78"/>
        <v>3.9059999999999997</v>
      </c>
      <c r="N281" s="65">
        <f>prodnorm13</f>
        <v>0</v>
      </c>
      <c r="O281" s="66">
        <f>dagwerk13</f>
        <v>0</v>
      </c>
      <c r="P281" s="62" t="s">
        <v>40</v>
      </c>
      <c r="Q281" s="67">
        <f>uurtarief13</f>
        <v>0</v>
      </c>
      <c r="R281" s="64" t="e">
        <f t="shared" si="79"/>
        <v>#DIV/0!</v>
      </c>
      <c r="S281" s="64" t="e">
        <f t="shared" si="80"/>
        <v>#DIV/0!</v>
      </c>
      <c r="T281" s="67" t="e">
        <f t="shared" si="81"/>
        <v>#DIV/0!</v>
      </c>
      <c r="U281" s="64" t="e">
        <f t="shared" si="82"/>
        <v>#DIV/0!</v>
      </c>
      <c r="V281" s="69" t="e">
        <f t="shared" si="83"/>
        <v>#DIV/0!</v>
      </c>
    </row>
    <row r="282" spans="1:22" x14ac:dyDescent="0.3">
      <c r="A282" s="61" t="s">
        <v>316</v>
      </c>
      <c r="B282" s="62" t="s">
        <v>317</v>
      </c>
      <c r="C282" s="62" t="s">
        <v>629</v>
      </c>
      <c r="D282" s="62" t="s">
        <v>675</v>
      </c>
      <c r="E282" s="63" t="s">
        <v>391</v>
      </c>
      <c r="F282" s="62" t="s">
        <v>348</v>
      </c>
      <c r="G282" s="62" t="s">
        <v>236</v>
      </c>
      <c r="H282" s="62" t="s">
        <v>14</v>
      </c>
      <c r="I282" s="62" t="s">
        <v>210</v>
      </c>
      <c r="J282" s="63" t="s">
        <v>237</v>
      </c>
      <c r="K282" s="62" t="s">
        <v>317</v>
      </c>
      <c r="L282" s="64">
        <v>69.34</v>
      </c>
      <c r="M282" s="64">
        <f t="shared" si="78"/>
        <v>41.603999999999999</v>
      </c>
      <c r="N282" s="65">
        <f>prodnorm23</f>
        <v>0</v>
      </c>
      <c r="O282" s="66">
        <f>dagwerk23</f>
        <v>0</v>
      </c>
      <c r="P282" s="62" t="s">
        <v>40</v>
      </c>
      <c r="Q282" s="67">
        <f>uurtarief23</f>
        <v>0</v>
      </c>
      <c r="R282" s="64" t="e">
        <f t="shared" si="79"/>
        <v>#DIV/0!</v>
      </c>
      <c r="S282" s="64" t="e">
        <f t="shared" si="80"/>
        <v>#DIV/0!</v>
      </c>
      <c r="T282" s="67" t="e">
        <f t="shared" si="81"/>
        <v>#DIV/0!</v>
      </c>
      <c r="U282" s="64" t="e">
        <f t="shared" si="82"/>
        <v>#DIV/0!</v>
      </c>
      <c r="V282" s="69" t="e">
        <f t="shared" si="83"/>
        <v>#DIV/0!</v>
      </c>
    </row>
    <row r="283" spans="1:22" x14ac:dyDescent="0.3">
      <c r="A283" s="61" t="s">
        <v>316</v>
      </c>
      <c r="B283" s="62" t="s">
        <v>317</v>
      </c>
      <c r="C283" s="62" t="s">
        <v>629</v>
      </c>
      <c r="D283" s="62" t="s">
        <v>676</v>
      </c>
      <c r="E283" s="63" t="s">
        <v>677</v>
      </c>
      <c r="F283" s="62" t="s">
        <v>353</v>
      </c>
      <c r="G283" s="62" t="s">
        <v>266</v>
      </c>
      <c r="H283" s="62" t="s">
        <v>11</v>
      </c>
      <c r="I283" s="62" t="s">
        <v>210</v>
      </c>
      <c r="J283" s="63" t="s">
        <v>267</v>
      </c>
      <c r="K283" s="62" t="s">
        <v>317</v>
      </c>
      <c r="L283" s="64">
        <v>6.92</v>
      </c>
      <c r="M283" s="64">
        <f t="shared" si="78"/>
        <v>6.92</v>
      </c>
      <c r="N283" s="65">
        <f>prodnorm39</f>
        <v>0</v>
      </c>
      <c r="O283" s="66">
        <f>dagwerk39</f>
        <v>0</v>
      </c>
      <c r="P283" s="62" t="s">
        <v>40</v>
      </c>
      <c r="Q283" s="67">
        <f>uurtarief39</f>
        <v>0</v>
      </c>
      <c r="R283" s="64" t="e">
        <f t="shared" si="79"/>
        <v>#DIV/0!</v>
      </c>
      <c r="S283" s="64" t="e">
        <f t="shared" si="80"/>
        <v>#DIV/0!</v>
      </c>
      <c r="T283" s="67" t="e">
        <f t="shared" si="81"/>
        <v>#DIV/0!</v>
      </c>
      <c r="U283" s="64" t="e">
        <f t="shared" si="82"/>
        <v>#DIV/0!</v>
      </c>
      <c r="V283" s="69" t="e">
        <f t="shared" si="83"/>
        <v>#DIV/0!</v>
      </c>
    </row>
    <row r="284" spans="1:22" x14ac:dyDescent="0.3">
      <c r="A284" s="61" t="s">
        <v>316</v>
      </c>
      <c r="B284" s="62" t="s">
        <v>317</v>
      </c>
      <c r="C284" s="62" t="s">
        <v>629</v>
      </c>
      <c r="D284" s="62" t="s">
        <v>678</v>
      </c>
      <c r="E284" s="63" t="s">
        <v>381</v>
      </c>
      <c r="F284" s="62" t="s">
        <v>365</v>
      </c>
      <c r="G284" s="62" t="s">
        <v>323</v>
      </c>
      <c r="H284" s="62"/>
      <c r="I284" s="62"/>
      <c r="J284" s="62"/>
      <c r="K284" s="62" t="s">
        <v>317</v>
      </c>
      <c r="L284" s="64">
        <v>3.22</v>
      </c>
      <c r="M284" s="64"/>
      <c r="N284" s="65"/>
      <c r="O284" s="66"/>
      <c r="P284" s="62"/>
      <c r="Q284" s="67"/>
      <c r="R284" s="64"/>
      <c r="S284" s="64"/>
      <c r="T284" s="67"/>
      <c r="U284" s="68"/>
      <c r="V284" s="69"/>
    </row>
    <row r="285" spans="1:22" x14ac:dyDescent="0.3">
      <c r="A285" s="61" t="s">
        <v>316</v>
      </c>
      <c r="B285" s="62" t="s">
        <v>317</v>
      </c>
      <c r="C285" s="62" t="s">
        <v>629</v>
      </c>
      <c r="D285" s="62" t="s">
        <v>679</v>
      </c>
      <c r="E285" s="63" t="s">
        <v>356</v>
      </c>
      <c r="F285" s="62" t="s">
        <v>348</v>
      </c>
      <c r="G285" s="62" t="s">
        <v>212</v>
      </c>
      <c r="H285" s="62" t="s">
        <v>17</v>
      </c>
      <c r="I285" s="62" t="s">
        <v>210</v>
      </c>
      <c r="J285" s="63" t="s">
        <v>213</v>
      </c>
      <c r="K285" s="62" t="s">
        <v>317</v>
      </c>
      <c r="L285" s="64">
        <v>13.16</v>
      </c>
      <c r="M285" s="64">
        <f t="shared" ref="M285:M295" si="84">L285*VLOOKUP(H285,dagsoorttabel1,2,FALSE)</f>
        <v>2.6320000000000001</v>
      </c>
      <c r="N285" s="65">
        <f>prodnorm11</f>
        <v>0</v>
      </c>
      <c r="O285" s="66">
        <f>dagwerk11</f>
        <v>0</v>
      </c>
      <c r="P285" s="62" t="s">
        <v>40</v>
      </c>
      <c r="Q285" s="67">
        <f>uurtarief11</f>
        <v>0</v>
      </c>
      <c r="R285" s="64" t="e">
        <f t="shared" ref="R285:R295" si="85">IF(ISBLANK(N285),0,M285/ROUND(N285,4))</f>
        <v>#DIV/0!</v>
      </c>
      <c r="S285" s="64" t="e">
        <f t="shared" ref="S285:S295" si="86">IF(ISBLANK(N285),0,R285*ROUND(O285,2))</f>
        <v>#DIV/0!</v>
      </c>
      <c r="T285" s="67" t="e">
        <f t="shared" ref="T285:T295" si="87">ROUND(Q285,2)*R285</f>
        <v>#DIV/0!</v>
      </c>
      <c r="U285" s="64" t="e">
        <f t="shared" ref="U285:U295" si="88">R285*dagenperjaar1</f>
        <v>#DIV/0!</v>
      </c>
      <c r="V285" s="69" t="e">
        <f t="shared" ref="V285:V295" si="89">U285*ROUND(Q285,2)</f>
        <v>#DIV/0!</v>
      </c>
    </row>
    <row r="286" spans="1:22" x14ac:dyDescent="0.3">
      <c r="A286" s="61" t="s">
        <v>316</v>
      </c>
      <c r="B286" s="62" t="s">
        <v>317</v>
      </c>
      <c r="C286" s="62" t="s">
        <v>629</v>
      </c>
      <c r="D286" s="62" t="s">
        <v>680</v>
      </c>
      <c r="E286" s="63" t="s">
        <v>356</v>
      </c>
      <c r="F286" s="62" t="s">
        <v>348</v>
      </c>
      <c r="G286" s="62" t="s">
        <v>212</v>
      </c>
      <c r="H286" s="62" t="s">
        <v>17</v>
      </c>
      <c r="I286" s="62" t="s">
        <v>210</v>
      </c>
      <c r="J286" s="63" t="s">
        <v>213</v>
      </c>
      <c r="K286" s="62" t="s">
        <v>317</v>
      </c>
      <c r="L286" s="64">
        <v>33.369999999999997</v>
      </c>
      <c r="M286" s="64">
        <f t="shared" si="84"/>
        <v>6.6739999999999995</v>
      </c>
      <c r="N286" s="65">
        <f>prodnorm11</f>
        <v>0</v>
      </c>
      <c r="O286" s="66">
        <f>dagwerk11</f>
        <v>0</v>
      </c>
      <c r="P286" s="62" t="s">
        <v>40</v>
      </c>
      <c r="Q286" s="67">
        <f>uurtarief11</f>
        <v>0</v>
      </c>
      <c r="R286" s="64" t="e">
        <f t="shared" si="85"/>
        <v>#DIV/0!</v>
      </c>
      <c r="S286" s="64" t="e">
        <f t="shared" si="86"/>
        <v>#DIV/0!</v>
      </c>
      <c r="T286" s="67" t="e">
        <f t="shared" si="87"/>
        <v>#DIV/0!</v>
      </c>
      <c r="U286" s="64" t="e">
        <f t="shared" si="88"/>
        <v>#DIV/0!</v>
      </c>
      <c r="V286" s="69" t="e">
        <f t="shared" si="89"/>
        <v>#DIV/0!</v>
      </c>
    </row>
    <row r="287" spans="1:22" ht="28.8" x14ac:dyDescent="0.3">
      <c r="A287" s="61" t="s">
        <v>316</v>
      </c>
      <c r="B287" s="62" t="s">
        <v>317</v>
      </c>
      <c r="C287" s="62" t="s">
        <v>629</v>
      </c>
      <c r="D287" s="62" t="s">
        <v>681</v>
      </c>
      <c r="E287" s="63" t="s">
        <v>662</v>
      </c>
      <c r="F287" s="62" t="s">
        <v>389</v>
      </c>
      <c r="G287" s="62" t="s">
        <v>258</v>
      </c>
      <c r="H287" s="62" t="s">
        <v>11</v>
      </c>
      <c r="I287" s="62" t="s">
        <v>210</v>
      </c>
      <c r="J287" s="63" t="s">
        <v>259</v>
      </c>
      <c r="K287" s="62" t="s">
        <v>317</v>
      </c>
      <c r="L287" s="64">
        <v>140.91</v>
      </c>
      <c r="M287" s="64">
        <f t="shared" si="84"/>
        <v>140.91</v>
      </c>
      <c r="N287" s="65">
        <f>prodnorm35</f>
        <v>0</v>
      </c>
      <c r="O287" s="66">
        <f>dagwerk35</f>
        <v>0</v>
      </c>
      <c r="P287" s="62" t="s">
        <v>40</v>
      </c>
      <c r="Q287" s="67">
        <f>uurtarief35</f>
        <v>0</v>
      </c>
      <c r="R287" s="64" t="e">
        <f t="shared" si="85"/>
        <v>#DIV/0!</v>
      </c>
      <c r="S287" s="64" t="e">
        <f t="shared" si="86"/>
        <v>#DIV/0!</v>
      </c>
      <c r="T287" s="67" t="e">
        <f t="shared" si="87"/>
        <v>#DIV/0!</v>
      </c>
      <c r="U287" s="64" t="e">
        <f t="shared" si="88"/>
        <v>#DIV/0!</v>
      </c>
      <c r="V287" s="69" t="e">
        <f t="shared" si="89"/>
        <v>#DIV/0!</v>
      </c>
    </row>
    <row r="288" spans="1:22" x14ac:dyDescent="0.3">
      <c r="A288" s="61" t="s">
        <v>316</v>
      </c>
      <c r="B288" s="62" t="s">
        <v>317</v>
      </c>
      <c r="C288" s="62" t="s">
        <v>629</v>
      </c>
      <c r="D288" s="62" t="s">
        <v>682</v>
      </c>
      <c r="E288" s="63" t="s">
        <v>536</v>
      </c>
      <c r="F288" s="62" t="s">
        <v>348</v>
      </c>
      <c r="G288" s="62" t="s">
        <v>216</v>
      </c>
      <c r="H288" s="62" t="s">
        <v>14</v>
      </c>
      <c r="I288" s="62" t="s">
        <v>210</v>
      </c>
      <c r="J288" s="63" t="s">
        <v>217</v>
      </c>
      <c r="K288" s="62" t="s">
        <v>317</v>
      </c>
      <c r="L288" s="64">
        <v>11.18</v>
      </c>
      <c r="M288" s="64">
        <f t="shared" si="84"/>
        <v>6.7079999999999993</v>
      </c>
      <c r="N288" s="65">
        <f>prodnorm13</f>
        <v>0</v>
      </c>
      <c r="O288" s="66">
        <f>dagwerk13</f>
        <v>0</v>
      </c>
      <c r="P288" s="62" t="s">
        <v>40</v>
      </c>
      <c r="Q288" s="67">
        <f>uurtarief13</f>
        <v>0</v>
      </c>
      <c r="R288" s="64" t="e">
        <f t="shared" si="85"/>
        <v>#DIV/0!</v>
      </c>
      <c r="S288" s="64" t="e">
        <f t="shared" si="86"/>
        <v>#DIV/0!</v>
      </c>
      <c r="T288" s="67" t="e">
        <f t="shared" si="87"/>
        <v>#DIV/0!</v>
      </c>
      <c r="U288" s="64" t="e">
        <f t="shared" si="88"/>
        <v>#DIV/0!</v>
      </c>
      <c r="V288" s="69" t="e">
        <f t="shared" si="89"/>
        <v>#DIV/0!</v>
      </c>
    </row>
    <row r="289" spans="1:22" x14ac:dyDescent="0.3">
      <c r="A289" s="61" t="s">
        <v>316</v>
      </c>
      <c r="B289" s="62" t="s">
        <v>317</v>
      </c>
      <c r="C289" s="62" t="s">
        <v>629</v>
      </c>
      <c r="D289" s="62" t="s">
        <v>683</v>
      </c>
      <c r="E289" s="63" t="s">
        <v>536</v>
      </c>
      <c r="F289" s="62" t="s">
        <v>348</v>
      </c>
      <c r="G289" s="62" t="s">
        <v>216</v>
      </c>
      <c r="H289" s="62" t="s">
        <v>14</v>
      </c>
      <c r="I289" s="62" t="s">
        <v>210</v>
      </c>
      <c r="J289" s="63" t="s">
        <v>217</v>
      </c>
      <c r="K289" s="62" t="s">
        <v>317</v>
      </c>
      <c r="L289" s="64">
        <v>8.17</v>
      </c>
      <c r="M289" s="64">
        <f t="shared" si="84"/>
        <v>4.9020000000000001</v>
      </c>
      <c r="N289" s="65">
        <f>prodnorm13</f>
        <v>0</v>
      </c>
      <c r="O289" s="66">
        <f>dagwerk13</f>
        <v>0</v>
      </c>
      <c r="P289" s="62" t="s">
        <v>40</v>
      </c>
      <c r="Q289" s="67">
        <f>uurtarief13</f>
        <v>0</v>
      </c>
      <c r="R289" s="64" t="e">
        <f t="shared" si="85"/>
        <v>#DIV/0!</v>
      </c>
      <c r="S289" s="64" t="e">
        <f t="shared" si="86"/>
        <v>#DIV/0!</v>
      </c>
      <c r="T289" s="67" t="e">
        <f t="shared" si="87"/>
        <v>#DIV/0!</v>
      </c>
      <c r="U289" s="64" t="e">
        <f t="shared" si="88"/>
        <v>#DIV/0!</v>
      </c>
      <c r="V289" s="69" t="e">
        <f t="shared" si="89"/>
        <v>#DIV/0!</v>
      </c>
    </row>
    <row r="290" spans="1:22" x14ac:dyDescent="0.3">
      <c r="A290" s="61" t="s">
        <v>316</v>
      </c>
      <c r="B290" s="62" t="s">
        <v>317</v>
      </c>
      <c r="C290" s="62" t="s">
        <v>629</v>
      </c>
      <c r="D290" s="62" t="s">
        <v>684</v>
      </c>
      <c r="E290" s="63" t="s">
        <v>536</v>
      </c>
      <c r="F290" s="62" t="s">
        <v>348</v>
      </c>
      <c r="G290" s="62" t="s">
        <v>216</v>
      </c>
      <c r="H290" s="62" t="s">
        <v>14</v>
      </c>
      <c r="I290" s="62" t="s">
        <v>210</v>
      </c>
      <c r="J290" s="63" t="s">
        <v>217</v>
      </c>
      <c r="K290" s="62" t="s">
        <v>317</v>
      </c>
      <c r="L290" s="64">
        <v>7.91</v>
      </c>
      <c r="M290" s="64">
        <f t="shared" si="84"/>
        <v>4.7459999999999996</v>
      </c>
      <c r="N290" s="65">
        <f>prodnorm13</f>
        <v>0</v>
      </c>
      <c r="O290" s="66">
        <f>dagwerk13</f>
        <v>0</v>
      </c>
      <c r="P290" s="62" t="s">
        <v>40</v>
      </c>
      <c r="Q290" s="67">
        <f>uurtarief13</f>
        <v>0</v>
      </c>
      <c r="R290" s="64" t="e">
        <f t="shared" si="85"/>
        <v>#DIV/0!</v>
      </c>
      <c r="S290" s="64" t="e">
        <f t="shared" si="86"/>
        <v>#DIV/0!</v>
      </c>
      <c r="T290" s="67" t="e">
        <f t="shared" si="87"/>
        <v>#DIV/0!</v>
      </c>
      <c r="U290" s="64" t="e">
        <f t="shared" si="88"/>
        <v>#DIV/0!</v>
      </c>
      <c r="V290" s="69" t="e">
        <f t="shared" si="89"/>
        <v>#DIV/0!</v>
      </c>
    </row>
    <row r="291" spans="1:22" x14ac:dyDescent="0.3">
      <c r="A291" s="61" t="s">
        <v>316</v>
      </c>
      <c r="B291" s="62" t="s">
        <v>317</v>
      </c>
      <c r="C291" s="62" t="s">
        <v>629</v>
      </c>
      <c r="D291" s="62" t="s">
        <v>685</v>
      </c>
      <c r="E291" s="63" t="s">
        <v>391</v>
      </c>
      <c r="F291" s="62" t="s">
        <v>348</v>
      </c>
      <c r="G291" s="62" t="s">
        <v>236</v>
      </c>
      <c r="H291" s="62" t="s">
        <v>14</v>
      </c>
      <c r="I291" s="62" t="s">
        <v>210</v>
      </c>
      <c r="J291" s="63" t="s">
        <v>237</v>
      </c>
      <c r="K291" s="62" t="s">
        <v>317</v>
      </c>
      <c r="L291" s="64">
        <v>49.07</v>
      </c>
      <c r="M291" s="64">
        <f t="shared" si="84"/>
        <v>29.442</v>
      </c>
      <c r="N291" s="65">
        <f>prodnorm23</f>
        <v>0</v>
      </c>
      <c r="O291" s="66">
        <f>dagwerk23</f>
        <v>0</v>
      </c>
      <c r="P291" s="62" t="s">
        <v>40</v>
      </c>
      <c r="Q291" s="67">
        <f>uurtarief23</f>
        <v>0</v>
      </c>
      <c r="R291" s="64" t="e">
        <f t="shared" si="85"/>
        <v>#DIV/0!</v>
      </c>
      <c r="S291" s="64" t="e">
        <f t="shared" si="86"/>
        <v>#DIV/0!</v>
      </c>
      <c r="T291" s="67" t="e">
        <f t="shared" si="87"/>
        <v>#DIV/0!</v>
      </c>
      <c r="U291" s="64" t="e">
        <f t="shared" si="88"/>
        <v>#DIV/0!</v>
      </c>
      <c r="V291" s="69" t="e">
        <f t="shared" si="89"/>
        <v>#DIV/0!</v>
      </c>
    </row>
    <row r="292" spans="1:22" x14ac:dyDescent="0.3">
      <c r="A292" s="61" t="s">
        <v>316</v>
      </c>
      <c r="B292" s="62" t="s">
        <v>317</v>
      </c>
      <c r="C292" s="62" t="s">
        <v>629</v>
      </c>
      <c r="D292" s="62" t="s">
        <v>686</v>
      </c>
      <c r="E292" s="63" t="s">
        <v>391</v>
      </c>
      <c r="F292" s="62" t="s">
        <v>348</v>
      </c>
      <c r="G292" s="62" t="s">
        <v>236</v>
      </c>
      <c r="H292" s="62" t="s">
        <v>14</v>
      </c>
      <c r="I292" s="62" t="s">
        <v>210</v>
      </c>
      <c r="J292" s="63" t="s">
        <v>237</v>
      </c>
      <c r="K292" s="62" t="s">
        <v>317</v>
      </c>
      <c r="L292" s="64">
        <v>49.349999999999994</v>
      </c>
      <c r="M292" s="64">
        <f t="shared" si="84"/>
        <v>29.609999999999996</v>
      </c>
      <c r="N292" s="65">
        <f>prodnorm23</f>
        <v>0</v>
      </c>
      <c r="O292" s="66">
        <f>dagwerk23</f>
        <v>0</v>
      </c>
      <c r="P292" s="62" t="s">
        <v>40</v>
      </c>
      <c r="Q292" s="67">
        <f>uurtarief23</f>
        <v>0</v>
      </c>
      <c r="R292" s="64" t="e">
        <f t="shared" si="85"/>
        <v>#DIV/0!</v>
      </c>
      <c r="S292" s="64" t="e">
        <f t="shared" si="86"/>
        <v>#DIV/0!</v>
      </c>
      <c r="T292" s="67" t="e">
        <f t="shared" si="87"/>
        <v>#DIV/0!</v>
      </c>
      <c r="U292" s="64" t="e">
        <f t="shared" si="88"/>
        <v>#DIV/0!</v>
      </c>
      <c r="V292" s="69" t="e">
        <f t="shared" si="89"/>
        <v>#DIV/0!</v>
      </c>
    </row>
    <row r="293" spans="1:22" x14ac:dyDescent="0.3">
      <c r="A293" s="61" t="s">
        <v>316</v>
      </c>
      <c r="B293" s="62" t="s">
        <v>317</v>
      </c>
      <c r="C293" s="62" t="s">
        <v>629</v>
      </c>
      <c r="D293" s="62" t="s">
        <v>687</v>
      </c>
      <c r="E293" s="63" t="s">
        <v>391</v>
      </c>
      <c r="F293" s="62" t="s">
        <v>348</v>
      </c>
      <c r="G293" s="62" t="s">
        <v>236</v>
      </c>
      <c r="H293" s="62" t="s">
        <v>14</v>
      </c>
      <c r="I293" s="62" t="s">
        <v>210</v>
      </c>
      <c r="J293" s="63" t="s">
        <v>237</v>
      </c>
      <c r="K293" s="62" t="s">
        <v>317</v>
      </c>
      <c r="L293" s="64">
        <v>72.38</v>
      </c>
      <c r="M293" s="64">
        <f t="shared" si="84"/>
        <v>43.427999999999997</v>
      </c>
      <c r="N293" s="65">
        <f>prodnorm23</f>
        <v>0</v>
      </c>
      <c r="O293" s="66">
        <f>dagwerk23</f>
        <v>0</v>
      </c>
      <c r="P293" s="62" t="s">
        <v>40</v>
      </c>
      <c r="Q293" s="67">
        <f>uurtarief23</f>
        <v>0</v>
      </c>
      <c r="R293" s="64" t="e">
        <f t="shared" si="85"/>
        <v>#DIV/0!</v>
      </c>
      <c r="S293" s="64" t="e">
        <f t="shared" si="86"/>
        <v>#DIV/0!</v>
      </c>
      <c r="T293" s="67" t="e">
        <f t="shared" si="87"/>
        <v>#DIV/0!</v>
      </c>
      <c r="U293" s="64" t="e">
        <f t="shared" si="88"/>
        <v>#DIV/0!</v>
      </c>
      <c r="V293" s="69" t="e">
        <f t="shared" si="89"/>
        <v>#DIV/0!</v>
      </c>
    </row>
    <row r="294" spans="1:22" x14ac:dyDescent="0.3">
      <c r="A294" s="61" t="s">
        <v>316</v>
      </c>
      <c r="B294" s="62" t="s">
        <v>317</v>
      </c>
      <c r="C294" s="62" t="s">
        <v>629</v>
      </c>
      <c r="D294" s="62" t="s">
        <v>688</v>
      </c>
      <c r="E294" s="63" t="s">
        <v>330</v>
      </c>
      <c r="F294" s="62" t="s">
        <v>389</v>
      </c>
      <c r="G294" s="62" t="s">
        <v>286</v>
      </c>
      <c r="H294" s="62" t="s">
        <v>11</v>
      </c>
      <c r="I294" s="62" t="s">
        <v>210</v>
      </c>
      <c r="J294" s="63" t="s">
        <v>287</v>
      </c>
      <c r="K294" s="62" t="s">
        <v>317</v>
      </c>
      <c r="L294" s="64">
        <v>23.919999999999998</v>
      </c>
      <c r="M294" s="64">
        <f t="shared" si="84"/>
        <v>23.919999999999998</v>
      </c>
      <c r="N294" s="65">
        <f>prodnorm49</f>
        <v>0</v>
      </c>
      <c r="O294" s="66">
        <f>dagwerk49</f>
        <v>0</v>
      </c>
      <c r="P294" s="62" t="s">
        <v>40</v>
      </c>
      <c r="Q294" s="67">
        <f>uurtarief49</f>
        <v>0</v>
      </c>
      <c r="R294" s="64" t="e">
        <f t="shared" si="85"/>
        <v>#DIV/0!</v>
      </c>
      <c r="S294" s="64" t="e">
        <f t="shared" si="86"/>
        <v>#DIV/0!</v>
      </c>
      <c r="T294" s="67" t="e">
        <f t="shared" si="87"/>
        <v>#DIV/0!</v>
      </c>
      <c r="U294" s="64" t="e">
        <f t="shared" si="88"/>
        <v>#DIV/0!</v>
      </c>
      <c r="V294" s="69" t="e">
        <f t="shared" si="89"/>
        <v>#DIV/0!</v>
      </c>
    </row>
    <row r="295" spans="1:22" x14ac:dyDescent="0.3">
      <c r="A295" s="61" t="s">
        <v>316</v>
      </c>
      <c r="B295" s="62" t="s">
        <v>317</v>
      </c>
      <c r="C295" s="62" t="s">
        <v>629</v>
      </c>
      <c r="D295" s="62" t="s">
        <v>689</v>
      </c>
      <c r="E295" s="63" t="s">
        <v>330</v>
      </c>
      <c r="F295" s="62" t="s">
        <v>389</v>
      </c>
      <c r="G295" s="62" t="s">
        <v>286</v>
      </c>
      <c r="H295" s="62" t="s">
        <v>11</v>
      </c>
      <c r="I295" s="62" t="s">
        <v>210</v>
      </c>
      <c r="J295" s="63" t="s">
        <v>287</v>
      </c>
      <c r="K295" s="62" t="s">
        <v>317</v>
      </c>
      <c r="L295" s="64">
        <v>41.41</v>
      </c>
      <c r="M295" s="64">
        <f t="shared" si="84"/>
        <v>41.41</v>
      </c>
      <c r="N295" s="65">
        <f>prodnorm49</f>
        <v>0</v>
      </c>
      <c r="O295" s="66">
        <f>dagwerk49</f>
        <v>0</v>
      </c>
      <c r="P295" s="62" t="s">
        <v>40</v>
      </c>
      <c r="Q295" s="67">
        <f>uurtarief49</f>
        <v>0</v>
      </c>
      <c r="R295" s="64" t="e">
        <f t="shared" si="85"/>
        <v>#DIV/0!</v>
      </c>
      <c r="S295" s="64" t="e">
        <f t="shared" si="86"/>
        <v>#DIV/0!</v>
      </c>
      <c r="T295" s="67" t="e">
        <f t="shared" si="87"/>
        <v>#DIV/0!</v>
      </c>
      <c r="U295" s="64" t="e">
        <f t="shared" si="88"/>
        <v>#DIV/0!</v>
      </c>
      <c r="V295" s="69" t="e">
        <f t="shared" si="89"/>
        <v>#DIV/0!</v>
      </c>
    </row>
    <row r="296" spans="1:22" x14ac:dyDescent="0.3">
      <c r="A296" s="61" t="s">
        <v>316</v>
      </c>
      <c r="B296" s="62" t="s">
        <v>317</v>
      </c>
      <c r="C296" s="62" t="s">
        <v>629</v>
      </c>
      <c r="D296" s="62" t="s">
        <v>690</v>
      </c>
      <c r="E296" s="63" t="s">
        <v>374</v>
      </c>
      <c r="F296" s="62" t="s">
        <v>389</v>
      </c>
      <c r="G296" s="62" t="s">
        <v>323</v>
      </c>
      <c r="H296" s="62"/>
      <c r="I296" s="62"/>
      <c r="J296" s="62"/>
      <c r="K296" s="62" t="s">
        <v>317</v>
      </c>
      <c r="L296" s="64">
        <v>0.8600000000000001</v>
      </c>
      <c r="M296" s="64"/>
      <c r="N296" s="65"/>
      <c r="O296" s="66"/>
      <c r="P296" s="62"/>
      <c r="Q296" s="67"/>
      <c r="R296" s="64"/>
      <c r="S296" s="64"/>
      <c r="T296" s="67"/>
      <c r="U296" s="68"/>
      <c r="V296" s="69"/>
    </row>
    <row r="297" spans="1:22" x14ac:dyDescent="0.3">
      <c r="A297" s="61" t="s">
        <v>316</v>
      </c>
      <c r="B297" s="62" t="s">
        <v>317</v>
      </c>
      <c r="C297" s="62" t="s">
        <v>629</v>
      </c>
      <c r="D297" s="62" t="s">
        <v>691</v>
      </c>
      <c r="E297" s="63" t="s">
        <v>394</v>
      </c>
      <c r="F297" s="62" t="s">
        <v>389</v>
      </c>
      <c r="G297" s="62" t="s">
        <v>272</v>
      </c>
      <c r="H297" s="62" t="s">
        <v>11</v>
      </c>
      <c r="I297" s="62" t="s">
        <v>210</v>
      </c>
      <c r="J297" s="63" t="s">
        <v>273</v>
      </c>
      <c r="K297" s="62" t="s">
        <v>317</v>
      </c>
      <c r="L297" s="64">
        <v>208.79</v>
      </c>
      <c r="M297" s="64">
        <f t="shared" ref="M297:M304" si="90">L297*VLOOKUP(H297,dagsoorttabel1,2,FALSE)</f>
        <v>208.79</v>
      </c>
      <c r="N297" s="65">
        <f>prodnorm42</f>
        <v>0</v>
      </c>
      <c r="O297" s="66">
        <f>dagwerk42</f>
        <v>0</v>
      </c>
      <c r="P297" s="62" t="s">
        <v>40</v>
      </c>
      <c r="Q297" s="67">
        <f>uurtarief42</f>
        <v>0</v>
      </c>
      <c r="R297" s="64" t="e">
        <f t="shared" ref="R297:R304" si="91">IF(ISBLANK(N297),0,M297/ROUND(N297,4))</f>
        <v>#DIV/0!</v>
      </c>
      <c r="S297" s="64" t="e">
        <f t="shared" ref="S297:S304" si="92">IF(ISBLANK(N297),0,R297*ROUND(O297,2))</f>
        <v>#DIV/0!</v>
      </c>
      <c r="T297" s="67" t="e">
        <f t="shared" ref="T297:T304" si="93">ROUND(Q297,2)*R297</f>
        <v>#DIV/0!</v>
      </c>
      <c r="U297" s="64" t="e">
        <f t="shared" ref="U297:U304" si="94">R297*dagenperjaar1</f>
        <v>#DIV/0!</v>
      </c>
      <c r="V297" s="69" t="e">
        <f t="shared" ref="V297:V304" si="95">U297*ROUND(Q297,2)</f>
        <v>#DIV/0!</v>
      </c>
    </row>
    <row r="298" spans="1:22" x14ac:dyDescent="0.3">
      <c r="A298" s="61" t="s">
        <v>316</v>
      </c>
      <c r="B298" s="62" t="s">
        <v>317</v>
      </c>
      <c r="C298" s="62" t="s">
        <v>629</v>
      </c>
      <c r="D298" s="62" t="s">
        <v>692</v>
      </c>
      <c r="E298" s="63" t="s">
        <v>693</v>
      </c>
      <c r="F298" s="62" t="s">
        <v>389</v>
      </c>
      <c r="G298" s="62" t="s">
        <v>228</v>
      </c>
      <c r="H298" s="62" t="s">
        <v>11</v>
      </c>
      <c r="I298" s="62" t="s">
        <v>210</v>
      </c>
      <c r="J298" s="63" t="s">
        <v>229</v>
      </c>
      <c r="K298" s="62" t="s">
        <v>317</v>
      </c>
      <c r="L298" s="64">
        <v>5.6599999999999993</v>
      </c>
      <c r="M298" s="64">
        <f t="shared" si="90"/>
        <v>5.6599999999999993</v>
      </c>
      <c r="N298" s="65">
        <f>prodnorm19</f>
        <v>0</v>
      </c>
      <c r="O298" s="66">
        <f>dagwerk19</f>
        <v>0</v>
      </c>
      <c r="P298" s="62" t="s">
        <v>40</v>
      </c>
      <c r="Q298" s="67">
        <f>uurtarief19</f>
        <v>0</v>
      </c>
      <c r="R298" s="64" t="e">
        <f t="shared" si="91"/>
        <v>#DIV/0!</v>
      </c>
      <c r="S298" s="64" t="e">
        <f t="shared" si="92"/>
        <v>#DIV/0!</v>
      </c>
      <c r="T298" s="67" t="e">
        <f t="shared" si="93"/>
        <v>#DIV/0!</v>
      </c>
      <c r="U298" s="64" t="e">
        <f t="shared" si="94"/>
        <v>#DIV/0!</v>
      </c>
      <c r="V298" s="69" t="e">
        <f t="shared" si="95"/>
        <v>#DIV/0!</v>
      </c>
    </row>
    <row r="299" spans="1:22" x14ac:dyDescent="0.3">
      <c r="A299" s="61" t="s">
        <v>316</v>
      </c>
      <c r="B299" s="62" t="s">
        <v>317</v>
      </c>
      <c r="C299" s="62" t="s">
        <v>629</v>
      </c>
      <c r="D299" s="62" t="s">
        <v>694</v>
      </c>
      <c r="E299" s="63" t="s">
        <v>391</v>
      </c>
      <c r="F299" s="62" t="s">
        <v>348</v>
      </c>
      <c r="G299" s="62" t="s">
        <v>236</v>
      </c>
      <c r="H299" s="62" t="s">
        <v>14</v>
      </c>
      <c r="I299" s="62" t="s">
        <v>210</v>
      </c>
      <c r="J299" s="63" t="s">
        <v>237</v>
      </c>
      <c r="K299" s="62" t="s">
        <v>317</v>
      </c>
      <c r="L299" s="64">
        <v>61.14</v>
      </c>
      <c r="M299" s="64">
        <f t="shared" si="90"/>
        <v>36.683999999999997</v>
      </c>
      <c r="N299" s="65">
        <f>prodnorm23</f>
        <v>0</v>
      </c>
      <c r="O299" s="66">
        <f>dagwerk23</f>
        <v>0</v>
      </c>
      <c r="P299" s="62" t="s">
        <v>40</v>
      </c>
      <c r="Q299" s="67">
        <f>uurtarief23</f>
        <v>0</v>
      </c>
      <c r="R299" s="64" t="e">
        <f t="shared" si="91"/>
        <v>#DIV/0!</v>
      </c>
      <c r="S299" s="64" t="e">
        <f t="shared" si="92"/>
        <v>#DIV/0!</v>
      </c>
      <c r="T299" s="67" t="e">
        <f t="shared" si="93"/>
        <v>#DIV/0!</v>
      </c>
      <c r="U299" s="64" t="e">
        <f t="shared" si="94"/>
        <v>#DIV/0!</v>
      </c>
      <c r="V299" s="69" t="e">
        <f t="shared" si="95"/>
        <v>#DIV/0!</v>
      </c>
    </row>
    <row r="300" spans="1:22" x14ac:dyDescent="0.3">
      <c r="A300" s="61" t="s">
        <v>316</v>
      </c>
      <c r="B300" s="62" t="s">
        <v>317</v>
      </c>
      <c r="C300" s="62" t="s">
        <v>629</v>
      </c>
      <c r="D300" s="62" t="s">
        <v>695</v>
      </c>
      <c r="E300" s="63" t="s">
        <v>400</v>
      </c>
      <c r="F300" s="62" t="s">
        <v>348</v>
      </c>
      <c r="G300" s="62" t="s">
        <v>216</v>
      </c>
      <c r="H300" s="62" t="s">
        <v>14</v>
      </c>
      <c r="I300" s="62" t="s">
        <v>210</v>
      </c>
      <c r="J300" s="63" t="s">
        <v>217</v>
      </c>
      <c r="K300" s="62" t="s">
        <v>317</v>
      </c>
      <c r="L300" s="64">
        <v>11.360000000000001</v>
      </c>
      <c r="M300" s="64">
        <f t="shared" si="90"/>
        <v>6.8160000000000007</v>
      </c>
      <c r="N300" s="65">
        <f>prodnorm13</f>
        <v>0</v>
      </c>
      <c r="O300" s="66">
        <f>dagwerk13</f>
        <v>0</v>
      </c>
      <c r="P300" s="62" t="s">
        <v>40</v>
      </c>
      <c r="Q300" s="67">
        <f>uurtarief13</f>
        <v>0</v>
      </c>
      <c r="R300" s="64" t="e">
        <f t="shared" si="91"/>
        <v>#DIV/0!</v>
      </c>
      <c r="S300" s="64" t="e">
        <f t="shared" si="92"/>
        <v>#DIV/0!</v>
      </c>
      <c r="T300" s="67" t="e">
        <f t="shared" si="93"/>
        <v>#DIV/0!</v>
      </c>
      <c r="U300" s="64" t="e">
        <f t="shared" si="94"/>
        <v>#DIV/0!</v>
      </c>
      <c r="V300" s="69" t="e">
        <f t="shared" si="95"/>
        <v>#DIV/0!</v>
      </c>
    </row>
    <row r="301" spans="1:22" x14ac:dyDescent="0.3">
      <c r="A301" s="61" t="s">
        <v>316</v>
      </c>
      <c r="B301" s="62" t="s">
        <v>317</v>
      </c>
      <c r="C301" s="62" t="s">
        <v>629</v>
      </c>
      <c r="D301" s="62" t="s">
        <v>696</v>
      </c>
      <c r="E301" s="63" t="s">
        <v>400</v>
      </c>
      <c r="F301" s="62" t="s">
        <v>348</v>
      </c>
      <c r="G301" s="62" t="s">
        <v>216</v>
      </c>
      <c r="H301" s="62" t="s">
        <v>14</v>
      </c>
      <c r="I301" s="62" t="s">
        <v>210</v>
      </c>
      <c r="J301" s="63" t="s">
        <v>217</v>
      </c>
      <c r="K301" s="62" t="s">
        <v>317</v>
      </c>
      <c r="L301" s="64">
        <v>11.09</v>
      </c>
      <c r="M301" s="64">
        <f t="shared" si="90"/>
        <v>6.6539999999999999</v>
      </c>
      <c r="N301" s="65">
        <f>prodnorm13</f>
        <v>0</v>
      </c>
      <c r="O301" s="66">
        <f>dagwerk13</f>
        <v>0</v>
      </c>
      <c r="P301" s="62" t="s">
        <v>40</v>
      </c>
      <c r="Q301" s="67">
        <f>uurtarief13</f>
        <v>0</v>
      </c>
      <c r="R301" s="64" t="e">
        <f t="shared" si="91"/>
        <v>#DIV/0!</v>
      </c>
      <c r="S301" s="64" t="e">
        <f t="shared" si="92"/>
        <v>#DIV/0!</v>
      </c>
      <c r="T301" s="67" t="e">
        <f t="shared" si="93"/>
        <v>#DIV/0!</v>
      </c>
      <c r="U301" s="64" t="e">
        <f t="shared" si="94"/>
        <v>#DIV/0!</v>
      </c>
      <c r="V301" s="69" t="e">
        <f t="shared" si="95"/>
        <v>#DIV/0!</v>
      </c>
    </row>
    <row r="302" spans="1:22" x14ac:dyDescent="0.3">
      <c r="A302" s="61" t="s">
        <v>316</v>
      </c>
      <c r="B302" s="62" t="s">
        <v>317</v>
      </c>
      <c r="C302" s="62" t="s">
        <v>629</v>
      </c>
      <c r="D302" s="62" t="s">
        <v>697</v>
      </c>
      <c r="E302" s="63" t="s">
        <v>698</v>
      </c>
      <c r="F302" s="62" t="s">
        <v>348</v>
      </c>
      <c r="G302" s="62" t="s">
        <v>236</v>
      </c>
      <c r="H302" s="62" t="s">
        <v>14</v>
      </c>
      <c r="I302" s="62" t="s">
        <v>210</v>
      </c>
      <c r="J302" s="63" t="s">
        <v>237</v>
      </c>
      <c r="K302" s="62" t="s">
        <v>317</v>
      </c>
      <c r="L302" s="64">
        <v>49</v>
      </c>
      <c r="M302" s="64">
        <f t="shared" si="90"/>
        <v>29.4</v>
      </c>
      <c r="N302" s="65">
        <f>prodnorm23</f>
        <v>0</v>
      </c>
      <c r="O302" s="66">
        <f>dagwerk23</f>
        <v>0</v>
      </c>
      <c r="P302" s="62" t="s">
        <v>40</v>
      </c>
      <c r="Q302" s="67">
        <f>uurtarief23</f>
        <v>0</v>
      </c>
      <c r="R302" s="64" t="e">
        <f t="shared" si="91"/>
        <v>#DIV/0!</v>
      </c>
      <c r="S302" s="64" t="e">
        <f t="shared" si="92"/>
        <v>#DIV/0!</v>
      </c>
      <c r="T302" s="67" t="e">
        <f t="shared" si="93"/>
        <v>#DIV/0!</v>
      </c>
      <c r="U302" s="64" t="e">
        <f t="shared" si="94"/>
        <v>#DIV/0!</v>
      </c>
      <c r="V302" s="69" t="e">
        <f t="shared" si="95"/>
        <v>#DIV/0!</v>
      </c>
    </row>
    <row r="303" spans="1:22" x14ac:dyDescent="0.3">
      <c r="A303" s="61" t="s">
        <v>316</v>
      </c>
      <c r="B303" s="62" t="s">
        <v>317</v>
      </c>
      <c r="C303" s="62" t="s">
        <v>629</v>
      </c>
      <c r="D303" s="62" t="s">
        <v>699</v>
      </c>
      <c r="E303" s="63" t="s">
        <v>356</v>
      </c>
      <c r="F303" s="62" t="s">
        <v>348</v>
      </c>
      <c r="G303" s="62" t="s">
        <v>226</v>
      </c>
      <c r="H303" s="62" t="s">
        <v>14</v>
      </c>
      <c r="I303" s="62" t="s">
        <v>210</v>
      </c>
      <c r="J303" s="63" t="s">
        <v>227</v>
      </c>
      <c r="K303" s="62" t="s">
        <v>317</v>
      </c>
      <c r="L303" s="64">
        <v>89.76</v>
      </c>
      <c r="M303" s="64">
        <f t="shared" si="90"/>
        <v>53.856000000000002</v>
      </c>
      <c r="N303" s="65">
        <f>prodnorm18</f>
        <v>0</v>
      </c>
      <c r="O303" s="66">
        <f>dagwerk18</f>
        <v>0</v>
      </c>
      <c r="P303" s="62" t="s">
        <v>40</v>
      </c>
      <c r="Q303" s="67">
        <f>uurtarief18</f>
        <v>0</v>
      </c>
      <c r="R303" s="64" t="e">
        <f t="shared" si="91"/>
        <v>#DIV/0!</v>
      </c>
      <c r="S303" s="64" t="e">
        <f t="shared" si="92"/>
        <v>#DIV/0!</v>
      </c>
      <c r="T303" s="67" t="e">
        <f t="shared" si="93"/>
        <v>#DIV/0!</v>
      </c>
      <c r="U303" s="64" t="e">
        <f t="shared" si="94"/>
        <v>#DIV/0!</v>
      </c>
      <c r="V303" s="69" t="e">
        <f t="shared" si="95"/>
        <v>#DIV/0!</v>
      </c>
    </row>
    <row r="304" spans="1:22" x14ac:dyDescent="0.3">
      <c r="A304" s="61" t="s">
        <v>316</v>
      </c>
      <c r="B304" s="62" t="s">
        <v>317</v>
      </c>
      <c r="C304" s="62" t="s">
        <v>629</v>
      </c>
      <c r="D304" s="62" t="s">
        <v>700</v>
      </c>
      <c r="E304" s="63" t="s">
        <v>352</v>
      </c>
      <c r="F304" s="62" t="s">
        <v>353</v>
      </c>
      <c r="G304" s="62" t="s">
        <v>266</v>
      </c>
      <c r="H304" s="62" t="s">
        <v>11</v>
      </c>
      <c r="I304" s="62" t="s">
        <v>210</v>
      </c>
      <c r="J304" s="63" t="s">
        <v>267</v>
      </c>
      <c r="K304" s="62" t="s">
        <v>317</v>
      </c>
      <c r="L304" s="64">
        <v>6.67</v>
      </c>
      <c r="M304" s="64">
        <f t="shared" si="90"/>
        <v>6.67</v>
      </c>
      <c r="N304" s="65">
        <f>prodnorm39</f>
        <v>0</v>
      </c>
      <c r="O304" s="66">
        <f>dagwerk39</f>
        <v>0</v>
      </c>
      <c r="P304" s="62" t="s">
        <v>40</v>
      </c>
      <c r="Q304" s="67">
        <f>uurtarief39</f>
        <v>0</v>
      </c>
      <c r="R304" s="64" t="e">
        <f t="shared" si="91"/>
        <v>#DIV/0!</v>
      </c>
      <c r="S304" s="64" t="e">
        <f t="shared" si="92"/>
        <v>#DIV/0!</v>
      </c>
      <c r="T304" s="67" t="e">
        <f t="shared" si="93"/>
        <v>#DIV/0!</v>
      </c>
      <c r="U304" s="64" t="e">
        <f t="shared" si="94"/>
        <v>#DIV/0!</v>
      </c>
      <c r="V304" s="69" t="e">
        <f t="shared" si="95"/>
        <v>#DIV/0!</v>
      </c>
    </row>
    <row r="305" spans="1:22" x14ac:dyDescent="0.3">
      <c r="A305" s="61" t="s">
        <v>316</v>
      </c>
      <c r="B305" s="62" t="s">
        <v>317</v>
      </c>
      <c r="C305" s="62" t="s">
        <v>629</v>
      </c>
      <c r="D305" s="62" t="s">
        <v>701</v>
      </c>
      <c r="E305" s="63" t="s">
        <v>369</v>
      </c>
      <c r="F305" s="62" t="s">
        <v>432</v>
      </c>
      <c r="G305" s="62" t="s">
        <v>323</v>
      </c>
      <c r="H305" s="62"/>
      <c r="I305" s="62"/>
      <c r="J305" s="62"/>
      <c r="K305" s="62" t="s">
        <v>317</v>
      </c>
      <c r="L305" s="64">
        <v>2.0499999999999998</v>
      </c>
      <c r="M305" s="64"/>
      <c r="N305" s="65"/>
      <c r="O305" s="66"/>
      <c r="P305" s="62"/>
      <c r="Q305" s="67"/>
      <c r="R305" s="64"/>
      <c r="S305" s="64"/>
      <c r="T305" s="67"/>
      <c r="U305" s="68"/>
      <c r="V305" s="69"/>
    </row>
    <row r="306" spans="1:22" x14ac:dyDescent="0.3">
      <c r="A306" s="61" t="s">
        <v>316</v>
      </c>
      <c r="B306" s="62" t="s">
        <v>317</v>
      </c>
      <c r="C306" s="62" t="s">
        <v>629</v>
      </c>
      <c r="D306" s="62" t="s">
        <v>702</v>
      </c>
      <c r="E306" s="63" t="s">
        <v>374</v>
      </c>
      <c r="F306" s="62" t="s">
        <v>389</v>
      </c>
      <c r="G306" s="62" t="s">
        <v>323</v>
      </c>
      <c r="H306" s="62"/>
      <c r="I306" s="62"/>
      <c r="J306" s="62"/>
      <c r="K306" s="62" t="s">
        <v>317</v>
      </c>
      <c r="L306" s="64">
        <v>2.84</v>
      </c>
      <c r="M306" s="64"/>
      <c r="N306" s="65"/>
      <c r="O306" s="66"/>
      <c r="P306" s="62"/>
      <c r="Q306" s="67"/>
      <c r="R306" s="64"/>
      <c r="S306" s="64"/>
      <c r="T306" s="67"/>
      <c r="U306" s="68"/>
      <c r="V306" s="69"/>
    </row>
    <row r="307" spans="1:22" x14ac:dyDescent="0.3">
      <c r="A307" s="61" t="s">
        <v>316</v>
      </c>
      <c r="B307" s="62" t="s">
        <v>317</v>
      </c>
      <c r="C307" s="62" t="s">
        <v>629</v>
      </c>
      <c r="D307" s="62" t="s">
        <v>703</v>
      </c>
      <c r="E307" s="63" t="s">
        <v>352</v>
      </c>
      <c r="F307" s="62" t="s">
        <v>353</v>
      </c>
      <c r="G307" s="62" t="s">
        <v>266</v>
      </c>
      <c r="H307" s="62" t="s">
        <v>11</v>
      </c>
      <c r="I307" s="62" t="s">
        <v>210</v>
      </c>
      <c r="J307" s="63" t="s">
        <v>267</v>
      </c>
      <c r="K307" s="62" t="s">
        <v>317</v>
      </c>
      <c r="L307" s="64">
        <v>11.950000000000001</v>
      </c>
      <c r="M307" s="64">
        <f t="shared" ref="M307:M315" si="96">L307*VLOOKUP(H307,dagsoorttabel1,2,FALSE)</f>
        <v>11.950000000000001</v>
      </c>
      <c r="N307" s="65">
        <f>prodnorm39</f>
        <v>0</v>
      </c>
      <c r="O307" s="66">
        <f>dagwerk39</f>
        <v>0</v>
      </c>
      <c r="P307" s="62" t="s">
        <v>40</v>
      </c>
      <c r="Q307" s="67">
        <f>uurtarief39</f>
        <v>0</v>
      </c>
      <c r="R307" s="64" t="e">
        <f t="shared" ref="R307:R315" si="97">IF(ISBLANK(N307),0,M307/ROUND(N307,4))</f>
        <v>#DIV/0!</v>
      </c>
      <c r="S307" s="64" t="e">
        <f t="shared" ref="S307:S315" si="98">IF(ISBLANK(N307),0,R307*ROUND(O307,2))</f>
        <v>#DIV/0!</v>
      </c>
      <c r="T307" s="67" t="e">
        <f t="shared" ref="T307:T315" si="99">ROUND(Q307,2)*R307</f>
        <v>#DIV/0!</v>
      </c>
      <c r="U307" s="64" t="e">
        <f t="shared" ref="U307:U315" si="100">R307*dagenperjaar1</f>
        <v>#DIV/0!</v>
      </c>
      <c r="V307" s="69" t="e">
        <f t="shared" ref="V307:V315" si="101">U307*ROUND(Q307,2)</f>
        <v>#DIV/0!</v>
      </c>
    </row>
    <row r="308" spans="1:22" x14ac:dyDescent="0.3">
      <c r="A308" s="61" t="s">
        <v>316</v>
      </c>
      <c r="B308" s="62" t="s">
        <v>317</v>
      </c>
      <c r="C308" s="62" t="s">
        <v>629</v>
      </c>
      <c r="D308" s="62" t="s">
        <v>704</v>
      </c>
      <c r="E308" s="63" t="s">
        <v>352</v>
      </c>
      <c r="F308" s="62" t="s">
        <v>353</v>
      </c>
      <c r="G308" s="62" t="s">
        <v>266</v>
      </c>
      <c r="H308" s="62" t="s">
        <v>11</v>
      </c>
      <c r="I308" s="62" t="s">
        <v>210</v>
      </c>
      <c r="J308" s="63" t="s">
        <v>267</v>
      </c>
      <c r="K308" s="62" t="s">
        <v>317</v>
      </c>
      <c r="L308" s="64">
        <v>12.09</v>
      </c>
      <c r="M308" s="64">
        <f t="shared" si="96"/>
        <v>12.09</v>
      </c>
      <c r="N308" s="65">
        <f>prodnorm39</f>
        <v>0</v>
      </c>
      <c r="O308" s="66">
        <f>dagwerk39</f>
        <v>0</v>
      </c>
      <c r="P308" s="62" t="s">
        <v>40</v>
      </c>
      <c r="Q308" s="67">
        <f>uurtarief39</f>
        <v>0</v>
      </c>
      <c r="R308" s="64" t="e">
        <f t="shared" si="97"/>
        <v>#DIV/0!</v>
      </c>
      <c r="S308" s="64" t="e">
        <f t="shared" si="98"/>
        <v>#DIV/0!</v>
      </c>
      <c r="T308" s="67" t="e">
        <f t="shared" si="99"/>
        <v>#DIV/0!</v>
      </c>
      <c r="U308" s="64" t="e">
        <f t="shared" si="100"/>
        <v>#DIV/0!</v>
      </c>
      <c r="V308" s="69" t="e">
        <f t="shared" si="101"/>
        <v>#DIV/0!</v>
      </c>
    </row>
    <row r="309" spans="1:22" x14ac:dyDescent="0.3">
      <c r="A309" s="61" t="s">
        <v>316</v>
      </c>
      <c r="B309" s="62" t="s">
        <v>317</v>
      </c>
      <c r="C309" s="62" t="s">
        <v>629</v>
      </c>
      <c r="D309" s="62" t="s">
        <v>705</v>
      </c>
      <c r="E309" s="63" t="s">
        <v>356</v>
      </c>
      <c r="F309" s="62" t="s">
        <v>348</v>
      </c>
      <c r="G309" s="62" t="s">
        <v>212</v>
      </c>
      <c r="H309" s="62" t="s">
        <v>17</v>
      </c>
      <c r="I309" s="62" t="s">
        <v>210</v>
      </c>
      <c r="J309" s="63" t="s">
        <v>213</v>
      </c>
      <c r="K309" s="62" t="s">
        <v>317</v>
      </c>
      <c r="L309" s="64">
        <v>11.01</v>
      </c>
      <c r="M309" s="64">
        <f t="shared" si="96"/>
        <v>2.202</v>
      </c>
      <c r="N309" s="65">
        <f>prodnorm11</f>
        <v>0</v>
      </c>
      <c r="O309" s="66">
        <f>dagwerk11</f>
        <v>0</v>
      </c>
      <c r="P309" s="62" t="s">
        <v>40</v>
      </c>
      <c r="Q309" s="67">
        <f>uurtarief11</f>
        <v>0</v>
      </c>
      <c r="R309" s="64" t="e">
        <f t="shared" si="97"/>
        <v>#DIV/0!</v>
      </c>
      <c r="S309" s="64" t="e">
        <f t="shared" si="98"/>
        <v>#DIV/0!</v>
      </c>
      <c r="T309" s="67" t="e">
        <f t="shared" si="99"/>
        <v>#DIV/0!</v>
      </c>
      <c r="U309" s="64" t="e">
        <f t="shared" si="100"/>
        <v>#DIV/0!</v>
      </c>
      <c r="V309" s="69" t="e">
        <f t="shared" si="101"/>
        <v>#DIV/0!</v>
      </c>
    </row>
    <row r="310" spans="1:22" x14ac:dyDescent="0.3">
      <c r="A310" s="61" t="s">
        <v>316</v>
      </c>
      <c r="B310" s="62" t="s">
        <v>317</v>
      </c>
      <c r="C310" s="62" t="s">
        <v>629</v>
      </c>
      <c r="D310" s="62" t="s">
        <v>706</v>
      </c>
      <c r="E310" s="63" t="s">
        <v>707</v>
      </c>
      <c r="F310" s="62" t="s">
        <v>348</v>
      </c>
      <c r="G310" s="62" t="s">
        <v>226</v>
      </c>
      <c r="H310" s="62" t="s">
        <v>14</v>
      </c>
      <c r="I310" s="62" t="s">
        <v>210</v>
      </c>
      <c r="J310" s="63" t="s">
        <v>227</v>
      </c>
      <c r="K310" s="62" t="s">
        <v>317</v>
      </c>
      <c r="L310" s="64">
        <v>97.990000000000009</v>
      </c>
      <c r="M310" s="64">
        <f t="shared" si="96"/>
        <v>58.794000000000004</v>
      </c>
      <c r="N310" s="65">
        <f>prodnorm18</f>
        <v>0</v>
      </c>
      <c r="O310" s="66">
        <f>dagwerk18</f>
        <v>0</v>
      </c>
      <c r="P310" s="62" t="s">
        <v>40</v>
      </c>
      <c r="Q310" s="67">
        <f>uurtarief18</f>
        <v>0</v>
      </c>
      <c r="R310" s="64" t="e">
        <f t="shared" si="97"/>
        <v>#DIV/0!</v>
      </c>
      <c r="S310" s="64" t="e">
        <f t="shared" si="98"/>
        <v>#DIV/0!</v>
      </c>
      <c r="T310" s="67" t="e">
        <f t="shared" si="99"/>
        <v>#DIV/0!</v>
      </c>
      <c r="U310" s="64" t="e">
        <f t="shared" si="100"/>
        <v>#DIV/0!</v>
      </c>
      <c r="V310" s="69" t="e">
        <f t="shared" si="101"/>
        <v>#DIV/0!</v>
      </c>
    </row>
    <row r="311" spans="1:22" x14ac:dyDescent="0.3">
      <c r="A311" s="61" t="s">
        <v>316</v>
      </c>
      <c r="B311" s="62" t="s">
        <v>317</v>
      </c>
      <c r="C311" s="62" t="s">
        <v>629</v>
      </c>
      <c r="D311" s="62" t="s">
        <v>708</v>
      </c>
      <c r="E311" s="63" t="s">
        <v>356</v>
      </c>
      <c r="F311" s="62" t="s">
        <v>348</v>
      </c>
      <c r="G311" s="62" t="s">
        <v>212</v>
      </c>
      <c r="H311" s="62" t="s">
        <v>17</v>
      </c>
      <c r="I311" s="62" t="s">
        <v>210</v>
      </c>
      <c r="J311" s="63" t="s">
        <v>213</v>
      </c>
      <c r="K311" s="62" t="s">
        <v>317</v>
      </c>
      <c r="L311" s="64">
        <v>18.239999999999998</v>
      </c>
      <c r="M311" s="64">
        <f t="shared" si="96"/>
        <v>3.6479999999999997</v>
      </c>
      <c r="N311" s="65">
        <f>prodnorm11</f>
        <v>0</v>
      </c>
      <c r="O311" s="66">
        <f>dagwerk11</f>
        <v>0</v>
      </c>
      <c r="P311" s="62" t="s">
        <v>40</v>
      </c>
      <c r="Q311" s="67">
        <f>uurtarief11</f>
        <v>0</v>
      </c>
      <c r="R311" s="64" t="e">
        <f t="shared" si="97"/>
        <v>#DIV/0!</v>
      </c>
      <c r="S311" s="64" t="e">
        <f t="shared" si="98"/>
        <v>#DIV/0!</v>
      </c>
      <c r="T311" s="67" t="e">
        <f t="shared" si="99"/>
        <v>#DIV/0!</v>
      </c>
      <c r="U311" s="64" t="e">
        <f t="shared" si="100"/>
        <v>#DIV/0!</v>
      </c>
      <c r="V311" s="69" t="e">
        <f t="shared" si="101"/>
        <v>#DIV/0!</v>
      </c>
    </row>
    <row r="312" spans="1:22" x14ac:dyDescent="0.3">
      <c r="A312" s="61" t="s">
        <v>316</v>
      </c>
      <c r="B312" s="62" t="s">
        <v>317</v>
      </c>
      <c r="C312" s="62" t="s">
        <v>629</v>
      </c>
      <c r="D312" s="62" t="s">
        <v>709</v>
      </c>
      <c r="E312" s="63" t="s">
        <v>710</v>
      </c>
      <c r="F312" s="62" t="s">
        <v>348</v>
      </c>
      <c r="G312" s="62" t="s">
        <v>226</v>
      </c>
      <c r="H312" s="62" t="s">
        <v>14</v>
      </c>
      <c r="I312" s="62" t="s">
        <v>210</v>
      </c>
      <c r="J312" s="63" t="s">
        <v>227</v>
      </c>
      <c r="K312" s="62" t="s">
        <v>317</v>
      </c>
      <c r="L312" s="64">
        <v>48.449999999999996</v>
      </c>
      <c r="M312" s="64">
        <f t="shared" si="96"/>
        <v>29.069999999999997</v>
      </c>
      <c r="N312" s="65">
        <f>prodnorm18</f>
        <v>0</v>
      </c>
      <c r="O312" s="66">
        <f>dagwerk18</f>
        <v>0</v>
      </c>
      <c r="P312" s="62" t="s">
        <v>40</v>
      </c>
      <c r="Q312" s="67">
        <f>uurtarief18</f>
        <v>0</v>
      </c>
      <c r="R312" s="64" t="e">
        <f t="shared" si="97"/>
        <v>#DIV/0!</v>
      </c>
      <c r="S312" s="64" t="e">
        <f t="shared" si="98"/>
        <v>#DIV/0!</v>
      </c>
      <c r="T312" s="67" t="e">
        <f t="shared" si="99"/>
        <v>#DIV/0!</v>
      </c>
      <c r="U312" s="64" t="e">
        <f t="shared" si="100"/>
        <v>#DIV/0!</v>
      </c>
      <c r="V312" s="69" t="e">
        <f t="shared" si="101"/>
        <v>#DIV/0!</v>
      </c>
    </row>
    <row r="313" spans="1:22" x14ac:dyDescent="0.3">
      <c r="A313" s="61" t="s">
        <v>316</v>
      </c>
      <c r="B313" s="62" t="s">
        <v>317</v>
      </c>
      <c r="C313" s="62" t="s">
        <v>629</v>
      </c>
      <c r="D313" s="62" t="s">
        <v>711</v>
      </c>
      <c r="E313" s="63" t="s">
        <v>391</v>
      </c>
      <c r="F313" s="62" t="s">
        <v>348</v>
      </c>
      <c r="G313" s="62" t="s">
        <v>236</v>
      </c>
      <c r="H313" s="62" t="s">
        <v>14</v>
      </c>
      <c r="I313" s="62" t="s">
        <v>210</v>
      </c>
      <c r="J313" s="63" t="s">
        <v>237</v>
      </c>
      <c r="K313" s="62" t="s">
        <v>317</v>
      </c>
      <c r="L313" s="64">
        <v>49.349999999999994</v>
      </c>
      <c r="M313" s="64">
        <f t="shared" si="96"/>
        <v>29.609999999999996</v>
      </c>
      <c r="N313" s="65">
        <f>prodnorm23</f>
        <v>0</v>
      </c>
      <c r="O313" s="66">
        <f>dagwerk23</f>
        <v>0</v>
      </c>
      <c r="P313" s="62" t="s">
        <v>40</v>
      </c>
      <c r="Q313" s="67">
        <f>uurtarief23</f>
        <v>0</v>
      </c>
      <c r="R313" s="64" t="e">
        <f t="shared" si="97"/>
        <v>#DIV/0!</v>
      </c>
      <c r="S313" s="64" t="e">
        <f t="shared" si="98"/>
        <v>#DIV/0!</v>
      </c>
      <c r="T313" s="67" t="e">
        <f t="shared" si="99"/>
        <v>#DIV/0!</v>
      </c>
      <c r="U313" s="64" t="e">
        <f t="shared" si="100"/>
        <v>#DIV/0!</v>
      </c>
      <c r="V313" s="69" t="e">
        <f t="shared" si="101"/>
        <v>#DIV/0!</v>
      </c>
    </row>
    <row r="314" spans="1:22" x14ac:dyDescent="0.3">
      <c r="A314" s="61" t="s">
        <v>316</v>
      </c>
      <c r="B314" s="62" t="s">
        <v>317</v>
      </c>
      <c r="C314" s="62" t="s">
        <v>629</v>
      </c>
      <c r="D314" s="62" t="s">
        <v>712</v>
      </c>
      <c r="E314" s="63" t="s">
        <v>391</v>
      </c>
      <c r="F314" s="62" t="s">
        <v>348</v>
      </c>
      <c r="G314" s="62" t="s">
        <v>236</v>
      </c>
      <c r="H314" s="62" t="s">
        <v>14</v>
      </c>
      <c r="I314" s="62" t="s">
        <v>210</v>
      </c>
      <c r="J314" s="63" t="s">
        <v>237</v>
      </c>
      <c r="K314" s="62" t="s">
        <v>317</v>
      </c>
      <c r="L314" s="64">
        <v>49.86</v>
      </c>
      <c r="M314" s="64">
        <f t="shared" si="96"/>
        <v>29.915999999999997</v>
      </c>
      <c r="N314" s="65">
        <f>prodnorm23</f>
        <v>0</v>
      </c>
      <c r="O314" s="66">
        <f>dagwerk23</f>
        <v>0</v>
      </c>
      <c r="P314" s="62" t="s">
        <v>40</v>
      </c>
      <c r="Q314" s="67">
        <f>uurtarief23</f>
        <v>0</v>
      </c>
      <c r="R314" s="64" t="e">
        <f t="shared" si="97"/>
        <v>#DIV/0!</v>
      </c>
      <c r="S314" s="64" t="e">
        <f t="shared" si="98"/>
        <v>#DIV/0!</v>
      </c>
      <c r="T314" s="67" t="e">
        <f t="shared" si="99"/>
        <v>#DIV/0!</v>
      </c>
      <c r="U314" s="64" t="e">
        <f t="shared" si="100"/>
        <v>#DIV/0!</v>
      </c>
      <c r="V314" s="69" t="e">
        <f t="shared" si="101"/>
        <v>#DIV/0!</v>
      </c>
    </row>
    <row r="315" spans="1:22" x14ac:dyDescent="0.3">
      <c r="A315" s="61" t="s">
        <v>316</v>
      </c>
      <c r="B315" s="62" t="s">
        <v>317</v>
      </c>
      <c r="C315" s="62" t="s">
        <v>629</v>
      </c>
      <c r="D315" s="62" t="s">
        <v>713</v>
      </c>
      <c r="E315" s="63" t="s">
        <v>714</v>
      </c>
      <c r="F315" s="62" t="s">
        <v>348</v>
      </c>
      <c r="G315" s="62" t="s">
        <v>236</v>
      </c>
      <c r="H315" s="62" t="s">
        <v>14</v>
      </c>
      <c r="I315" s="62" t="s">
        <v>210</v>
      </c>
      <c r="J315" s="63" t="s">
        <v>237</v>
      </c>
      <c r="K315" s="62" t="s">
        <v>317</v>
      </c>
      <c r="L315" s="64">
        <v>49.18</v>
      </c>
      <c r="M315" s="64">
        <f t="shared" si="96"/>
        <v>29.507999999999999</v>
      </c>
      <c r="N315" s="65">
        <f>prodnorm23</f>
        <v>0</v>
      </c>
      <c r="O315" s="66">
        <f>dagwerk23</f>
        <v>0</v>
      </c>
      <c r="P315" s="62" t="s">
        <v>40</v>
      </c>
      <c r="Q315" s="67">
        <f>uurtarief23</f>
        <v>0</v>
      </c>
      <c r="R315" s="64" t="e">
        <f t="shared" si="97"/>
        <v>#DIV/0!</v>
      </c>
      <c r="S315" s="64" t="e">
        <f t="shared" si="98"/>
        <v>#DIV/0!</v>
      </c>
      <c r="T315" s="67" t="e">
        <f t="shared" si="99"/>
        <v>#DIV/0!</v>
      </c>
      <c r="U315" s="64" t="e">
        <f t="shared" si="100"/>
        <v>#DIV/0!</v>
      </c>
      <c r="V315" s="69" t="e">
        <f t="shared" si="101"/>
        <v>#DIV/0!</v>
      </c>
    </row>
    <row r="316" spans="1:22" x14ac:dyDescent="0.3">
      <c r="A316" s="61" t="s">
        <v>316</v>
      </c>
      <c r="B316" s="62" t="s">
        <v>317</v>
      </c>
      <c r="C316" s="62" t="s">
        <v>629</v>
      </c>
      <c r="D316" s="62" t="s">
        <v>715</v>
      </c>
      <c r="E316" s="63" t="s">
        <v>374</v>
      </c>
      <c r="F316" s="62" t="s">
        <v>389</v>
      </c>
      <c r="G316" s="62" t="s">
        <v>323</v>
      </c>
      <c r="H316" s="62"/>
      <c r="I316" s="62"/>
      <c r="J316" s="62"/>
      <c r="K316" s="62" t="s">
        <v>317</v>
      </c>
      <c r="L316" s="64">
        <v>1.7</v>
      </c>
      <c r="M316" s="64"/>
      <c r="N316" s="65"/>
      <c r="O316" s="66"/>
      <c r="P316" s="62"/>
      <c r="Q316" s="67"/>
      <c r="R316" s="64"/>
      <c r="S316" s="64"/>
      <c r="T316" s="67"/>
      <c r="U316" s="68"/>
      <c r="V316" s="69"/>
    </row>
    <row r="317" spans="1:22" x14ac:dyDescent="0.3">
      <c r="A317" s="61" t="s">
        <v>316</v>
      </c>
      <c r="B317" s="62" t="s">
        <v>317</v>
      </c>
      <c r="C317" s="62" t="s">
        <v>629</v>
      </c>
      <c r="D317" s="62" t="s">
        <v>716</v>
      </c>
      <c r="E317" s="63" t="s">
        <v>330</v>
      </c>
      <c r="F317" s="62" t="s">
        <v>389</v>
      </c>
      <c r="G317" s="62" t="s">
        <v>286</v>
      </c>
      <c r="H317" s="62" t="s">
        <v>11</v>
      </c>
      <c r="I317" s="62" t="s">
        <v>210</v>
      </c>
      <c r="J317" s="63" t="s">
        <v>287</v>
      </c>
      <c r="K317" s="62" t="s">
        <v>317</v>
      </c>
      <c r="L317" s="64">
        <v>41.33</v>
      </c>
      <c r="M317" s="64">
        <f>L317*VLOOKUP(H317,dagsoorttabel1,2,FALSE)</f>
        <v>41.33</v>
      </c>
      <c r="N317" s="65">
        <f>prodnorm49</f>
        <v>0</v>
      </c>
      <c r="O317" s="66">
        <f>dagwerk49</f>
        <v>0</v>
      </c>
      <c r="P317" s="62" t="s">
        <v>40</v>
      </c>
      <c r="Q317" s="67">
        <f>uurtarief49</f>
        <v>0</v>
      </c>
      <c r="R317" s="64" t="e">
        <f>IF(ISBLANK(N317),0,M317/ROUND(N317,4))</f>
        <v>#DIV/0!</v>
      </c>
      <c r="S317" s="64" t="e">
        <f>IF(ISBLANK(N317),0,R317*ROUND(O317,2))</f>
        <v>#DIV/0!</v>
      </c>
      <c r="T317" s="67" t="e">
        <f>ROUND(Q317,2)*R317</f>
        <v>#DIV/0!</v>
      </c>
      <c r="U317" s="64" t="e">
        <f>R317*dagenperjaar1</f>
        <v>#DIV/0!</v>
      </c>
      <c r="V317" s="69" t="e">
        <f>U317*ROUND(Q317,2)</f>
        <v>#DIV/0!</v>
      </c>
    </row>
    <row r="318" spans="1:22" x14ac:dyDescent="0.3">
      <c r="A318" s="61" t="s">
        <v>316</v>
      </c>
      <c r="B318" s="62" t="s">
        <v>317</v>
      </c>
      <c r="C318" s="62" t="s">
        <v>629</v>
      </c>
      <c r="D318" s="62" t="s">
        <v>717</v>
      </c>
      <c r="E318" s="63" t="s">
        <v>374</v>
      </c>
      <c r="F318" s="62" t="s">
        <v>322</v>
      </c>
      <c r="G318" s="62" t="s">
        <v>323</v>
      </c>
      <c r="H318" s="62"/>
      <c r="I318" s="62"/>
      <c r="J318" s="62"/>
      <c r="K318" s="62" t="s">
        <v>317</v>
      </c>
      <c r="L318" s="64">
        <v>0.87</v>
      </c>
      <c r="M318" s="64"/>
      <c r="N318" s="65"/>
      <c r="O318" s="66"/>
      <c r="P318" s="62"/>
      <c r="Q318" s="67"/>
      <c r="R318" s="64"/>
      <c r="S318" s="64"/>
      <c r="T318" s="67"/>
      <c r="U318" s="68"/>
      <c r="V318" s="69"/>
    </row>
    <row r="319" spans="1:22" x14ac:dyDescent="0.3">
      <c r="A319" s="61" t="s">
        <v>316</v>
      </c>
      <c r="B319" s="62" t="s">
        <v>317</v>
      </c>
      <c r="C319" s="62" t="s">
        <v>629</v>
      </c>
      <c r="D319" s="62" t="s">
        <v>718</v>
      </c>
      <c r="E319" s="63" t="s">
        <v>394</v>
      </c>
      <c r="F319" s="62" t="s">
        <v>389</v>
      </c>
      <c r="G319" s="62" t="s">
        <v>272</v>
      </c>
      <c r="H319" s="62" t="s">
        <v>11</v>
      </c>
      <c r="I319" s="62" t="s">
        <v>210</v>
      </c>
      <c r="J319" s="63" t="s">
        <v>273</v>
      </c>
      <c r="K319" s="62" t="s">
        <v>317</v>
      </c>
      <c r="L319" s="64">
        <v>151.96</v>
      </c>
      <c r="M319" s="64">
        <f>L319*VLOOKUP(H319,dagsoorttabel1,2,FALSE)</f>
        <v>151.96</v>
      </c>
      <c r="N319" s="65">
        <f>prodnorm42</f>
        <v>0</v>
      </c>
      <c r="O319" s="66">
        <f>dagwerk42</f>
        <v>0</v>
      </c>
      <c r="P319" s="62" t="s">
        <v>40</v>
      </c>
      <c r="Q319" s="67">
        <f>uurtarief42</f>
        <v>0</v>
      </c>
      <c r="R319" s="64" t="e">
        <f>IF(ISBLANK(N319),0,M319/ROUND(N319,4))</f>
        <v>#DIV/0!</v>
      </c>
      <c r="S319" s="64" t="e">
        <f>IF(ISBLANK(N319),0,R319*ROUND(O319,2))</f>
        <v>#DIV/0!</v>
      </c>
      <c r="T319" s="67" t="e">
        <f>ROUND(Q319,2)*R319</f>
        <v>#DIV/0!</v>
      </c>
      <c r="U319" s="64" t="e">
        <f>R319*dagenperjaar1</f>
        <v>#DIV/0!</v>
      </c>
      <c r="V319" s="69" t="e">
        <f>U319*ROUND(Q319,2)</f>
        <v>#DIV/0!</v>
      </c>
    </row>
    <row r="320" spans="1:22" x14ac:dyDescent="0.3">
      <c r="A320" s="61" t="s">
        <v>316</v>
      </c>
      <c r="B320" s="62" t="s">
        <v>317</v>
      </c>
      <c r="C320" s="62" t="s">
        <v>629</v>
      </c>
      <c r="D320" s="62" t="s">
        <v>719</v>
      </c>
      <c r="E320" s="63" t="s">
        <v>356</v>
      </c>
      <c r="F320" s="62" t="s">
        <v>348</v>
      </c>
      <c r="G320" s="62" t="s">
        <v>226</v>
      </c>
      <c r="H320" s="62" t="s">
        <v>14</v>
      </c>
      <c r="I320" s="62" t="s">
        <v>210</v>
      </c>
      <c r="J320" s="63" t="s">
        <v>227</v>
      </c>
      <c r="K320" s="62" t="s">
        <v>317</v>
      </c>
      <c r="L320" s="64">
        <v>35.449999999999996</v>
      </c>
      <c r="M320" s="64">
        <f>L320*VLOOKUP(H320,dagsoorttabel1,2,FALSE)</f>
        <v>21.269999999999996</v>
      </c>
      <c r="N320" s="65">
        <f>prodnorm18</f>
        <v>0</v>
      </c>
      <c r="O320" s="66">
        <f>dagwerk18</f>
        <v>0</v>
      </c>
      <c r="P320" s="62" t="s">
        <v>40</v>
      </c>
      <c r="Q320" s="67">
        <f>uurtarief18</f>
        <v>0</v>
      </c>
      <c r="R320" s="64" t="e">
        <f>IF(ISBLANK(N320),0,M320/ROUND(N320,4))</f>
        <v>#DIV/0!</v>
      </c>
      <c r="S320" s="64" t="e">
        <f>IF(ISBLANK(N320),0,R320*ROUND(O320,2))</f>
        <v>#DIV/0!</v>
      </c>
      <c r="T320" s="67" t="e">
        <f>ROUND(Q320,2)*R320</f>
        <v>#DIV/0!</v>
      </c>
      <c r="U320" s="64" t="e">
        <f>R320*dagenperjaar1</f>
        <v>#DIV/0!</v>
      </c>
      <c r="V320" s="69" t="e">
        <f>U320*ROUND(Q320,2)</f>
        <v>#DIV/0!</v>
      </c>
    </row>
    <row r="321" spans="1:22" x14ac:dyDescent="0.3">
      <c r="A321" s="61" t="s">
        <v>316</v>
      </c>
      <c r="B321" s="62" t="s">
        <v>317</v>
      </c>
      <c r="C321" s="62" t="s">
        <v>629</v>
      </c>
      <c r="D321" s="62" t="s">
        <v>720</v>
      </c>
      <c r="E321" s="63" t="s">
        <v>527</v>
      </c>
      <c r="F321" s="62" t="s">
        <v>389</v>
      </c>
      <c r="G321" s="62" t="s">
        <v>238</v>
      </c>
      <c r="H321" s="62" t="s">
        <v>11</v>
      </c>
      <c r="I321" s="62" t="s">
        <v>210</v>
      </c>
      <c r="J321" s="63" t="s">
        <v>239</v>
      </c>
      <c r="K321" s="62" t="s">
        <v>317</v>
      </c>
      <c r="L321" s="64">
        <v>62.379999999999995</v>
      </c>
      <c r="M321" s="64">
        <f>L321*VLOOKUP(H321,dagsoorttabel1,2,FALSE)</f>
        <v>62.379999999999995</v>
      </c>
      <c r="N321" s="65">
        <f>prodnorm24</f>
        <v>0</v>
      </c>
      <c r="O321" s="66">
        <f>dagwerk24</f>
        <v>0</v>
      </c>
      <c r="P321" s="62" t="s">
        <v>40</v>
      </c>
      <c r="Q321" s="67">
        <f>uurtarief24</f>
        <v>0</v>
      </c>
      <c r="R321" s="64" t="e">
        <f>IF(ISBLANK(N321),0,M321/ROUND(N321,4))</f>
        <v>#DIV/0!</v>
      </c>
      <c r="S321" s="64" t="e">
        <f>IF(ISBLANK(N321),0,R321*ROUND(O321,2))</f>
        <v>#DIV/0!</v>
      </c>
      <c r="T321" s="67" t="e">
        <f>ROUND(Q321,2)*R321</f>
        <v>#DIV/0!</v>
      </c>
      <c r="U321" s="64" t="e">
        <f>R321*dagenperjaar1</f>
        <v>#DIV/0!</v>
      </c>
      <c r="V321" s="69" t="e">
        <f>U321*ROUND(Q321,2)</f>
        <v>#DIV/0!</v>
      </c>
    </row>
    <row r="322" spans="1:22" x14ac:dyDescent="0.3">
      <c r="A322" s="61" t="s">
        <v>316</v>
      </c>
      <c r="B322" s="62" t="s">
        <v>317</v>
      </c>
      <c r="C322" s="62" t="s">
        <v>629</v>
      </c>
      <c r="D322" s="62" t="s">
        <v>721</v>
      </c>
      <c r="E322" s="63" t="s">
        <v>321</v>
      </c>
      <c r="F322" s="62" t="s">
        <v>389</v>
      </c>
      <c r="G322" s="62" t="s">
        <v>323</v>
      </c>
      <c r="H322" s="62"/>
      <c r="I322" s="62"/>
      <c r="J322" s="62"/>
      <c r="K322" s="62" t="s">
        <v>317</v>
      </c>
      <c r="L322" s="64">
        <v>4.6099999999999994</v>
      </c>
      <c r="M322" s="64"/>
      <c r="N322" s="65"/>
      <c r="O322" s="66"/>
      <c r="P322" s="62"/>
      <c r="Q322" s="67"/>
      <c r="R322" s="64"/>
      <c r="S322" s="64"/>
      <c r="T322" s="67"/>
      <c r="U322" s="68"/>
      <c r="V322" s="69"/>
    </row>
    <row r="323" spans="1:22" x14ac:dyDescent="0.3">
      <c r="A323" s="61" t="s">
        <v>316</v>
      </c>
      <c r="B323" s="62" t="s">
        <v>317</v>
      </c>
      <c r="C323" s="62" t="s">
        <v>629</v>
      </c>
      <c r="D323" s="62" t="s">
        <v>722</v>
      </c>
      <c r="E323" s="63" t="s">
        <v>356</v>
      </c>
      <c r="F323" s="62" t="s">
        <v>348</v>
      </c>
      <c r="G323" s="62" t="s">
        <v>212</v>
      </c>
      <c r="H323" s="62" t="s">
        <v>17</v>
      </c>
      <c r="I323" s="62" t="s">
        <v>210</v>
      </c>
      <c r="J323" s="63" t="s">
        <v>213</v>
      </c>
      <c r="K323" s="62" t="s">
        <v>317</v>
      </c>
      <c r="L323" s="64">
        <v>16.959999999999997</v>
      </c>
      <c r="M323" s="64">
        <f>L323*VLOOKUP(H323,dagsoorttabel1,2,FALSE)</f>
        <v>3.3919999999999995</v>
      </c>
      <c r="N323" s="65">
        <f>prodnorm11</f>
        <v>0</v>
      </c>
      <c r="O323" s="66">
        <f>dagwerk11</f>
        <v>0</v>
      </c>
      <c r="P323" s="62" t="s">
        <v>40</v>
      </c>
      <c r="Q323" s="67">
        <f>uurtarief11</f>
        <v>0</v>
      </c>
      <c r="R323" s="64" t="e">
        <f>IF(ISBLANK(N323),0,M323/ROUND(N323,4))</f>
        <v>#DIV/0!</v>
      </c>
      <c r="S323" s="64" t="e">
        <f>IF(ISBLANK(N323),0,R323*ROUND(O323,2))</f>
        <v>#DIV/0!</v>
      </c>
      <c r="T323" s="67" t="e">
        <f>ROUND(Q323,2)*R323</f>
        <v>#DIV/0!</v>
      </c>
      <c r="U323" s="64" t="e">
        <f>R323*dagenperjaar1</f>
        <v>#DIV/0!</v>
      </c>
      <c r="V323" s="69" t="e">
        <f>U323*ROUND(Q323,2)</f>
        <v>#DIV/0!</v>
      </c>
    </row>
    <row r="324" spans="1:22" x14ac:dyDescent="0.3">
      <c r="A324" s="61" t="s">
        <v>316</v>
      </c>
      <c r="B324" s="62" t="s">
        <v>317</v>
      </c>
      <c r="C324" s="62" t="s">
        <v>629</v>
      </c>
      <c r="D324" s="62" t="s">
        <v>723</v>
      </c>
      <c r="E324" s="63" t="s">
        <v>383</v>
      </c>
      <c r="F324" s="62" t="s">
        <v>348</v>
      </c>
      <c r="G324" s="62" t="s">
        <v>323</v>
      </c>
      <c r="H324" s="62"/>
      <c r="I324" s="62"/>
      <c r="J324" s="62"/>
      <c r="K324" s="62" t="s">
        <v>317</v>
      </c>
      <c r="L324" s="64">
        <v>9.83</v>
      </c>
      <c r="M324" s="64"/>
      <c r="N324" s="65"/>
      <c r="O324" s="66"/>
      <c r="P324" s="62"/>
      <c r="Q324" s="67"/>
      <c r="R324" s="64"/>
      <c r="S324" s="64"/>
      <c r="T324" s="67"/>
      <c r="U324" s="68"/>
      <c r="V324" s="69"/>
    </row>
    <row r="325" spans="1:22" x14ac:dyDescent="0.3">
      <c r="A325" s="61" t="s">
        <v>316</v>
      </c>
      <c r="B325" s="62" t="s">
        <v>317</v>
      </c>
      <c r="C325" s="62" t="s">
        <v>629</v>
      </c>
      <c r="D325" s="62" t="s">
        <v>724</v>
      </c>
      <c r="E325" s="63" t="s">
        <v>391</v>
      </c>
      <c r="F325" s="62" t="s">
        <v>348</v>
      </c>
      <c r="G325" s="62" t="s">
        <v>236</v>
      </c>
      <c r="H325" s="62" t="s">
        <v>14</v>
      </c>
      <c r="I325" s="62" t="s">
        <v>210</v>
      </c>
      <c r="J325" s="63" t="s">
        <v>237</v>
      </c>
      <c r="K325" s="62" t="s">
        <v>317</v>
      </c>
      <c r="L325" s="64">
        <v>63.65</v>
      </c>
      <c r="M325" s="64">
        <f>L325*VLOOKUP(H325,dagsoorttabel1,2,FALSE)</f>
        <v>38.19</v>
      </c>
      <c r="N325" s="65">
        <f>prodnorm23</f>
        <v>0</v>
      </c>
      <c r="O325" s="66">
        <f>dagwerk23</f>
        <v>0</v>
      </c>
      <c r="P325" s="62" t="s">
        <v>40</v>
      </c>
      <c r="Q325" s="67">
        <f>uurtarief23</f>
        <v>0</v>
      </c>
      <c r="R325" s="64" t="e">
        <f>IF(ISBLANK(N325),0,M325/ROUND(N325,4))</f>
        <v>#DIV/0!</v>
      </c>
      <c r="S325" s="64" t="e">
        <f>IF(ISBLANK(N325),0,R325*ROUND(O325,2))</f>
        <v>#DIV/0!</v>
      </c>
      <c r="T325" s="67" t="e">
        <f>ROUND(Q325,2)*R325</f>
        <v>#DIV/0!</v>
      </c>
      <c r="U325" s="64" t="e">
        <f>R325*dagenperjaar1</f>
        <v>#DIV/0!</v>
      </c>
      <c r="V325" s="69" t="e">
        <f>U325*ROUND(Q325,2)</f>
        <v>#DIV/0!</v>
      </c>
    </row>
    <row r="326" spans="1:22" x14ac:dyDescent="0.3">
      <c r="A326" s="61" t="s">
        <v>316</v>
      </c>
      <c r="B326" s="62" t="s">
        <v>317</v>
      </c>
      <c r="C326" s="62" t="s">
        <v>629</v>
      </c>
      <c r="D326" s="62" t="s">
        <v>725</v>
      </c>
      <c r="E326" s="63" t="s">
        <v>391</v>
      </c>
      <c r="F326" s="62" t="s">
        <v>348</v>
      </c>
      <c r="G326" s="62" t="s">
        <v>236</v>
      </c>
      <c r="H326" s="62" t="s">
        <v>14</v>
      </c>
      <c r="I326" s="62" t="s">
        <v>210</v>
      </c>
      <c r="J326" s="63" t="s">
        <v>237</v>
      </c>
      <c r="K326" s="62" t="s">
        <v>317</v>
      </c>
      <c r="L326" s="64">
        <v>26.56</v>
      </c>
      <c r="M326" s="64">
        <f>L326*VLOOKUP(H326,dagsoorttabel1,2,FALSE)</f>
        <v>15.935999999999998</v>
      </c>
      <c r="N326" s="65">
        <f>prodnorm23</f>
        <v>0</v>
      </c>
      <c r="O326" s="66">
        <f>dagwerk23</f>
        <v>0</v>
      </c>
      <c r="P326" s="62" t="s">
        <v>40</v>
      </c>
      <c r="Q326" s="67">
        <f>uurtarief23</f>
        <v>0</v>
      </c>
      <c r="R326" s="64" t="e">
        <f>IF(ISBLANK(N326),0,M326/ROUND(N326,4))</f>
        <v>#DIV/0!</v>
      </c>
      <c r="S326" s="64" t="e">
        <f>IF(ISBLANK(N326),0,R326*ROUND(O326,2))</f>
        <v>#DIV/0!</v>
      </c>
      <c r="T326" s="67" t="e">
        <f>ROUND(Q326,2)*R326</f>
        <v>#DIV/0!</v>
      </c>
      <c r="U326" s="64" t="e">
        <f>R326*dagenperjaar1</f>
        <v>#DIV/0!</v>
      </c>
      <c r="V326" s="69" t="e">
        <f>U326*ROUND(Q326,2)</f>
        <v>#DIV/0!</v>
      </c>
    </row>
    <row r="327" spans="1:22" x14ac:dyDescent="0.3">
      <c r="A327" s="61" t="s">
        <v>316</v>
      </c>
      <c r="B327" s="62" t="s">
        <v>317</v>
      </c>
      <c r="C327" s="62" t="s">
        <v>629</v>
      </c>
      <c r="D327" s="62" t="s">
        <v>726</v>
      </c>
      <c r="E327" s="63" t="s">
        <v>374</v>
      </c>
      <c r="F327" s="62" t="s">
        <v>389</v>
      </c>
      <c r="G327" s="62" t="s">
        <v>323</v>
      </c>
      <c r="H327" s="62"/>
      <c r="I327" s="62"/>
      <c r="J327" s="62"/>
      <c r="K327" s="62" t="s">
        <v>317</v>
      </c>
      <c r="L327" s="64">
        <v>4.1399999999999997</v>
      </c>
      <c r="M327" s="64"/>
      <c r="N327" s="65"/>
      <c r="O327" s="66"/>
      <c r="P327" s="62"/>
      <c r="Q327" s="67"/>
      <c r="R327" s="64"/>
      <c r="S327" s="64"/>
      <c r="T327" s="67"/>
      <c r="U327" s="68"/>
      <c r="V327" s="69"/>
    </row>
    <row r="328" spans="1:22" x14ac:dyDescent="0.3">
      <c r="A328" s="61" t="s">
        <v>316</v>
      </c>
      <c r="B328" s="62" t="s">
        <v>317</v>
      </c>
      <c r="C328" s="62" t="s">
        <v>629</v>
      </c>
      <c r="D328" s="62" t="s">
        <v>727</v>
      </c>
      <c r="E328" s="63" t="s">
        <v>391</v>
      </c>
      <c r="F328" s="62" t="s">
        <v>348</v>
      </c>
      <c r="G328" s="62" t="s">
        <v>236</v>
      </c>
      <c r="H328" s="62" t="s">
        <v>14</v>
      </c>
      <c r="I328" s="62" t="s">
        <v>210</v>
      </c>
      <c r="J328" s="63" t="s">
        <v>237</v>
      </c>
      <c r="K328" s="62" t="s">
        <v>317</v>
      </c>
      <c r="L328" s="64">
        <v>48.449999999999996</v>
      </c>
      <c r="M328" s="64">
        <f t="shared" ref="M328:M334" si="102">L328*VLOOKUP(H328,dagsoorttabel1,2,FALSE)</f>
        <v>29.069999999999997</v>
      </c>
      <c r="N328" s="65">
        <f>prodnorm23</f>
        <v>0</v>
      </c>
      <c r="O328" s="66">
        <f>dagwerk23</f>
        <v>0</v>
      </c>
      <c r="P328" s="62" t="s">
        <v>40</v>
      </c>
      <c r="Q328" s="67">
        <f>uurtarief23</f>
        <v>0</v>
      </c>
      <c r="R328" s="64" t="e">
        <f t="shared" ref="R328:R334" si="103">IF(ISBLANK(N328),0,M328/ROUND(N328,4))</f>
        <v>#DIV/0!</v>
      </c>
      <c r="S328" s="64" t="e">
        <f t="shared" ref="S328:S334" si="104">IF(ISBLANK(N328),0,R328*ROUND(O328,2))</f>
        <v>#DIV/0!</v>
      </c>
      <c r="T328" s="67" t="e">
        <f t="shared" ref="T328:T334" si="105">ROUND(Q328,2)*R328</f>
        <v>#DIV/0!</v>
      </c>
      <c r="U328" s="64" t="e">
        <f t="shared" ref="U328:U334" si="106">R328*dagenperjaar1</f>
        <v>#DIV/0!</v>
      </c>
      <c r="V328" s="69" t="e">
        <f t="shared" ref="V328:V334" si="107">U328*ROUND(Q328,2)</f>
        <v>#DIV/0!</v>
      </c>
    </row>
    <row r="329" spans="1:22" x14ac:dyDescent="0.3">
      <c r="A329" s="61" t="s">
        <v>316</v>
      </c>
      <c r="B329" s="62" t="s">
        <v>317</v>
      </c>
      <c r="C329" s="62" t="s">
        <v>629</v>
      </c>
      <c r="D329" s="62" t="s">
        <v>728</v>
      </c>
      <c r="E329" s="63" t="s">
        <v>729</v>
      </c>
      <c r="F329" s="62" t="s">
        <v>389</v>
      </c>
      <c r="G329" s="62" t="s">
        <v>242</v>
      </c>
      <c r="H329" s="62" t="s">
        <v>11</v>
      </c>
      <c r="I329" s="62" t="s">
        <v>210</v>
      </c>
      <c r="J329" s="63" t="s">
        <v>243</v>
      </c>
      <c r="K329" s="62" t="s">
        <v>317</v>
      </c>
      <c r="L329" s="64">
        <v>146.51</v>
      </c>
      <c r="M329" s="64">
        <f t="shared" si="102"/>
        <v>146.51</v>
      </c>
      <c r="N329" s="65">
        <f>prodnorm26</f>
        <v>0</v>
      </c>
      <c r="O329" s="66">
        <f>dagwerk26</f>
        <v>0</v>
      </c>
      <c r="P329" s="62" t="s">
        <v>40</v>
      </c>
      <c r="Q329" s="67">
        <f>uurtarief26</f>
        <v>0</v>
      </c>
      <c r="R329" s="64" t="e">
        <f t="shared" si="103"/>
        <v>#DIV/0!</v>
      </c>
      <c r="S329" s="64" t="e">
        <f t="shared" si="104"/>
        <v>#DIV/0!</v>
      </c>
      <c r="T329" s="67" t="e">
        <f t="shared" si="105"/>
        <v>#DIV/0!</v>
      </c>
      <c r="U329" s="64" t="e">
        <f t="shared" si="106"/>
        <v>#DIV/0!</v>
      </c>
      <c r="V329" s="69" t="e">
        <f t="shared" si="107"/>
        <v>#DIV/0!</v>
      </c>
    </row>
    <row r="330" spans="1:22" ht="28.8" x14ac:dyDescent="0.3">
      <c r="A330" s="61" t="s">
        <v>316</v>
      </c>
      <c r="B330" s="62" t="s">
        <v>317</v>
      </c>
      <c r="C330" s="62" t="s">
        <v>629</v>
      </c>
      <c r="D330" s="62" t="s">
        <v>730</v>
      </c>
      <c r="E330" s="63" t="s">
        <v>662</v>
      </c>
      <c r="F330" s="62" t="s">
        <v>389</v>
      </c>
      <c r="G330" s="62" t="s">
        <v>258</v>
      </c>
      <c r="H330" s="62" t="s">
        <v>11</v>
      </c>
      <c r="I330" s="62" t="s">
        <v>210</v>
      </c>
      <c r="J330" s="63" t="s">
        <v>259</v>
      </c>
      <c r="K330" s="62" t="s">
        <v>317</v>
      </c>
      <c r="L330" s="64">
        <v>11.67</v>
      </c>
      <c r="M330" s="64">
        <f t="shared" si="102"/>
        <v>11.67</v>
      </c>
      <c r="N330" s="65">
        <f>prodnorm35</f>
        <v>0</v>
      </c>
      <c r="O330" s="66">
        <f>dagwerk35</f>
        <v>0</v>
      </c>
      <c r="P330" s="62" t="s">
        <v>40</v>
      </c>
      <c r="Q330" s="67">
        <f>uurtarief35</f>
        <v>0</v>
      </c>
      <c r="R330" s="64" t="e">
        <f t="shared" si="103"/>
        <v>#DIV/0!</v>
      </c>
      <c r="S330" s="64" t="e">
        <f t="shared" si="104"/>
        <v>#DIV/0!</v>
      </c>
      <c r="T330" s="67" t="e">
        <f t="shared" si="105"/>
        <v>#DIV/0!</v>
      </c>
      <c r="U330" s="64" t="e">
        <f t="shared" si="106"/>
        <v>#DIV/0!</v>
      </c>
      <c r="V330" s="69" t="e">
        <f t="shared" si="107"/>
        <v>#DIV/0!</v>
      </c>
    </row>
    <row r="331" spans="1:22" ht="28.8" x14ac:dyDescent="0.3">
      <c r="A331" s="61" t="s">
        <v>316</v>
      </c>
      <c r="B331" s="62" t="s">
        <v>317</v>
      </c>
      <c r="C331" s="62" t="s">
        <v>629</v>
      </c>
      <c r="D331" s="62" t="s">
        <v>731</v>
      </c>
      <c r="E331" s="63" t="s">
        <v>662</v>
      </c>
      <c r="F331" s="62" t="s">
        <v>389</v>
      </c>
      <c r="G331" s="62" t="s">
        <v>258</v>
      </c>
      <c r="H331" s="62" t="s">
        <v>11</v>
      </c>
      <c r="I331" s="62" t="s">
        <v>210</v>
      </c>
      <c r="J331" s="63" t="s">
        <v>259</v>
      </c>
      <c r="K331" s="62" t="s">
        <v>317</v>
      </c>
      <c r="L331" s="64">
        <v>11.97</v>
      </c>
      <c r="M331" s="64">
        <f t="shared" si="102"/>
        <v>11.97</v>
      </c>
      <c r="N331" s="65">
        <f>prodnorm35</f>
        <v>0</v>
      </c>
      <c r="O331" s="66">
        <f>dagwerk35</f>
        <v>0</v>
      </c>
      <c r="P331" s="62" t="s">
        <v>40</v>
      </c>
      <c r="Q331" s="67">
        <f>uurtarief35</f>
        <v>0</v>
      </c>
      <c r="R331" s="64" t="e">
        <f t="shared" si="103"/>
        <v>#DIV/0!</v>
      </c>
      <c r="S331" s="64" t="e">
        <f t="shared" si="104"/>
        <v>#DIV/0!</v>
      </c>
      <c r="T331" s="67" t="e">
        <f t="shared" si="105"/>
        <v>#DIV/0!</v>
      </c>
      <c r="U331" s="64" t="e">
        <f t="shared" si="106"/>
        <v>#DIV/0!</v>
      </c>
      <c r="V331" s="69" t="e">
        <f t="shared" si="107"/>
        <v>#DIV/0!</v>
      </c>
    </row>
    <row r="332" spans="1:22" ht="28.8" x14ac:dyDescent="0.3">
      <c r="A332" s="61" t="s">
        <v>316</v>
      </c>
      <c r="B332" s="62" t="s">
        <v>317</v>
      </c>
      <c r="C332" s="62" t="s">
        <v>629</v>
      </c>
      <c r="D332" s="62" t="s">
        <v>732</v>
      </c>
      <c r="E332" s="63" t="s">
        <v>662</v>
      </c>
      <c r="F332" s="62" t="s">
        <v>389</v>
      </c>
      <c r="G332" s="62" t="s">
        <v>258</v>
      </c>
      <c r="H332" s="62" t="s">
        <v>11</v>
      </c>
      <c r="I332" s="62" t="s">
        <v>210</v>
      </c>
      <c r="J332" s="63" t="s">
        <v>259</v>
      </c>
      <c r="K332" s="62" t="s">
        <v>317</v>
      </c>
      <c r="L332" s="64">
        <v>11.8</v>
      </c>
      <c r="M332" s="64">
        <f t="shared" si="102"/>
        <v>11.8</v>
      </c>
      <c r="N332" s="65">
        <f>prodnorm35</f>
        <v>0</v>
      </c>
      <c r="O332" s="66">
        <f>dagwerk35</f>
        <v>0</v>
      </c>
      <c r="P332" s="62" t="s">
        <v>40</v>
      </c>
      <c r="Q332" s="67">
        <f>uurtarief35</f>
        <v>0</v>
      </c>
      <c r="R332" s="64" t="e">
        <f t="shared" si="103"/>
        <v>#DIV/0!</v>
      </c>
      <c r="S332" s="64" t="e">
        <f t="shared" si="104"/>
        <v>#DIV/0!</v>
      </c>
      <c r="T332" s="67" t="e">
        <f t="shared" si="105"/>
        <v>#DIV/0!</v>
      </c>
      <c r="U332" s="64" t="e">
        <f t="shared" si="106"/>
        <v>#DIV/0!</v>
      </c>
      <c r="V332" s="69" t="e">
        <f t="shared" si="107"/>
        <v>#DIV/0!</v>
      </c>
    </row>
    <row r="333" spans="1:22" ht="28.8" x14ac:dyDescent="0.3">
      <c r="A333" s="61" t="s">
        <v>316</v>
      </c>
      <c r="B333" s="62" t="s">
        <v>317</v>
      </c>
      <c r="C333" s="62" t="s">
        <v>629</v>
      </c>
      <c r="D333" s="62" t="s">
        <v>733</v>
      </c>
      <c r="E333" s="63" t="s">
        <v>662</v>
      </c>
      <c r="F333" s="62" t="s">
        <v>389</v>
      </c>
      <c r="G333" s="62" t="s">
        <v>258</v>
      </c>
      <c r="H333" s="62" t="s">
        <v>11</v>
      </c>
      <c r="I333" s="62" t="s">
        <v>210</v>
      </c>
      <c r="J333" s="63" t="s">
        <v>259</v>
      </c>
      <c r="K333" s="62" t="s">
        <v>317</v>
      </c>
      <c r="L333" s="64">
        <v>11.81</v>
      </c>
      <c r="M333" s="64">
        <f t="shared" si="102"/>
        <v>11.81</v>
      </c>
      <c r="N333" s="65">
        <f>prodnorm35</f>
        <v>0</v>
      </c>
      <c r="O333" s="66">
        <f>dagwerk35</f>
        <v>0</v>
      </c>
      <c r="P333" s="62" t="s">
        <v>40</v>
      </c>
      <c r="Q333" s="67">
        <f>uurtarief35</f>
        <v>0</v>
      </c>
      <c r="R333" s="64" t="e">
        <f t="shared" si="103"/>
        <v>#DIV/0!</v>
      </c>
      <c r="S333" s="64" t="e">
        <f t="shared" si="104"/>
        <v>#DIV/0!</v>
      </c>
      <c r="T333" s="67" t="e">
        <f t="shared" si="105"/>
        <v>#DIV/0!</v>
      </c>
      <c r="U333" s="64" t="e">
        <f t="shared" si="106"/>
        <v>#DIV/0!</v>
      </c>
      <c r="V333" s="69" t="e">
        <f t="shared" si="107"/>
        <v>#DIV/0!</v>
      </c>
    </row>
    <row r="334" spans="1:22" x14ac:dyDescent="0.3">
      <c r="A334" s="61" t="s">
        <v>316</v>
      </c>
      <c r="B334" s="62" t="s">
        <v>317</v>
      </c>
      <c r="C334" s="62" t="s">
        <v>629</v>
      </c>
      <c r="D334" s="62" t="s">
        <v>734</v>
      </c>
      <c r="E334" s="63" t="s">
        <v>356</v>
      </c>
      <c r="F334" s="62" t="s">
        <v>348</v>
      </c>
      <c r="G334" s="62" t="s">
        <v>212</v>
      </c>
      <c r="H334" s="62" t="s">
        <v>17</v>
      </c>
      <c r="I334" s="62" t="s">
        <v>210</v>
      </c>
      <c r="J334" s="63" t="s">
        <v>213</v>
      </c>
      <c r="K334" s="62" t="s">
        <v>317</v>
      </c>
      <c r="L334" s="64">
        <v>55.290000000000006</v>
      </c>
      <c r="M334" s="64">
        <f t="shared" si="102"/>
        <v>11.058000000000002</v>
      </c>
      <c r="N334" s="65">
        <f>prodnorm11</f>
        <v>0</v>
      </c>
      <c r="O334" s="66">
        <f>dagwerk11</f>
        <v>0</v>
      </c>
      <c r="P334" s="62" t="s">
        <v>40</v>
      </c>
      <c r="Q334" s="67">
        <f>uurtarief11</f>
        <v>0</v>
      </c>
      <c r="R334" s="64" t="e">
        <f t="shared" si="103"/>
        <v>#DIV/0!</v>
      </c>
      <c r="S334" s="64" t="e">
        <f t="shared" si="104"/>
        <v>#DIV/0!</v>
      </c>
      <c r="T334" s="67" t="e">
        <f t="shared" si="105"/>
        <v>#DIV/0!</v>
      </c>
      <c r="U334" s="64" t="e">
        <f t="shared" si="106"/>
        <v>#DIV/0!</v>
      </c>
      <c r="V334" s="69" t="e">
        <f t="shared" si="107"/>
        <v>#DIV/0!</v>
      </c>
    </row>
    <row r="335" spans="1:22" x14ac:dyDescent="0.3">
      <c r="A335" s="61" t="s">
        <v>316</v>
      </c>
      <c r="B335" s="62" t="s">
        <v>317</v>
      </c>
      <c r="C335" s="62" t="s">
        <v>629</v>
      </c>
      <c r="D335" s="62" t="s">
        <v>735</v>
      </c>
      <c r="E335" s="63" t="s">
        <v>321</v>
      </c>
      <c r="F335" s="62" t="s">
        <v>389</v>
      </c>
      <c r="G335" s="62" t="s">
        <v>323</v>
      </c>
      <c r="H335" s="62"/>
      <c r="I335" s="62"/>
      <c r="J335" s="62"/>
      <c r="K335" s="62" t="s">
        <v>317</v>
      </c>
      <c r="L335" s="64">
        <v>13.53</v>
      </c>
      <c r="M335" s="64"/>
      <c r="N335" s="65"/>
      <c r="O335" s="66"/>
      <c r="P335" s="62"/>
      <c r="Q335" s="67"/>
      <c r="R335" s="64"/>
      <c r="S335" s="64"/>
      <c r="T335" s="67"/>
      <c r="U335" s="68"/>
      <c r="V335" s="69"/>
    </row>
    <row r="336" spans="1:22" x14ac:dyDescent="0.3">
      <c r="A336" s="61" t="s">
        <v>316</v>
      </c>
      <c r="B336" s="62" t="s">
        <v>317</v>
      </c>
      <c r="C336" s="62" t="s">
        <v>629</v>
      </c>
      <c r="D336" s="62" t="s">
        <v>736</v>
      </c>
      <c r="E336" s="63" t="s">
        <v>391</v>
      </c>
      <c r="F336" s="62" t="s">
        <v>348</v>
      </c>
      <c r="G336" s="62" t="s">
        <v>236</v>
      </c>
      <c r="H336" s="62" t="s">
        <v>14</v>
      </c>
      <c r="I336" s="62" t="s">
        <v>210</v>
      </c>
      <c r="J336" s="63" t="s">
        <v>237</v>
      </c>
      <c r="K336" s="62" t="s">
        <v>317</v>
      </c>
      <c r="L336" s="64">
        <v>49.02</v>
      </c>
      <c r="M336" s="64">
        <f t="shared" ref="M336:M341" si="108">L336*VLOOKUP(H336,dagsoorttabel1,2,FALSE)</f>
        <v>29.411999999999999</v>
      </c>
      <c r="N336" s="65">
        <f>prodnorm23</f>
        <v>0</v>
      </c>
      <c r="O336" s="66">
        <f>dagwerk23</f>
        <v>0</v>
      </c>
      <c r="P336" s="62" t="s">
        <v>40</v>
      </c>
      <c r="Q336" s="67">
        <f>uurtarief23</f>
        <v>0</v>
      </c>
      <c r="R336" s="64" t="e">
        <f t="shared" ref="R336:R341" si="109">IF(ISBLANK(N336),0,M336/ROUND(N336,4))</f>
        <v>#DIV/0!</v>
      </c>
      <c r="S336" s="64" t="e">
        <f t="shared" ref="S336:S341" si="110">IF(ISBLANK(N336),0,R336*ROUND(O336,2))</f>
        <v>#DIV/0!</v>
      </c>
      <c r="T336" s="67" t="e">
        <f t="shared" ref="T336:T341" si="111">ROUND(Q336,2)*R336</f>
        <v>#DIV/0!</v>
      </c>
      <c r="U336" s="64" t="e">
        <f t="shared" ref="U336:U341" si="112">R336*dagenperjaar1</f>
        <v>#DIV/0!</v>
      </c>
      <c r="V336" s="69" t="e">
        <f t="shared" ref="V336:V341" si="113">U336*ROUND(Q336,2)</f>
        <v>#DIV/0!</v>
      </c>
    </row>
    <row r="337" spans="1:22" x14ac:dyDescent="0.3">
      <c r="A337" s="61" t="s">
        <v>316</v>
      </c>
      <c r="B337" s="62" t="s">
        <v>317</v>
      </c>
      <c r="C337" s="62" t="s">
        <v>629</v>
      </c>
      <c r="D337" s="62" t="s">
        <v>737</v>
      </c>
      <c r="E337" s="63" t="s">
        <v>352</v>
      </c>
      <c r="F337" s="62" t="s">
        <v>353</v>
      </c>
      <c r="G337" s="62" t="s">
        <v>266</v>
      </c>
      <c r="H337" s="62" t="s">
        <v>11</v>
      </c>
      <c r="I337" s="62" t="s">
        <v>210</v>
      </c>
      <c r="J337" s="63" t="s">
        <v>267</v>
      </c>
      <c r="K337" s="62" t="s">
        <v>317</v>
      </c>
      <c r="L337" s="64">
        <v>19.43</v>
      </c>
      <c r="M337" s="64">
        <f t="shared" si="108"/>
        <v>19.43</v>
      </c>
      <c r="N337" s="65">
        <f>prodnorm39</f>
        <v>0</v>
      </c>
      <c r="O337" s="66">
        <f>dagwerk39</f>
        <v>0</v>
      </c>
      <c r="P337" s="62" t="s">
        <v>40</v>
      </c>
      <c r="Q337" s="67">
        <f>uurtarief39</f>
        <v>0</v>
      </c>
      <c r="R337" s="64" t="e">
        <f t="shared" si="109"/>
        <v>#DIV/0!</v>
      </c>
      <c r="S337" s="64" t="e">
        <f t="shared" si="110"/>
        <v>#DIV/0!</v>
      </c>
      <c r="T337" s="67" t="e">
        <f t="shared" si="111"/>
        <v>#DIV/0!</v>
      </c>
      <c r="U337" s="64" t="e">
        <f t="shared" si="112"/>
        <v>#DIV/0!</v>
      </c>
      <c r="V337" s="69" t="e">
        <f t="shared" si="113"/>
        <v>#DIV/0!</v>
      </c>
    </row>
    <row r="338" spans="1:22" x14ac:dyDescent="0.3">
      <c r="A338" s="61" t="s">
        <v>316</v>
      </c>
      <c r="B338" s="62" t="s">
        <v>317</v>
      </c>
      <c r="C338" s="62" t="s">
        <v>629</v>
      </c>
      <c r="D338" s="62" t="s">
        <v>737</v>
      </c>
      <c r="E338" s="63" t="s">
        <v>352</v>
      </c>
      <c r="F338" s="62" t="s">
        <v>353</v>
      </c>
      <c r="G338" s="62" t="s">
        <v>268</v>
      </c>
      <c r="H338" s="62" t="s">
        <v>11</v>
      </c>
      <c r="I338" s="62" t="s">
        <v>210</v>
      </c>
      <c r="J338" s="63" t="s">
        <v>269</v>
      </c>
      <c r="K338" s="62" t="s">
        <v>317</v>
      </c>
      <c r="L338" s="64">
        <v>19.43</v>
      </c>
      <c r="M338" s="64">
        <f t="shared" si="108"/>
        <v>19.43</v>
      </c>
      <c r="N338" s="65">
        <f>prodnorm40</f>
        <v>0</v>
      </c>
      <c r="O338" s="66">
        <f>dagwerk40</f>
        <v>0</v>
      </c>
      <c r="P338" s="62" t="s">
        <v>40</v>
      </c>
      <c r="Q338" s="67">
        <f>uurtarief40</f>
        <v>0</v>
      </c>
      <c r="R338" s="64" t="e">
        <f t="shared" si="109"/>
        <v>#DIV/0!</v>
      </c>
      <c r="S338" s="64" t="e">
        <f t="shared" si="110"/>
        <v>#DIV/0!</v>
      </c>
      <c r="T338" s="67" t="e">
        <f t="shared" si="111"/>
        <v>#DIV/0!</v>
      </c>
      <c r="U338" s="64" t="e">
        <f t="shared" si="112"/>
        <v>#DIV/0!</v>
      </c>
      <c r="V338" s="69" t="e">
        <f t="shared" si="113"/>
        <v>#DIV/0!</v>
      </c>
    </row>
    <row r="339" spans="1:22" x14ac:dyDescent="0.3">
      <c r="A339" s="61" t="s">
        <v>316</v>
      </c>
      <c r="B339" s="62" t="s">
        <v>317</v>
      </c>
      <c r="C339" s="62" t="s">
        <v>629</v>
      </c>
      <c r="D339" s="62" t="s">
        <v>738</v>
      </c>
      <c r="E339" s="63" t="s">
        <v>352</v>
      </c>
      <c r="F339" s="62" t="s">
        <v>353</v>
      </c>
      <c r="G339" s="62" t="s">
        <v>266</v>
      </c>
      <c r="H339" s="62" t="s">
        <v>11</v>
      </c>
      <c r="I339" s="62" t="s">
        <v>210</v>
      </c>
      <c r="J339" s="63" t="s">
        <v>267</v>
      </c>
      <c r="K339" s="62" t="s">
        <v>317</v>
      </c>
      <c r="L339" s="64">
        <v>5.87</v>
      </c>
      <c r="M339" s="64">
        <f t="shared" si="108"/>
        <v>5.87</v>
      </c>
      <c r="N339" s="65">
        <f>prodnorm39</f>
        <v>0</v>
      </c>
      <c r="O339" s="66">
        <f>dagwerk39</f>
        <v>0</v>
      </c>
      <c r="P339" s="62" t="s">
        <v>40</v>
      </c>
      <c r="Q339" s="67">
        <f>uurtarief39</f>
        <v>0</v>
      </c>
      <c r="R339" s="64" t="e">
        <f t="shared" si="109"/>
        <v>#DIV/0!</v>
      </c>
      <c r="S339" s="64" t="e">
        <f t="shared" si="110"/>
        <v>#DIV/0!</v>
      </c>
      <c r="T339" s="67" t="e">
        <f t="shared" si="111"/>
        <v>#DIV/0!</v>
      </c>
      <c r="U339" s="64" t="e">
        <f t="shared" si="112"/>
        <v>#DIV/0!</v>
      </c>
      <c r="V339" s="69" t="e">
        <f t="shared" si="113"/>
        <v>#DIV/0!</v>
      </c>
    </row>
    <row r="340" spans="1:22" ht="28.8" x14ac:dyDescent="0.3">
      <c r="A340" s="61" t="s">
        <v>316</v>
      </c>
      <c r="B340" s="62" t="s">
        <v>317</v>
      </c>
      <c r="C340" s="62" t="s">
        <v>629</v>
      </c>
      <c r="D340" s="62" t="s">
        <v>739</v>
      </c>
      <c r="E340" s="63" t="s">
        <v>662</v>
      </c>
      <c r="F340" s="62" t="s">
        <v>389</v>
      </c>
      <c r="G340" s="62" t="s">
        <v>258</v>
      </c>
      <c r="H340" s="62" t="s">
        <v>11</v>
      </c>
      <c r="I340" s="62" t="s">
        <v>210</v>
      </c>
      <c r="J340" s="63" t="s">
        <v>259</v>
      </c>
      <c r="K340" s="62" t="s">
        <v>317</v>
      </c>
      <c r="L340" s="64">
        <v>63.9</v>
      </c>
      <c r="M340" s="64">
        <f t="shared" si="108"/>
        <v>63.9</v>
      </c>
      <c r="N340" s="65">
        <f>prodnorm35</f>
        <v>0</v>
      </c>
      <c r="O340" s="66">
        <f>dagwerk35</f>
        <v>0</v>
      </c>
      <c r="P340" s="62" t="s">
        <v>40</v>
      </c>
      <c r="Q340" s="67">
        <f>uurtarief35</f>
        <v>0</v>
      </c>
      <c r="R340" s="64" t="e">
        <f t="shared" si="109"/>
        <v>#DIV/0!</v>
      </c>
      <c r="S340" s="64" t="e">
        <f t="shared" si="110"/>
        <v>#DIV/0!</v>
      </c>
      <c r="T340" s="67" t="e">
        <f t="shared" si="111"/>
        <v>#DIV/0!</v>
      </c>
      <c r="U340" s="64" t="e">
        <f t="shared" si="112"/>
        <v>#DIV/0!</v>
      </c>
      <c r="V340" s="69" t="e">
        <f t="shared" si="113"/>
        <v>#DIV/0!</v>
      </c>
    </row>
    <row r="341" spans="1:22" x14ac:dyDescent="0.3">
      <c r="A341" s="61" t="s">
        <v>316</v>
      </c>
      <c r="B341" s="62" t="s">
        <v>317</v>
      </c>
      <c r="C341" s="62" t="s">
        <v>629</v>
      </c>
      <c r="D341" s="62" t="s">
        <v>740</v>
      </c>
      <c r="E341" s="63" t="s">
        <v>693</v>
      </c>
      <c r="F341" s="62" t="s">
        <v>389</v>
      </c>
      <c r="G341" s="62" t="s">
        <v>228</v>
      </c>
      <c r="H341" s="62" t="s">
        <v>11</v>
      </c>
      <c r="I341" s="62" t="s">
        <v>210</v>
      </c>
      <c r="J341" s="63" t="s">
        <v>229</v>
      </c>
      <c r="K341" s="62" t="s">
        <v>317</v>
      </c>
      <c r="L341" s="64">
        <v>5.49</v>
      </c>
      <c r="M341" s="64">
        <f t="shared" si="108"/>
        <v>5.49</v>
      </c>
      <c r="N341" s="65">
        <f>prodnorm19</f>
        <v>0</v>
      </c>
      <c r="O341" s="66">
        <f>dagwerk19</f>
        <v>0</v>
      </c>
      <c r="P341" s="62" t="s">
        <v>40</v>
      </c>
      <c r="Q341" s="67">
        <f>uurtarief19</f>
        <v>0</v>
      </c>
      <c r="R341" s="64" t="e">
        <f t="shared" si="109"/>
        <v>#DIV/0!</v>
      </c>
      <c r="S341" s="64" t="e">
        <f t="shared" si="110"/>
        <v>#DIV/0!</v>
      </c>
      <c r="T341" s="67" t="e">
        <f t="shared" si="111"/>
        <v>#DIV/0!</v>
      </c>
      <c r="U341" s="64" t="e">
        <f t="shared" si="112"/>
        <v>#DIV/0!</v>
      </c>
      <c r="V341" s="69" t="e">
        <f t="shared" si="113"/>
        <v>#DIV/0!</v>
      </c>
    </row>
    <row r="342" spans="1:22" x14ac:dyDescent="0.3">
      <c r="A342" s="61" t="s">
        <v>316</v>
      </c>
      <c r="B342" s="62" t="s">
        <v>317</v>
      </c>
      <c r="C342" s="62" t="s">
        <v>629</v>
      </c>
      <c r="D342" s="62" t="s">
        <v>741</v>
      </c>
      <c r="E342" s="63" t="s">
        <v>369</v>
      </c>
      <c r="F342" s="62" t="s">
        <v>335</v>
      </c>
      <c r="G342" s="62" t="s">
        <v>323</v>
      </c>
      <c r="H342" s="62"/>
      <c r="I342" s="62"/>
      <c r="J342" s="62"/>
      <c r="K342" s="62" t="s">
        <v>317</v>
      </c>
      <c r="L342" s="64">
        <v>5.0599999999999996</v>
      </c>
      <c r="M342" s="64"/>
      <c r="N342" s="65"/>
      <c r="O342" s="66"/>
      <c r="P342" s="62"/>
      <c r="Q342" s="67"/>
      <c r="R342" s="64"/>
      <c r="S342" s="64"/>
      <c r="T342" s="67"/>
      <c r="U342" s="68"/>
      <c r="V342" s="69"/>
    </row>
    <row r="343" spans="1:22" x14ac:dyDescent="0.3">
      <c r="A343" s="61" t="s">
        <v>316</v>
      </c>
      <c r="B343" s="62" t="s">
        <v>317</v>
      </c>
      <c r="C343" s="62" t="s">
        <v>629</v>
      </c>
      <c r="D343" s="62" t="s">
        <v>742</v>
      </c>
      <c r="E343" s="63" t="s">
        <v>391</v>
      </c>
      <c r="F343" s="62" t="s">
        <v>348</v>
      </c>
      <c r="G343" s="62" t="s">
        <v>236</v>
      </c>
      <c r="H343" s="62" t="s">
        <v>14</v>
      </c>
      <c r="I343" s="62" t="s">
        <v>210</v>
      </c>
      <c r="J343" s="63" t="s">
        <v>237</v>
      </c>
      <c r="K343" s="62" t="s">
        <v>317</v>
      </c>
      <c r="L343" s="64">
        <v>37.54</v>
      </c>
      <c r="M343" s="64">
        <f>L343*VLOOKUP(H343,dagsoorttabel1,2,FALSE)</f>
        <v>22.523999999999997</v>
      </c>
      <c r="N343" s="65">
        <f>prodnorm23</f>
        <v>0</v>
      </c>
      <c r="O343" s="66">
        <f>dagwerk23</f>
        <v>0</v>
      </c>
      <c r="P343" s="62" t="s">
        <v>40</v>
      </c>
      <c r="Q343" s="67">
        <f>uurtarief23</f>
        <v>0</v>
      </c>
      <c r="R343" s="64" t="e">
        <f>IF(ISBLANK(N343),0,M343/ROUND(N343,4))</f>
        <v>#DIV/0!</v>
      </c>
      <c r="S343" s="64" t="e">
        <f>IF(ISBLANK(N343),0,R343*ROUND(O343,2))</f>
        <v>#DIV/0!</v>
      </c>
      <c r="T343" s="67" t="e">
        <f>ROUND(Q343,2)*R343</f>
        <v>#DIV/0!</v>
      </c>
      <c r="U343" s="64" t="e">
        <f>R343*dagenperjaar1</f>
        <v>#DIV/0!</v>
      </c>
      <c r="V343" s="69" t="e">
        <f>U343*ROUND(Q343,2)</f>
        <v>#DIV/0!</v>
      </c>
    </row>
    <row r="344" spans="1:22" x14ac:dyDescent="0.3">
      <c r="A344" s="61" t="s">
        <v>316</v>
      </c>
      <c r="B344" s="62" t="s">
        <v>317</v>
      </c>
      <c r="C344" s="62" t="s">
        <v>629</v>
      </c>
      <c r="D344" s="62" t="s">
        <v>743</v>
      </c>
      <c r="E344" s="63" t="s">
        <v>374</v>
      </c>
      <c r="F344" s="62" t="s">
        <v>389</v>
      </c>
      <c r="G344" s="62" t="s">
        <v>323</v>
      </c>
      <c r="H344" s="62"/>
      <c r="I344" s="62"/>
      <c r="J344" s="62"/>
      <c r="K344" s="62" t="s">
        <v>317</v>
      </c>
      <c r="L344" s="64">
        <v>1.47</v>
      </c>
      <c r="M344" s="64"/>
      <c r="N344" s="65"/>
      <c r="O344" s="66"/>
      <c r="P344" s="62"/>
      <c r="Q344" s="67"/>
      <c r="R344" s="64"/>
      <c r="S344" s="64"/>
      <c r="T344" s="67"/>
      <c r="U344" s="68"/>
      <c r="V344" s="69"/>
    </row>
    <row r="345" spans="1:22" x14ac:dyDescent="0.3">
      <c r="A345" s="61" t="s">
        <v>316</v>
      </c>
      <c r="B345" s="62" t="s">
        <v>317</v>
      </c>
      <c r="C345" s="62" t="s">
        <v>629</v>
      </c>
      <c r="D345" s="62" t="s">
        <v>744</v>
      </c>
      <c r="E345" s="63" t="s">
        <v>330</v>
      </c>
      <c r="F345" s="62" t="s">
        <v>389</v>
      </c>
      <c r="G345" s="62" t="s">
        <v>286</v>
      </c>
      <c r="H345" s="62" t="s">
        <v>11</v>
      </c>
      <c r="I345" s="62" t="s">
        <v>210</v>
      </c>
      <c r="J345" s="63" t="s">
        <v>287</v>
      </c>
      <c r="K345" s="62" t="s">
        <v>317</v>
      </c>
      <c r="L345" s="64">
        <v>40.44</v>
      </c>
      <c r="M345" s="64">
        <f>L345*VLOOKUP(H345,dagsoorttabel1,2,FALSE)</f>
        <v>40.44</v>
      </c>
      <c r="N345" s="65">
        <f>prodnorm49</f>
        <v>0</v>
      </c>
      <c r="O345" s="66">
        <f>dagwerk49</f>
        <v>0</v>
      </c>
      <c r="P345" s="62" t="s">
        <v>40</v>
      </c>
      <c r="Q345" s="67">
        <f>uurtarief49</f>
        <v>0</v>
      </c>
      <c r="R345" s="64" t="e">
        <f>IF(ISBLANK(N345),0,M345/ROUND(N345,4))</f>
        <v>#DIV/0!</v>
      </c>
      <c r="S345" s="64" t="e">
        <f>IF(ISBLANK(N345),0,R345*ROUND(O345,2))</f>
        <v>#DIV/0!</v>
      </c>
      <c r="T345" s="67" t="e">
        <f>ROUND(Q345,2)*R345</f>
        <v>#DIV/0!</v>
      </c>
      <c r="U345" s="64" t="e">
        <f>R345*dagenperjaar1</f>
        <v>#DIV/0!</v>
      </c>
      <c r="V345" s="69" t="e">
        <f>U345*ROUND(Q345,2)</f>
        <v>#DIV/0!</v>
      </c>
    </row>
    <row r="346" spans="1:22" x14ac:dyDescent="0.3">
      <c r="A346" s="61" t="s">
        <v>316</v>
      </c>
      <c r="B346" s="62" t="s">
        <v>317</v>
      </c>
      <c r="C346" s="62" t="s">
        <v>629</v>
      </c>
      <c r="D346" s="62" t="s">
        <v>745</v>
      </c>
      <c r="E346" s="63" t="s">
        <v>374</v>
      </c>
      <c r="F346" s="62" t="s">
        <v>322</v>
      </c>
      <c r="G346" s="62" t="s">
        <v>323</v>
      </c>
      <c r="H346" s="62"/>
      <c r="I346" s="62"/>
      <c r="J346" s="62"/>
      <c r="K346" s="62" t="s">
        <v>317</v>
      </c>
      <c r="L346" s="64">
        <v>0.77</v>
      </c>
      <c r="M346" s="64"/>
      <c r="N346" s="65"/>
      <c r="O346" s="66"/>
      <c r="P346" s="62"/>
      <c r="Q346" s="67"/>
      <c r="R346" s="64"/>
      <c r="S346" s="64"/>
      <c r="T346" s="67"/>
      <c r="U346" s="68"/>
      <c r="V346" s="69"/>
    </row>
    <row r="347" spans="1:22" x14ac:dyDescent="0.3">
      <c r="A347" s="61" t="s">
        <v>316</v>
      </c>
      <c r="B347" s="62" t="s">
        <v>317</v>
      </c>
      <c r="C347" s="62" t="s">
        <v>629</v>
      </c>
      <c r="D347" s="62" t="s">
        <v>746</v>
      </c>
      <c r="E347" s="63" t="s">
        <v>394</v>
      </c>
      <c r="F347" s="62" t="s">
        <v>389</v>
      </c>
      <c r="G347" s="62" t="s">
        <v>272</v>
      </c>
      <c r="H347" s="62" t="s">
        <v>11</v>
      </c>
      <c r="I347" s="62" t="s">
        <v>210</v>
      </c>
      <c r="J347" s="63" t="s">
        <v>273</v>
      </c>
      <c r="K347" s="62" t="s">
        <v>317</v>
      </c>
      <c r="L347" s="64">
        <v>180.53</v>
      </c>
      <c r="M347" s="64">
        <f>L347*VLOOKUP(H347,dagsoorttabel1,2,FALSE)</f>
        <v>180.53</v>
      </c>
      <c r="N347" s="65">
        <f>prodnorm42</f>
        <v>0</v>
      </c>
      <c r="O347" s="66">
        <f>dagwerk42</f>
        <v>0</v>
      </c>
      <c r="P347" s="62" t="s">
        <v>40</v>
      </c>
      <c r="Q347" s="67">
        <f>uurtarief42</f>
        <v>0</v>
      </c>
      <c r="R347" s="64" t="e">
        <f>IF(ISBLANK(N347),0,M347/ROUND(N347,4))</f>
        <v>#DIV/0!</v>
      </c>
      <c r="S347" s="64" t="e">
        <f>IF(ISBLANK(N347),0,R347*ROUND(O347,2))</f>
        <v>#DIV/0!</v>
      </c>
      <c r="T347" s="67" t="e">
        <f>ROUND(Q347,2)*R347</f>
        <v>#DIV/0!</v>
      </c>
      <c r="U347" s="64" t="e">
        <f>R347*dagenperjaar1</f>
        <v>#DIV/0!</v>
      </c>
      <c r="V347" s="69" t="e">
        <f>U347*ROUND(Q347,2)</f>
        <v>#DIV/0!</v>
      </c>
    </row>
    <row r="348" spans="1:22" x14ac:dyDescent="0.3">
      <c r="A348" s="61" t="s">
        <v>316</v>
      </c>
      <c r="B348" s="62" t="s">
        <v>317</v>
      </c>
      <c r="C348" s="62" t="s">
        <v>629</v>
      </c>
      <c r="D348" s="62" t="s">
        <v>747</v>
      </c>
      <c r="E348" s="63" t="s">
        <v>394</v>
      </c>
      <c r="F348" s="62" t="s">
        <v>389</v>
      </c>
      <c r="G348" s="62" t="s">
        <v>272</v>
      </c>
      <c r="H348" s="62" t="s">
        <v>11</v>
      </c>
      <c r="I348" s="62" t="s">
        <v>210</v>
      </c>
      <c r="J348" s="63" t="s">
        <v>273</v>
      </c>
      <c r="K348" s="62" t="s">
        <v>317</v>
      </c>
      <c r="L348" s="64">
        <v>19.350000000000001</v>
      </c>
      <c r="M348" s="64">
        <f>L348*VLOOKUP(H348,dagsoorttabel1,2,FALSE)</f>
        <v>19.350000000000001</v>
      </c>
      <c r="N348" s="65">
        <f>prodnorm42</f>
        <v>0</v>
      </c>
      <c r="O348" s="66">
        <f>dagwerk42</f>
        <v>0</v>
      </c>
      <c r="P348" s="62" t="s">
        <v>40</v>
      </c>
      <c r="Q348" s="67">
        <f>uurtarief42</f>
        <v>0</v>
      </c>
      <c r="R348" s="64" t="e">
        <f>IF(ISBLANK(N348),0,M348/ROUND(N348,4))</f>
        <v>#DIV/0!</v>
      </c>
      <c r="S348" s="64" t="e">
        <f>IF(ISBLANK(N348),0,R348*ROUND(O348,2))</f>
        <v>#DIV/0!</v>
      </c>
      <c r="T348" s="67" t="e">
        <f>ROUND(Q348,2)*R348</f>
        <v>#DIV/0!</v>
      </c>
      <c r="U348" s="64" t="e">
        <f>R348*dagenperjaar1</f>
        <v>#DIV/0!</v>
      </c>
      <c r="V348" s="69" t="e">
        <f>U348*ROUND(Q348,2)</f>
        <v>#DIV/0!</v>
      </c>
    </row>
    <row r="349" spans="1:22" x14ac:dyDescent="0.3">
      <c r="A349" s="61" t="s">
        <v>316</v>
      </c>
      <c r="B349" s="62" t="s">
        <v>317</v>
      </c>
      <c r="C349" s="62" t="s">
        <v>629</v>
      </c>
      <c r="D349" s="62" t="s">
        <v>748</v>
      </c>
      <c r="E349" s="63" t="s">
        <v>400</v>
      </c>
      <c r="F349" s="62" t="s">
        <v>348</v>
      </c>
      <c r="G349" s="62" t="s">
        <v>216</v>
      </c>
      <c r="H349" s="62" t="s">
        <v>14</v>
      </c>
      <c r="I349" s="62" t="s">
        <v>210</v>
      </c>
      <c r="J349" s="63" t="s">
        <v>217</v>
      </c>
      <c r="K349" s="62" t="s">
        <v>317</v>
      </c>
      <c r="L349" s="64">
        <v>10.629999999999999</v>
      </c>
      <c r="M349" s="64">
        <f>L349*VLOOKUP(H349,dagsoorttabel1,2,FALSE)</f>
        <v>6.3779999999999992</v>
      </c>
      <c r="N349" s="65">
        <f>prodnorm13</f>
        <v>0</v>
      </c>
      <c r="O349" s="66">
        <f>dagwerk13</f>
        <v>0</v>
      </c>
      <c r="P349" s="62" t="s">
        <v>40</v>
      </c>
      <c r="Q349" s="67">
        <f>uurtarief13</f>
        <v>0</v>
      </c>
      <c r="R349" s="64" t="e">
        <f>IF(ISBLANK(N349),0,M349/ROUND(N349,4))</f>
        <v>#DIV/0!</v>
      </c>
      <c r="S349" s="64" t="e">
        <f>IF(ISBLANK(N349),0,R349*ROUND(O349,2))</f>
        <v>#DIV/0!</v>
      </c>
      <c r="T349" s="67" t="e">
        <f>ROUND(Q349,2)*R349</f>
        <v>#DIV/0!</v>
      </c>
      <c r="U349" s="64" t="e">
        <f>R349*dagenperjaar1</f>
        <v>#DIV/0!</v>
      </c>
      <c r="V349" s="69" t="e">
        <f>U349*ROUND(Q349,2)</f>
        <v>#DIV/0!</v>
      </c>
    </row>
    <row r="350" spans="1:22" x14ac:dyDescent="0.3">
      <c r="A350" s="61" t="s">
        <v>316</v>
      </c>
      <c r="B350" s="62" t="s">
        <v>317</v>
      </c>
      <c r="C350" s="62" t="s">
        <v>629</v>
      </c>
      <c r="D350" s="62" t="s">
        <v>749</v>
      </c>
      <c r="E350" s="63" t="s">
        <v>400</v>
      </c>
      <c r="F350" s="62" t="s">
        <v>348</v>
      </c>
      <c r="G350" s="62" t="s">
        <v>216</v>
      </c>
      <c r="H350" s="62" t="s">
        <v>14</v>
      </c>
      <c r="I350" s="62" t="s">
        <v>210</v>
      </c>
      <c r="J350" s="63" t="s">
        <v>217</v>
      </c>
      <c r="K350" s="62" t="s">
        <v>317</v>
      </c>
      <c r="L350" s="64">
        <v>11.350000000000001</v>
      </c>
      <c r="M350" s="64">
        <f>L350*VLOOKUP(H350,dagsoorttabel1,2,FALSE)</f>
        <v>6.8100000000000005</v>
      </c>
      <c r="N350" s="65">
        <f>prodnorm13</f>
        <v>0</v>
      </c>
      <c r="O350" s="66">
        <f>dagwerk13</f>
        <v>0</v>
      </c>
      <c r="P350" s="62" t="s">
        <v>40</v>
      </c>
      <c r="Q350" s="67">
        <f>uurtarief13</f>
        <v>0</v>
      </c>
      <c r="R350" s="64" t="e">
        <f>IF(ISBLANK(N350),0,M350/ROUND(N350,4))</f>
        <v>#DIV/0!</v>
      </c>
      <c r="S350" s="64" t="e">
        <f>IF(ISBLANK(N350),0,R350*ROUND(O350,2))</f>
        <v>#DIV/0!</v>
      </c>
      <c r="T350" s="67" t="e">
        <f>ROUND(Q350,2)*R350</f>
        <v>#DIV/0!</v>
      </c>
      <c r="U350" s="64" t="e">
        <f>R350*dagenperjaar1</f>
        <v>#DIV/0!</v>
      </c>
      <c r="V350" s="69" t="e">
        <f>U350*ROUND(Q350,2)</f>
        <v>#DIV/0!</v>
      </c>
    </row>
    <row r="351" spans="1:22" x14ac:dyDescent="0.3">
      <c r="A351" s="61" t="s">
        <v>316</v>
      </c>
      <c r="B351" s="62" t="s">
        <v>317</v>
      </c>
      <c r="C351" s="62" t="s">
        <v>629</v>
      </c>
      <c r="D351" s="62" t="s">
        <v>750</v>
      </c>
      <c r="E351" s="63" t="s">
        <v>321</v>
      </c>
      <c r="F351" s="62" t="s">
        <v>348</v>
      </c>
      <c r="G351" s="62" t="s">
        <v>323</v>
      </c>
      <c r="H351" s="62"/>
      <c r="I351" s="62"/>
      <c r="J351" s="62"/>
      <c r="K351" s="62" t="s">
        <v>317</v>
      </c>
      <c r="L351" s="64">
        <v>7.58</v>
      </c>
      <c r="M351" s="64"/>
      <c r="N351" s="65"/>
      <c r="O351" s="66"/>
      <c r="P351" s="62"/>
      <c r="Q351" s="67"/>
      <c r="R351" s="64"/>
      <c r="S351" s="64"/>
      <c r="T351" s="67"/>
      <c r="U351" s="68"/>
      <c r="V351" s="69"/>
    </row>
    <row r="352" spans="1:22" x14ac:dyDescent="0.3">
      <c r="A352" s="61" t="s">
        <v>316</v>
      </c>
      <c r="B352" s="62" t="s">
        <v>317</v>
      </c>
      <c r="C352" s="62" t="s">
        <v>629</v>
      </c>
      <c r="D352" s="62" t="s">
        <v>751</v>
      </c>
      <c r="E352" s="63" t="s">
        <v>356</v>
      </c>
      <c r="F352" s="62" t="s">
        <v>348</v>
      </c>
      <c r="G352" s="62" t="s">
        <v>212</v>
      </c>
      <c r="H352" s="62" t="s">
        <v>17</v>
      </c>
      <c r="I352" s="62" t="s">
        <v>210</v>
      </c>
      <c r="J352" s="63" t="s">
        <v>213</v>
      </c>
      <c r="K352" s="62" t="s">
        <v>317</v>
      </c>
      <c r="L352" s="64">
        <v>14.93</v>
      </c>
      <c r="M352" s="64">
        <f t="shared" ref="M352:M358" si="114">L352*VLOOKUP(H352,dagsoorttabel1,2,FALSE)</f>
        <v>2.9860000000000002</v>
      </c>
      <c r="N352" s="65">
        <f>prodnorm11</f>
        <v>0</v>
      </c>
      <c r="O352" s="66">
        <f>dagwerk11</f>
        <v>0</v>
      </c>
      <c r="P352" s="62" t="s">
        <v>40</v>
      </c>
      <c r="Q352" s="67">
        <f>uurtarief11</f>
        <v>0</v>
      </c>
      <c r="R352" s="64" t="e">
        <f t="shared" ref="R352:R358" si="115">IF(ISBLANK(N352),0,M352/ROUND(N352,4))</f>
        <v>#DIV/0!</v>
      </c>
      <c r="S352" s="64" t="e">
        <f t="shared" ref="S352:S358" si="116">IF(ISBLANK(N352),0,R352*ROUND(O352,2))</f>
        <v>#DIV/0!</v>
      </c>
      <c r="T352" s="67" t="e">
        <f t="shared" ref="T352:T358" si="117">ROUND(Q352,2)*R352</f>
        <v>#DIV/0!</v>
      </c>
      <c r="U352" s="64" t="e">
        <f t="shared" ref="U352:U358" si="118">R352*dagenperjaar1</f>
        <v>#DIV/0!</v>
      </c>
      <c r="V352" s="69" t="e">
        <f t="shared" ref="V352:V358" si="119">U352*ROUND(Q352,2)</f>
        <v>#DIV/0!</v>
      </c>
    </row>
    <row r="353" spans="1:22" x14ac:dyDescent="0.3">
      <c r="A353" s="61" t="s">
        <v>316</v>
      </c>
      <c r="B353" s="62" t="s">
        <v>317</v>
      </c>
      <c r="C353" s="62" t="s">
        <v>629</v>
      </c>
      <c r="D353" s="62" t="s">
        <v>752</v>
      </c>
      <c r="E353" s="63" t="s">
        <v>356</v>
      </c>
      <c r="F353" s="62" t="s">
        <v>348</v>
      </c>
      <c r="G353" s="62" t="s">
        <v>212</v>
      </c>
      <c r="H353" s="62" t="s">
        <v>17</v>
      </c>
      <c r="I353" s="62" t="s">
        <v>210</v>
      </c>
      <c r="J353" s="63" t="s">
        <v>213</v>
      </c>
      <c r="K353" s="62" t="s">
        <v>317</v>
      </c>
      <c r="L353" s="64">
        <v>24.12</v>
      </c>
      <c r="M353" s="64">
        <f t="shared" si="114"/>
        <v>4.8240000000000007</v>
      </c>
      <c r="N353" s="65">
        <f>prodnorm11</f>
        <v>0</v>
      </c>
      <c r="O353" s="66">
        <f>dagwerk11</f>
        <v>0</v>
      </c>
      <c r="P353" s="62" t="s">
        <v>40</v>
      </c>
      <c r="Q353" s="67">
        <f>uurtarief11</f>
        <v>0</v>
      </c>
      <c r="R353" s="64" t="e">
        <f t="shared" si="115"/>
        <v>#DIV/0!</v>
      </c>
      <c r="S353" s="64" t="e">
        <f t="shared" si="116"/>
        <v>#DIV/0!</v>
      </c>
      <c r="T353" s="67" t="e">
        <f t="shared" si="117"/>
        <v>#DIV/0!</v>
      </c>
      <c r="U353" s="64" t="e">
        <f t="shared" si="118"/>
        <v>#DIV/0!</v>
      </c>
      <c r="V353" s="69" t="e">
        <f t="shared" si="119"/>
        <v>#DIV/0!</v>
      </c>
    </row>
    <row r="354" spans="1:22" x14ac:dyDescent="0.3">
      <c r="A354" s="61" t="s">
        <v>316</v>
      </c>
      <c r="B354" s="62" t="s">
        <v>317</v>
      </c>
      <c r="C354" s="62" t="s">
        <v>629</v>
      </c>
      <c r="D354" s="62" t="s">
        <v>753</v>
      </c>
      <c r="E354" s="63" t="s">
        <v>356</v>
      </c>
      <c r="F354" s="62" t="s">
        <v>348</v>
      </c>
      <c r="G354" s="62" t="s">
        <v>212</v>
      </c>
      <c r="H354" s="62" t="s">
        <v>17</v>
      </c>
      <c r="I354" s="62" t="s">
        <v>210</v>
      </c>
      <c r="J354" s="63" t="s">
        <v>213</v>
      </c>
      <c r="K354" s="62" t="s">
        <v>317</v>
      </c>
      <c r="L354" s="64">
        <v>83.11999999999999</v>
      </c>
      <c r="M354" s="64">
        <f t="shared" si="114"/>
        <v>16.623999999999999</v>
      </c>
      <c r="N354" s="65">
        <f>prodnorm11</f>
        <v>0</v>
      </c>
      <c r="O354" s="66">
        <f>dagwerk11</f>
        <v>0</v>
      </c>
      <c r="P354" s="62" t="s">
        <v>40</v>
      </c>
      <c r="Q354" s="67">
        <f>uurtarief11</f>
        <v>0</v>
      </c>
      <c r="R354" s="64" t="e">
        <f t="shared" si="115"/>
        <v>#DIV/0!</v>
      </c>
      <c r="S354" s="64" t="e">
        <f t="shared" si="116"/>
        <v>#DIV/0!</v>
      </c>
      <c r="T354" s="67" t="e">
        <f t="shared" si="117"/>
        <v>#DIV/0!</v>
      </c>
      <c r="U354" s="64" t="e">
        <f t="shared" si="118"/>
        <v>#DIV/0!</v>
      </c>
      <c r="V354" s="69" t="e">
        <f t="shared" si="119"/>
        <v>#DIV/0!</v>
      </c>
    </row>
    <row r="355" spans="1:22" x14ac:dyDescent="0.3">
      <c r="A355" s="61" t="s">
        <v>316</v>
      </c>
      <c r="B355" s="62" t="s">
        <v>317</v>
      </c>
      <c r="C355" s="62" t="s">
        <v>629</v>
      </c>
      <c r="D355" s="62" t="s">
        <v>754</v>
      </c>
      <c r="E355" s="63" t="s">
        <v>391</v>
      </c>
      <c r="F355" s="62" t="s">
        <v>348</v>
      </c>
      <c r="G355" s="62" t="s">
        <v>236</v>
      </c>
      <c r="H355" s="62" t="s">
        <v>14</v>
      </c>
      <c r="I355" s="62" t="s">
        <v>210</v>
      </c>
      <c r="J355" s="63" t="s">
        <v>237</v>
      </c>
      <c r="K355" s="62" t="s">
        <v>317</v>
      </c>
      <c r="L355" s="64">
        <v>119.98</v>
      </c>
      <c r="M355" s="64">
        <f t="shared" si="114"/>
        <v>71.988</v>
      </c>
      <c r="N355" s="65">
        <f>prodnorm23</f>
        <v>0</v>
      </c>
      <c r="O355" s="66">
        <f>dagwerk23</f>
        <v>0</v>
      </c>
      <c r="P355" s="62" t="s">
        <v>40</v>
      </c>
      <c r="Q355" s="67">
        <f>uurtarief23</f>
        <v>0</v>
      </c>
      <c r="R355" s="64" t="e">
        <f t="shared" si="115"/>
        <v>#DIV/0!</v>
      </c>
      <c r="S355" s="64" t="e">
        <f t="shared" si="116"/>
        <v>#DIV/0!</v>
      </c>
      <c r="T355" s="67" t="e">
        <f t="shared" si="117"/>
        <v>#DIV/0!</v>
      </c>
      <c r="U355" s="64" t="e">
        <f t="shared" si="118"/>
        <v>#DIV/0!</v>
      </c>
      <c r="V355" s="69" t="e">
        <f t="shared" si="119"/>
        <v>#DIV/0!</v>
      </c>
    </row>
    <row r="356" spans="1:22" x14ac:dyDescent="0.3">
      <c r="A356" s="61" t="s">
        <v>316</v>
      </c>
      <c r="B356" s="62" t="s">
        <v>317</v>
      </c>
      <c r="C356" s="62" t="s">
        <v>629</v>
      </c>
      <c r="D356" s="62" t="s">
        <v>755</v>
      </c>
      <c r="E356" s="63" t="s">
        <v>391</v>
      </c>
      <c r="F356" s="62" t="s">
        <v>389</v>
      </c>
      <c r="G356" s="62" t="s">
        <v>234</v>
      </c>
      <c r="H356" s="62" t="s">
        <v>14</v>
      </c>
      <c r="I356" s="62" t="s">
        <v>210</v>
      </c>
      <c r="J356" s="63" t="s">
        <v>235</v>
      </c>
      <c r="K356" s="62" t="s">
        <v>317</v>
      </c>
      <c r="L356" s="64">
        <v>84.61</v>
      </c>
      <c r="M356" s="64">
        <f t="shared" si="114"/>
        <v>50.765999999999998</v>
      </c>
      <c r="N356" s="65">
        <f>prodnorm22</f>
        <v>0</v>
      </c>
      <c r="O356" s="66">
        <f>dagwerk22</f>
        <v>0</v>
      </c>
      <c r="P356" s="62" t="s">
        <v>40</v>
      </c>
      <c r="Q356" s="67">
        <f>uurtarief22</f>
        <v>0</v>
      </c>
      <c r="R356" s="64" t="e">
        <f t="shared" si="115"/>
        <v>#DIV/0!</v>
      </c>
      <c r="S356" s="64" t="e">
        <f t="shared" si="116"/>
        <v>#DIV/0!</v>
      </c>
      <c r="T356" s="67" t="e">
        <f t="shared" si="117"/>
        <v>#DIV/0!</v>
      </c>
      <c r="U356" s="64" t="e">
        <f t="shared" si="118"/>
        <v>#DIV/0!</v>
      </c>
      <c r="V356" s="69" t="e">
        <f t="shared" si="119"/>
        <v>#DIV/0!</v>
      </c>
    </row>
    <row r="357" spans="1:22" x14ac:dyDescent="0.3">
      <c r="A357" s="61" t="s">
        <v>316</v>
      </c>
      <c r="B357" s="62" t="s">
        <v>317</v>
      </c>
      <c r="C357" s="62" t="s">
        <v>629</v>
      </c>
      <c r="D357" s="62" t="s">
        <v>756</v>
      </c>
      <c r="E357" s="63" t="s">
        <v>356</v>
      </c>
      <c r="F357" s="62" t="s">
        <v>348</v>
      </c>
      <c r="G357" s="62" t="s">
        <v>212</v>
      </c>
      <c r="H357" s="62" t="s">
        <v>17</v>
      </c>
      <c r="I357" s="62" t="s">
        <v>210</v>
      </c>
      <c r="J357" s="63" t="s">
        <v>213</v>
      </c>
      <c r="K357" s="62" t="s">
        <v>317</v>
      </c>
      <c r="L357" s="64">
        <v>24.150000000000002</v>
      </c>
      <c r="M357" s="64">
        <f t="shared" si="114"/>
        <v>4.830000000000001</v>
      </c>
      <c r="N357" s="65">
        <f>prodnorm11</f>
        <v>0</v>
      </c>
      <c r="O357" s="66">
        <f>dagwerk11</f>
        <v>0</v>
      </c>
      <c r="P357" s="62" t="s">
        <v>40</v>
      </c>
      <c r="Q357" s="67">
        <f>uurtarief11</f>
        <v>0</v>
      </c>
      <c r="R357" s="64" t="e">
        <f t="shared" si="115"/>
        <v>#DIV/0!</v>
      </c>
      <c r="S357" s="64" t="e">
        <f t="shared" si="116"/>
        <v>#DIV/0!</v>
      </c>
      <c r="T357" s="67" t="e">
        <f t="shared" si="117"/>
        <v>#DIV/0!</v>
      </c>
      <c r="U357" s="64" t="e">
        <f t="shared" si="118"/>
        <v>#DIV/0!</v>
      </c>
      <c r="V357" s="69" t="e">
        <f t="shared" si="119"/>
        <v>#DIV/0!</v>
      </c>
    </row>
    <row r="358" spans="1:22" x14ac:dyDescent="0.3">
      <c r="A358" s="61" t="s">
        <v>316</v>
      </c>
      <c r="B358" s="62" t="s">
        <v>317</v>
      </c>
      <c r="C358" s="62" t="s">
        <v>629</v>
      </c>
      <c r="D358" s="62" t="s">
        <v>757</v>
      </c>
      <c r="E358" s="63" t="s">
        <v>356</v>
      </c>
      <c r="F358" s="62" t="s">
        <v>348</v>
      </c>
      <c r="G358" s="62" t="s">
        <v>212</v>
      </c>
      <c r="H358" s="62" t="s">
        <v>17</v>
      </c>
      <c r="I358" s="62" t="s">
        <v>210</v>
      </c>
      <c r="J358" s="63" t="s">
        <v>213</v>
      </c>
      <c r="K358" s="62" t="s">
        <v>317</v>
      </c>
      <c r="L358" s="64">
        <v>31.06</v>
      </c>
      <c r="M358" s="64">
        <f t="shared" si="114"/>
        <v>6.2119999999999997</v>
      </c>
      <c r="N358" s="65">
        <f>prodnorm11</f>
        <v>0</v>
      </c>
      <c r="O358" s="66">
        <f>dagwerk11</f>
        <v>0</v>
      </c>
      <c r="P358" s="62" t="s">
        <v>40</v>
      </c>
      <c r="Q358" s="67">
        <f>uurtarief11</f>
        <v>0</v>
      </c>
      <c r="R358" s="64" t="e">
        <f t="shared" si="115"/>
        <v>#DIV/0!</v>
      </c>
      <c r="S358" s="64" t="e">
        <f t="shared" si="116"/>
        <v>#DIV/0!</v>
      </c>
      <c r="T358" s="67" t="e">
        <f t="shared" si="117"/>
        <v>#DIV/0!</v>
      </c>
      <c r="U358" s="64" t="e">
        <f t="shared" si="118"/>
        <v>#DIV/0!</v>
      </c>
      <c r="V358" s="69" t="e">
        <f t="shared" si="119"/>
        <v>#DIV/0!</v>
      </c>
    </row>
    <row r="359" spans="1:22" x14ac:dyDescent="0.3">
      <c r="A359" s="61" t="s">
        <v>316</v>
      </c>
      <c r="B359" s="62" t="s">
        <v>317</v>
      </c>
      <c r="C359" s="62" t="s">
        <v>629</v>
      </c>
      <c r="D359" s="62" t="s">
        <v>758</v>
      </c>
      <c r="E359" s="63" t="s">
        <v>321</v>
      </c>
      <c r="F359" s="62" t="s">
        <v>389</v>
      </c>
      <c r="G359" s="62" t="s">
        <v>323</v>
      </c>
      <c r="H359" s="62"/>
      <c r="I359" s="62"/>
      <c r="J359" s="62"/>
      <c r="K359" s="62" t="s">
        <v>317</v>
      </c>
      <c r="L359" s="64">
        <v>1.53</v>
      </c>
      <c r="M359" s="64"/>
      <c r="N359" s="65"/>
      <c r="O359" s="66"/>
      <c r="P359" s="62"/>
      <c r="Q359" s="67"/>
      <c r="R359" s="64"/>
      <c r="S359" s="64"/>
      <c r="T359" s="67"/>
      <c r="U359" s="68"/>
      <c r="V359" s="69"/>
    </row>
    <row r="360" spans="1:22" x14ac:dyDescent="0.3">
      <c r="A360" s="61" t="s">
        <v>316</v>
      </c>
      <c r="B360" s="62" t="s">
        <v>317</v>
      </c>
      <c r="C360" s="62" t="s">
        <v>629</v>
      </c>
      <c r="D360" s="62" t="s">
        <v>759</v>
      </c>
      <c r="E360" s="63" t="s">
        <v>352</v>
      </c>
      <c r="F360" s="62" t="s">
        <v>353</v>
      </c>
      <c r="G360" s="62" t="s">
        <v>266</v>
      </c>
      <c r="H360" s="62" t="s">
        <v>11</v>
      </c>
      <c r="I360" s="62" t="s">
        <v>210</v>
      </c>
      <c r="J360" s="63" t="s">
        <v>267</v>
      </c>
      <c r="K360" s="62" t="s">
        <v>317</v>
      </c>
      <c r="L360" s="64">
        <v>14.11</v>
      </c>
      <c r="M360" s="64">
        <f t="shared" ref="M360:M366" si="120">L360*VLOOKUP(H360,dagsoorttabel1,2,FALSE)</f>
        <v>14.11</v>
      </c>
      <c r="N360" s="65">
        <f>prodnorm39</f>
        <v>0</v>
      </c>
      <c r="O360" s="66">
        <f>dagwerk39</f>
        <v>0</v>
      </c>
      <c r="P360" s="62" t="s">
        <v>40</v>
      </c>
      <c r="Q360" s="67">
        <f>uurtarief39</f>
        <v>0</v>
      </c>
      <c r="R360" s="64" t="e">
        <f t="shared" ref="R360:R366" si="121">IF(ISBLANK(N360),0,M360/ROUND(N360,4))</f>
        <v>#DIV/0!</v>
      </c>
      <c r="S360" s="64" t="e">
        <f t="shared" ref="S360:S366" si="122">IF(ISBLANK(N360),0,R360*ROUND(O360,2))</f>
        <v>#DIV/0!</v>
      </c>
      <c r="T360" s="67" t="e">
        <f t="shared" ref="T360:T366" si="123">ROUND(Q360,2)*R360</f>
        <v>#DIV/0!</v>
      </c>
      <c r="U360" s="64" t="e">
        <f t="shared" ref="U360:U366" si="124">R360*dagenperjaar1</f>
        <v>#DIV/0!</v>
      </c>
      <c r="V360" s="69" t="e">
        <f t="shared" ref="V360:V366" si="125">U360*ROUND(Q360,2)</f>
        <v>#DIV/0!</v>
      </c>
    </row>
    <row r="361" spans="1:22" x14ac:dyDescent="0.3">
      <c r="A361" s="61" t="s">
        <v>316</v>
      </c>
      <c r="B361" s="62" t="s">
        <v>317</v>
      </c>
      <c r="C361" s="62" t="s">
        <v>629</v>
      </c>
      <c r="D361" s="62" t="s">
        <v>760</v>
      </c>
      <c r="E361" s="63" t="s">
        <v>578</v>
      </c>
      <c r="F361" s="62" t="s">
        <v>353</v>
      </c>
      <c r="G361" s="62" t="s">
        <v>266</v>
      </c>
      <c r="H361" s="62" t="s">
        <v>11</v>
      </c>
      <c r="I361" s="62" t="s">
        <v>210</v>
      </c>
      <c r="J361" s="63" t="s">
        <v>267</v>
      </c>
      <c r="K361" s="62" t="s">
        <v>317</v>
      </c>
      <c r="L361" s="64">
        <v>4.26</v>
      </c>
      <c r="M361" s="64">
        <f t="shared" si="120"/>
        <v>4.26</v>
      </c>
      <c r="N361" s="65">
        <f>prodnorm39</f>
        <v>0</v>
      </c>
      <c r="O361" s="66">
        <f>dagwerk39</f>
        <v>0</v>
      </c>
      <c r="P361" s="62" t="s">
        <v>40</v>
      </c>
      <c r="Q361" s="67">
        <f>uurtarief39</f>
        <v>0</v>
      </c>
      <c r="R361" s="64" t="e">
        <f t="shared" si="121"/>
        <v>#DIV/0!</v>
      </c>
      <c r="S361" s="64" t="e">
        <f t="shared" si="122"/>
        <v>#DIV/0!</v>
      </c>
      <c r="T361" s="67" t="e">
        <f t="shared" si="123"/>
        <v>#DIV/0!</v>
      </c>
      <c r="U361" s="64" t="e">
        <f t="shared" si="124"/>
        <v>#DIV/0!</v>
      </c>
      <c r="V361" s="69" t="e">
        <f t="shared" si="125"/>
        <v>#DIV/0!</v>
      </c>
    </row>
    <row r="362" spans="1:22" x14ac:dyDescent="0.3">
      <c r="A362" s="61" t="s">
        <v>316</v>
      </c>
      <c r="B362" s="62" t="s">
        <v>317</v>
      </c>
      <c r="C362" s="62" t="s">
        <v>629</v>
      </c>
      <c r="D362" s="62" t="s">
        <v>761</v>
      </c>
      <c r="E362" s="63" t="s">
        <v>352</v>
      </c>
      <c r="F362" s="62" t="s">
        <v>353</v>
      </c>
      <c r="G362" s="62" t="s">
        <v>266</v>
      </c>
      <c r="H362" s="62" t="s">
        <v>11</v>
      </c>
      <c r="I362" s="62" t="s">
        <v>210</v>
      </c>
      <c r="J362" s="63" t="s">
        <v>267</v>
      </c>
      <c r="K362" s="62" t="s">
        <v>317</v>
      </c>
      <c r="L362" s="64">
        <v>8.44</v>
      </c>
      <c r="M362" s="64">
        <f t="shared" si="120"/>
        <v>8.44</v>
      </c>
      <c r="N362" s="65">
        <f>prodnorm39</f>
        <v>0</v>
      </c>
      <c r="O362" s="66">
        <f>dagwerk39</f>
        <v>0</v>
      </c>
      <c r="P362" s="62" t="s">
        <v>40</v>
      </c>
      <c r="Q362" s="67">
        <f>uurtarief39</f>
        <v>0</v>
      </c>
      <c r="R362" s="64" t="e">
        <f t="shared" si="121"/>
        <v>#DIV/0!</v>
      </c>
      <c r="S362" s="64" t="e">
        <f t="shared" si="122"/>
        <v>#DIV/0!</v>
      </c>
      <c r="T362" s="67" t="e">
        <f t="shared" si="123"/>
        <v>#DIV/0!</v>
      </c>
      <c r="U362" s="64" t="e">
        <f t="shared" si="124"/>
        <v>#DIV/0!</v>
      </c>
      <c r="V362" s="69" t="e">
        <f t="shared" si="125"/>
        <v>#DIV/0!</v>
      </c>
    </row>
    <row r="363" spans="1:22" x14ac:dyDescent="0.3">
      <c r="A363" s="61" t="s">
        <v>316</v>
      </c>
      <c r="B363" s="62" t="s">
        <v>317</v>
      </c>
      <c r="C363" s="62" t="s">
        <v>629</v>
      </c>
      <c r="D363" s="62" t="s">
        <v>762</v>
      </c>
      <c r="E363" s="63" t="s">
        <v>356</v>
      </c>
      <c r="F363" s="62" t="s">
        <v>348</v>
      </c>
      <c r="G363" s="62" t="s">
        <v>212</v>
      </c>
      <c r="H363" s="62" t="s">
        <v>17</v>
      </c>
      <c r="I363" s="62" t="s">
        <v>210</v>
      </c>
      <c r="J363" s="63" t="s">
        <v>213</v>
      </c>
      <c r="K363" s="62" t="s">
        <v>317</v>
      </c>
      <c r="L363" s="64">
        <v>31.73</v>
      </c>
      <c r="M363" s="64">
        <f t="shared" si="120"/>
        <v>6.3460000000000001</v>
      </c>
      <c r="N363" s="65">
        <f>prodnorm11</f>
        <v>0</v>
      </c>
      <c r="O363" s="66">
        <f>dagwerk11</f>
        <v>0</v>
      </c>
      <c r="P363" s="62" t="s">
        <v>40</v>
      </c>
      <c r="Q363" s="67">
        <f>uurtarief11</f>
        <v>0</v>
      </c>
      <c r="R363" s="64" t="e">
        <f t="shared" si="121"/>
        <v>#DIV/0!</v>
      </c>
      <c r="S363" s="64" t="e">
        <f t="shared" si="122"/>
        <v>#DIV/0!</v>
      </c>
      <c r="T363" s="67" t="e">
        <f t="shared" si="123"/>
        <v>#DIV/0!</v>
      </c>
      <c r="U363" s="64" t="e">
        <f t="shared" si="124"/>
        <v>#DIV/0!</v>
      </c>
      <c r="V363" s="69" t="e">
        <f t="shared" si="125"/>
        <v>#DIV/0!</v>
      </c>
    </row>
    <row r="364" spans="1:22" x14ac:dyDescent="0.3">
      <c r="A364" s="61" t="s">
        <v>316</v>
      </c>
      <c r="B364" s="62" t="s">
        <v>317</v>
      </c>
      <c r="C364" s="62" t="s">
        <v>629</v>
      </c>
      <c r="D364" s="62" t="s">
        <v>763</v>
      </c>
      <c r="E364" s="63" t="s">
        <v>356</v>
      </c>
      <c r="F364" s="62" t="s">
        <v>348</v>
      </c>
      <c r="G364" s="62" t="s">
        <v>212</v>
      </c>
      <c r="H364" s="62" t="s">
        <v>17</v>
      </c>
      <c r="I364" s="62" t="s">
        <v>210</v>
      </c>
      <c r="J364" s="63" t="s">
        <v>213</v>
      </c>
      <c r="K364" s="62" t="s">
        <v>317</v>
      </c>
      <c r="L364" s="64">
        <v>24.459999999999997</v>
      </c>
      <c r="M364" s="64">
        <f t="shared" si="120"/>
        <v>4.8919999999999995</v>
      </c>
      <c r="N364" s="65">
        <f>prodnorm11</f>
        <v>0</v>
      </c>
      <c r="O364" s="66">
        <f>dagwerk11</f>
        <v>0</v>
      </c>
      <c r="P364" s="62" t="s">
        <v>40</v>
      </c>
      <c r="Q364" s="67">
        <f>uurtarief11</f>
        <v>0</v>
      </c>
      <c r="R364" s="64" t="e">
        <f t="shared" si="121"/>
        <v>#DIV/0!</v>
      </c>
      <c r="S364" s="64" t="e">
        <f t="shared" si="122"/>
        <v>#DIV/0!</v>
      </c>
      <c r="T364" s="67" t="e">
        <f t="shared" si="123"/>
        <v>#DIV/0!</v>
      </c>
      <c r="U364" s="64" t="e">
        <f t="shared" si="124"/>
        <v>#DIV/0!</v>
      </c>
      <c r="V364" s="69" t="e">
        <f t="shared" si="125"/>
        <v>#DIV/0!</v>
      </c>
    </row>
    <row r="365" spans="1:22" x14ac:dyDescent="0.3">
      <c r="A365" s="61" t="s">
        <v>316</v>
      </c>
      <c r="B365" s="62" t="s">
        <v>317</v>
      </c>
      <c r="C365" s="62" t="s">
        <v>629</v>
      </c>
      <c r="D365" s="62" t="s">
        <v>764</v>
      </c>
      <c r="E365" s="63" t="s">
        <v>356</v>
      </c>
      <c r="F365" s="62" t="s">
        <v>348</v>
      </c>
      <c r="G365" s="62" t="s">
        <v>212</v>
      </c>
      <c r="H365" s="62" t="s">
        <v>17</v>
      </c>
      <c r="I365" s="62" t="s">
        <v>210</v>
      </c>
      <c r="J365" s="63" t="s">
        <v>213</v>
      </c>
      <c r="K365" s="62" t="s">
        <v>317</v>
      </c>
      <c r="L365" s="64">
        <v>40.97</v>
      </c>
      <c r="M365" s="64">
        <f t="shared" si="120"/>
        <v>8.1940000000000008</v>
      </c>
      <c r="N365" s="65">
        <f>prodnorm11</f>
        <v>0</v>
      </c>
      <c r="O365" s="66">
        <f>dagwerk11</f>
        <v>0</v>
      </c>
      <c r="P365" s="62" t="s">
        <v>40</v>
      </c>
      <c r="Q365" s="67">
        <f>uurtarief11</f>
        <v>0</v>
      </c>
      <c r="R365" s="64" t="e">
        <f t="shared" si="121"/>
        <v>#DIV/0!</v>
      </c>
      <c r="S365" s="64" t="e">
        <f t="shared" si="122"/>
        <v>#DIV/0!</v>
      </c>
      <c r="T365" s="67" t="e">
        <f t="shared" si="123"/>
        <v>#DIV/0!</v>
      </c>
      <c r="U365" s="64" t="e">
        <f t="shared" si="124"/>
        <v>#DIV/0!</v>
      </c>
      <c r="V365" s="69" t="e">
        <f t="shared" si="125"/>
        <v>#DIV/0!</v>
      </c>
    </row>
    <row r="366" spans="1:22" x14ac:dyDescent="0.3">
      <c r="A366" s="61" t="s">
        <v>316</v>
      </c>
      <c r="B366" s="62" t="s">
        <v>317</v>
      </c>
      <c r="C366" s="62" t="s">
        <v>629</v>
      </c>
      <c r="D366" s="62" t="s">
        <v>765</v>
      </c>
      <c r="E366" s="63" t="s">
        <v>356</v>
      </c>
      <c r="F366" s="62" t="s">
        <v>348</v>
      </c>
      <c r="G366" s="62" t="s">
        <v>212</v>
      </c>
      <c r="H366" s="62" t="s">
        <v>17</v>
      </c>
      <c r="I366" s="62" t="s">
        <v>210</v>
      </c>
      <c r="J366" s="63" t="s">
        <v>213</v>
      </c>
      <c r="K366" s="62" t="s">
        <v>317</v>
      </c>
      <c r="L366" s="64">
        <v>40.96</v>
      </c>
      <c r="M366" s="64">
        <f t="shared" si="120"/>
        <v>8.1920000000000002</v>
      </c>
      <c r="N366" s="65">
        <f>prodnorm11</f>
        <v>0</v>
      </c>
      <c r="O366" s="66">
        <f>dagwerk11</f>
        <v>0</v>
      </c>
      <c r="P366" s="62" t="s">
        <v>40</v>
      </c>
      <c r="Q366" s="67">
        <f>uurtarief11</f>
        <v>0</v>
      </c>
      <c r="R366" s="64" t="e">
        <f t="shared" si="121"/>
        <v>#DIV/0!</v>
      </c>
      <c r="S366" s="64" t="e">
        <f t="shared" si="122"/>
        <v>#DIV/0!</v>
      </c>
      <c r="T366" s="67" t="e">
        <f t="shared" si="123"/>
        <v>#DIV/0!</v>
      </c>
      <c r="U366" s="64" t="e">
        <f t="shared" si="124"/>
        <v>#DIV/0!</v>
      </c>
      <c r="V366" s="69" t="e">
        <f t="shared" si="125"/>
        <v>#DIV/0!</v>
      </c>
    </row>
    <row r="367" spans="1:22" x14ac:dyDescent="0.3">
      <c r="A367" s="61" t="s">
        <v>316</v>
      </c>
      <c r="B367" s="62" t="s">
        <v>317</v>
      </c>
      <c r="C367" s="62" t="s">
        <v>629</v>
      </c>
      <c r="D367" s="62" t="s">
        <v>766</v>
      </c>
      <c r="E367" s="63" t="s">
        <v>767</v>
      </c>
      <c r="F367" s="62" t="s">
        <v>348</v>
      </c>
      <c r="G367" s="62" t="s">
        <v>323</v>
      </c>
      <c r="H367" s="62"/>
      <c r="I367" s="62"/>
      <c r="J367" s="62"/>
      <c r="K367" s="62" t="s">
        <v>317</v>
      </c>
      <c r="L367" s="64">
        <v>23.130000000000003</v>
      </c>
      <c r="M367" s="64"/>
      <c r="N367" s="65"/>
      <c r="O367" s="66"/>
      <c r="P367" s="62"/>
      <c r="Q367" s="67"/>
      <c r="R367" s="64"/>
      <c r="S367" s="64"/>
      <c r="T367" s="67"/>
      <c r="U367" s="68"/>
      <c r="V367" s="69"/>
    </row>
    <row r="368" spans="1:22" ht="28.8" x14ac:dyDescent="0.3">
      <c r="A368" s="61" t="s">
        <v>316</v>
      </c>
      <c r="B368" s="62" t="s">
        <v>317</v>
      </c>
      <c r="C368" s="62" t="s">
        <v>629</v>
      </c>
      <c r="D368" s="62" t="s">
        <v>768</v>
      </c>
      <c r="E368" s="63" t="s">
        <v>769</v>
      </c>
      <c r="F368" s="62" t="s">
        <v>357</v>
      </c>
      <c r="G368" s="62" t="s">
        <v>295</v>
      </c>
      <c r="H368" s="62" t="s">
        <v>24</v>
      </c>
      <c r="I368" s="62" t="s">
        <v>289</v>
      </c>
      <c r="J368" s="63" t="s">
        <v>296</v>
      </c>
      <c r="K368" s="62" t="s">
        <v>317</v>
      </c>
      <c r="L368" s="64">
        <v>303.39999999999998</v>
      </c>
      <c r="M368" s="64">
        <f>L368*VLOOKUP(H368,dagsoorttabel1,2,FALSE)</f>
        <v>2.8895238095238094</v>
      </c>
      <c r="N368" s="65">
        <f>prodnorm9</f>
        <v>0</v>
      </c>
      <c r="O368" s="66">
        <f>dagwerk9</f>
        <v>0</v>
      </c>
      <c r="P368" s="62" t="s">
        <v>40</v>
      </c>
      <c r="Q368" s="67">
        <f>uurtarief9</f>
        <v>0</v>
      </c>
      <c r="R368" s="64" t="e">
        <f>IF(ISBLANK(N368),0,M368/ROUND(N368,4))</f>
        <v>#DIV/0!</v>
      </c>
      <c r="S368" s="64" t="e">
        <f>IF(ISBLANK(N368),0,R368*ROUND(O368,2))</f>
        <v>#DIV/0!</v>
      </c>
      <c r="T368" s="67" t="e">
        <f>ROUND(Q368,2)*R368</f>
        <v>#DIV/0!</v>
      </c>
      <c r="U368" s="64" t="e">
        <f>R368*dagenperjaar1</f>
        <v>#DIV/0!</v>
      </c>
      <c r="V368" s="69" t="e">
        <f>U368*ROUND(Q368,2)</f>
        <v>#DIV/0!</v>
      </c>
    </row>
    <row r="369" spans="1:22" ht="28.8" x14ac:dyDescent="0.3">
      <c r="A369" s="61" t="s">
        <v>316</v>
      </c>
      <c r="B369" s="62" t="s">
        <v>317</v>
      </c>
      <c r="C369" s="62" t="s">
        <v>629</v>
      </c>
      <c r="D369" s="62" t="s">
        <v>768</v>
      </c>
      <c r="E369" s="63" t="s">
        <v>769</v>
      </c>
      <c r="F369" s="62" t="s">
        <v>357</v>
      </c>
      <c r="G369" s="62" t="s">
        <v>260</v>
      </c>
      <c r="H369" s="62" t="s">
        <v>11</v>
      </c>
      <c r="I369" s="62" t="s">
        <v>210</v>
      </c>
      <c r="J369" s="63" t="s">
        <v>261</v>
      </c>
      <c r="K369" s="62" t="s">
        <v>317</v>
      </c>
      <c r="L369" s="64">
        <v>303.39999999999998</v>
      </c>
      <c r="M369" s="64">
        <f>L369*VLOOKUP(H369,dagsoorttabel1,2,FALSE)</f>
        <v>303.39999999999998</v>
      </c>
      <c r="N369" s="65">
        <f>prodnorm36</f>
        <v>0</v>
      </c>
      <c r="O369" s="66">
        <f>dagwerk36</f>
        <v>0</v>
      </c>
      <c r="P369" s="62" t="s">
        <v>40</v>
      </c>
      <c r="Q369" s="67">
        <f>uurtarief36</f>
        <v>0</v>
      </c>
      <c r="R369" s="64" t="e">
        <f>IF(ISBLANK(N369),0,M369/ROUND(N369,4))</f>
        <v>#DIV/0!</v>
      </c>
      <c r="S369" s="64" t="e">
        <f>IF(ISBLANK(N369),0,R369*ROUND(O369,2))</f>
        <v>#DIV/0!</v>
      </c>
      <c r="T369" s="67" t="e">
        <f>ROUND(Q369,2)*R369</f>
        <v>#DIV/0!</v>
      </c>
      <c r="U369" s="64" t="e">
        <f>R369*dagenperjaar1</f>
        <v>#DIV/0!</v>
      </c>
      <c r="V369" s="69" t="e">
        <f>U369*ROUND(Q369,2)</f>
        <v>#DIV/0!</v>
      </c>
    </row>
    <row r="370" spans="1:22" ht="28.8" x14ac:dyDescent="0.3">
      <c r="A370" s="61" t="s">
        <v>316</v>
      </c>
      <c r="B370" s="62" t="s">
        <v>317</v>
      </c>
      <c r="C370" s="62" t="s">
        <v>629</v>
      </c>
      <c r="D370" s="62" t="s">
        <v>770</v>
      </c>
      <c r="E370" s="63" t="s">
        <v>769</v>
      </c>
      <c r="F370" s="62" t="s">
        <v>357</v>
      </c>
      <c r="G370" s="62" t="s">
        <v>295</v>
      </c>
      <c r="H370" s="62" t="s">
        <v>24</v>
      </c>
      <c r="I370" s="62" t="s">
        <v>289</v>
      </c>
      <c r="J370" s="63" t="s">
        <v>296</v>
      </c>
      <c r="K370" s="62" t="s">
        <v>317</v>
      </c>
      <c r="L370" s="64">
        <v>171.67</v>
      </c>
      <c r="M370" s="64">
        <f>L370*VLOOKUP(H370,dagsoorttabel1,2,FALSE)</f>
        <v>1.6349523809523809</v>
      </c>
      <c r="N370" s="65">
        <f>prodnorm9</f>
        <v>0</v>
      </c>
      <c r="O370" s="66">
        <f>dagwerk9</f>
        <v>0</v>
      </c>
      <c r="P370" s="62" t="s">
        <v>40</v>
      </c>
      <c r="Q370" s="67">
        <f>uurtarief9</f>
        <v>0</v>
      </c>
      <c r="R370" s="64" t="e">
        <f>IF(ISBLANK(N370),0,M370/ROUND(N370,4))</f>
        <v>#DIV/0!</v>
      </c>
      <c r="S370" s="64" t="e">
        <f>IF(ISBLANK(N370),0,R370*ROUND(O370,2))</f>
        <v>#DIV/0!</v>
      </c>
      <c r="T370" s="67" t="e">
        <f>ROUND(Q370,2)*R370</f>
        <v>#DIV/0!</v>
      </c>
      <c r="U370" s="64" t="e">
        <f>R370*dagenperjaar1</f>
        <v>#DIV/0!</v>
      </c>
      <c r="V370" s="69" t="e">
        <f>U370*ROUND(Q370,2)</f>
        <v>#DIV/0!</v>
      </c>
    </row>
    <row r="371" spans="1:22" ht="28.8" x14ac:dyDescent="0.3">
      <c r="A371" s="61" t="s">
        <v>316</v>
      </c>
      <c r="B371" s="62" t="s">
        <v>317</v>
      </c>
      <c r="C371" s="62" t="s">
        <v>629</v>
      </c>
      <c r="D371" s="62" t="s">
        <v>770</v>
      </c>
      <c r="E371" s="63" t="s">
        <v>769</v>
      </c>
      <c r="F371" s="62" t="s">
        <v>357</v>
      </c>
      <c r="G371" s="62" t="s">
        <v>260</v>
      </c>
      <c r="H371" s="62" t="s">
        <v>11</v>
      </c>
      <c r="I371" s="62" t="s">
        <v>210</v>
      </c>
      <c r="J371" s="63" t="s">
        <v>261</v>
      </c>
      <c r="K371" s="62" t="s">
        <v>317</v>
      </c>
      <c r="L371" s="64">
        <v>171.67</v>
      </c>
      <c r="M371" s="64">
        <f>L371*VLOOKUP(H371,dagsoorttabel1,2,FALSE)</f>
        <v>171.67</v>
      </c>
      <c r="N371" s="65">
        <f>prodnorm36</f>
        <v>0</v>
      </c>
      <c r="O371" s="66">
        <f>dagwerk36</f>
        <v>0</v>
      </c>
      <c r="P371" s="62" t="s">
        <v>40</v>
      </c>
      <c r="Q371" s="67">
        <f>uurtarief36</f>
        <v>0</v>
      </c>
      <c r="R371" s="64" t="e">
        <f>IF(ISBLANK(N371),0,M371/ROUND(N371,4))</f>
        <v>#DIV/0!</v>
      </c>
      <c r="S371" s="64" t="e">
        <f>IF(ISBLANK(N371),0,R371*ROUND(O371,2))</f>
        <v>#DIV/0!</v>
      </c>
      <c r="T371" s="67" t="e">
        <f>ROUND(Q371,2)*R371</f>
        <v>#DIV/0!</v>
      </c>
      <c r="U371" s="64" t="e">
        <f>R371*dagenperjaar1</f>
        <v>#DIV/0!</v>
      </c>
      <c r="V371" s="69" t="e">
        <f>U371*ROUND(Q371,2)</f>
        <v>#DIV/0!</v>
      </c>
    </row>
    <row r="372" spans="1:22" x14ac:dyDescent="0.3">
      <c r="A372" s="61" t="s">
        <v>316</v>
      </c>
      <c r="B372" s="62" t="s">
        <v>317</v>
      </c>
      <c r="C372" s="62" t="s">
        <v>629</v>
      </c>
      <c r="D372" s="62" t="s">
        <v>771</v>
      </c>
      <c r="E372" s="63" t="s">
        <v>321</v>
      </c>
      <c r="F372" s="62" t="s">
        <v>389</v>
      </c>
      <c r="G372" s="62" t="s">
        <v>323</v>
      </c>
      <c r="H372" s="62"/>
      <c r="I372" s="62"/>
      <c r="J372" s="62"/>
      <c r="K372" s="62" t="s">
        <v>317</v>
      </c>
      <c r="L372" s="64">
        <v>38.71</v>
      </c>
      <c r="M372" s="64"/>
      <c r="N372" s="65"/>
      <c r="O372" s="66"/>
      <c r="P372" s="62"/>
      <c r="Q372" s="67"/>
      <c r="R372" s="64"/>
      <c r="S372" s="64"/>
      <c r="T372" s="67"/>
      <c r="U372" s="68"/>
      <c r="V372" s="69"/>
    </row>
    <row r="373" spans="1:22" x14ac:dyDescent="0.3">
      <c r="A373" s="61" t="s">
        <v>316</v>
      </c>
      <c r="B373" s="62" t="s">
        <v>317</v>
      </c>
      <c r="C373" s="62" t="s">
        <v>629</v>
      </c>
      <c r="D373" s="62" t="s">
        <v>772</v>
      </c>
      <c r="E373" s="63" t="s">
        <v>562</v>
      </c>
      <c r="F373" s="62" t="s">
        <v>389</v>
      </c>
      <c r="G373" s="62" t="s">
        <v>209</v>
      </c>
      <c r="H373" s="62" t="s">
        <v>17</v>
      </c>
      <c r="I373" s="62" t="s">
        <v>210</v>
      </c>
      <c r="J373" s="63" t="s">
        <v>211</v>
      </c>
      <c r="K373" s="62" t="s">
        <v>317</v>
      </c>
      <c r="L373" s="64">
        <v>10.53</v>
      </c>
      <c r="M373" s="64">
        <f>L373*VLOOKUP(H373,dagsoorttabel1,2,FALSE)</f>
        <v>2.1059999999999999</v>
      </c>
      <c r="N373" s="65">
        <f>prodnorm10</f>
        <v>0</v>
      </c>
      <c r="O373" s="66">
        <f>dagwerk10</f>
        <v>0</v>
      </c>
      <c r="P373" s="62" t="s">
        <v>40</v>
      </c>
      <c r="Q373" s="67">
        <f>uurtarief10</f>
        <v>0</v>
      </c>
      <c r="R373" s="64" t="e">
        <f>IF(ISBLANK(N373),0,M373/ROUND(N373,4))</f>
        <v>#DIV/0!</v>
      </c>
      <c r="S373" s="64" t="e">
        <f>IF(ISBLANK(N373),0,R373*ROUND(O373,2))</f>
        <v>#DIV/0!</v>
      </c>
      <c r="T373" s="67" t="e">
        <f>ROUND(Q373,2)*R373</f>
        <v>#DIV/0!</v>
      </c>
      <c r="U373" s="64" t="e">
        <f>R373*dagenperjaar1</f>
        <v>#DIV/0!</v>
      </c>
      <c r="V373" s="69" t="e">
        <f>U373*ROUND(Q373,2)</f>
        <v>#DIV/0!</v>
      </c>
    </row>
    <row r="374" spans="1:22" x14ac:dyDescent="0.3">
      <c r="A374" s="61" t="s">
        <v>316</v>
      </c>
      <c r="B374" s="62" t="s">
        <v>317</v>
      </c>
      <c r="C374" s="62" t="s">
        <v>629</v>
      </c>
      <c r="D374" s="62" t="s">
        <v>773</v>
      </c>
      <c r="E374" s="63" t="s">
        <v>321</v>
      </c>
      <c r="F374" s="62" t="s">
        <v>389</v>
      </c>
      <c r="G374" s="62" t="s">
        <v>323</v>
      </c>
      <c r="H374" s="62"/>
      <c r="I374" s="62"/>
      <c r="J374" s="62"/>
      <c r="K374" s="62" t="s">
        <v>317</v>
      </c>
      <c r="L374" s="64">
        <v>41.42</v>
      </c>
      <c r="M374" s="64"/>
      <c r="N374" s="65"/>
      <c r="O374" s="66"/>
      <c r="P374" s="62"/>
      <c r="Q374" s="67"/>
      <c r="R374" s="64"/>
      <c r="S374" s="64"/>
      <c r="T374" s="67"/>
      <c r="U374" s="68"/>
      <c r="V374" s="69"/>
    </row>
    <row r="375" spans="1:22" x14ac:dyDescent="0.3">
      <c r="A375" s="61" t="s">
        <v>316</v>
      </c>
      <c r="B375" s="62" t="s">
        <v>317</v>
      </c>
      <c r="C375" s="62" t="s">
        <v>629</v>
      </c>
      <c r="D375" s="62" t="s">
        <v>774</v>
      </c>
      <c r="E375" s="63" t="s">
        <v>374</v>
      </c>
      <c r="F375" s="62" t="s">
        <v>357</v>
      </c>
      <c r="G375" s="62" t="s">
        <v>323</v>
      </c>
      <c r="H375" s="62"/>
      <c r="I375" s="62"/>
      <c r="J375" s="62"/>
      <c r="K375" s="62" t="s">
        <v>317</v>
      </c>
      <c r="L375" s="64">
        <v>1.46</v>
      </c>
      <c r="M375" s="64"/>
      <c r="N375" s="65"/>
      <c r="O375" s="66"/>
      <c r="P375" s="62"/>
      <c r="Q375" s="67"/>
      <c r="R375" s="64"/>
      <c r="S375" s="64"/>
      <c r="T375" s="67"/>
      <c r="U375" s="68"/>
      <c r="V375" s="69"/>
    </row>
    <row r="376" spans="1:22" x14ac:dyDescent="0.3">
      <c r="A376" s="61" t="s">
        <v>316</v>
      </c>
      <c r="B376" s="62" t="s">
        <v>317</v>
      </c>
      <c r="C376" s="62" t="s">
        <v>629</v>
      </c>
      <c r="D376" s="62" t="s">
        <v>775</v>
      </c>
      <c r="E376" s="63" t="s">
        <v>394</v>
      </c>
      <c r="F376" s="62" t="s">
        <v>389</v>
      </c>
      <c r="G376" s="62" t="s">
        <v>272</v>
      </c>
      <c r="H376" s="62" t="s">
        <v>11</v>
      </c>
      <c r="I376" s="62" t="s">
        <v>210</v>
      </c>
      <c r="J376" s="63" t="s">
        <v>273</v>
      </c>
      <c r="K376" s="62" t="s">
        <v>317</v>
      </c>
      <c r="L376" s="64">
        <v>27.150000000000002</v>
      </c>
      <c r="M376" s="64">
        <f>L376*VLOOKUP(H376,dagsoorttabel1,2,FALSE)</f>
        <v>27.150000000000002</v>
      </c>
      <c r="N376" s="65">
        <f>prodnorm42</f>
        <v>0</v>
      </c>
      <c r="O376" s="66">
        <f>dagwerk42</f>
        <v>0</v>
      </c>
      <c r="P376" s="62" t="s">
        <v>40</v>
      </c>
      <c r="Q376" s="67">
        <f>uurtarief42</f>
        <v>0</v>
      </c>
      <c r="R376" s="64" t="e">
        <f>IF(ISBLANK(N376),0,M376/ROUND(N376,4))</f>
        <v>#DIV/0!</v>
      </c>
      <c r="S376" s="64" t="e">
        <f>IF(ISBLANK(N376),0,R376*ROUND(O376,2))</f>
        <v>#DIV/0!</v>
      </c>
      <c r="T376" s="67" t="e">
        <f>ROUND(Q376,2)*R376</f>
        <v>#DIV/0!</v>
      </c>
      <c r="U376" s="64" t="e">
        <f>R376*dagenperjaar1</f>
        <v>#DIV/0!</v>
      </c>
      <c r="V376" s="69" t="e">
        <f>U376*ROUND(Q376,2)</f>
        <v>#DIV/0!</v>
      </c>
    </row>
    <row r="377" spans="1:22" x14ac:dyDescent="0.3">
      <c r="A377" s="61" t="s">
        <v>316</v>
      </c>
      <c r="B377" s="62" t="s">
        <v>317</v>
      </c>
      <c r="C377" s="62" t="s">
        <v>629</v>
      </c>
      <c r="D377" s="62" t="s">
        <v>776</v>
      </c>
      <c r="E377" s="63" t="s">
        <v>391</v>
      </c>
      <c r="F377" s="62" t="s">
        <v>348</v>
      </c>
      <c r="G377" s="62" t="s">
        <v>236</v>
      </c>
      <c r="H377" s="62" t="s">
        <v>14</v>
      </c>
      <c r="I377" s="62" t="s">
        <v>210</v>
      </c>
      <c r="J377" s="63" t="s">
        <v>237</v>
      </c>
      <c r="K377" s="62" t="s">
        <v>317</v>
      </c>
      <c r="L377" s="64">
        <v>30.95</v>
      </c>
      <c r="M377" s="64">
        <f>L377*VLOOKUP(H377,dagsoorttabel1,2,FALSE)</f>
        <v>18.57</v>
      </c>
      <c r="N377" s="65">
        <f>prodnorm23</f>
        <v>0</v>
      </c>
      <c r="O377" s="66">
        <f>dagwerk23</f>
        <v>0</v>
      </c>
      <c r="P377" s="62" t="s">
        <v>40</v>
      </c>
      <c r="Q377" s="67">
        <f>uurtarief23</f>
        <v>0</v>
      </c>
      <c r="R377" s="64" t="e">
        <f>IF(ISBLANK(N377),0,M377/ROUND(N377,4))</f>
        <v>#DIV/0!</v>
      </c>
      <c r="S377" s="64" t="e">
        <f>IF(ISBLANK(N377),0,R377*ROUND(O377,2))</f>
        <v>#DIV/0!</v>
      </c>
      <c r="T377" s="67" t="e">
        <f>ROUND(Q377,2)*R377</f>
        <v>#DIV/0!</v>
      </c>
      <c r="U377" s="64" t="e">
        <f>R377*dagenperjaar1</f>
        <v>#DIV/0!</v>
      </c>
      <c r="V377" s="69" t="e">
        <f>U377*ROUND(Q377,2)</f>
        <v>#DIV/0!</v>
      </c>
    </row>
    <row r="378" spans="1:22" x14ac:dyDescent="0.3">
      <c r="A378" s="61" t="s">
        <v>316</v>
      </c>
      <c r="B378" s="62" t="s">
        <v>317</v>
      </c>
      <c r="C378" s="62" t="s">
        <v>629</v>
      </c>
      <c r="D378" s="62" t="s">
        <v>777</v>
      </c>
      <c r="E378" s="63" t="s">
        <v>356</v>
      </c>
      <c r="F378" s="62" t="s">
        <v>348</v>
      </c>
      <c r="G378" s="62" t="s">
        <v>212</v>
      </c>
      <c r="H378" s="62" t="s">
        <v>17</v>
      </c>
      <c r="I378" s="62" t="s">
        <v>210</v>
      </c>
      <c r="J378" s="63" t="s">
        <v>213</v>
      </c>
      <c r="K378" s="62" t="s">
        <v>317</v>
      </c>
      <c r="L378" s="64">
        <v>38.049999999999997</v>
      </c>
      <c r="M378" s="64">
        <f>L378*VLOOKUP(H378,dagsoorttabel1,2,FALSE)</f>
        <v>7.6099999999999994</v>
      </c>
      <c r="N378" s="65">
        <f>prodnorm11</f>
        <v>0</v>
      </c>
      <c r="O378" s="66">
        <f>dagwerk11</f>
        <v>0</v>
      </c>
      <c r="P378" s="62" t="s">
        <v>40</v>
      </c>
      <c r="Q378" s="67">
        <f>uurtarief11</f>
        <v>0</v>
      </c>
      <c r="R378" s="64" t="e">
        <f>IF(ISBLANK(N378),0,M378/ROUND(N378,4))</f>
        <v>#DIV/0!</v>
      </c>
      <c r="S378" s="64" t="e">
        <f>IF(ISBLANK(N378),0,R378*ROUND(O378,2))</f>
        <v>#DIV/0!</v>
      </c>
      <c r="T378" s="67" t="e">
        <f>ROUND(Q378,2)*R378</f>
        <v>#DIV/0!</v>
      </c>
      <c r="U378" s="64" t="e">
        <f>R378*dagenperjaar1</f>
        <v>#DIV/0!</v>
      </c>
      <c r="V378" s="69" t="e">
        <f>U378*ROUND(Q378,2)</f>
        <v>#DIV/0!</v>
      </c>
    </row>
    <row r="379" spans="1:22" x14ac:dyDescent="0.3">
      <c r="A379" s="61" t="s">
        <v>316</v>
      </c>
      <c r="B379" s="62" t="s">
        <v>317</v>
      </c>
      <c r="C379" s="62" t="s">
        <v>629</v>
      </c>
      <c r="D379" s="62" t="s">
        <v>778</v>
      </c>
      <c r="E379" s="63" t="s">
        <v>391</v>
      </c>
      <c r="F379" s="62" t="s">
        <v>389</v>
      </c>
      <c r="G379" s="62" t="s">
        <v>234</v>
      </c>
      <c r="H379" s="62" t="s">
        <v>14</v>
      </c>
      <c r="I379" s="62" t="s">
        <v>210</v>
      </c>
      <c r="J379" s="63" t="s">
        <v>235</v>
      </c>
      <c r="K379" s="62" t="s">
        <v>317</v>
      </c>
      <c r="L379" s="64">
        <v>88.36999999999999</v>
      </c>
      <c r="M379" s="64">
        <f>L379*VLOOKUP(H379,dagsoorttabel1,2,FALSE)</f>
        <v>53.021999999999991</v>
      </c>
      <c r="N379" s="65">
        <f>prodnorm22</f>
        <v>0</v>
      </c>
      <c r="O379" s="66">
        <f>dagwerk22</f>
        <v>0</v>
      </c>
      <c r="P379" s="62" t="s">
        <v>40</v>
      </c>
      <c r="Q379" s="67">
        <f>uurtarief22</f>
        <v>0</v>
      </c>
      <c r="R379" s="64" t="e">
        <f>IF(ISBLANK(N379),0,M379/ROUND(N379,4))</f>
        <v>#DIV/0!</v>
      </c>
      <c r="S379" s="64" t="e">
        <f>IF(ISBLANK(N379),0,R379*ROUND(O379,2))</f>
        <v>#DIV/0!</v>
      </c>
      <c r="T379" s="67" t="e">
        <f>ROUND(Q379,2)*R379</f>
        <v>#DIV/0!</v>
      </c>
      <c r="U379" s="64" t="e">
        <f>R379*dagenperjaar1</f>
        <v>#DIV/0!</v>
      </c>
      <c r="V379" s="69" t="e">
        <f>U379*ROUND(Q379,2)</f>
        <v>#DIV/0!</v>
      </c>
    </row>
    <row r="380" spans="1:22" x14ac:dyDescent="0.3">
      <c r="A380" s="61" t="s">
        <v>316</v>
      </c>
      <c r="B380" s="62" t="s">
        <v>317</v>
      </c>
      <c r="C380" s="62" t="s">
        <v>629</v>
      </c>
      <c r="D380" s="62" t="s">
        <v>779</v>
      </c>
      <c r="E380" s="63" t="s">
        <v>321</v>
      </c>
      <c r="F380" s="62" t="s">
        <v>389</v>
      </c>
      <c r="G380" s="62" t="s">
        <v>323</v>
      </c>
      <c r="H380" s="62"/>
      <c r="I380" s="62"/>
      <c r="J380" s="62"/>
      <c r="K380" s="62" t="s">
        <v>317</v>
      </c>
      <c r="L380" s="64">
        <v>23.24</v>
      </c>
      <c r="M380" s="64"/>
      <c r="N380" s="65"/>
      <c r="O380" s="66"/>
      <c r="P380" s="62"/>
      <c r="Q380" s="67"/>
      <c r="R380" s="64"/>
      <c r="S380" s="64"/>
      <c r="T380" s="67"/>
      <c r="U380" s="68"/>
      <c r="V380" s="69"/>
    </row>
    <row r="381" spans="1:22" x14ac:dyDescent="0.3">
      <c r="A381" s="61" t="s">
        <v>316</v>
      </c>
      <c r="B381" s="62" t="s">
        <v>317</v>
      </c>
      <c r="C381" s="62" t="s">
        <v>629</v>
      </c>
      <c r="D381" s="62" t="s">
        <v>780</v>
      </c>
      <c r="E381" s="63" t="s">
        <v>394</v>
      </c>
      <c r="F381" s="62" t="s">
        <v>389</v>
      </c>
      <c r="G381" s="62" t="s">
        <v>272</v>
      </c>
      <c r="H381" s="62" t="s">
        <v>11</v>
      </c>
      <c r="I381" s="62" t="s">
        <v>210</v>
      </c>
      <c r="J381" s="63" t="s">
        <v>273</v>
      </c>
      <c r="K381" s="62" t="s">
        <v>317</v>
      </c>
      <c r="L381" s="64">
        <v>37.879999999999995</v>
      </c>
      <c r="M381" s="64">
        <f t="shared" ref="M381:M392" si="126">L381*VLOOKUP(H381,dagsoorttabel1,2,FALSE)</f>
        <v>37.879999999999995</v>
      </c>
      <c r="N381" s="65">
        <f>prodnorm42</f>
        <v>0</v>
      </c>
      <c r="O381" s="66">
        <f>dagwerk42</f>
        <v>0</v>
      </c>
      <c r="P381" s="62" t="s">
        <v>40</v>
      </c>
      <c r="Q381" s="67">
        <f>uurtarief42</f>
        <v>0</v>
      </c>
      <c r="R381" s="64" t="e">
        <f t="shared" ref="R381:R392" si="127">IF(ISBLANK(N381),0,M381/ROUND(N381,4))</f>
        <v>#DIV/0!</v>
      </c>
      <c r="S381" s="64" t="e">
        <f t="shared" ref="S381:S392" si="128">IF(ISBLANK(N381),0,R381*ROUND(O381,2))</f>
        <v>#DIV/0!</v>
      </c>
      <c r="T381" s="67" t="e">
        <f t="shared" ref="T381:T392" si="129">ROUND(Q381,2)*R381</f>
        <v>#DIV/0!</v>
      </c>
      <c r="U381" s="64" t="e">
        <f t="shared" ref="U381:U392" si="130">R381*dagenperjaar1</f>
        <v>#DIV/0!</v>
      </c>
      <c r="V381" s="69" t="e">
        <f t="shared" ref="V381:V392" si="131">U381*ROUND(Q381,2)</f>
        <v>#DIV/0!</v>
      </c>
    </row>
    <row r="382" spans="1:22" x14ac:dyDescent="0.3">
      <c r="A382" s="61" t="s">
        <v>316</v>
      </c>
      <c r="B382" s="62" t="s">
        <v>317</v>
      </c>
      <c r="C382" s="62" t="s">
        <v>629</v>
      </c>
      <c r="D382" s="62" t="s">
        <v>781</v>
      </c>
      <c r="E382" s="63" t="s">
        <v>693</v>
      </c>
      <c r="F382" s="62" t="s">
        <v>389</v>
      </c>
      <c r="G382" s="62" t="s">
        <v>228</v>
      </c>
      <c r="H382" s="62" t="s">
        <v>11</v>
      </c>
      <c r="I382" s="62" t="s">
        <v>210</v>
      </c>
      <c r="J382" s="63" t="s">
        <v>229</v>
      </c>
      <c r="K382" s="62" t="s">
        <v>317</v>
      </c>
      <c r="L382" s="64">
        <v>6.38</v>
      </c>
      <c r="M382" s="64">
        <f t="shared" si="126"/>
        <v>6.38</v>
      </c>
      <c r="N382" s="65">
        <f>prodnorm19</f>
        <v>0</v>
      </c>
      <c r="O382" s="66">
        <f>dagwerk19</f>
        <v>0</v>
      </c>
      <c r="P382" s="62" t="s">
        <v>40</v>
      </c>
      <c r="Q382" s="67">
        <f>uurtarief19</f>
        <v>0</v>
      </c>
      <c r="R382" s="64" t="e">
        <f t="shared" si="127"/>
        <v>#DIV/0!</v>
      </c>
      <c r="S382" s="64" t="e">
        <f t="shared" si="128"/>
        <v>#DIV/0!</v>
      </c>
      <c r="T382" s="67" t="e">
        <f t="shared" si="129"/>
        <v>#DIV/0!</v>
      </c>
      <c r="U382" s="64" t="e">
        <f t="shared" si="130"/>
        <v>#DIV/0!</v>
      </c>
      <c r="V382" s="69" t="e">
        <f t="shared" si="131"/>
        <v>#DIV/0!</v>
      </c>
    </row>
    <row r="383" spans="1:22" x14ac:dyDescent="0.3">
      <c r="A383" s="61" t="s">
        <v>316</v>
      </c>
      <c r="B383" s="62" t="s">
        <v>317</v>
      </c>
      <c r="C383" s="62" t="s">
        <v>629</v>
      </c>
      <c r="D383" s="62" t="s">
        <v>782</v>
      </c>
      <c r="E383" s="63" t="s">
        <v>352</v>
      </c>
      <c r="F383" s="62" t="s">
        <v>353</v>
      </c>
      <c r="G383" s="62" t="s">
        <v>266</v>
      </c>
      <c r="H383" s="62" t="s">
        <v>11</v>
      </c>
      <c r="I383" s="62" t="s">
        <v>210</v>
      </c>
      <c r="J383" s="63" t="s">
        <v>267</v>
      </c>
      <c r="K383" s="62" t="s">
        <v>317</v>
      </c>
      <c r="L383" s="64">
        <v>4.8599999999999994</v>
      </c>
      <c r="M383" s="64">
        <f t="shared" si="126"/>
        <v>4.8599999999999994</v>
      </c>
      <c r="N383" s="65">
        <f>prodnorm39</f>
        <v>0</v>
      </c>
      <c r="O383" s="66">
        <f>dagwerk39</f>
        <v>0</v>
      </c>
      <c r="P383" s="62" t="s">
        <v>40</v>
      </c>
      <c r="Q383" s="67">
        <f>uurtarief39</f>
        <v>0</v>
      </c>
      <c r="R383" s="64" t="e">
        <f t="shared" si="127"/>
        <v>#DIV/0!</v>
      </c>
      <c r="S383" s="64" t="e">
        <f t="shared" si="128"/>
        <v>#DIV/0!</v>
      </c>
      <c r="T383" s="67" t="e">
        <f t="shared" si="129"/>
        <v>#DIV/0!</v>
      </c>
      <c r="U383" s="64" t="e">
        <f t="shared" si="130"/>
        <v>#DIV/0!</v>
      </c>
      <c r="V383" s="69" t="e">
        <f t="shared" si="131"/>
        <v>#DIV/0!</v>
      </c>
    </row>
    <row r="384" spans="1:22" x14ac:dyDescent="0.3">
      <c r="A384" s="61" t="s">
        <v>316</v>
      </c>
      <c r="B384" s="62" t="s">
        <v>317</v>
      </c>
      <c r="C384" s="62" t="s">
        <v>629</v>
      </c>
      <c r="D384" s="62" t="s">
        <v>783</v>
      </c>
      <c r="E384" s="63" t="s">
        <v>391</v>
      </c>
      <c r="F384" s="62" t="s">
        <v>389</v>
      </c>
      <c r="G384" s="62" t="s">
        <v>234</v>
      </c>
      <c r="H384" s="62" t="s">
        <v>14</v>
      </c>
      <c r="I384" s="62" t="s">
        <v>210</v>
      </c>
      <c r="J384" s="63" t="s">
        <v>235</v>
      </c>
      <c r="K384" s="62" t="s">
        <v>317</v>
      </c>
      <c r="L384" s="64">
        <v>65</v>
      </c>
      <c r="M384" s="64">
        <f t="shared" si="126"/>
        <v>39</v>
      </c>
      <c r="N384" s="65">
        <f>prodnorm22</f>
        <v>0</v>
      </c>
      <c r="O384" s="66">
        <f>dagwerk22</f>
        <v>0</v>
      </c>
      <c r="P384" s="62" t="s">
        <v>40</v>
      </c>
      <c r="Q384" s="67">
        <f>uurtarief22</f>
        <v>0</v>
      </c>
      <c r="R384" s="64" t="e">
        <f t="shared" si="127"/>
        <v>#DIV/0!</v>
      </c>
      <c r="S384" s="64" t="e">
        <f t="shared" si="128"/>
        <v>#DIV/0!</v>
      </c>
      <c r="T384" s="67" t="e">
        <f t="shared" si="129"/>
        <v>#DIV/0!</v>
      </c>
      <c r="U384" s="64" t="e">
        <f t="shared" si="130"/>
        <v>#DIV/0!</v>
      </c>
      <c r="V384" s="69" t="e">
        <f t="shared" si="131"/>
        <v>#DIV/0!</v>
      </c>
    </row>
    <row r="385" spans="1:22" x14ac:dyDescent="0.3">
      <c r="A385" s="61" t="s">
        <v>316</v>
      </c>
      <c r="B385" s="62" t="s">
        <v>317</v>
      </c>
      <c r="C385" s="62" t="s">
        <v>629</v>
      </c>
      <c r="D385" s="62" t="s">
        <v>784</v>
      </c>
      <c r="E385" s="63" t="s">
        <v>391</v>
      </c>
      <c r="F385" s="62" t="s">
        <v>389</v>
      </c>
      <c r="G385" s="62" t="s">
        <v>234</v>
      </c>
      <c r="H385" s="62" t="s">
        <v>14</v>
      </c>
      <c r="I385" s="62" t="s">
        <v>210</v>
      </c>
      <c r="J385" s="63" t="s">
        <v>235</v>
      </c>
      <c r="K385" s="62" t="s">
        <v>317</v>
      </c>
      <c r="L385" s="64">
        <v>65.14</v>
      </c>
      <c r="M385" s="64">
        <f t="shared" si="126"/>
        <v>39.083999999999996</v>
      </c>
      <c r="N385" s="65">
        <f>prodnorm22</f>
        <v>0</v>
      </c>
      <c r="O385" s="66">
        <f>dagwerk22</f>
        <v>0</v>
      </c>
      <c r="P385" s="62" t="s">
        <v>40</v>
      </c>
      <c r="Q385" s="67">
        <f>uurtarief22</f>
        <v>0</v>
      </c>
      <c r="R385" s="64" t="e">
        <f t="shared" si="127"/>
        <v>#DIV/0!</v>
      </c>
      <c r="S385" s="64" t="e">
        <f t="shared" si="128"/>
        <v>#DIV/0!</v>
      </c>
      <c r="T385" s="67" t="e">
        <f t="shared" si="129"/>
        <v>#DIV/0!</v>
      </c>
      <c r="U385" s="64" t="e">
        <f t="shared" si="130"/>
        <v>#DIV/0!</v>
      </c>
      <c r="V385" s="69" t="e">
        <f t="shared" si="131"/>
        <v>#DIV/0!</v>
      </c>
    </row>
    <row r="386" spans="1:22" x14ac:dyDescent="0.3">
      <c r="A386" s="61" t="s">
        <v>316</v>
      </c>
      <c r="B386" s="62" t="s">
        <v>317</v>
      </c>
      <c r="C386" s="62" t="s">
        <v>629</v>
      </c>
      <c r="D386" s="62" t="s">
        <v>785</v>
      </c>
      <c r="E386" s="63" t="s">
        <v>400</v>
      </c>
      <c r="F386" s="62" t="s">
        <v>348</v>
      </c>
      <c r="G386" s="62" t="s">
        <v>216</v>
      </c>
      <c r="H386" s="62" t="s">
        <v>14</v>
      </c>
      <c r="I386" s="62" t="s">
        <v>210</v>
      </c>
      <c r="J386" s="63" t="s">
        <v>217</v>
      </c>
      <c r="K386" s="62" t="s">
        <v>317</v>
      </c>
      <c r="L386" s="64">
        <v>18.64</v>
      </c>
      <c r="M386" s="64">
        <f t="shared" si="126"/>
        <v>11.183999999999999</v>
      </c>
      <c r="N386" s="65">
        <f>prodnorm13</f>
        <v>0</v>
      </c>
      <c r="O386" s="66">
        <f>dagwerk13</f>
        <v>0</v>
      </c>
      <c r="P386" s="62" t="s">
        <v>40</v>
      </c>
      <c r="Q386" s="67">
        <f>uurtarief13</f>
        <v>0</v>
      </c>
      <c r="R386" s="64" t="e">
        <f t="shared" si="127"/>
        <v>#DIV/0!</v>
      </c>
      <c r="S386" s="64" t="e">
        <f t="shared" si="128"/>
        <v>#DIV/0!</v>
      </c>
      <c r="T386" s="67" t="e">
        <f t="shared" si="129"/>
        <v>#DIV/0!</v>
      </c>
      <c r="U386" s="64" t="e">
        <f t="shared" si="130"/>
        <v>#DIV/0!</v>
      </c>
      <c r="V386" s="69" t="e">
        <f t="shared" si="131"/>
        <v>#DIV/0!</v>
      </c>
    </row>
    <row r="387" spans="1:22" x14ac:dyDescent="0.3">
      <c r="A387" s="61" t="s">
        <v>316</v>
      </c>
      <c r="B387" s="62" t="s">
        <v>317</v>
      </c>
      <c r="C387" s="62" t="s">
        <v>629</v>
      </c>
      <c r="D387" s="62" t="s">
        <v>786</v>
      </c>
      <c r="E387" s="63" t="s">
        <v>400</v>
      </c>
      <c r="F387" s="62" t="s">
        <v>348</v>
      </c>
      <c r="G387" s="62" t="s">
        <v>216</v>
      </c>
      <c r="H387" s="62" t="s">
        <v>14</v>
      </c>
      <c r="I387" s="62" t="s">
        <v>210</v>
      </c>
      <c r="J387" s="63" t="s">
        <v>217</v>
      </c>
      <c r="K387" s="62" t="s">
        <v>317</v>
      </c>
      <c r="L387" s="64">
        <v>15.96</v>
      </c>
      <c r="M387" s="64">
        <f t="shared" si="126"/>
        <v>9.5760000000000005</v>
      </c>
      <c r="N387" s="65">
        <f>prodnorm13</f>
        <v>0</v>
      </c>
      <c r="O387" s="66">
        <f>dagwerk13</f>
        <v>0</v>
      </c>
      <c r="P387" s="62" t="s">
        <v>40</v>
      </c>
      <c r="Q387" s="67">
        <f>uurtarief13</f>
        <v>0</v>
      </c>
      <c r="R387" s="64" t="e">
        <f t="shared" si="127"/>
        <v>#DIV/0!</v>
      </c>
      <c r="S387" s="64" t="e">
        <f t="shared" si="128"/>
        <v>#DIV/0!</v>
      </c>
      <c r="T387" s="67" t="e">
        <f t="shared" si="129"/>
        <v>#DIV/0!</v>
      </c>
      <c r="U387" s="64" t="e">
        <f t="shared" si="130"/>
        <v>#DIV/0!</v>
      </c>
      <c r="V387" s="69" t="e">
        <f t="shared" si="131"/>
        <v>#DIV/0!</v>
      </c>
    </row>
    <row r="388" spans="1:22" x14ac:dyDescent="0.3">
      <c r="A388" s="61" t="s">
        <v>316</v>
      </c>
      <c r="B388" s="62" t="s">
        <v>317</v>
      </c>
      <c r="C388" s="62" t="s">
        <v>629</v>
      </c>
      <c r="D388" s="62" t="s">
        <v>787</v>
      </c>
      <c r="E388" s="63" t="s">
        <v>619</v>
      </c>
      <c r="F388" s="62" t="s">
        <v>389</v>
      </c>
      <c r="G388" s="62" t="s">
        <v>238</v>
      </c>
      <c r="H388" s="62" t="s">
        <v>11</v>
      </c>
      <c r="I388" s="62" t="s">
        <v>210</v>
      </c>
      <c r="J388" s="63" t="s">
        <v>239</v>
      </c>
      <c r="K388" s="62" t="s">
        <v>317</v>
      </c>
      <c r="L388" s="64">
        <v>75.81</v>
      </c>
      <c r="M388" s="64">
        <f t="shared" si="126"/>
        <v>75.81</v>
      </c>
      <c r="N388" s="65">
        <f>prodnorm24</f>
        <v>0</v>
      </c>
      <c r="O388" s="66">
        <f>dagwerk24</f>
        <v>0</v>
      </c>
      <c r="P388" s="62" t="s">
        <v>40</v>
      </c>
      <c r="Q388" s="67">
        <f>uurtarief24</f>
        <v>0</v>
      </c>
      <c r="R388" s="64" t="e">
        <f t="shared" si="127"/>
        <v>#DIV/0!</v>
      </c>
      <c r="S388" s="64" t="e">
        <f t="shared" si="128"/>
        <v>#DIV/0!</v>
      </c>
      <c r="T388" s="67" t="e">
        <f t="shared" si="129"/>
        <v>#DIV/0!</v>
      </c>
      <c r="U388" s="64" t="e">
        <f t="shared" si="130"/>
        <v>#DIV/0!</v>
      </c>
      <c r="V388" s="69" t="e">
        <f t="shared" si="131"/>
        <v>#DIV/0!</v>
      </c>
    </row>
    <row r="389" spans="1:22" x14ac:dyDescent="0.3">
      <c r="A389" s="61" t="s">
        <v>316</v>
      </c>
      <c r="B389" s="62" t="s">
        <v>317</v>
      </c>
      <c r="C389" s="62" t="s">
        <v>629</v>
      </c>
      <c r="D389" s="62" t="s">
        <v>788</v>
      </c>
      <c r="E389" s="63" t="s">
        <v>619</v>
      </c>
      <c r="F389" s="62" t="s">
        <v>389</v>
      </c>
      <c r="G389" s="62" t="s">
        <v>238</v>
      </c>
      <c r="H389" s="62" t="s">
        <v>11</v>
      </c>
      <c r="I389" s="62" t="s">
        <v>210</v>
      </c>
      <c r="J389" s="63" t="s">
        <v>239</v>
      </c>
      <c r="K389" s="62" t="s">
        <v>317</v>
      </c>
      <c r="L389" s="64">
        <v>153.59</v>
      </c>
      <c r="M389" s="64">
        <f t="shared" si="126"/>
        <v>153.59</v>
      </c>
      <c r="N389" s="65">
        <f>prodnorm24</f>
        <v>0</v>
      </c>
      <c r="O389" s="66">
        <f>dagwerk24</f>
        <v>0</v>
      </c>
      <c r="P389" s="62" t="s">
        <v>40</v>
      </c>
      <c r="Q389" s="67">
        <f>uurtarief24</f>
        <v>0</v>
      </c>
      <c r="R389" s="64" t="e">
        <f t="shared" si="127"/>
        <v>#DIV/0!</v>
      </c>
      <c r="S389" s="64" t="e">
        <f t="shared" si="128"/>
        <v>#DIV/0!</v>
      </c>
      <c r="T389" s="67" t="e">
        <f t="shared" si="129"/>
        <v>#DIV/0!</v>
      </c>
      <c r="U389" s="64" t="e">
        <f t="shared" si="130"/>
        <v>#DIV/0!</v>
      </c>
      <c r="V389" s="69" t="e">
        <f t="shared" si="131"/>
        <v>#DIV/0!</v>
      </c>
    </row>
    <row r="390" spans="1:22" x14ac:dyDescent="0.3">
      <c r="A390" s="61" t="s">
        <v>316</v>
      </c>
      <c r="B390" s="62" t="s">
        <v>317</v>
      </c>
      <c r="C390" s="62" t="s">
        <v>629</v>
      </c>
      <c r="D390" s="62" t="s">
        <v>789</v>
      </c>
      <c r="E390" s="63" t="s">
        <v>536</v>
      </c>
      <c r="F390" s="62" t="s">
        <v>348</v>
      </c>
      <c r="G390" s="62" t="s">
        <v>216</v>
      </c>
      <c r="H390" s="62" t="s">
        <v>14</v>
      </c>
      <c r="I390" s="62" t="s">
        <v>210</v>
      </c>
      <c r="J390" s="63" t="s">
        <v>217</v>
      </c>
      <c r="K390" s="62" t="s">
        <v>317</v>
      </c>
      <c r="L390" s="64">
        <v>15.55</v>
      </c>
      <c r="M390" s="64">
        <f t="shared" si="126"/>
        <v>9.33</v>
      </c>
      <c r="N390" s="65">
        <f>prodnorm13</f>
        <v>0</v>
      </c>
      <c r="O390" s="66">
        <f>dagwerk13</f>
        <v>0</v>
      </c>
      <c r="P390" s="62" t="s">
        <v>40</v>
      </c>
      <c r="Q390" s="67">
        <f>uurtarief13</f>
        <v>0</v>
      </c>
      <c r="R390" s="64" t="e">
        <f t="shared" si="127"/>
        <v>#DIV/0!</v>
      </c>
      <c r="S390" s="64" t="e">
        <f t="shared" si="128"/>
        <v>#DIV/0!</v>
      </c>
      <c r="T390" s="67" t="e">
        <f t="shared" si="129"/>
        <v>#DIV/0!</v>
      </c>
      <c r="U390" s="64" t="e">
        <f t="shared" si="130"/>
        <v>#DIV/0!</v>
      </c>
      <c r="V390" s="69" t="e">
        <f t="shared" si="131"/>
        <v>#DIV/0!</v>
      </c>
    </row>
    <row r="391" spans="1:22" x14ac:dyDescent="0.3">
      <c r="A391" s="61" t="s">
        <v>316</v>
      </c>
      <c r="B391" s="62" t="s">
        <v>317</v>
      </c>
      <c r="C391" s="62" t="s">
        <v>629</v>
      </c>
      <c r="D391" s="62" t="s">
        <v>790</v>
      </c>
      <c r="E391" s="63" t="s">
        <v>391</v>
      </c>
      <c r="F391" s="62" t="s">
        <v>389</v>
      </c>
      <c r="G391" s="62" t="s">
        <v>234</v>
      </c>
      <c r="H391" s="62" t="s">
        <v>14</v>
      </c>
      <c r="I391" s="62" t="s">
        <v>210</v>
      </c>
      <c r="J391" s="63" t="s">
        <v>235</v>
      </c>
      <c r="K391" s="62" t="s">
        <v>317</v>
      </c>
      <c r="L391" s="64">
        <v>61.730000000000004</v>
      </c>
      <c r="M391" s="64">
        <f t="shared" si="126"/>
        <v>37.038000000000004</v>
      </c>
      <c r="N391" s="65">
        <f>prodnorm22</f>
        <v>0</v>
      </c>
      <c r="O391" s="66">
        <f>dagwerk22</f>
        <v>0</v>
      </c>
      <c r="P391" s="62" t="s">
        <v>40</v>
      </c>
      <c r="Q391" s="67">
        <f>uurtarief22</f>
        <v>0</v>
      </c>
      <c r="R391" s="64" t="e">
        <f t="shared" si="127"/>
        <v>#DIV/0!</v>
      </c>
      <c r="S391" s="64" t="e">
        <f t="shared" si="128"/>
        <v>#DIV/0!</v>
      </c>
      <c r="T391" s="67" t="e">
        <f t="shared" si="129"/>
        <v>#DIV/0!</v>
      </c>
      <c r="U391" s="64" t="e">
        <f t="shared" si="130"/>
        <v>#DIV/0!</v>
      </c>
      <c r="V391" s="69" t="e">
        <f t="shared" si="131"/>
        <v>#DIV/0!</v>
      </c>
    </row>
    <row r="392" spans="1:22" x14ac:dyDescent="0.3">
      <c r="A392" s="61" t="s">
        <v>316</v>
      </c>
      <c r="B392" s="62" t="s">
        <v>317</v>
      </c>
      <c r="C392" s="62" t="s">
        <v>629</v>
      </c>
      <c r="D392" s="62" t="s">
        <v>791</v>
      </c>
      <c r="E392" s="63" t="s">
        <v>391</v>
      </c>
      <c r="F392" s="62" t="s">
        <v>389</v>
      </c>
      <c r="G392" s="62" t="s">
        <v>234</v>
      </c>
      <c r="H392" s="62" t="s">
        <v>14</v>
      </c>
      <c r="I392" s="62" t="s">
        <v>210</v>
      </c>
      <c r="J392" s="63" t="s">
        <v>235</v>
      </c>
      <c r="K392" s="62" t="s">
        <v>317</v>
      </c>
      <c r="L392" s="64">
        <v>63.06</v>
      </c>
      <c r="M392" s="64">
        <f t="shared" si="126"/>
        <v>37.835999999999999</v>
      </c>
      <c r="N392" s="65">
        <f>prodnorm22</f>
        <v>0</v>
      </c>
      <c r="O392" s="66">
        <f>dagwerk22</f>
        <v>0</v>
      </c>
      <c r="P392" s="62" t="s">
        <v>40</v>
      </c>
      <c r="Q392" s="67">
        <f>uurtarief22</f>
        <v>0</v>
      </c>
      <c r="R392" s="64" t="e">
        <f t="shared" si="127"/>
        <v>#DIV/0!</v>
      </c>
      <c r="S392" s="64" t="e">
        <f t="shared" si="128"/>
        <v>#DIV/0!</v>
      </c>
      <c r="T392" s="67" t="e">
        <f t="shared" si="129"/>
        <v>#DIV/0!</v>
      </c>
      <c r="U392" s="64" t="e">
        <f t="shared" si="130"/>
        <v>#DIV/0!</v>
      </c>
      <c r="V392" s="69" t="e">
        <f t="shared" si="131"/>
        <v>#DIV/0!</v>
      </c>
    </row>
    <row r="393" spans="1:22" x14ac:dyDescent="0.3">
      <c r="A393" s="61" t="s">
        <v>316</v>
      </c>
      <c r="B393" s="62" t="s">
        <v>317</v>
      </c>
      <c r="C393" s="62" t="s">
        <v>629</v>
      </c>
      <c r="D393" s="62" t="s">
        <v>792</v>
      </c>
      <c r="E393" s="63" t="s">
        <v>374</v>
      </c>
      <c r="F393" s="62" t="s">
        <v>322</v>
      </c>
      <c r="G393" s="62" t="s">
        <v>323</v>
      </c>
      <c r="H393" s="62"/>
      <c r="I393" s="62"/>
      <c r="J393" s="62"/>
      <c r="K393" s="62" t="s">
        <v>317</v>
      </c>
      <c r="L393" s="64">
        <v>124.1</v>
      </c>
      <c r="M393" s="64"/>
      <c r="N393" s="65"/>
      <c r="O393" s="66"/>
      <c r="P393" s="62"/>
      <c r="Q393" s="67"/>
      <c r="R393" s="64"/>
      <c r="S393" s="64"/>
      <c r="T393" s="67"/>
      <c r="U393" s="68"/>
      <c r="V393" s="69"/>
    </row>
    <row r="394" spans="1:22" x14ac:dyDescent="0.3">
      <c r="A394" s="61" t="s">
        <v>316</v>
      </c>
      <c r="B394" s="62" t="s">
        <v>317</v>
      </c>
      <c r="C394" s="62" t="s">
        <v>629</v>
      </c>
      <c r="D394" s="62" t="s">
        <v>793</v>
      </c>
      <c r="E394" s="63" t="s">
        <v>391</v>
      </c>
      <c r="F394" s="62" t="s">
        <v>348</v>
      </c>
      <c r="G394" s="62" t="s">
        <v>236</v>
      </c>
      <c r="H394" s="62" t="s">
        <v>14</v>
      </c>
      <c r="I394" s="62" t="s">
        <v>210</v>
      </c>
      <c r="J394" s="63" t="s">
        <v>237</v>
      </c>
      <c r="K394" s="62" t="s">
        <v>317</v>
      </c>
      <c r="L394" s="64">
        <v>52.46</v>
      </c>
      <c r="M394" s="64">
        <f t="shared" ref="M394:M403" si="132">L394*VLOOKUP(H394,dagsoorttabel1,2,FALSE)</f>
        <v>31.475999999999999</v>
      </c>
      <c r="N394" s="65">
        <f>prodnorm23</f>
        <v>0</v>
      </c>
      <c r="O394" s="66">
        <f>dagwerk23</f>
        <v>0</v>
      </c>
      <c r="P394" s="62" t="s">
        <v>40</v>
      </c>
      <c r="Q394" s="67">
        <f>uurtarief23</f>
        <v>0</v>
      </c>
      <c r="R394" s="64" t="e">
        <f t="shared" ref="R394:R403" si="133">IF(ISBLANK(N394),0,M394/ROUND(N394,4))</f>
        <v>#DIV/0!</v>
      </c>
      <c r="S394" s="64" t="e">
        <f t="shared" ref="S394:S403" si="134">IF(ISBLANK(N394),0,R394*ROUND(O394,2))</f>
        <v>#DIV/0!</v>
      </c>
      <c r="T394" s="67" t="e">
        <f t="shared" ref="T394:T403" si="135">ROUND(Q394,2)*R394</f>
        <v>#DIV/0!</v>
      </c>
      <c r="U394" s="64" t="e">
        <f t="shared" ref="U394:U403" si="136">R394*dagenperjaar1</f>
        <v>#DIV/0!</v>
      </c>
      <c r="V394" s="69" t="e">
        <f t="shared" ref="V394:V403" si="137">U394*ROUND(Q394,2)</f>
        <v>#DIV/0!</v>
      </c>
    </row>
    <row r="395" spans="1:22" x14ac:dyDescent="0.3">
      <c r="A395" s="61" t="s">
        <v>316</v>
      </c>
      <c r="B395" s="62" t="s">
        <v>317</v>
      </c>
      <c r="C395" s="62" t="s">
        <v>629</v>
      </c>
      <c r="D395" s="62" t="s">
        <v>794</v>
      </c>
      <c r="E395" s="63" t="s">
        <v>391</v>
      </c>
      <c r="F395" s="62" t="s">
        <v>348</v>
      </c>
      <c r="G395" s="62" t="s">
        <v>236</v>
      </c>
      <c r="H395" s="62" t="s">
        <v>14</v>
      </c>
      <c r="I395" s="62" t="s">
        <v>210</v>
      </c>
      <c r="J395" s="63" t="s">
        <v>237</v>
      </c>
      <c r="K395" s="62" t="s">
        <v>317</v>
      </c>
      <c r="L395" s="64">
        <v>67.38</v>
      </c>
      <c r="M395" s="64">
        <f t="shared" si="132"/>
        <v>40.427999999999997</v>
      </c>
      <c r="N395" s="65">
        <f>prodnorm23</f>
        <v>0</v>
      </c>
      <c r="O395" s="66">
        <f>dagwerk23</f>
        <v>0</v>
      </c>
      <c r="P395" s="62" t="s">
        <v>40</v>
      </c>
      <c r="Q395" s="67">
        <f>uurtarief23</f>
        <v>0</v>
      </c>
      <c r="R395" s="64" t="e">
        <f t="shared" si="133"/>
        <v>#DIV/0!</v>
      </c>
      <c r="S395" s="64" t="e">
        <f t="shared" si="134"/>
        <v>#DIV/0!</v>
      </c>
      <c r="T395" s="67" t="e">
        <f t="shared" si="135"/>
        <v>#DIV/0!</v>
      </c>
      <c r="U395" s="64" t="e">
        <f t="shared" si="136"/>
        <v>#DIV/0!</v>
      </c>
      <c r="V395" s="69" t="e">
        <f t="shared" si="137"/>
        <v>#DIV/0!</v>
      </c>
    </row>
    <row r="396" spans="1:22" x14ac:dyDescent="0.3">
      <c r="A396" s="61" t="s">
        <v>316</v>
      </c>
      <c r="B396" s="62" t="s">
        <v>317</v>
      </c>
      <c r="C396" s="62" t="s">
        <v>629</v>
      </c>
      <c r="D396" s="62" t="s">
        <v>795</v>
      </c>
      <c r="E396" s="63" t="s">
        <v>394</v>
      </c>
      <c r="F396" s="62" t="s">
        <v>389</v>
      </c>
      <c r="G396" s="62" t="s">
        <v>272</v>
      </c>
      <c r="H396" s="62" t="s">
        <v>11</v>
      </c>
      <c r="I396" s="62" t="s">
        <v>210</v>
      </c>
      <c r="J396" s="63" t="s">
        <v>273</v>
      </c>
      <c r="K396" s="62" t="s">
        <v>317</v>
      </c>
      <c r="L396" s="64">
        <v>128.23999999999998</v>
      </c>
      <c r="M396" s="64">
        <f t="shared" si="132"/>
        <v>128.23999999999998</v>
      </c>
      <c r="N396" s="65">
        <f>prodnorm42</f>
        <v>0</v>
      </c>
      <c r="O396" s="66">
        <f>dagwerk42</f>
        <v>0</v>
      </c>
      <c r="P396" s="62" t="s">
        <v>40</v>
      </c>
      <c r="Q396" s="67">
        <f>uurtarief42</f>
        <v>0</v>
      </c>
      <c r="R396" s="64" t="e">
        <f t="shared" si="133"/>
        <v>#DIV/0!</v>
      </c>
      <c r="S396" s="64" t="e">
        <f t="shared" si="134"/>
        <v>#DIV/0!</v>
      </c>
      <c r="T396" s="67" t="e">
        <f t="shared" si="135"/>
        <v>#DIV/0!</v>
      </c>
      <c r="U396" s="64" t="e">
        <f t="shared" si="136"/>
        <v>#DIV/0!</v>
      </c>
      <c r="V396" s="69" t="e">
        <f t="shared" si="137"/>
        <v>#DIV/0!</v>
      </c>
    </row>
    <row r="397" spans="1:22" x14ac:dyDescent="0.3">
      <c r="A397" s="61" t="s">
        <v>316</v>
      </c>
      <c r="B397" s="62" t="s">
        <v>317</v>
      </c>
      <c r="C397" s="62" t="s">
        <v>629</v>
      </c>
      <c r="D397" s="62" t="s">
        <v>796</v>
      </c>
      <c r="E397" s="63" t="s">
        <v>613</v>
      </c>
      <c r="F397" s="62" t="s">
        <v>389</v>
      </c>
      <c r="G397" s="62" t="s">
        <v>272</v>
      </c>
      <c r="H397" s="62" t="s">
        <v>11</v>
      </c>
      <c r="I397" s="62" t="s">
        <v>210</v>
      </c>
      <c r="J397" s="63" t="s">
        <v>273</v>
      </c>
      <c r="K397" s="62" t="s">
        <v>317</v>
      </c>
      <c r="L397" s="64">
        <v>31.919999999999998</v>
      </c>
      <c r="M397" s="64">
        <f t="shared" si="132"/>
        <v>31.919999999999998</v>
      </c>
      <c r="N397" s="65">
        <f>prodnorm42</f>
        <v>0</v>
      </c>
      <c r="O397" s="66">
        <f>dagwerk42</f>
        <v>0</v>
      </c>
      <c r="P397" s="62" t="s">
        <v>40</v>
      </c>
      <c r="Q397" s="67">
        <f>uurtarief42</f>
        <v>0</v>
      </c>
      <c r="R397" s="64" t="e">
        <f t="shared" si="133"/>
        <v>#DIV/0!</v>
      </c>
      <c r="S397" s="64" t="e">
        <f t="shared" si="134"/>
        <v>#DIV/0!</v>
      </c>
      <c r="T397" s="67" t="e">
        <f t="shared" si="135"/>
        <v>#DIV/0!</v>
      </c>
      <c r="U397" s="64" t="e">
        <f t="shared" si="136"/>
        <v>#DIV/0!</v>
      </c>
      <c r="V397" s="69" t="e">
        <f t="shared" si="137"/>
        <v>#DIV/0!</v>
      </c>
    </row>
    <row r="398" spans="1:22" x14ac:dyDescent="0.3">
      <c r="A398" s="61" t="s">
        <v>316</v>
      </c>
      <c r="B398" s="62" t="s">
        <v>317</v>
      </c>
      <c r="C398" s="62" t="s">
        <v>629</v>
      </c>
      <c r="D398" s="62" t="s">
        <v>797</v>
      </c>
      <c r="E398" s="63" t="s">
        <v>394</v>
      </c>
      <c r="F398" s="62" t="s">
        <v>389</v>
      </c>
      <c r="G398" s="62" t="s">
        <v>272</v>
      </c>
      <c r="H398" s="62" t="s">
        <v>11</v>
      </c>
      <c r="I398" s="62" t="s">
        <v>210</v>
      </c>
      <c r="J398" s="63" t="s">
        <v>273</v>
      </c>
      <c r="K398" s="62" t="s">
        <v>317</v>
      </c>
      <c r="L398" s="64">
        <v>51.620000000000005</v>
      </c>
      <c r="M398" s="64">
        <f t="shared" si="132"/>
        <v>51.620000000000005</v>
      </c>
      <c r="N398" s="65">
        <f>prodnorm42</f>
        <v>0</v>
      </c>
      <c r="O398" s="66">
        <f>dagwerk42</f>
        <v>0</v>
      </c>
      <c r="P398" s="62" t="s">
        <v>40</v>
      </c>
      <c r="Q398" s="67">
        <f>uurtarief42</f>
        <v>0</v>
      </c>
      <c r="R398" s="64" t="e">
        <f t="shared" si="133"/>
        <v>#DIV/0!</v>
      </c>
      <c r="S398" s="64" t="e">
        <f t="shared" si="134"/>
        <v>#DIV/0!</v>
      </c>
      <c r="T398" s="67" t="e">
        <f t="shared" si="135"/>
        <v>#DIV/0!</v>
      </c>
      <c r="U398" s="64" t="e">
        <f t="shared" si="136"/>
        <v>#DIV/0!</v>
      </c>
      <c r="V398" s="69" t="e">
        <f t="shared" si="137"/>
        <v>#DIV/0!</v>
      </c>
    </row>
    <row r="399" spans="1:22" x14ac:dyDescent="0.3">
      <c r="A399" s="61" t="s">
        <v>316</v>
      </c>
      <c r="B399" s="62" t="s">
        <v>317</v>
      </c>
      <c r="C399" s="62" t="s">
        <v>629</v>
      </c>
      <c r="D399" s="62" t="s">
        <v>798</v>
      </c>
      <c r="E399" s="63" t="s">
        <v>330</v>
      </c>
      <c r="F399" s="62" t="s">
        <v>389</v>
      </c>
      <c r="G399" s="62" t="s">
        <v>286</v>
      </c>
      <c r="H399" s="62" t="s">
        <v>11</v>
      </c>
      <c r="I399" s="62" t="s">
        <v>210</v>
      </c>
      <c r="J399" s="63" t="s">
        <v>287</v>
      </c>
      <c r="K399" s="62" t="s">
        <v>317</v>
      </c>
      <c r="L399" s="64">
        <v>7.54</v>
      </c>
      <c r="M399" s="64">
        <f t="shared" si="132"/>
        <v>7.54</v>
      </c>
      <c r="N399" s="65">
        <f>prodnorm49</f>
        <v>0</v>
      </c>
      <c r="O399" s="66">
        <f>dagwerk49</f>
        <v>0</v>
      </c>
      <c r="P399" s="62" t="s">
        <v>40</v>
      </c>
      <c r="Q399" s="67">
        <f>uurtarief49</f>
        <v>0</v>
      </c>
      <c r="R399" s="64" t="e">
        <f t="shared" si="133"/>
        <v>#DIV/0!</v>
      </c>
      <c r="S399" s="64" t="e">
        <f t="shared" si="134"/>
        <v>#DIV/0!</v>
      </c>
      <c r="T399" s="67" t="e">
        <f t="shared" si="135"/>
        <v>#DIV/0!</v>
      </c>
      <c r="U399" s="64" t="e">
        <f t="shared" si="136"/>
        <v>#DIV/0!</v>
      </c>
      <c r="V399" s="69" t="e">
        <f t="shared" si="137"/>
        <v>#DIV/0!</v>
      </c>
    </row>
    <row r="400" spans="1:22" x14ac:dyDescent="0.3">
      <c r="A400" s="61" t="s">
        <v>316</v>
      </c>
      <c r="B400" s="62" t="s">
        <v>317</v>
      </c>
      <c r="C400" s="62" t="s">
        <v>629</v>
      </c>
      <c r="D400" s="62" t="s">
        <v>799</v>
      </c>
      <c r="E400" s="63" t="s">
        <v>352</v>
      </c>
      <c r="F400" s="62" t="s">
        <v>353</v>
      </c>
      <c r="G400" s="62" t="s">
        <v>266</v>
      </c>
      <c r="H400" s="62" t="s">
        <v>11</v>
      </c>
      <c r="I400" s="62" t="s">
        <v>210</v>
      </c>
      <c r="J400" s="63" t="s">
        <v>267</v>
      </c>
      <c r="K400" s="62" t="s">
        <v>317</v>
      </c>
      <c r="L400" s="64">
        <v>10.51</v>
      </c>
      <c r="M400" s="64">
        <f t="shared" si="132"/>
        <v>10.51</v>
      </c>
      <c r="N400" s="65">
        <f>prodnorm39</f>
        <v>0</v>
      </c>
      <c r="O400" s="66">
        <f>dagwerk39</f>
        <v>0</v>
      </c>
      <c r="P400" s="62" t="s">
        <v>40</v>
      </c>
      <c r="Q400" s="67">
        <f>uurtarief39</f>
        <v>0</v>
      </c>
      <c r="R400" s="64" t="e">
        <f t="shared" si="133"/>
        <v>#DIV/0!</v>
      </c>
      <c r="S400" s="64" t="e">
        <f t="shared" si="134"/>
        <v>#DIV/0!</v>
      </c>
      <c r="T400" s="67" t="e">
        <f t="shared" si="135"/>
        <v>#DIV/0!</v>
      </c>
      <c r="U400" s="64" t="e">
        <f t="shared" si="136"/>
        <v>#DIV/0!</v>
      </c>
      <c r="V400" s="69" t="e">
        <f t="shared" si="137"/>
        <v>#DIV/0!</v>
      </c>
    </row>
    <row r="401" spans="1:22" x14ac:dyDescent="0.3">
      <c r="A401" s="61" t="s">
        <v>316</v>
      </c>
      <c r="B401" s="62" t="s">
        <v>317</v>
      </c>
      <c r="C401" s="62" t="s">
        <v>629</v>
      </c>
      <c r="D401" s="62" t="s">
        <v>800</v>
      </c>
      <c r="E401" s="63" t="s">
        <v>356</v>
      </c>
      <c r="F401" s="62" t="s">
        <v>348</v>
      </c>
      <c r="G401" s="62" t="s">
        <v>212</v>
      </c>
      <c r="H401" s="62" t="s">
        <v>17</v>
      </c>
      <c r="I401" s="62" t="s">
        <v>210</v>
      </c>
      <c r="J401" s="63" t="s">
        <v>213</v>
      </c>
      <c r="K401" s="62" t="s">
        <v>317</v>
      </c>
      <c r="L401" s="64">
        <v>51.03</v>
      </c>
      <c r="M401" s="64">
        <f t="shared" si="132"/>
        <v>10.206000000000001</v>
      </c>
      <c r="N401" s="65">
        <f>prodnorm11</f>
        <v>0</v>
      </c>
      <c r="O401" s="66">
        <f>dagwerk11</f>
        <v>0</v>
      </c>
      <c r="P401" s="62" t="s">
        <v>40</v>
      </c>
      <c r="Q401" s="67">
        <f>uurtarief11</f>
        <v>0</v>
      </c>
      <c r="R401" s="64" t="e">
        <f t="shared" si="133"/>
        <v>#DIV/0!</v>
      </c>
      <c r="S401" s="64" t="e">
        <f t="shared" si="134"/>
        <v>#DIV/0!</v>
      </c>
      <c r="T401" s="67" t="e">
        <f t="shared" si="135"/>
        <v>#DIV/0!</v>
      </c>
      <c r="U401" s="64" t="e">
        <f t="shared" si="136"/>
        <v>#DIV/0!</v>
      </c>
      <c r="V401" s="69" t="e">
        <f t="shared" si="137"/>
        <v>#DIV/0!</v>
      </c>
    </row>
    <row r="402" spans="1:22" x14ac:dyDescent="0.3">
      <c r="A402" s="61" t="s">
        <v>316</v>
      </c>
      <c r="B402" s="62" t="s">
        <v>317</v>
      </c>
      <c r="C402" s="62" t="s">
        <v>629</v>
      </c>
      <c r="D402" s="62" t="s">
        <v>801</v>
      </c>
      <c r="E402" s="63" t="s">
        <v>356</v>
      </c>
      <c r="F402" s="62" t="s">
        <v>348</v>
      </c>
      <c r="G402" s="62" t="s">
        <v>212</v>
      </c>
      <c r="H402" s="62" t="s">
        <v>17</v>
      </c>
      <c r="I402" s="62" t="s">
        <v>210</v>
      </c>
      <c r="J402" s="63" t="s">
        <v>213</v>
      </c>
      <c r="K402" s="62" t="s">
        <v>317</v>
      </c>
      <c r="L402" s="64">
        <v>28.2</v>
      </c>
      <c r="M402" s="64">
        <f t="shared" si="132"/>
        <v>5.6400000000000006</v>
      </c>
      <c r="N402" s="65">
        <f>prodnorm11</f>
        <v>0</v>
      </c>
      <c r="O402" s="66">
        <f>dagwerk11</f>
        <v>0</v>
      </c>
      <c r="P402" s="62" t="s">
        <v>40</v>
      </c>
      <c r="Q402" s="67">
        <f>uurtarief11</f>
        <v>0</v>
      </c>
      <c r="R402" s="64" t="e">
        <f t="shared" si="133"/>
        <v>#DIV/0!</v>
      </c>
      <c r="S402" s="64" t="e">
        <f t="shared" si="134"/>
        <v>#DIV/0!</v>
      </c>
      <c r="T402" s="67" t="e">
        <f t="shared" si="135"/>
        <v>#DIV/0!</v>
      </c>
      <c r="U402" s="64" t="e">
        <f t="shared" si="136"/>
        <v>#DIV/0!</v>
      </c>
      <c r="V402" s="69" t="e">
        <f t="shared" si="137"/>
        <v>#DIV/0!</v>
      </c>
    </row>
    <row r="403" spans="1:22" x14ac:dyDescent="0.3">
      <c r="A403" s="61" t="s">
        <v>316</v>
      </c>
      <c r="B403" s="62" t="s">
        <v>317</v>
      </c>
      <c r="C403" s="62" t="s">
        <v>629</v>
      </c>
      <c r="D403" s="62" t="s">
        <v>802</v>
      </c>
      <c r="E403" s="63" t="s">
        <v>536</v>
      </c>
      <c r="F403" s="62" t="s">
        <v>348</v>
      </c>
      <c r="G403" s="62" t="s">
        <v>216</v>
      </c>
      <c r="H403" s="62" t="s">
        <v>14</v>
      </c>
      <c r="I403" s="62" t="s">
        <v>210</v>
      </c>
      <c r="J403" s="63" t="s">
        <v>217</v>
      </c>
      <c r="K403" s="62" t="s">
        <v>317</v>
      </c>
      <c r="L403" s="64">
        <v>11.28</v>
      </c>
      <c r="M403" s="64">
        <f t="shared" si="132"/>
        <v>6.7679999999999998</v>
      </c>
      <c r="N403" s="65">
        <f>prodnorm13</f>
        <v>0</v>
      </c>
      <c r="O403" s="66">
        <f>dagwerk13</f>
        <v>0</v>
      </c>
      <c r="P403" s="62" t="s">
        <v>40</v>
      </c>
      <c r="Q403" s="67">
        <f>uurtarief13</f>
        <v>0</v>
      </c>
      <c r="R403" s="64" t="e">
        <f t="shared" si="133"/>
        <v>#DIV/0!</v>
      </c>
      <c r="S403" s="64" t="e">
        <f t="shared" si="134"/>
        <v>#DIV/0!</v>
      </c>
      <c r="T403" s="67" t="e">
        <f t="shared" si="135"/>
        <v>#DIV/0!</v>
      </c>
      <c r="U403" s="64" t="e">
        <f t="shared" si="136"/>
        <v>#DIV/0!</v>
      </c>
      <c r="V403" s="69" t="e">
        <f t="shared" si="137"/>
        <v>#DIV/0!</v>
      </c>
    </row>
    <row r="404" spans="1:22" x14ac:dyDescent="0.3">
      <c r="A404" s="61" t="s">
        <v>316</v>
      </c>
      <c r="B404" s="62" t="s">
        <v>317</v>
      </c>
      <c r="C404" s="62" t="s">
        <v>629</v>
      </c>
      <c r="D404" s="62" t="s">
        <v>803</v>
      </c>
      <c r="E404" s="63" t="s">
        <v>575</v>
      </c>
      <c r="F404" s="62" t="s">
        <v>322</v>
      </c>
      <c r="G404" s="62" t="s">
        <v>323</v>
      </c>
      <c r="H404" s="62"/>
      <c r="I404" s="62"/>
      <c r="J404" s="62"/>
      <c r="K404" s="62" t="s">
        <v>317</v>
      </c>
      <c r="L404" s="64">
        <v>6.08</v>
      </c>
      <c r="M404" s="64"/>
      <c r="N404" s="65"/>
      <c r="O404" s="66"/>
      <c r="P404" s="62"/>
      <c r="Q404" s="67"/>
      <c r="R404" s="64"/>
      <c r="S404" s="64"/>
      <c r="T404" s="67"/>
      <c r="U404" s="68"/>
      <c r="V404" s="69"/>
    </row>
    <row r="405" spans="1:22" x14ac:dyDescent="0.3">
      <c r="A405" s="61" t="s">
        <v>316</v>
      </c>
      <c r="B405" s="62" t="s">
        <v>317</v>
      </c>
      <c r="C405" s="62" t="s">
        <v>629</v>
      </c>
      <c r="D405" s="62" t="s">
        <v>804</v>
      </c>
      <c r="E405" s="63" t="s">
        <v>374</v>
      </c>
      <c r="F405" s="62" t="s">
        <v>322</v>
      </c>
      <c r="G405" s="62" t="s">
        <v>323</v>
      </c>
      <c r="H405" s="62"/>
      <c r="I405" s="62"/>
      <c r="J405" s="62"/>
      <c r="K405" s="62" t="s">
        <v>317</v>
      </c>
      <c r="L405" s="64">
        <v>1.08</v>
      </c>
      <c r="M405" s="64"/>
      <c r="N405" s="65"/>
      <c r="O405" s="66"/>
      <c r="P405" s="62"/>
      <c r="Q405" s="67"/>
      <c r="R405" s="64"/>
      <c r="S405" s="64"/>
      <c r="T405" s="67"/>
      <c r="U405" s="68"/>
      <c r="V405" s="69"/>
    </row>
    <row r="406" spans="1:22" x14ac:dyDescent="0.3">
      <c r="A406" s="61" t="s">
        <v>316</v>
      </c>
      <c r="B406" s="62" t="s">
        <v>317</v>
      </c>
      <c r="C406" s="62" t="s">
        <v>629</v>
      </c>
      <c r="D406" s="62" t="s">
        <v>805</v>
      </c>
      <c r="E406" s="63" t="s">
        <v>391</v>
      </c>
      <c r="F406" s="62" t="s">
        <v>389</v>
      </c>
      <c r="G406" s="62" t="s">
        <v>234</v>
      </c>
      <c r="H406" s="62" t="s">
        <v>14</v>
      </c>
      <c r="I406" s="62" t="s">
        <v>210</v>
      </c>
      <c r="J406" s="63" t="s">
        <v>235</v>
      </c>
      <c r="K406" s="62" t="s">
        <v>317</v>
      </c>
      <c r="L406" s="64">
        <v>62.54</v>
      </c>
      <c r="M406" s="64">
        <f t="shared" ref="M406:M414" si="138">L406*VLOOKUP(H406,dagsoorttabel1,2,FALSE)</f>
        <v>37.524000000000001</v>
      </c>
      <c r="N406" s="65">
        <f>prodnorm22</f>
        <v>0</v>
      </c>
      <c r="O406" s="66">
        <f>dagwerk22</f>
        <v>0</v>
      </c>
      <c r="P406" s="62" t="s">
        <v>40</v>
      </c>
      <c r="Q406" s="67">
        <f>uurtarief22</f>
        <v>0</v>
      </c>
      <c r="R406" s="64" t="e">
        <f t="shared" ref="R406:R414" si="139">IF(ISBLANK(N406),0,M406/ROUND(N406,4))</f>
        <v>#DIV/0!</v>
      </c>
      <c r="S406" s="64" t="e">
        <f t="shared" ref="S406:S414" si="140">IF(ISBLANK(N406),0,R406*ROUND(O406,2))</f>
        <v>#DIV/0!</v>
      </c>
      <c r="T406" s="67" t="e">
        <f t="shared" ref="T406:T414" si="141">ROUND(Q406,2)*R406</f>
        <v>#DIV/0!</v>
      </c>
      <c r="U406" s="64" t="e">
        <f t="shared" ref="U406:U414" si="142">R406*dagenperjaar1</f>
        <v>#DIV/0!</v>
      </c>
      <c r="V406" s="69" t="e">
        <f t="shared" ref="V406:V414" si="143">U406*ROUND(Q406,2)</f>
        <v>#DIV/0!</v>
      </c>
    </row>
    <row r="407" spans="1:22" x14ac:dyDescent="0.3">
      <c r="A407" s="61" t="s">
        <v>316</v>
      </c>
      <c r="B407" s="62" t="s">
        <v>317</v>
      </c>
      <c r="C407" s="62" t="s">
        <v>629</v>
      </c>
      <c r="D407" s="62" t="s">
        <v>806</v>
      </c>
      <c r="E407" s="63" t="s">
        <v>391</v>
      </c>
      <c r="F407" s="62" t="s">
        <v>389</v>
      </c>
      <c r="G407" s="62" t="s">
        <v>234</v>
      </c>
      <c r="H407" s="62" t="s">
        <v>14</v>
      </c>
      <c r="I407" s="62" t="s">
        <v>210</v>
      </c>
      <c r="J407" s="63" t="s">
        <v>235</v>
      </c>
      <c r="K407" s="62" t="s">
        <v>317</v>
      </c>
      <c r="L407" s="64">
        <v>62.96</v>
      </c>
      <c r="M407" s="64">
        <f t="shared" si="138"/>
        <v>37.775999999999996</v>
      </c>
      <c r="N407" s="65">
        <f>prodnorm22</f>
        <v>0</v>
      </c>
      <c r="O407" s="66">
        <f>dagwerk22</f>
        <v>0</v>
      </c>
      <c r="P407" s="62" t="s">
        <v>40</v>
      </c>
      <c r="Q407" s="67">
        <f>uurtarief22</f>
        <v>0</v>
      </c>
      <c r="R407" s="64" t="e">
        <f t="shared" si="139"/>
        <v>#DIV/0!</v>
      </c>
      <c r="S407" s="64" t="e">
        <f t="shared" si="140"/>
        <v>#DIV/0!</v>
      </c>
      <c r="T407" s="67" t="e">
        <f t="shared" si="141"/>
        <v>#DIV/0!</v>
      </c>
      <c r="U407" s="64" t="e">
        <f t="shared" si="142"/>
        <v>#DIV/0!</v>
      </c>
      <c r="V407" s="69" t="e">
        <f t="shared" si="143"/>
        <v>#DIV/0!</v>
      </c>
    </row>
    <row r="408" spans="1:22" x14ac:dyDescent="0.3">
      <c r="A408" s="61" t="s">
        <v>316</v>
      </c>
      <c r="B408" s="62" t="s">
        <v>317</v>
      </c>
      <c r="C408" s="62" t="s">
        <v>629</v>
      </c>
      <c r="D408" s="62" t="s">
        <v>807</v>
      </c>
      <c r="E408" s="63" t="s">
        <v>400</v>
      </c>
      <c r="F408" s="62" t="s">
        <v>348</v>
      </c>
      <c r="G408" s="62" t="s">
        <v>216</v>
      </c>
      <c r="H408" s="62" t="s">
        <v>14</v>
      </c>
      <c r="I408" s="62" t="s">
        <v>210</v>
      </c>
      <c r="J408" s="63" t="s">
        <v>217</v>
      </c>
      <c r="K408" s="62" t="s">
        <v>317</v>
      </c>
      <c r="L408" s="64">
        <v>15.19</v>
      </c>
      <c r="M408" s="64">
        <f t="shared" si="138"/>
        <v>9.113999999999999</v>
      </c>
      <c r="N408" s="65">
        <f>prodnorm13</f>
        <v>0</v>
      </c>
      <c r="O408" s="66">
        <f>dagwerk13</f>
        <v>0</v>
      </c>
      <c r="P408" s="62" t="s">
        <v>40</v>
      </c>
      <c r="Q408" s="67">
        <f>uurtarief13</f>
        <v>0</v>
      </c>
      <c r="R408" s="64" t="e">
        <f t="shared" si="139"/>
        <v>#DIV/0!</v>
      </c>
      <c r="S408" s="64" t="e">
        <f t="shared" si="140"/>
        <v>#DIV/0!</v>
      </c>
      <c r="T408" s="67" t="e">
        <f t="shared" si="141"/>
        <v>#DIV/0!</v>
      </c>
      <c r="U408" s="64" t="e">
        <f t="shared" si="142"/>
        <v>#DIV/0!</v>
      </c>
      <c r="V408" s="69" t="e">
        <f t="shared" si="143"/>
        <v>#DIV/0!</v>
      </c>
    </row>
    <row r="409" spans="1:22" x14ac:dyDescent="0.3">
      <c r="A409" s="61" t="s">
        <v>316</v>
      </c>
      <c r="B409" s="62" t="s">
        <v>317</v>
      </c>
      <c r="C409" s="62" t="s">
        <v>629</v>
      </c>
      <c r="D409" s="62" t="s">
        <v>808</v>
      </c>
      <c r="E409" s="63" t="s">
        <v>391</v>
      </c>
      <c r="F409" s="62" t="s">
        <v>389</v>
      </c>
      <c r="G409" s="62" t="s">
        <v>234</v>
      </c>
      <c r="H409" s="62" t="s">
        <v>14</v>
      </c>
      <c r="I409" s="62" t="s">
        <v>210</v>
      </c>
      <c r="J409" s="63" t="s">
        <v>235</v>
      </c>
      <c r="K409" s="62" t="s">
        <v>317</v>
      </c>
      <c r="L409" s="64">
        <v>62.230000000000004</v>
      </c>
      <c r="M409" s="64">
        <f t="shared" si="138"/>
        <v>37.338000000000001</v>
      </c>
      <c r="N409" s="65">
        <f>prodnorm22</f>
        <v>0</v>
      </c>
      <c r="O409" s="66">
        <f>dagwerk22</f>
        <v>0</v>
      </c>
      <c r="P409" s="62" t="s">
        <v>40</v>
      </c>
      <c r="Q409" s="67">
        <f>uurtarief22</f>
        <v>0</v>
      </c>
      <c r="R409" s="64" t="e">
        <f t="shared" si="139"/>
        <v>#DIV/0!</v>
      </c>
      <c r="S409" s="64" t="e">
        <f t="shared" si="140"/>
        <v>#DIV/0!</v>
      </c>
      <c r="T409" s="67" t="e">
        <f t="shared" si="141"/>
        <v>#DIV/0!</v>
      </c>
      <c r="U409" s="64" t="e">
        <f t="shared" si="142"/>
        <v>#DIV/0!</v>
      </c>
      <c r="V409" s="69" t="e">
        <f t="shared" si="143"/>
        <v>#DIV/0!</v>
      </c>
    </row>
    <row r="410" spans="1:22" x14ac:dyDescent="0.3">
      <c r="A410" s="61" t="s">
        <v>316</v>
      </c>
      <c r="B410" s="62" t="s">
        <v>317</v>
      </c>
      <c r="C410" s="62" t="s">
        <v>629</v>
      </c>
      <c r="D410" s="62" t="s">
        <v>809</v>
      </c>
      <c r="E410" s="63" t="s">
        <v>400</v>
      </c>
      <c r="F410" s="62" t="s">
        <v>348</v>
      </c>
      <c r="G410" s="62" t="s">
        <v>216</v>
      </c>
      <c r="H410" s="62" t="s">
        <v>14</v>
      </c>
      <c r="I410" s="62" t="s">
        <v>210</v>
      </c>
      <c r="J410" s="63" t="s">
        <v>217</v>
      </c>
      <c r="K410" s="62" t="s">
        <v>317</v>
      </c>
      <c r="L410" s="64">
        <v>17.75</v>
      </c>
      <c r="M410" s="64">
        <f t="shared" si="138"/>
        <v>10.65</v>
      </c>
      <c r="N410" s="65">
        <f>prodnorm13</f>
        <v>0</v>
      </c>
      <c r="O410" s="66">
        <f>dagwerk13</f>
        <v>0</v>
      </c>
      <c r="P410" s="62" t="s">
        <v>40</v>
      </c>
      <c r="Q410" s="67">
        <f>uurtarief13</f>
        <v>0</v>
      </c>
      <c r="R410" s="64" t="e">
        <f t="shared" si="139"/>
        <v>#DIV/0!</v>
      </c>
      <c r="S410" s="64" t="e">
        <f t="shared" si="140"/>
        <v>#DIV/0!</v>
      </c>
      <c r="T410" s="67" t="e">
        <f t="shared" si="141"/>
        <v>#DIV/0!</v>
      </c>
      <c r="U410" s="64" t="e">
        <f t="shared" si="142"/>
        <v>#DIV/0!</v>
      </c>
      <c r="V410" s="69" t="e">
        <f t="shared" si="143"/>
        <v>#DIV/0!</v>
      </c>
    </row>
    <row r="411" spans="1:22" x14ac:dyDescent="0.3">
      <c r="A411" s="61" t="s">
        <v>316</v>
      </c>
      <c r="B411" s="62" t="s">
        <v>317</v>
      </c>
      <c r="C411" s="62" t="s">
        <v>629</v>
      </c>
      <c r="D411" s="62" t="s">
        <v>810</v>
      </c>
      <c r="E411" s="63" t="s">
        <v>391</v>
      </c>
      <c r="F411" s="62" t="s">
        <v>389</v>
      </c>
      <c r="G411" s="62" t="s">
        <v>234</v>
      </c>
      <c r="H411" s="62" t="s">
        <v>14</v>
      </c>
      <c r="I411" s="62" t="s">
        <v>210</v>
      </c>
      <c r="J411" s="63" t="s">
        <v>235</v>
      </c>
      <c r="K411" s="62" t="s">
        <v>317</v>
      </c>
      <c r="L411" s="64">
        <v>63.190000000000005</v>
      </c>
      <c r="M411" s="64">
        <f t="shared" si="138"/>
        <v>37.914000000000001</v>
      </c>
      <c r="N411" s="65">
        <f>prodnorm22</f>
        <v>0</v>
      </c>
      <c r="O411" s="66">
        <f>dagwerk22</f>
        <v>0</v>
      </c>
      <c r="P411" s="62" t="s">
        <v>40</v>
      </c>
      <c r="Q411" s="67">
        <f>uurtarief22</f>
        <v>0</v>
      </c>
      <c r="R411" s="64" t="e">
        <f t="shared" si="139"/>
        <v>#DIV/0!</v>
      </c>
      <c r="S411" s="64" t="e">
        <f t="shared" si="140"/>
        <v>#DIV/0!</v>
      </c>
      <c r="T411" s="67" t="e">
        <f t="shared" si="141"/>
        <v>#DIV/0!</v>
      </c>
      <c r="U411" s="64" t="e">
        <f t="shared" si="142"/>
        <v>#DIV/0!</v>
      </c>
      <c r="V411" s="69" t="e">
        <f t="shared" si="143"/>
        <v>#DIV/0!</v>
      </c>
    </row>
    <row r="412" spans="1:22" x14ac:dyDescent="0.3">
      <c r="A412" s="61" t="s">
        <v>316</v>
      </c>
      <c r="B412" s="62" t="s">
        <v>317</v>
      </c>
      <c r="C412" s="62" t="s">
        <v>629</v>
      </c>
      <c r="D412" s="62" t="s">
        <v>811</v>
      </c>
      <c r="E412" s="63" t="s">
        <v>536</v>
      </c>
      <c r="F412" s="62" t="s">
        <v>348</v>
      </c>
      <c r="G412" s="62" t="s">
        <v>216</v>
      </c>
      <c r="H412" s="62" t="s">
        <v>14</v>
      </c>
      <c r="I412" s="62" t="s">
        <v>210</v>
      </c>
      <c r="J412" s="63" t="s">
        <v>217</v>
      </c>
      <c r="K412" s="62" t="s">
        <v>317</v>
      </c>
      <c r="L412" s="64">
        <v>17.830000000000002</v>
      </c>
      <c r="M412" s="64">
        <f t="shared" si="138"/>
        <v>10.698</v>
      </c>
      <c r="N412" s="65">
        <f>prodnorm13</f>
        <v>0</v>
      </c>
      <c r="O412" s="66">
        <f>dagwerk13</f>
        <v>0</v>
      </c>
      <c r="P412" s="62" t="s">
        <v>40</v>
      </c>
      <c r="Q412" s="67">
        <f>uurtarief13</f>
        <v>0</v>
      </c>
      <c r="R412" s="64" t="e">
        <f t="shared" si="139"/>
        <v>#DIV/0!</v>
      </c>
      <c r="S412" s="64" t="e">
        <f t="shared" si="140"/>
        <v>#DIV/0!</v>
      </c>
      <c r="T412" s="67" t="e">
        <f t="shared" si="141"/>
        <v>#DIV/0!</v>
      </c>
      <c r="U412" s="64" t="e">
        <f t="shared" si="142"/>
        <v>#DIV/0!</v>
      </c>
      <c r="V412" s="69" t="e">
        <f t="shared" si="143"/>
        <v>#DIV/0!</v>
      </c>
    </row>
    <row r="413" spans="1:22" x14ac:dyDescent="0.3">
      <c r="A413" s="61" t="s">
        <v>316</v>
      </c>
      <c r="B413" s="62" t="s">
        <v>317</v>
      </c>
      <c r="C413" s="62" t="s">
        <v>629</v>
      </c>
      <c r="D413" s="62" t="s">
        <v>812</v>
      </c>
      <c r="E413" s="63" t="s">
        <v>391</v>
      </c>
      <c r="F413" s="62" t="s">
        <v>389</v>
      </c>
      <c r="G413" s="62" t="s">
        <v>234</v>
      </c>
      <c r="H413" s="62" t="s">
        <v>14</v>
      </c>
      <c r="I413" s="62" t="s">
        <v>210</v>
      </c>
      <c r="J413" s="63" t="s">
        <v>235</v>
      </c>
      <c r="K413" s="62" t="s">
        <v>317</v>
      </c>
      <c r="L413" s="64">
        <v>71.25</v>
      </c>
      <c r="M413" s="64">
        <f t="shared" si="138"/>
        <v>42.75</v>
      </c>
      <c r="N413" s="65">
        <f>prodnorm22</f>
        <v>0</v>
      </c>
      <c r="O413" s="66">
        <f>dagwerk22</f>
        <v>0</v>
      </c>
      <c r="P413" s="62" t="s">
        <v>40</v>
      </c>
      <c r="Q413" s="67">
        <f>uurtarief22</f>
        <v>0</v>
      </c>
      <c r="R413" s="64" t="e">
        <f t="shared" si="139"/>
        <v>#DIV/0!</v>
      </c>
      <c r="S413" s="64" t="e">
        <f t="shared" si="140"/>
        <v>#DIV/0!</v>
      </c>
      <c r="T413" s="67" t="e">
        <f t="shared" si="141"/>
        <v>#DIV/0!</v>
      </c>
      <c r="U413" s="64" t="e">
        <f t="shared" si="142"/>
        <v>#DIV/0!</v>
      </c>
      <c r="V413" s="69" t="e">
        <f t="shared" si="143"/>
        <v>#DIV/0!</v>
      </c>
    </row>
    <row r="414" spans="1:22" x14ac:dyDescent="0.3">
      <c r="A414" s="61" t="s">
        <v>316</v>
      </c>
      <c r="B414" s="62" t="s">
        <v>317</v>
      </c>
      <c r="C414" s="62" t="s">
        <v>629</v>
      </c>
      <c r="D414" s="62" t="s">
        <v>813</v>
      </c>
      <c r="E414" s="63" t="s">
        <v>400</v>
      </c>
      <c r="F414" s="62" t="s">
        <v>348</v>
      </c>
      <c r="G414" s="62" t="s">
        <v>216</v>
      </c>
      <c r="H414" s="62" t="s">
        <v>14</v>
      </c>
      <c r="I414" s="62" t="s">
        <v>210</v>
      </c>
      <c r="J414" s="63" t="s">
        <v>217</v>
      </c>
      <c r="K414" s="62" t="s">
        <v>317</v>
      </c>
      <c r="L414" s="64">
        <v>49.6</v>
      </c>
      <c r="M414" s="64">
        <f t="shared" si="138"/>
        <v>29.759999999999998</v>
      </c>
      <c r="N414" s="65">
        <f>prodnorm13</f>
        <v>0</v>
      </c>
      <c r="O414" s="66">
        <f>dagwerk13</f>
        <v>0</v>
      </c>
      <c r="P414" s="62" t="s">
        <v>40</v>
      </c>
      <c r="Q414" s="67">
        <f>uurtarief13</f>
        <v>0</v>
      </c>
      <c r="R414" s="64" t="e">
        <f t="shared" si="139"/>
        <v>#DIV/0!</v>
      </c>
      <c r="S414" s="64" t="e">
        <f t="shared" si="140"/>
        <v>#DIV/0!</v>
      </c>
      <c r="T414" s="67" t="e">
        <f t="shared" si="141"/>
        <v>#DIV/0!</v>
      </c>
      <c r="U414" s="64" t="e">
        <f t="shared" si="142"/>
        <v>#DIV/0!</v>
      </c>
      <c r="V414" s="69" t="e">
        <f t="shared" si="143"/>
        <v>#DIV/0!</v>
      </c>
    </row>
    <row r="415" spans="1:22" x14ac:dyDescent="0.3">
      <c r="A415" s="61" t="s">
        <v>316</v>
      </c>
      <c r="B415" s="62" t="s">
        <v>317</v>
      </c>
      <c r="C415" s="62" t="s">
        <v>629</v>
      </c>
      <c r="D415" s="62" t="s">
        <v>814</v>
      </c>
      <c r="E415" s="63" t="s">
        <v>570</v>
      </c>
      <c r="F415" s="62" t="s">
        <v>353</v>
      </c>
      <c r="G415" s="62" t="s">
        <v>323</v>
      </c>
      <c r="H415" s="62"/>
      <c r="I415" s="62"/>
      <c r="J415" s="62"/>
      <c r="K415" s="62" t="s">
        <v>317</v>
      </c>
      <c r="L415" s="64">
        <v>5.52</v>
      </c>
      <c r="M415" s="64"/>
      <c r="N415" s="65"/>
      <c r="O415" s="66"/>
      <c r="P415" s="62"/>
      <c r="Q415" s="67"/>
      <c r="R415" s="64"/>
      <c r="S415" s="64"/>
      <c r="T415" s="67"/>
      <c r="U415" s="68"/>
      <c r="V415" s="69"/>
    </row>
    <row r="416" spans="1:22" x14ac:dyDescent="0.3">
      <c r="A416" s="61" t="s">
        <v>316</v>
      </c>
      <c r="B416" s="62" t="s">
        <v>317</v>
      </c>
      <c r="C416" s="62" t="s">
        <v>629</v>
      </c>
      <c r="D416" s="62" t="s">
        <v>815</v>
      </c>
      <c r="E416" s="63" t="s">
        <v>578</v>
      </c>
      <c r="F416" s="62" t="s">
        <v>353</v>
      </c>
      <c r="G416" s="62" t="s">
        <v>266</v>
      </c>
      <c r="H416" s="62" t="s">
        <v>11</v>
      </c>
      <c r="I416" s="62" t="s">
        <v>210</v>
      </c>
      <c r="J416" s="63" t="s">
        <v>267</v>
      </c>
      <c r="K416" s="62" t="s">
        <v>317</v>
      </c>
      <c r="L416" s="64">
        <v>4.5</v>
      </c>
      <c r="M416" s="64">
        <f>L416*VLOOKUP(H416,dagsoorttabel1,2,FALSE)</f>
        <v>4.5</v>
      </c>
      <c r="N416" s="65">
        <f>prodnorm39</f>
        <v>0</v>
      </c>
      <c r="O416" s="66">
        <f>dagwerk39</f>
        <v>0</v>
      </c>
      <c r="P416" s="62" t="s">
        <v>40</v>
      </c>
      <c r="Q416" s="67">
        <f>uurtarief39</f>
        <v>0</v>
      </c>
      <c r="R416" s="64" t="e">
        <f>IF(ISBLANK(N416),0,M416/ROUND(N416,4))</f>
        <v>#DIV/0!</v>
      </c>
      <c r="S416" s="64" t="e">
        <f>IF(ISBLANK(N416),0,R416*ROUND(O416,2))</f>
        <v>#DIV/0!</v>
      </c>
      <c r="T416" s="67" t="e">
        <f>ROUND(Q416,2)*R416</f>
        <v>#DIV/0!</v>
      </c>
      <c r="U416" s="64" t="e">
        <f>R416*dagenperjaar1</f>
        <v>#DIV/0!</v>
      </c>
      <c r="V416" s="69" t="e">
        <f>U416*ROUND(Q416,2)</f>
        <v>#DIV/0!</v>
      </c>
    </row>
    <row r="417" spans="1:22" x14ac:dyDescent="0.3">
      <c r="A417" s="61" t="s">
        <v>316</v>
      </c>
      <c r="B417" s="62" t="s">
        <v>317</v>
      </c>
      <c r="C417" s="62" t="s">
        <v>629</v>
      </c>
      <c r="D417" s="62" t="s">
        <v>816</v>
      </c>
      <c r="E417" s="63" t="s">
        <v>321</v>
      </c>
      <c r="F417" s="62" t="s">
        <v>389</v>
      </c>
      <c r="G417" s="62" t="s">
        <v>323</v>
      </c>
      <c r="H417" s="62"/>
      <c r="I417" s="62"/>
      <c r="J417" s="62"/>
      <c r="K417" s="62" t="s">
        <v>317</v>
      </c>
      <c r="L417" s="64">
        <v>10.19</v>
      </c>
      <c r="M417" s="64"/>
      <c r="N417" s="65"/>
      <c r="O417" s="66"/>
      <c r="P417" s="62"/>
      <c r="Q417" s="67"/>
      <c r="R417" s="64"/>
      <c r="S417" s="64"/>
      <c r="T417" s="67"/>
      <c r="U417" s="68"/>
      <c r="V417" s="69"/>
    </row>
    <row r="418" spans="1:22" x14ac:dyDescent="0.3">
      <c r="A418" s="61" t="s">
        <v>316</v>
      </c>
      <c r="B418" s="62" t="s">
        <v>317</v>
      </c>
      <c r="C418" s="62" t="s">
        <v>629</v>
      </c>
      <c r="D418" s="62" t="s">
        <v>817</v>
      </c>
      <c r="E418" s="63" t="s">
        <v>400</v>
      </c>
      <c r="F418" s="62" t="s">
        <v>348</v>
      </c>
      <c r="G418" s="62" t="s">
        <v>216</v>
      </c>
      <c r="H418" s="62" t="s">
        <v>14</v>
      </c>
      <c r="I418" s="62" t="s">
        <v>210</v>
      </c>
      <c r="J418" s="63" t="s">
        <v>217</v>
      </c>
      <c r="K418" s="62" t="s">
        <v>317</v>
      </c>
      <c r="L418" s="64">
        <v>19.459999999999997</v>
      </c>
      <c r="M418" s="64">
        <f t="shared" ref="M418:M426" si="144">L418*VLOOKUP(H418,dagsoorttabel1,2,FALSE)</f>
        <v>11.675999999999998</v>
      </c>
      <c r="N418" s="65">
        <f>prodnorm13</f>
        <v>0</v>
      </c>
      <c r="O418" s="66">
        <f>dagwerk13</f>
        <v>0</v>
      </c>
      <c r="P418" s="62" t="s">
        <v>40</v>
      </c>
      <c r="Q418" s="67">
        <f>uurtarief13</f>
        <v>0</v>
      </c>
      <c r="R418" s="64" t="e">
        <f t="shared" ref="R418:R426" si="145">IF(ISBLANK(N418),0,M418/ROUND(N418,4))</f>
        <v>#DIV/0!</v>
      </c>
      <c r="S418" s="64" t="e">
        <f t="shared" ref="S418:S426" si="146">IF(ISBLANK(N418),0,R418*ROUND(O418,2))</f>
        <v>#DIV/0!</v>
      </c>
      <c r="T418" s="67" t="e">
        <f t="shared" ref="T418:T426" si="147">ROUND(Q418,2)*R418</f>
        <v>#DIV/0!</v>
      </c>
      <c r="U418" s="64" t="e">
        <f t="shared" ref="U418:U426" si="148">R418*dagenperjaar1</f>
        <v>#DIV/0!</v>
      </c>
      <c r="V418" s="69" t="e">
        <f t="shared" ref="V418:V426" si="149">U418*ROUND(Q418,2)</f>
        <v>#DIV/0!</v>
      </c>
    </row>
    <row r="419" spans="1:22" x14ac:dyDescent="0.3">
      <c r="A419" s="61" t="s">
        <v>316</v>
      </c>
      <c r="B419" s="62" t="s">
        <v>317</v>
      </c>
      <c r="C419" s="62" t="s">
        <v>629</v>
      </c>
      <c r="D419" s="62" t="s">
        <v>818</v>
      </c>
      <c r="E419" s="63" t="s">
        <v>356</v>
      </c>
      <c r="F419" s="62" t="s">
        <v>348</v>
      </c>
      <c r="G419" s="62" t="s">
        <v>212</v>
      </c>
      <c r="H419" s="62" t="s">
        <v>17</v>
      </c>
      <c r="I419" s="62" t="s">
        <v>210</v>
      </c>
      <c r="J419" s="63" t="s">
        <v>213</v>
      </c>
      <c r="K419" s="62" t="s">
        <v>317</v>
      </c>
      <c r="L419" s="64">
        <v>22.34</v>
      </c>
      <c r="M419" s="64">
        <f t="shared" si="144"/>
        <v>4.468</v>
      </c>
      <c r="N419" s="65">
        <f t="shared" ref="N419:N424" si="150">prodnorm11</f>
        <v>0</v>
      </c>
      <c r="O419" s="66">
        <f t="shared" ref="O419:O424" si="151">dagwerk11</f>
        <v>0</v>
      </c>
      <c r="P419" s="62" t="s">
        <v>40</v>
      </c>
      <c r="Q419" s="67">
        <f t="shared" ref="Q419:Q424" si="152">uurtarief11</f>
        <v>0</v>
      </c>
      <c r="R419" s="64" t="e">
        <f t="shared" si="145"/>
        <v>#DIV/0!</v>
      </c>
      <c r="S419" s="64" t="e">
        <f t="shared" si="146"/>
        <v>#DIV/0!</v>
      </c>
      <c r="T419" s="67" t="e">
        <f t="shared" si="147"/>
        <v>#DIV/0!</v>
      </c>
      <c r="U419" s="64" t="e">
        <f t="shared" si="148"/>
        <v>#DIV/0!</v>
      </c>
      <c r="V419" s="69" t="e">
        <f t="shared" si="149"/>
        <v>#DIV/0!</v>
      </c>
    </row>
    <row r="420" spans="1:22" x14ac:dyDescent="0.3">
      <c r="A420" s="61" t="s">
        <v>316</v>
      </c>
      <c r="B420" s="62" t="s">
        <v>317</v>
      </c>
      <c r="C420" s="62" t="s">
        <v>629</v>
      </c>
      <c r="D420" s="62" t="s">
        <v>819</v>
      </c>
      <c r="E420" s="63" t="s">
        <v>356</v>
      </c>
      <c r="F420" s="62" t="s">
        <v>348</v>
      </c>
      <c r="G420" s="62" t="s">
        <v>212</v>
      </c>
      <c r="H420" s="62" t="s">
        <v>17</v>
      </c>
      <c r="I420" s="62" t="s">
        <v>210</v>
      </c>
      <c r="J420" s="63" t="s">
        <v>213</v>
      </c>
      <c r="K420" s="62" t="s">
        <v>317</v>
      </c>
      <c r="L420" s="64">
        <v>64.88</v>
      </c>
      <c r="M420" s="64">
        <f t="shared" si="144"/>
        <v>12.975999999999999</v>
      </c>
      <c r="N420" s="65">
        <f t="shared" si="150"/>
        <v>0</v>
      </c>
      <c r="O420" s="66">
        <f t="shared" si="151"/>
        <v>0</v>
      </c>
      <c r="P420" s="62" t="s">
        <v>40</v>
      </c>
      <c r="Q420" s="67">
        <f t="shared" si="152"/>
        <v>0</v>
      </c>
      <c r="R420" s="64" t="e">
        <f t="shared" si="145"/>
        <v>#DIV/0!</v>
      </c>
      <c r="S420" s="64" t="e">
        <f t="shared" si="146"/>
        <v>#DIV/0!</v>
      </c>
      <c r="T420" s="67" t="e">
        <f t="shared" si="147"/>
        <v>#DIV/0!</v>
      </c>
      <c r="U420" s="64" t="e">
        <f t="shared" si="148"/>
        <v>#DIV/0!</v>
      </c>
      <c r="V420" s="69" t="e">
        <f t="shared" si="149"/>
        <v>#DIV/0!</v>
      </c>
    </row>
    <row r="421" spans="1:22" x14ac:dyDescent="0.3">
      <c r="A421" s="61" t="s">
        <v>316</v>
      </c>
      <c r="B421" s="62" t="s">
        <v>317</v>
      </c>
      <c r="C421" s="62" t="s">
        <v>629</v>
      </c>
      <c r="D421" s="62" t="s">
        <v>820</v>
      </c>
      <c r="E421" s="63" t="s">
        <v>356</v>
      </c>
      <c r="F421" s="62" t="s">
        <v>348</v>
      </c>
      <c r="G421" s="62" t="s">
        <v>212</v>
      </c>
      <c r="H421" s="62" t="s">
        <v>17</v>
      </c>
      <c r="I421" s="62" t="s">
        <v>210</v>
      </c>
      <c r="J421" s="63" t="s">
        <v>213</v>
      </c>
      <c r="K421" s="62" t="s">
        <v>317</v>
      </c>
      <c r="L421" s="64">
        <v>22.7</v>
      </c>
      <c r="M421" s="64">
        <f t="shared" si="144"/>
        <v>4.54</v>
      </c>
      <c r="N421" s="65">
        <f t="shared" si="150"/>
        <v>0</v>
      </c>
      <c r="O421" s="66">
        <f t="shared" si="151"/>
        <v>0</v>
      </c>
      <c r="P421" s="62" t="s">
        <v>40</v>
      </c>
      <c r="Q421" s="67">
        <f t="shared" si="152"/>
        <v>0</v>
      </c>
      <c r="R421" s="64" t="e">
        <f t="shared" si="145"/>
        <v>#DIV/0!</v>
      </c>
      <c r="S421" s="64" t="e">
        <f t="shared" si="146"/>
        <v>#DIV/0!</v>
      </c>
      <c r="T421" s="67" t="e">
        <f t="shared" si="147"/>
        <v>#DIV/0!</v>
      </c>
      <c r="U421" s="64" t="e">
        <f t="shared" si="148"/>
        <v>#DIV/0!</v>
      </c>
      <c r="V421" s="69" t="e">
        <f t="shared" si="149"/>
        <v>#DIV/0!</v>
      </c>
    </row>
    <row r="422" spans="1:22" x14ac:dyDescent="0.3">
      <c r="A422" s="61" t="s">
        <v>316</v>
      </c>
      <c r="B422" s="62" t="s">
        <v>317</v>
      </c>
      <c r="C422" s="62" t="s">
        <v>629</v>
      </c>
      <c r="D422" s="62" t="s">
        <v>821</v>
      </c>
      <c r="E422" s="63" t="s">
        <v>356</v>
      </c>
      <c r="F422" s="62" t="s">
        <v>348</v>
      </c>
      <c r="G422" s="62" t="s">
        <v>212</v>
      </c>
      <c r="H422" s="62" t="s">
        <v>17</v>
      </c>
      <c r="I422" s="62" t="s">
        <v>210</v>
      </c>
      <c r="J422" s="63" t="s">
        <v>213</v>
      </c>
      <c r="K422" s="62" t="s">
        <v>317</v>
      </c>
      <c r="L422" s="64">
        <v>62.3</v>
      </c>
      <c r="M422" s="64">
        <f t="shared" si="144"/>
        <v>12.46</v>
      </c>
      <c r="N422" s="65">
        <f t="shared" si="150"/>
        <v>0</v>
      </c>
      <c r="O422" s="66">
        <f t="shared" si="151"/>
        <v>0</v>
      </c>
      <c r="P422" s="62" t="s">
        <v>40</v>
      </c>
      <c r="Q422" s="67">
        <f t="shared" si="152"/>
        <v>0</v>
      </c>
      <c r="R422" s="64" t="e">
        <f t="shared" si="145"/>
        <v>#DIV/0!</v>
      </c>
      <c r="S422" s="64" t="e">
        <f t="shared" si="146"/>
        <v>#DIV/0!</v>
      </c>
      <c r="T422" s="67" t="e">
        <f t="shared" si="147"/>
        <v>#DIV/0!</v>
      </c>
      <c r="U422" s="64" t="e">
        <f t="shared" si="148"/>
        <v>#DIV/0!</v>
      </c>
      <c r="V422" s="69" t="e">
        <f t="shared" si="149"/>
        <v>#DIV/0!</v>
      </c>
    </row>
    <row r="423" spans="1:22" x14ac:dyDescent="0.3">
      <c r="A423" s="61" t="s">
        <v>316</v>
      </c>
      <c r="B423" s="62" t="s">
        <v>317</v>
      </c>
      <c r="C423" s="62" t="s">
        <v>629</v>
      </c>
      <c r="D423" s="62" t="s">
        <v>822</v>
      </c>
      <c r="E423" s="63" t="s">
        <v>356</v>
      </c>
      <c r="F423" s="62" t="s">
        <v>348</v>
      </c>
      <c r="G423" s="62" t="s">
        <v>212</v>
      </c>
      <c r="H423" s="62" t="s">
        <v>17</v>
      </c>
      <c r="I423" s="62" t="s">
        <v>210</v>
      </c>
      <c r="J423" s="63" t="s">
        <v>213</v>
      </c>
      <c r="K423" s="62" t="s">
        <v>317</v>
      </c>
      <c r="L423" s="64">
        <v>74.75</v>
      </c>
      <c r="M423" s="64">
        <f t="shared" si="144"/>
        <v>14.950000000000001</v>
      </c>
      <c r="N423" s="65">
        <f t="shared" si="150"/>
        <v>0</v>
      </c>
      <c r="O423" s="66">
        <f t="shared" si="151"/>
        <v>0</v>
      </c>
      <c r="P423" s="62" t="s">
        <v>40</v>
      </c>
      <c r="Q423" s="67">
        <f t="shared" si="152"/>
        <v>0</v>
      </c>
      <c r="R423" s="64" t="e">
        <f t="shared" si="145"/>
        <v>#DIV/0!</v>
      </c>
      <c r="S423" s="64" t="e">
        <f t="shared" si="146"/>
        <v>#DIV/0!</v>
      </c>
      <c r="T423" s="67" t="e">
        <f t="shared" si="147"/>
        <v>#DIV/0!</v>
      </c>
      <c r="U423" s="64" t="e">
        <f t="shared" si="148"/>
        <v>#DIV/0!</v>
      </c>
      <c r="V423" s="69" t="e">
        <f t="shared" si="149"/>
        <v>#DIV/0!</v>
      </c>
    </row>
    <row r="424" spans="1:22" x14ac:dyDescent="0.3">
      <c r="A424" s="61" t="s">
        <v>316</v>
      </c>
      <c r="B424" s="62" t="s">
        <v>317</v>
      </c>
      <c r="C424" s="62" t="s">
        <v>629</v>
      </c>
      <c r="D424" s="62" t="s">
        <v>823</v>
      </c>
      <c r="E424" s="63" t="s">
        <v>356</v>
      </c>
      <c r="F424" s="62" t="s">
        <v>348</v>
      </c>
      <c r="G424" s="62" t="s">
        <v>212</v>
      </c>
      <c r="H424" s="62" t="s">
        <v>17</v>
      </c>
      <c r="I424" s="62" t="s">
        <v>210</v>
      </c>
      <c r="J424" s="63" t="s">
        <v>213</v>
      </c>
      <c r="K424" s="62" t="s">
        <v>317</v>
      </c>
      <c r="L424" s="64">
        <v>73.97</v>
      </c>
      <c r="M424" s="64">
        <f t="shared" si="144"/>
        <v>14.794</v>
      </c>
      <c r="N424" s="65">
        <f t="shared" si="150"/>
        <v>0</v>
      </c>
      <c r="O424" s="66">
        <f t="shared" si="151"/>
        <v>0</v>
      </c>
      <c r="P424" s="62" t="s">
        <v>40</v>
      </c>
      <c r="Q424" s="67">
        <f t="shared" si="152"/>
        <v>0</v>
      </c>
      <c r="R424" s="64" t="e">
        <f t="shared" si="145"/>
        <v>#DIV/0!</v>
      </c>
      <c r="S424" s="64" t="e">
        <f t="shared" si="146"/>
        <v>#DIV/0!</v>
      </c>
      <c r="T424" s="67" t="e">
        <f t="shared" si="147"/>
        <v>#DIV/0!</v>
      </c>
      <c r="U424" s="64" t="e">
        <f t="shared" si="148"/>
        <v>#DIV/0!</v>
      </c>
      <c r="V424" s="69" t="e">
        <f t="shared" si="149"/>
        <v>#DIV/0!</v>
      </c>
    </row>
    <row r="425" spans="1:22" x14ac:dyDescent="0.3">
      <c r="A425" s="61" t="s">
        <v>316</v>
      </c>
      <c r="B425" s="62" t="s">
        <v>317</v>
      </c>
      <c r="C425" s="62" t="s">
        <v>629</v>
      </c>
      <c r="D425" s="62" t="s">
        <v>824</v>
      </c>
      <c r="E425" s="63" t="s">
        <v>394</v>
      </c>
      <c r="F425" s="62" t="s">
        <v>348</v>
      </c>
      <c r="G425" s="62" t="s">
        <v>274</v>
      </c>
      <c r="H425" s="62" t="s">
        <v>11</v>
      </c>
      <c r="I425" s="62" t="s">
        <v>210</v>
      </c>
      <c r="J425" s="63" t="s">
        <v>275</v>
      </c>
      <c r="K425" s="62" t="s">
        <v>317</v>
      </c>
      <c r="L425" s="64">
        <v>55.92</v>
      </c>
      <c r="M425" s="64">
        <f t="shared" si="144"/>
        <v>55.92</v>
      </c>
      <c r="N425" s="65">
        <f>prodnorm43</f>
        <v>0</v>
      </c>
      <c r="O425" s="66">
        <f>dagwerk43</f>
        <v>0</v>
      </c>
      <c r="P425" s="62" t="s">
        <v>40</v>
      </c>
      <c r="Q425" s="67">
        <f>uurtarief43</f>
        <v>0</v>
      </c>
      <c r="R425" s="64" t="e">
        <f t="shared" si="145"/>
        <v>#DIV/0!</v>
      </c>
      <c r="S425" s="64" t="e">
        <f t="shared" si="146"/>
        <v>#DIV/0!</v>
      </c>
      <c r="T425" s="67" t="e">
        <f t="shared" si="147"/>
        <v>#DIV/0!</v>
      </c>
      <c r="U425" s="64" t="e">
        <f t="shared" si="148"/>
        <v>#DIV/0!</v>
      </c>
      <c r="V425" s="69" t="e">
        <f t="shared" si="149"/>
        <v>#DIV/0!</v>
      </c>
    </row>
    <row r="426" spans="1:22" x14ac:dyDescent="0.3">
      <c r="A426" s="61" t="s">
        <v>316</v>
      </c>
      <c r="B426" s="62" t="s">
        <v>317</v>
      </c>
      <c r="C426" s="62" t="s">
        <v>629</v>
      </c>
      <c r="D426" s="62" t="s">
        <v>825</v>
      </c>
      <c r="E426" s="63" t="s">
        <v>536</v>
      </c>
      <c r="F426" s="62" t="s">
        <v>348</v>
      </c>
      <c r="G426" s="62" t="s">
        <v>216</v>
      </c>
      <c r="H426" s="62" t="s">
        <v>14</v>
      </c>
      <c r="I426" s="62" t="s">
        <v>210</v>
      </c>
      <c r="J426" s="63" t="s">
        <v>217</v>
      </c>
      <c r="K426" s="62" t="s">
        <v>317</v>
      </c>
      <c r="L426" s="64">
        <v>4.74</v>
      </c>
      <c r="M426" s="64">
        <f t="shared" si="144"/>
        <v>2.8439999999999999</v>
      </c>
      <c r="N426" s="65">
        <f>prodnorm13</f>
        <v>0</v>
      </c>
      <c r="O426" s="66">
        <f>dagwerk13</f>
        <v>0</v>
      </c>
      <c r="P426" s="62" t="s">
        <v>40</v>
      </c>
      <c r="Q426" s="67">
        <f>uurtarief13</f>
        <v>0</v>
      </c>
      <c r="R426" s="64" t="e">
        <f t="shared" si="145"/>
        <v>#DIV/0!</v>
      </c>
      <c r="S426" s="64" t="e">
        <f t="shared" si="146"/>
        <v>#DIV/0!</v>
      </c>
      <c r="T426" s="67" t="e">
        <f t="shared" si="147"/>
        <v>#DIV/0!</v>
      </c>
      <c r="U426" s="64" t="e">
        <f t="shared" si="148"/>
        <v>#DIV/0!</v>
      </c>
      <c r="V426" s="69" t="e">
        <f t="shared" si="149"/>
        <v>#DIV/0!</v>
      </c>
    </row>
    <row r="427" spans="1:22" x14ac:dyDescent="0.3">
      <c r="A427" s="61" t="s">
        <v>316</v>
      </c>
      <c r="B427" s="62" t="s">
        <v>317</v>
      </c>
      <c r="C427" s="62" t="s">
        <v>629</v>
      </c>
      <c r="D427" s="62" t="s">
        <v>826</v>
      </c>
      <c r="E427" s="63" t="s">
        <v>374</v>
      </c>
      <c r="F427" s="62" t="s">
        <v>348</v>
      </c>
      <c r="G427" s="62" t="s">
        <v>323</v>
      </c>
      <c r="H427" s="62"/>
      <c r="I427" s="62"/>
      <c r="J427" s="62"/>
      <c r="K427" s="62" t="s">
        <v>317</v>
      </c>
      <c r="L427" s="64">
        <v>0.34</v>
      </c>
      <c r="M427" s="64"/>
      <c r="N427" s="65"/>
      <c r="O427" s="66"/>
      <c r="P427" s="62"/>
      <c r="Q427" s="67"/>
      <c r="R427" s="64"/>
      <c r="S427" s="64"/>
      <c r="T427" s="67"/>
      <c r="U427" s="68"/>
      <c r="V427" s="69"/>
    </row>
    <row r="428" spans="1:22" x14ac:dyDescent="0.3">
      <c r="A428" s="61" t="s">
        <v>316</v>
      </c>
      <c r="B428" s="62" t="s">
        <v>317</v>
      </c>
      <c r="C428" s="62" t="s">
        <v>629</v>
      </c>
      <c r="D428" s="62" t="s">
        <v>827</v>
      </c>
      <c r="E428" s="63" t="s">
        <v>536</v>
      </c>
      <c r="F428" s="62" t="s">
        <v>348</v>
      </c>
      <c r="G428" s="62" t="s">
        <v>216</v>
      </c>
      <c r="H428" s="62" t="s">
        <v>14</v>
      </c>
      <c r="I428" s="62" t="s">
        <v>210</v>
      </c>
      <c r="J428" s="63" t="s">
        <v>217</v>
      </c>
      <c r="K428" s="62" t="s">
        <v>317</v>
      </c>
      <c r="L428" s="64">
        <v>4.75</v>
      </c>
      <c r="M428" s="64">
        <f>L428*VLOOKUP(H428,dagsoorttabel1,2,FALSE)</f>
        <v>2.85</v>
      </c>
      <c r="N428" s="65">
        <f>prodnorm13</f>
        <v>0</v>
      </c>
      <c r="O428" s="66">
        <f>dagwerk13</f>
        <v>0</v>
      </c>
      <c r="P428" s="62" t="s">
        <v>40</v>
      </c>
      <c r="Q428" s="67">
        <f>uurtarief13</f>
        <v>0</v>
      </c>
      <c r="R428" s="64" t="e">
        <f>IF(ISBLANK(N428),0,M428/ROUND(N428,4))</f>
        <v>#DIV/0!</v>
      </c>
      <c r="S428" s="64" t="e">
        <f>IF(ISBLANK(N428),0,R428*ROUND(O428,2))</f>
        <v>#DIV/0!</v>
      </c>
      <c r="T428" s="67" t="e">
        <f>ROUND(Q428,2)*R428</f>
        <v>#DIV/0!</v>
      </c>
      <c r="U428" s="64" t="e">
        <f>R428*dagenperjaar1</f>
        <v>#DIV/0!</v>
      </c>
      <c r="V428" s="69" t="e">
        <f>U428*ROUND(Q428,2)</f>
        <v>#DIV/0!</v>
      </c>
    </row>
    <row r="429" spans="1:22" x14ac:dyDescent="0.3">
      <c r="A429" s="61" t="s">
        <v>316</v>
      </c>
      <c r="B429" s="62" t="s">
        <v>317</v>
      </c>
      <c r="C429" s="62" t="s">
        <v>629</v>
      </c>
      <c r="D429" s="62" t="s">
        <v>828</v>
      </c>
      <c r="E429" s="63" t="s">
        <v>394</v>
      </c>
      <c r="F429" s="62" t="s">
        <v>389</v>
      </c>
      <c r="G429" s="62" t="s">
        <v>272</v>
      </c>
      <c r="H429" s="62" t="s">
        <v>11</v>
      </c>
      <c r="I429" s="62" t="s">
        <v>210</v>
      </c>
      <c r="J429" s="63" t="s">
        <v>273</v>
      </c>
      <c r="K429" s="62" t="s">
        <v>317</v>
      </c>
      <c r="L429" s="64">
        <v>45.190000000000005</v>
      </c>
      <c r="M429" s="64">
        <f>L429*VLOOKUP(H429,dagsoorttabel1,2,FALSE)</f>
        <v>45.190000000000005</v>
      </c>
      <c r="N429" s="65">
        <f>prodnorm42</f>
        <v>0</v>
      </c>
      <c r="O429" s="66">
        <f>dagwerk42</f>
        <v>0</v>
      </c>
      <c r="P429" s="62" t="s">
        <v>40</v>
      </c>
      <c r="Q429" s="67">
        <f>uurtarief42</f>
        <v>0</v>
      </c>
      <c r="R429" s="64" t="e">
        <f>IF(ISBLANK(N429),0,M429/ROUND(N429,4))</f>
        <v>#DIV/0!</v>
      </c>
      <c r="S429" s="64" t="e">
        <f>IF(ISBLANK(N429),0,R429*ROUND(O429,2))</f>
        <v>#DIV/0!</v>
      </c>
      <c r="T429" s="67" t="e">
        <f>ROUND(Q429,2)*R429</f>
        <v>#DIV/0!</v>
      </c>
      <c r="U429" s="64" t="e">
        <f>R429*dagenperjaar1</f>
        <v>#DIV/0!</v>
      </c>
      <c r="V429" s="69" t="e">
        <f>U429*ROUND(Q429,2)</f>
        <v>#DIV/0!</v>
      </c>
    </row>
    <row r="430" spans="1:22" x14ac:dyDescent="0.3">
      <c r="A430" s="61" t="s">
        <v>316</v>
      </c>
      <c r="B430" s="62" t="s">
        <v>317</v>
      </c>
      <c r="C430" s="62" t="s">
        <v>629</v>
      </c>
      <c r="D430" s="62" t="s">
        <v>829</v>
      </c>
      <c r="E430" s="63" t="s">
        <v>330</v>
      </c>
      <c r="F430" s="62" t="s">
        <v>389</v>
      </c>
      <c r="G430" s="62" t="s">
        <v>286</v>
      </c>
      <c r="H430" s="62" t="s">
        <v>11</v>
      </c>
      <c r="I430" s="62" t="s">
        <v>210</v>
      </c>
      <c r="J430" s="63" t="s">
        <v>287</v>
      </c>
      <c r="K430" s="62" t="s">
        <v>317</v>
      </c>
      <c r="L430" s="64">
        <v>14.61</v>
      </c>
      <c r="M430" s="64">
        <f>L430*VLOOKUP(H430,dagsoorttabel1,2,FALSE)</f>
        <v>14.61</v>
      </c>
      <c r="N430" s="65">
        <f>prodnorm49</f>
        <v>0</v>
      </c>
      <c r="O430" s="66">
        <f>dagwerk49</f>
        <v>0</v>
      </c>
      <c r="P430" s="62" t="s">
        <v>40</v>
      </c>
      <c r="Q430" s="67">
        <f>uurtarief49</f>
        <v>0</v>
      </c>
      <c r="R430" s="64" t="e">
        <f>IF(ISBLANK(N430),0,M430/ROUND(N430,4))</f>
        <v>#DIV/0!</v>
      </c>
      <c r="S430" s="64" t="e">
        <f>IF(ISBLANK(N430),0,R430*ROUND(O430,2))</f>
        <v>#DIV/0!</v>
      </c>
      <c r="T430" s="67" t="e">
        <f>ROUND(Q430,2)*R430</f>
        <v>#DIV/0!</v>
      </c>
      <c r="U430" s="64" t="e">
        <f>R430*dagenperjaar1</f>
        <v>#DIV/0!</v>
      </c>
      <c r="V430" s="69" t="e">
        <f>U430*ROUND(Q430,2)</f>
        <v>#DIV/0!</v>
      </c>
    </row>
    <row r="431" spans="1:22" x14ac:dyDescent="0.3">
      <c r="A431" s="61" t="s">
        <v>316</v>
      </c>
      <c r="B431" s="62" t="s">
        <v>317</v>
      </c>
      <c r="C431" s="62" t="s">
        <v>629</v>
      </c>
      <c r="D431" s="62" t="s">
        <v>830</v>
      </c>
      <c r="E431" s="63" t="s">
        <v>381</v>
      </c>
      <c r="F431" s="62" t="s">
        <v>348</v>
      </c>
      <c r="G431" s="62" t="s">
        <v>323</v>
      </c>
      <c r="H431" s="62"/>
      <c r="I431" s="62"/>
      <c r="J431" s="62"/>
      <c r="K431" s="62" t="s">
        <v>317</v>
      </c>
      <c r="L431" s="64">
        <v>0</v>
      </c>
      <c r="M431" s="64"/>
      <c r="N431" s="65"/>
      <c r="O431" s="66"/>
      <c r="P431" s="62"/>
      <c r="Q431" s="67"/>
      <c r="R431" s="64"/>
      <c r="S431" s="64"/>
      <c r="T431" s="67"/>
      <c r="U431" s="68"/>
      <c r="V431" s="69"/>
    </row>
    <row r="432" spans="1:22" x14ac:dyDescent="0.3">
      <c r="A432" s="61" t="s">
        <v>316</v>
      </c>
      <c r="B432" s="62" t="s">
        <v>317</v>
      </c>
      <c r="C432" s="62" t="s">
        <v>629</v>
      </c>
      <c r="D432" s="62" t="s">
        <v>831</v>
      </c>
      <c r="E432" s="63" t="s">
        <v>394</v>
      </c>
      <c r="F432" s="62" t="s">
        <v>389</v>
      </c>
      <c r="G432" s="62" t="s">
        <v>272</v>
      </c>
      <c r="H432" s="62" t="s">
        <v>11</v>
      </c>
      <c r="I432" s="62" t="s">
        <v>210</v>
      </c>
      <c r="J432" s="63" t="s">
        <v>273</v>
      </c>
      <c r="K432" s="62" t="s">
        <v>317</v>
      </c>
      <c r="L432" s="64">
        <v>80.2</v>
      </c>
      <c r="M432" s="64">
        <f>L432*VLOOKUP(H432,dagsoorttabel1,2,FALSE)</f>
        <v>80.2</v>
      </c>
      <c r="N432" s="65">
        <f>prodnorm42</f>
        <v>0</v>
      </c>
      <c r="O432" s="66">
        <f>dagwerk42</f>
        <v>0</v>
      </c>
      <c r="P432" s="62" t="s">
        <v>40</v>
      </c>
      <c r="Q432" s="67">
        <f>uurtarief42</f>
        <v>0</v>
      </c>
      <c r="R432" s="64" t="e">
        <f>IF(ISBLANK(N432),0,M432/ROUND(N432,4))</f>
        <v>#DIV/0!</v>
      </c>
      <c r="S432" s="64" t="e">
        <f>IF(ISBLANK(N432),0,R432*ROUND(O432,2))</f>
        <v>#DIV/0!</v>
      </c>
      <c r="T432" s="67" t="e">
        <f>ROUND(Q432,2)*R432</f>
        <v>#DIV/0!</v>
      </c>
      <c r="U432" s="64" t="e">
        <f>R432*dagenperjaar1</f>
        <v>#DIV/0!</v>
      </c>
      <c r="V432" s="69" t="e">
        <f>U432*ROUND(Q432,2)</f>
        <v>#DIV/0!</v>
      </c>
    </row>
    <row r="433" spans="1:22" x14ac:dyDescent="0.3">
      <c r="A433" s="61" t="s">
        <v>316</v>
      </c>
      <c r="B433" s="62" t="s">
        <v>317</v>
      </c>
      <c r="C433" s="62" t="s">
        <v>629</v>
      </c>
      <c r="D433" s="62" t="s">
        <v>832</v>
      </c>
      <c r="E433" s="63" t="s">
        <v>352</v>
      </c>
      <c r="F433" s="62" t="s">
        <v>353</v>
      </c>
      <c r="G433" s="62" t="s">
        <v>266</v>
      </c>
      <c r="H433" s="62" t="s">
        <v>11</v>
      </c>
      <c r="I433" s="62" t="s">
        <v>210</v>
      </c>
      <c r="J433" s="63" t="s">
        <v>267</v>
      </c>
      <c r="K433" s="62" t="s">
        <v>317</v>
      </c>
      <c r="L433" s="64">
        <v>12.12</v>
      </c>
      <c r="M433" s="64">
        <f>L433*VLOOKUP(H433,dagsoorttabel1,2,FALSE)</f>
        <v>12.12</v>
      </c>
      <c r="N433" s="65">
        <f>prodnorm39</f>
        <v>0</v>
      </c>
      <c r="O433" s="66">
        <f>dagwerk39</f>
        <v>0</v>
      </c>
      <c r="P433" s="62" t="s">
        <v>40</v>
      </c>
      <c r="Q433" s="67">
        <f>uurtarief39</f>
        <v>0</v>
      </c>
      <c r="R433" s="64" t="e">
        <f>IF(ISBLANK(N433),0,M433/ROUND(N433,4))</f>
        <v>#DIV/0!</v>
      </c>
      <c r="S433" s="64" t="e">
        <f>IF(ISBLANK(N433),0,R433*ROUND(O433,2))</f>
        <v>#DIV/0!</v>
      </c>
      <c r="T433" s="67" t="e">
        <f>ROUND(Q433,2)*R433</f>
        <v>#DIV/0!</v>
      </c>
      <c r="U433" s="64" t="e">
        <f>R433*dagenperjaar1</f>
        <v>#DIV/0!</v>
      </c>
      <c r="V433" s="69" t="e">
        <f>U433*ROUND(Q433,2)</f>
        <v>#DIV/0!</v>
      </c>
    </row>
    <row r="434" spans="1:22" x14ac:dyDescent="0.3">
      <c r="A434" s="61" t="s">
        <v>316</v>
      </c>
      <c r="B434" s="62" t="s">
        <v>317</v>
      </c>
      <c r="C434" s="62" t="s">
        <v>629</v>
      </c>
      <c r="D434" s="62" t="s">
        <v>832</v>
      </c>
      <c r="E434" s="63" t="s">
        <v>352</v>
      </c>
      <c r="F434" s="62" t="s">
        <v>353</v>
      </c>
      <c r="G434" s="62" t="s">
        <v>268</v>
      </c>
      <c r="H434" s="62" t="s">
        <v>11</v>
      </c>
      <c r="I434" s="62" t="s">
        <v>210</v>
      </c>
      <c r="J434" s="63" t="s">
        <v>269</v>
      </c>
      <c r="K434" s="62" t="s">
        <v>317</v>
      </c>
      <c r="L434" s="64">
        <v>12.12</v>
      </c>
      <c r="M434" s="64">
        <f>L434*VLOOKUP(H434,dagsoorttabel1,2,FALSE)</f>
        <v>12.12</v>
      </c>
      <c r="N434" s="65">
        <f>prodnorm40</f>
        <v>0</v>
      </c>
      <c r="O434" s="66">
        <f>dagwerk40</f>
        <v>0</v>
      </c>
      <c r="P434" s="62" t="s">
        <v>40</v>
      </c>
      <c r="Q434" s="67">
        <f>uurtarief40</f>
        <v>0</v>
      </c>
      <c r="R434" s="64" t="e">
        <f>IF(ISBLANK(N434),0,M434/ROUND(N434,4))</f>
        <v>#DIV/0!</v>
      </c>
      <c r="S434" s="64" t="e">
        <f>IF(ISBLANK(N434),0,R434*ROUND(O434,2))</f>
        <v>#DIV/0!</v>
      </c>
      <c r="T434" s="67" t="e">
        <f>ROUND(Q434,2)*R434</f>
        <v>#DIV/0!</v>
      </c>
      <c r="U434" s="64" t="e">
        <f>R434*dagenperjaar1</f>
        <v>#DIV/0!</v>
      </c>
      <c r="V434" s="69" t="e">
        <f>U434*ROUND(Q434,2)</f>
        <v>#DIV/0!</v>
      </c>
    </row>
    <row r="435" spans="1:22" x14ac:dyDescent="0.3">
      <c r="A435" s="61" t="s">
        <v>316</v>
      </c>
      <c r="B435" s="62" t="s">
        <v>317</v>
      </c>
      <c r="C435" s="62" t="s">
        <v>629</v>
      </c>
      <c r="D435" s="62" t="s">
        <v>833</v>
      </c>
      <c r="E435" s="63" t="s">
        <v>321</v>
      </c>
      <c r="F435" s="62" t="s">
        <v>348</v>
      </c>
      <c r="G435" s="62" t="s">
        <v>323</v>
      </c>
      <c r="H435" s="62"/>
      <c r="I435" s="62"/>
      <c r="J435" s="62"/>
      <c r="K435" s="62" t="s">
        <v>317</v>
      </c>
      <c r="L435" s="64">
        <v>13.229999999999999</v>
      </c>
      <c r="M435" s="64"/>
      <c r="N435" s="65"/>
      <c r="O435" s="66"/>
      <c r="P435" s="62"/>
      <c r="Q435" s="67"/>
      <c r="R435" s="64"/>
      <c r="S435" s="64"/>
      <c r="T435" s="67"/>
      <c r="U435" s="68"/>
      <c r="V435" s="69"/>
    </row>
    <row r="436" spans="1:22" x14ac:dyDescent="0.3">
      <c r="A436" s="61" t="s">
        <v>316</v>
      </c>
      <c r="B436" s="62" t="s">
        <v>317</v>
      </c>
      <c r="C436" s="62" t="s">
        <v>629</v>
      </c>
      <c r="D436" s="62" t="s">
        <v>834</v>
      </c>
      <c r="E436" s="63" t="s">
        <v>352</v>
      </c>
      <c r="F436" s="62" t="s">
        <v>353</v>
      </c>
      <c r="G436" s="62" t="s">
        <v>266</v>
      </c>
      <c r="H436" s="62" t="s">
        <v>11</v>
      </c>
      <c r="I436" s="62" t="s">
        <v>210</v>
      </c>
      <c r="J436" s="63" t="s">
        <v>267</v>
      </c>
      <c r="K436" s="62" t="s">
        <v>317</v>
      </c>
      <c r="L436" s="64">
        <v>11.6</v>
      </c>
      <c r="M436" s="64">
        <f t="shared" ref="M436:M443" si="153">L436*VLOOKUP(H436,dagsoorttabel1,2,FALSE)</f>
        <v>11.6</v>
      </c>
      <c r="N436" s="65">
        <f>prodnorm39</f>
        <v>0</v>
      </c>
      <c r="O436" s="66">
        <f>dagwerk39</f>
        <v>0</v>
      </c>
      <c r="P436" s="62" t="s">
        <v>40</v>
      </c>
      <c r="Q436" s="67">
        <f>uurtarief39</f>
        <v>0</v>
      </c>
      <c r="R436" s="64" t="e">
        <f t="shared" ref="R436:R443" si="154">IF(ISBLANK(N436),0,M436/ROUND(N436,4))</f>
        <v>#DIV/0!</v>
      </c>
      <c r="S436" s="64" t="e">
        <f t="shared" ref="S436:S443" si="155">IF(ISBLANK(N436),0,R436*ROUND(O436,2))</f>
        <v>#DIV/0!</v>
      </c>
      <c r="T436" s="67" t="e">
        <f t="shared" ref="T436:T443" si="156">ROUND(Q436,2)*R436</f>
        <v>#DIV/0!</v>
      </c>
      <c r="U436" s="64" t="e">
        <f t="shared" ref="U436:U443" si="157">R436*dagenperjaar1</f>
        <v>#DIV/0!</v>
      </c>
      <c r="V436" s="69" t="e">
        <f t="shared" ref="V436:V443" si="158">U436*ROUND(Q436,2)</f>
        <v>#DIV/0!</v>
      </c>
    </row>
    <row r="437" spans="1:22" x14ac:dyDescent="0.3">
      <c r="A437" s="61" t="s">
        <v>316</v>
      </c>
      <c r="B437" s="62" t="s">
        <v>317</v>
      </c>
      <c r="C437" s="62" t="s">
        <v>629</v>
      </c>
      <c r="D437" s="62" t="s">
        <v>834</v>
      </c>
      <c r="E437" s="63" t="s">
        <v>352</v>
      </c>
      <c r="F437" s="62" t="s">
        <v>353</v>
      </c>
      <c r="G437" s="62" t="s">
        <v>268</v>
      </c>
      <c r="H437" s="62" t="s">
        <v>11</v>
      </c>
      <c r="I437" s="62" t="s">
        <v>210</v>
      </c>
      <c r="J437" s="63" t="s">
        <v>269</v>
      </c>
      <c r="K437" s="62" t="s">
        <v>317</v>
      </c>
      <c r="L437" s="64">
        <v>11.6</v>
      </c>
      <c r="M437" s="64">
        <f t="shared" si="153"/>
        <v>11.6</v>
      </c>
      <c r="N437" s="65">
        <f>prodnorm40</f>
        <v>0</v>
      </c>
      <c r="O437" s="66">
        <f>dagwerk40</f>
        <v>0</v>
      </c>
      <c r="P437" s="62" t="s">
        <v>40</v>
      </c>
      <c r="Q437" s="67">
        <f>uurtarief40</f>
        <v>0</v>
      </c>
      <c r="R437" s="64" t="e">
        <f t="shared" si="154"/>
        <v>#DIV/0!</v>
      </c>
      <c r="S437" s="64" t="e">
        <f t="shared" si="155"/>
        <v>#DIV/0!</v>
      </c>
      <c r="T437" s="67" t="e">
        <f t="shared" si="156"/>
        <v>#DIV/0!</v>
      </c>
      <c r="U437" s="64" t="e">
        <f t="shared" si="157"/>
        <v>#DIV/0!</v>
      </c>
      <c r="V437" s="69" t="e">
        <f t="shared" si="158"/>
        <v>#DIV/0!</v>
      </c>
    </row>
    <row r="438" spans="1:22" x14ac:dyDescent="0.3">
      <c r="A438" s="61" t="s">
        <v>316</v>
      </c>
      <c r="B438" s="62" t="s">
        <v>317</v>
      </c>
      <c r="C438" s="62" t="s">
        <v>629</v>
      </c>
      <c r="D438" s="62" t="s">
        <v>835</v>
      </c>
      <c r="E438" s="63" t="s">
        <v>836</v>
      </c>
      <c r="F438" s="62" t="s">
        <v>348</v>
      </c>
      <c r="G438" s="62" t="s">
        <v>212</v>
      </c>
      <c r="H438" s="62" t="s">
        <v>17</v>
      </c>
      <c r="I438" s="62" t="s">
        <v>210</v>
      </c>
      <c r="J438" s="63" t="s">
        <v>213</v>
      </c>
      <c r="K438" s="62" t="s">
        <v>317</v>
      </c>
      <c r="L438" s="64">
        <v>5.57</v>
      </c>
      <c r="M438" s="64">
        <f t="shared" si="153"/>
        <v>1.1140000000000001</v>
      </c>
      <c r="N438" s="65">
        <f>prodnorm11</f>
        <v>0</v>
      </c>
      <c r="O438" s="66">
        <f>dagwerk11</f>
        <v>0</v>
      </c>
      <c r="P438" s="62" t="s">
        <v>40</v>
      </c>
      <c r="Q438" s="67">
        <f>uurtarief11</f>
        <v>0</v>
      </c>
      <c r="R438" s="64" t="e">
        <f t="shared" si="154"/>
        <v>#DIV/0!</v>
      </c>
      <c r="S438" s="64" t="e">
        <f t="shared" si="155"/>
        <v>#DIV/0!</v>
      </c>
      <c r="T438" s="67" t="e">
        <f t="shared" si="156"/>
        <v>#DIV/0!</v>
      </c>
      <c r="U438" s="64" t="e">
        <f t="shared" si="157"/>
        <v>#DIV/0!</v>
      </c>
      <c r="V438" s="69" t="e">
        <f t="shared" si="158"/>
        <v>#DIV/0!</v>
      </c>
    </row>
    <row r="439" spans="1:22" x14ac:dyDescent="0.3">
      <c r="A439" s="61" t="s">
        <v>316</v>
      </c>
      <c r="B439" s="62" t="s">
        <v>317</v>
      </c>
      <c r="C439" s="62" t="s">
        <v>629</v>
      </c>
      <c r="D439" s="62" t="s">
        <v>837</v>
      </c>
      <c r="E439" s="63" t="s">
        <v>836</v>
      </c>
      <c r="F439" s="62" t="s">
        <v>348</v>
      </c>
      <c r="G439" s="62" t="s">
        <v>212</v>
      </c>
      <c r="H439" s="62" t="s">
        <v>17</v>
      </c>
      <c r="I439" s="62" t="s">
        <v>210</v>
      </c>
      <c r="J439" s="63" t="s">
        <v>213</v>
      </c>
      <c r="K439" s="62" t="s">
        <v>317</v>
      </c>
      <c r="L439" s="64">
        <v>5.57</v>
      </c>
      <c r="M439" s="64">
        <f t="shared" si="153"/>
        <v>1.1140000000000001</v>
      </c>
      <c r="N439" s="65">
        <f>prodnorm11</f>
        <v>0</v>
      </c>
      <c r="O439" s="66">
        <f>dagwerk11</f>
        <v>0</v>
      </c>
      <c r="P439" s="62" t="s">
        <v>40</v>
      </c>
      <c r="Q439" s="67">
        <f>uurtarief11</f>
        <v>0</v>
      </c>
      <c r="R439" s="64" t="e">
        <f t="shared" si="154"/>
        <v>#DIV/0!</v>
      </c>
      <c r="S439" s="64" t="e">
        <f t="shared" si="155"/>
        <v>#DIV/0!</v>
      </c>
      <c r="T439" s="67" t="e">
        <f t="shared" si="156"/>
        <v>#DIV/0!</v>
      </c>
      <c r="U439" s="64" t="e">
        <f t="shared" si="157"/>
        <v>#DIV/0!</v>
      </c>
      <c r="V439" s="69" t="e">
        <f t="shared" si="158"/>
        <v>#DIV/0!</v>
      </c>
    </row>
    <row r="440" spans="1:22" x14ac:dyDescent="0.3">
      <c r="A440" s="61" t="s">
        <v>316</v>
      </c>
      <c r="B440" s="62" t="s">
        <v>317</v>
      </c>
      <c r="C440" s="62" t="s">
        <v>629</v>
      </c>
      <c r="D440" s="62" t="s">
        <v>838</v>
      </c>
      <c r="E440" s="63" t="s">
        <v>836</v>
      </c>
      <c r="F440" s="62" t="s">
        <v>348</v>
      </c>
      <c r="G440" s="62" t="s">
        <v>212</v>
      </c>
      <c r="H440" s="62" t="s">
        <v>17</v>
      </c>
      <c r="I440" s="62" t="s">
        <v>210</v>
      </c>
      <c r="J440" s="63" t="s">
        <v>213</v>
      </c>
      <c r="K440" s="62" t="s">
        <v>317</v>
      </c>
      <c r="L440" s="64">
        <v>5.57</v>
      </c>
      <c r="M440" s="64">
        <f t="shared" si="153"/>
        <v>1.1140000000000001</v>
      </c>
      <c r="N440" s="65">
        <f>prodnorm11</f>
        <v>0</v>
      </c>
      <c r="O440" s="66">
        <f>dagwerk11</f>
        <v>0</v>
      </c>
      <c r="P440" s="62" t="s">
        <v>40</v>
      </c>
      <c r="Q440" s="67">
        <f>uurtarief11</f>
        <v>0</v>
      </c>
      <c r="R440" s="64" t="e">
        <f t="shared" si="154"/>
        <v>#DIV/0!</v>
      </c>
      <c r="S440" s="64" t="e">
        <f t="shared" si="155"/>
        <v>#DIV/0!</v>
      </c>
      <c r="T440" s="67" t="e">
        <f t="shared" si="156"/>
        <v>#DIV/0!</v>
      </c>
      <c r="U440" s="64" t="e">
        <f t="shared" si="157"/>
        <v>#DIV/0!</v>
      </c>
      <c r="V440" s="69" t="e">
        <f t="shared" si="158"/>
        <v>#DIV/0!</v>
      </c>
    </row>
    <row r="441" spans="1:22" x14ac:dyDescent="0.3">
      <c r="A441" s="61" t="s">
        <v>316</v>
      </c>
      <c r="B441" s="62" t="s">
        <v>317</v>
      </c>
      <c r="C441" s="62" t="s">
        <v>629</v>
      </c>
      <c r="D441" s="62" t="s">
        <v>839</v>
      </c>
      <c r="E441" s="63" t="s">
        <v>836</v>
      </c>
      <c r="F441" s="62" t="s">
        <v>348</v>
      </c>
      <c r="G441" s="62" t="s">
        <v>212</v>
      </c>
      <c r="H441" s="62" t="s">
        <v>17</v>
      </c>
      <c r="I441" s="62" t="s">
        <v>210</v>
      </c>
      <c r="J441" s="63" t="s">
        <v>213</v>
      </c>
      <c r="K441" s="62" t="s">
        <v>317</v>
      </c>
      <c r="L441" s="64">
        <v>5.57</v>
      </c>
      <c r="M441" s="64">
        <f t="shared" si="153"/>
        <v>1.1140000000000001</v>
      </c>
      <c r="N441" s="65">
        <f>prodnorm11</f>
        <v>0</v>
      </c>
      <c r="O441" s="66">
        <f>dagwerk11</f>
        <v>0</v>
      </c>
      <c r="P441" s="62" t="s">
        <v>40</v>
      </c>
      <c r="Q441" s="67">
        <f>uurtarief11</f>
        <v>0</v>
      </c>
      <c r="R441" s="64" t="e">
        <f t="shared" si="154"/>
        <v>#DIV/0!</v>
      </c>
      <c r="S441" s="64" t="e">
        <f t="shared" si="155"/>
        <v>#DIV/0!</v>
      </c>
      <c r="T441" s="67" t="e">
        <f t="shared" si="156"/>
        <v>#DIV/0!</v>
      </c>
      <c r="U441" s="64" t="e">
        <f t="shared" si="157"/>
        <v>#DIV/0!</v>
      </c>
      <c r="V441" s="69" t="e">
        <f t="shared" si="158"/>
        <v>#DIV/0!</v>
      </c>
    </row>
    <row r="442" spans="1:22" x14ac:dyDescent="0.3">
      <c r="A442" s="61" t="s">
        <v>316</v>
      </c>
      <c r="B442" s="62" t="s">
        <v>317</v>
      </c>
      <c r="C442" s="62" t="s">
        <v>629</v>
      </c>
      <c r="D442" s="62" t="s">
        <v>840</v>
      </c>
      <c r="E442" s="63" t="s">
        <v>356</v>
      </c>
      <c r="F442" s="62" t="s">
        <v>348</v>
      </c>
      <c r="G442" s="62" t="s">
        <v>212</v>
      </c>
      <c r="H442" s="62" t="s">
        <v>17</v>
      </c>
      <c r="I442" s="62" t="s">
        <v>210</v>
      </c>
      <c r="J442" s="63" t="s">
        <v>213</v>
      </c>
      <c r="K442" s="62" t="s">
        <v>317</v>
      </c>
      <c r="L442" s="64">
        <v>50.53</v>
      </c>
      <c r="M442" s="64">
        <f t="shared" si="153"/>
        <v>10.106000000000002</v>
      </c>
      <c r="N442" s="65">
        <f>prodnorm11</f>
        <v>0</v>
      </c>
      <c r="O442" s="66">
        <f>dagwerk11</f>
        <v>0</v>
      </c>
      <c r="P442" s="62" t="s">
        <v>40</v>
      </c>
      <c r="Q442" s="67">
        <f>uurtarief11</f>
        <v>0</v>
      </c>
      <c r="R442" s="64" t="e">
        <f t="shared" si="154"/>
        <v>#DIV/0!</v>
      </c>
      <c r="S442" s="64" t="e">
        <f t="shared" si="155"/>
        <v>#DIV/0!</v>
      </c>
      <c r="T442" s="67" t="e">
        <f t="shared" si="156"/>
        <v>#DIV/0!</v>
      </c>
      <c r="U442" s="64" t="e">
        <f t="shared" si="157"/>
        <v>#DIV/0!</v>
      </c>
      <c r="V442" s="69" t="e">
        <f t="shared" si="158"/>
        <v>#DIV/0!</v>
      </c>
    </row>
    <row r="443" spans="1:22" x14ac:dyDescent="0.3">
      <c r="A443" s="61" t="s">
        <v>316</v>
      </c>
      <c r="B443" s="62" t="s">
        <v>317</v>
      </c>
      <c r="C443" s="62" t="s">
        <v>841</v>
      </c>
      <c r="D443" s="62" t="s">
        <v>842</v>
      </c>
      <c r="E443" s="63" t="s">
        <v>843</v>
      </c>
      <c r="F443" s="62" t="s">
        <v>357</v>
      </c>
      <c r="G443" s="62" t="s">
        <v>272</v>
      </c>
      <c r="H443" s="62" t="s">
        <v>11</v>
      </c>
      <c r="I443" s="62" t="s">
        <v>210</v>
      </c>
      <c r="J443" s="63" t="s">
        <v>273</v>
      </c>
      <c r="K443" s="62" t="s">
        <v>317</v>
      </c>
      <c r="L443" s="64">
        <v>37.620000000000005</v>
      </c>
      <c r="M443" s="64">
        <f t="shared" si="153"/>
        <v>37.620000000000005</v>
      </c>
      <c r="N443" s="65">
        <f>prodnorm42</f>
        <v>0</v>
      </c>
      <c r="O443" s="66">
        <f>dagwerk42</f>
        <v>0</v>
      </c>
      <c r="P443" s="62" t="s">
        <v>40</v>
      </c>
      <c r="Q443" s="67">
        <f>uurtarief42</f>
        <v>0</v>
      </c>
      <c r="R443" s="64" t="e">
        <f t="shared" si="154"/>
        <v>#DIV/0!</v>
      </c>
      <c r="S443" s="64" t="e">
        <f t="shared" si="155"/>
        <v>#DIV/0!</v>
      </c>
      <c r="T443" s="67" t="e">
        <f t="shared" si="156"/>
        <v>#DIV/0!</v>
      </c>
      <c r="U443" s="64" t="e">
        <f t="shared" si="157"/>
        <v>#DIV/0!</v>
      </c>
      <c r="V443" s="69" t="e">
        <f t="shared" si="158"/>
        <v>#DIV/0!</v>
      </c>
    </row>
    <row r="444" spans="1:22" x14ac:dyDescent="0.3">
      <c r="A444" s="61" t="s">
        <v>316</v>
      </c>
      <c r="B444" s="62" t="s">
        <v>317</v>
      </c>
      <c r="C444" s="62" t="s">
        <v>841</v>
      </c>
      <c r="D444" s="62" t="s">
        <v>844</v>
      </c>
      <c r="E444" s="63" t="s">
        <v>321</v>
      </c>
      <c r="F444" s="62" t="s">
        <v>357</v>
      </c>
      <c r="G444" s="62" t="s">
        <v>323</v>
      </c>
      <c r="H444" s="62"/>
      <c r="I444" s="62"/>
      <c r="J444" s="62"/>
      <c r="K444" s="62" t="s">
        <v>317</v>
      </c>
      <c r="L444" s="64">
        <v>5.1499999999999995</v>
      </c>
      <c r="M444" s="64"/>
      <c r="N444" s="65"/>
      <c r="O444" s="66"/>
      <c r="P444" s="62"/>
      <c r="Q444" s="67"/>
      <c r="R444" s="64"/>
      <c r="S444" s="64"/>
      <c r="T444" s="67"/>
      <c r="U444" s="68"/>
      <c r="V444" s="69"/>
    </row>
    <row r="445" spans="1:22" x14ac:dyDescent="0.3">
      <c r="A445" s="61" t="s">
        <v>316</v>
      </c>
      <c r="B445" s="62" t="s">
        <v>317</v>
      </c>
      <c r="C445" s="62" t="s">
        <v>841</v>
      </c>
      <c r="D445" s="62" t="s">
        <v>845</v>
      </c>
      <c r="E445" s="63" t="s">
        <v>846</v>
      </c>
      <c r="F445" s="62" t="s">
        <v>357</v>
      </c>
      <c r="G445" s="62" t="s">
        <v>323</v>
      </c>
      <c r="H445" s="62"/>
      <c r="I445" s="62"/>
      <c r="J445" s="62"/>
      <c r="K445" s="62" t="s">
        <v>317</v>
      </c>
      <c r="L445" s="64">
        <v>47.760000000000005</v>
      </c>
      <c r="M445" s="64"/>
      <c r="N445" s="65"/>
      <c r="O445" s="66"/>
      <c r="P445" s="62"/>
      <c r="Q445" s="67"/>
      <c r="R445" s="64"/>
      <c r="S445" s="64"/>
      <c r="T445" s="67"/>
      <c r="U445" s="68"/>
      <c r="V445" s="69"/>
    </row>
    <row r="446" spans="1:22" x14ac:dyDescent="0.3">
      <c r="A446" s="61" t="s">
        <v>316</v>
      </c>
      <c r="B446" s="62" t="s">
        <v>317</v>
      </c>
      <c r="C446" s="62" t="s">
        <v>841</v>
      </c>
      <c r="D446" s="62" t="s">
        <v>847</v>
      </c>
      <c r="E446" s="63" t="s">
        <v>381</v>
      </c>
      <c r="F446" s="62" t="s">
        <v>357</v>
      </c>
      <c r="G446" s="62" t="s">
        <v>323</v>
      </c>
      <c r="H446" s="62"/>
      <c r="I446" s="62"/>
      <c r="J446" s="62"/>
      <c r="K446" s="62" t="s">
        <v>317</v>
      </c>
      <c r="L446" s="64">
        <v>1.6300000000000001</v>
      </c>
      <c r="M446" s="64"/>
      <c r="N446" s="65"/>
      <c r="O446" s="66"/>
      <c r="P446" s="62"/>
      <c r="Q446" s="67"/>
      <c r="R446" s="64"/>
      <c r="S446" s="64"/>
      <c r="T446" s="67"/>
      <c r="U446" s="68"/>
      <c r="V446" s="69"/>
    </row>
    <row r="447" spans="1:22" x14ac:dyDescent="0.3">
      <c r="A447" s="61" t="s">
        <v>316</v>
      </c>
      <c r="B447" s="62" t="s">
        <v>317</v>
      </c>
      <c r="C447" s="62" t="s">
        <v>841</v>
      </c>
      <c r="D447" s="62" t="s">
        <v>848</v>
      </c>
      <c r="E447" s="63" t="s">
        <v>321</v>
      </c>
      <c r="F447" s="62" t="s">
        <v>357</v>
      </c>
      <c r="G447" s="62" t="s">
        <v>323</v>
      </c>
      <c r="H447" s="62"/>
      <c r="I447" s="62"/>
      <c r="J447" s="62"/>
      <c r="K447" s="62" t="s">
        <v>317</v>
      </c>
      <c r="L447" s="64">
        <v>1.78</v>
      </c>
      <c r="M447" s="64"/>
      <c r="N447" s="65"/>
      <c r="O447" s="66"/>
      <c r="P447" s="62"/>
      <c r="Q447" s="67"/>
      <c r="R447" s="64"/>
      <c r="S447" s="64"/>
      <c r="T447" s="67"/>
      <c r="U447" s="68"/>
      <c r="V447" s="69"/>
    </row>
    <row r="448" spans="1:22" x14ac:dyDescent="0.3">
      <c r="A448" s="61" t="s">
        <v>316</v>
      </c>
      <c r="B448" s="62" t="s">
        <v>317</v>
      </c>
      <c r="C448" s="62" t="s">
        <v>841</v>
      </c>
      <c r="D448" s="62" t="s">
        <v>849</v>
      </c>
      <c r="E448" s="63" t="s">
        <v>462</v>
      </c>
      <c r="F448" s="62" t="s">
        <v>335</v>
      </c>
      <c r="G448" s="62" t="s">
        <v>264</v>
      </c>
      <c r="H448" s="62" t="s">
        <v>11</v>
      </c>
      <c r="I448" s="62" t="s">
        <v>210</v>
      </c>
      <c r="J448" s="63" t="s">
        <v>265</v>
      </c>
      <c r="K448" s="62" t="s">
        <v>317</v>
      </c>
      <c r="L448" s="64">
        <v>11.99</v>
      </c>
      <c r="M448" s="64">
        <f t="shared" ref="M448:M458" si="159">L448*VLOOKUP(H448,dagsoorttabel1,2,FALSE)</f>
        <v>11.99</v>
      </c>
      <c r="N448" s="65">
        <f>prodnorm38</f>
        <v>0</v>
      </c>
      <c r="O448" s="66">
        <f>dagwerk38</f>
        <v>0</v>
      </c>
      <c r="P448" s="62" t="s">
        <v>40</v>
      </c>
      <c r="Q448" s="67">
        <f>uurtarief38</f>
        <v>0</v>
      </c>
      <c r="R448" s="64" t="e">
        <f t="shared" ref="R448:R458" si="160">IF(ISBLANK(N448),0,M448/ROUND(N448,4))</f>
        <v>#DIV/0!</v>
      </c>
      <c r="S448" s="64" t="e">
        <f t="shared" ref="S448:S458" si="161">IF(ISBLANK(N448),0,R448*ROUND(O448,2))</f>
        <v>#DIV/0!</v>
      </c>
      <c r="T448" s="67" t="e">
        <f t="shared" ref="T448:T458" si="162">ROUND(Q448,2)*R448</f>
        <v>#DIV/0!</v>
      </c>
      <c r="U448" s="64" t="e">
        <f t="shared" ref="U448:U458" si="163">R448*dagenperjaar1</f>
        <v>#DIV/0!</v>
      </c>
      <c r="V448" s="69" t="e">
        <f t="shared" ref="V448:V458" si="164">U448*ROUND(Q448,2)</f>
        <v>#DIV/0!</v>
      </c>
    </row>
    <row r="449" spans="1:22" x14ac:dyDescent="0.3">
      <c r="A449" s="61" t="s">
        <v>316</v>
      </c>
      <c r="B449" s="62" t="s">
        <v>317</v>
      </c>
      <c r="C449" s="62" t="s">
        <v>841</v>
      </c>
      <c r="D449" s="62" t="s">
        <v>850</v>
      </c>
      <c r="E449" s="63" t="s">
        <v>462</v>
      </c>
      <c r="F449" s="62" t="s">
        <v>335</v>
      </c>
      <c r="G449" s="62" t="s">
        <v>264</v>
      </c>
      <c r="H449" s="62" t="s">
        <v>11</v>
      </c>
      <c r="I449" s="62" t="s">
        <v>210</v>
      </c>
      <c r="J449" s="63" t="s">
        <v>265</v>
      </c>
      <c r="K449" s="62" t="s">
        <v>317</v>
      </c>
      <c r="L449" s="64">
        <v>22.279999999999998</v>
      </c>
      <c r="M449" s="64">
        <f t="shared" si="159"/>
        <v>22.279999999999998</v>
      </c>
      <c r="N449" s="65">
        <f>prodnorm38</f>
        <v>0</v>
      </c>
      <c r="O449" s="66">
        <f>dagwerk38</f>
        <v>0</v>
      </c>
      <c r="P449" s="62" t="s">
        <v>40</v>
      </c>
      <c r="Q449" s="67">
        <f>uurtarief38</f>
        <v>0</v>
      </c>
      <c r="R449" s="64" t="e">
        <f t="shared" si="160"/>
        <v>#DIV/0!</v>
      </c>
      <c r="S449" s="64" t="e">
        <f t="shared" si="161"/>
        <v>#DIV/0!</v>
      </c>
      <c r="T449" s="67" t="e">
        <f t="shared" si="162"/>
        <v>#DIV/0!</v>
      </c>
      <c r="U449" s="64" t="e">
        <f t="shared" si="163"/>
        <v>#DIV/0!</v>
      </c>
      <c r="V449" s="69" t="e">
        <f t="shared" si="164"/>
        <v>#DIV/0!</v>
      </c>
    </row>
    <row r="450" spans="1:22" x14ac:dyDescent="0.3">
      <c r="A450" s="61" t="s">
        <v>316</v>
      </c>
      <c r="B450" s="62" t="s">
        <v>317</v>
      </c>
      <c r="C450" s="62" t="s">
        <v>841</v>
      </c>
      <c r="D450" s="62" t="s">
        <v>851</v>
      </c>
      <c r="E450" s="63" t="s">
        <v>330</v>
      </c>
      <c r="F450" s="62" t="s">
        <v>357</v>
      </c>
      <c r="G450" s="62" t="s">
        <v>286</v>
      </c>
      <c r="H450" s="62" t="s">
        <v>11</v>
      </c>
      <c r="I450" s="62" t="s">
        <v>210</v>
      </c>
      <c r="J450" s="63" t="s">
        <v>287</v>
      </c>
      <c r="K450" s="62" t="s">
        <v>317</v>
      </c>
      <c r="L450" s="64">
        <v>7.7700000000000005</v>
      </c>
      <c r="M450" s="64">
        <f t="shared" si="159"/>
        <v>7.7700000000000005</v>
      </c>
      <c r="N450" s="65">
        <f>prodnorm49</f>
        <v>0</v>
      </c>
      <c r="O450" s="66">
        <f>dagwerk49</f>
        <v>0</v>
      </c>
      <c r="P450" s="62" t="s">
        <v>40</v>
      </c>
      <c r="Q450" s="67">
        <f>uurtarief49</f>
        <v>0</v>
      </c>
      <c r="R450" s="64" t="e">
        <f t="shared" si="160"/>
        <v>#DIV/0!</v>
      </c>
      <c r="S450" s="64" t="e">
        <f t="shared" si="161"/>
        <v>#DIV/0!</v>
      </c>
      <c r="T450" s="67" t="e">
        <f t="shared" si="162"/>
        <v>#DIV/0!</v>
      </c>
      <c r="U450" s="64" t="e">
        <f t="shared" si="163"/>
        <v>#DIV/0!</v>
      </c>
      <c r="V450" s="69" t="e">
        <f t="shared" si="164"/>
        <v>#DIV/0!</v>
      </c>
    </row>
    <row r="451" spans="1:22" x14ac:dyDescent="0.3">
      <c r="A451" s="61" t="s">
        <v>316</v>
      </c>
      <c r="B451" s="62" t="s">
        <v>317</v>
      </c>
      <c r="C451" s="62" t="s">
        <v>841</v>
      </c>
      <c r="D451" s="62" t="s">
        <v>852</v>
      </c>
      <c r="E451" s="63" t="s">
        <v>330</v>
      </c>
      <c r="F451" s="62" t="s">
        <v>640</v>
      </c>
      <c r="G451" s="62" t="s">
        <v>286</v>
      </c>
      <c r="H451" s="62" t="s">
        <v>11</v>
      </c>
      <c r="I451" s="62" t="s">
        <v>210</v>
      </c>
      <c r="J451" s="63" t="s">
        <v>287</v>
      </c>
      <c r="K451" s="62" t="s">
        <v>317</v>
      </c>
      <c r="L451" s="64">
        <v>18.989999999999998</v>
      </c>
      <c r="M451" s="64">
        <f t="shared" si="159"/>
        <v>18.989999999999998</v>
      </c>
      <c r="N451" s="65">
        <f>prodnorm49</f>
        <v>0</v>
      </c>
      <c r="O451" s="66">
        <f>dagwerk49</f>
        <v>0</v>
      </c>
      <c r="P451" s="62" t="s">
        <v>40</v>
      </c>
      <c r="Q451" s="67">
        <f>uurtarief49</f>
        <v>0</v>
      </c>
      <c r="R451" s="64" t="e">
        <f t="shared" si="160"/>
        <v>#DIV/0!</v>
      </c>
      <c r="S451" s="64" t="e">
        <f t="shared" si="161"/>
        <v>#DIV/0!</v>
      </c>
      <c r="T451" s="67" t="e">
        <f t="shared" si="162"/>
        <v>#DIV/0!</v>
      </c>
      <c r="U451" s="64" t="e">
        <f t="shared" si="163"/>
        <v>#DIV/0!</v>
      </c>
      <c r="V451" s="69" t="e">
        <f t="shared" si="164"/>
        <v>#DIV/0!</v>
      </c>
    </row>
    <row r="452" spans="1:22" x14ac:dyDescent="0.3">
      <c r="A452" s="61" t="s">
        <v>316</v>
      </c>
      <c r="B452" s="62" t="s">
        <v>317</v>
      </c>
      <c r="C452" s="62" t="s">
        <v>841</v>
      </c>
      <c r="D452" s="62" t="s">
        <v>853</v>
      </c>
      <c r="E452" s="63" t="s">
        <v>330</v>
      </c>
      <c r="F452" s="62" t="s">
        <v>389</v>
      </c>
      <c r="G452" s="62" t="s">
        <v>286</v>
      </c>
      <c r="H452" s="62" t="s">
        <v>11</v>
      </c>
      <c r="I452" s="62" t="s">
        <v>210</v>
      </c>
      <c r="J452" s="63" t="s">
        <v>287</v>
      </c>
      <c r="K452" s="62" t="s">
        <v>317</v>
      </c>
      <c r="L452" s="64">
        <v>26.16</v>
      </c>
      <c r="M452" s="64">
        <f t="shared" si="159"/>
        <v>26.16</v>
      </c>
      <c r="N452" s="65">
        <f>prodnorm49</f>
        <v>0</v>
      </c>
      <c r="O452" s="66">
        <f>dagwerk49</f>
        <v>0</v>
      </c>
      <c r="P452" s="62" t="s">
        <v>40</v>
      </c>
      <c r="Q452" s="67">
        <f>uurtarief49</f>
        <v>0</v>
      </c>
      <c r="R452" s="64" t="e">
        <f t="shared" si="160"/>
        <v>#DIV/0!</v>
      </c>
      <c r="S452" s="64" t="e">
        <f t="shared" si="161"/>
        <v>#DIV/0!</v>
      </c>
      <c r="T452" s="67" t="e">
        <f t="shared" si="162"/>
        <v>#DIV/0!</v>
      </c>
      <c r="U452" s="64" t="e">
        <f t="shared" si="163"/>
        <v>#DIV/0!</v>
      </c>
      <c r="V452" s="69" t="e">
        <f t="shared" si="164"/>
        <v>#DIV/0!</v>
      </c>
    </row>
    <row r="453" spans="1:22" x14ac:dyDescent="0.3">
      <c r="A453" s="61" t="s">
        <v>316</v>
      </c>
      <c r="B453" s="62" t="s">
        <v>317</v>
      </c>
      <c r="C453" s="62" t="s">
        <v>841</v>
      </c>
      <c r="D453" s="62" t="s">
        <v>854</v>
      </c>
      <c r="E453" s="63" t="s">
        <v>330</v>
      </c>
      <c r="F453" s="62" t="s">
        <v>389</v>
      </c>
      <c r="G453" s="62" t="s">
        <v>286</v>
      </c>
      <c r="H453" s="62" t="s">
        <v>11</v>
      </c>
      <c r="I453" s="62" t="s">
        <v>210</v>
      </c>
      <c r="J453" s="63" t="s">
        <v>287</v>
      </c>
      <c r="K453" s="62" t="s">
        <v>317</v>
      </c>
      <c r="L453" s="64">
        <v>26.16</v>
      </c>
      <c r="M453" s="64">
        <f t="shared" si="159"/>
        <v>26.16</v>
      </c>
      <c r="N453" s="65">
        <f>prodnorm49</f>
        <v>0</v>
      </c>
      <c r="O453" s="66">
        <f>dagwerk49</f>
        <v>0</v>
      </c>
      <c r="P453" s="62" t="s">
        <v>40</v>
      </c>
      <c r="Q453" s="67">
        <f>uurtarief49</f>
        <v>0</v>
      </c>
      <c r="R453" s="64" t="e">
        <f t="shared" si="160"/>
        <v>#DIV/0!</v>
      </c>
      <c r="S453" s="64" t="e">
        <f t="shared" si="161"/>
        <v>#DIV/0!</v>
      </c>
      <c r="T453" s="67" t="e">
        <f t="shared" si="162"/>
        <v>#DIV/0!</v>
      </c>
      <c r="U453" s="64" t="e">
        <f t="shared" si="163"/>
        <v>#DIV/0!</v>
      </c>
      <c r="V453" s="69" t="e">
        <f t="shared" si="164"/>
        <v>#DIV/0!</v>
      </c>
    </row>
    <row r="454" spans="1:22" x14ac:dyDescent="0.3">
      <c r="A454" s="61" t="s">
        <v>316</v>
      </c>
      <c r="B454" s="62" t="s">
        <v>317</v>
      </c>
      <c r="C454" s="62" t="s">
        <v>841</v>
      </c>
      <c r="D454" s="62" t="s">
        <v>855</v>
      </c>
      <c r="E454" s="63" t="s">
        <v>394</v>
      </c>
      <c r="F454" s="62" t="s">
        <v>389</v>
      </c>
      <c r="G454" s="62" t="s">
        <v>272</v>
      </c>
      <c r="H454" s="62" t="s">
        <v>11</v>
      </c>
      <c r="I454" s="62" t="s">
        <v>210</v>
      </c>
      <c r="J454" s="63" t="s">
        <v>273</v>
      </c>
      <c r="K454" s="62" t="s">
        <v>317</v>
      </c>
      <c r="L454" s="64">
        <v>99.28</v>
      </c>
      <c r="M454" s="64">
        <f t="shared" si="159"/>
        <v>99.28</v>
      </c>
      <c r="N454" s="65">
        <f>prodnorm42</f>
        <v>0</v>
      </c>
      <c r="O454" s="66">
        <f>dagwerk42</f>
        <v>0</v>
      </c>
      <c r="P454" s="62" t="s">
        <v>40</v>
      </c>
      <c r="Q454" s="67">
        <f>uurtarief42</f>
        <v>0</v>
      </c>
      <c r="R454" s="64" t="e">
        <f t="shared" si="160"/>
        <v>#DIV/0!</v>
      </c>
      <c r="S454" s="64" t="e">
        <f t="shared" si="161"/>
        <v>#DIV/0!</v>
      </c>
      <c r="T454" s="67" t="e">
        <f t="shared" si="162"/>
        <v>#DIV/0!</v>
      </c>
      <c r="U454" s="64" t="e">
        <f t="shared" si="163"/>
        <v>#DIV/0!</v>
      </c>
      <c r="V454" s="69" t="e">
        <f t="shared" si="164"/>
        <v>#DIV/0!</v>
      </c>
    </row>
    <row r="455" spans="1:22" x14ac:dyDescent="0.3">
      <c r="A455" s="61" t="s">
        <v>316</v>
      </c>
      <c r="B455" s="62" t="s">
        <v>317</v>
      </c>
      <c r="C455" s="62" t="s">
        <v>841</v>
      </c>
      <c r="D455" s="62" t="s">
        <v>856</v>
      </c>
      <c r="E455" s="63" t="s">
        <v>394</v>
      </c>
      <c r="F455" s="62" t="s">
        <v>389</v>
      </c>
      <c r="G455" s="62" t="s">
        <v>272</v>
      </c>
      <c r="H455" s="62" t="s">
        <v>11</v>
      </c>
      <c r="I455" s="62" t="s">
        <v>210</v>
      </c>
      <c r="J455" s="63" t="s">
        <v>273</v>
      </c>
      <c r="K455" s="62" t="s">
        <v>317</v>
      </c>
      <c r="L455" s="64">
        <v>213.68</v>
      </c>
      <c r="M455" s="64">
        <f t="shared" si="159"/>
        <v>213.68</v>
      </c>
      <c r="N455" s="65">
        <f>prodnorm42</f>
        <v>0</v>
      </c>
      <c r="O455" s="66">
        <f>dagwerk42</f>
        <v>0</v>
      </c>
      <c r="P455" s="62" t="s">
        <v>40</v>
      </c>
      <c r="Q455" s="67">
        <f>uurtarief42</f>
        <v>0</v>
      </c>
      <c r="R455" s="64" t="e">
        <f t="shared" si="160"/>
        <v>#DIV/0!</v>
      </c>
      <c r="S455" s="64" t="e">
        <f t="shared" si="161"/>
        <v>#DIV/0!</v>
      </c>
      <c r="T455" s="67" t="e">
        <f t="shared" si="162"/>
        <v>#DIV/0!</v>
      </c>
      <c r="U455" s="64" t="e">
        <f t="shared" si="163"/>
        <v>#DIV/0!</v>
      </c>
      <c r="V455" s="69" t="e">
        <f t="shared" si="164"/>
        <v>#DIV/0!</v>
      </c>
    </row>
    <row r="456" spans="1:22" x14ac:dyDescent="0.3">
      <c r="A456" s="61" t="s">
        <v>316</v>
      </c>
      <c r="B456" s="62" t="s">
        <v>317</v>
      </c>
      <c r="C456" s="62" t="s">
        <v>841</v>
      </c>
      <c r="D456" s="62" t="s">
        <v>857</v>
      </c>
      <c r="E456" s="63" t="s">
        <v>858</v>
      </c>
      <c r="F456" s="62" t="s">
        <v>389</v>
      </c>
      <c r="G456" s="62" t="s">
        <v>224</v>
      </c>
      <c r="H456" s="62" t="s">
        <v>14</v>
      </c>
      <c r="I456" s="62" t="s">
        <v>210</v>
      </c>
      <c r="J456" s="63" t="s">
        <v>225</v>
      </c>
      <c r="K456" s="62" t="s">
        <v>317</v>
      </c>
      <c r="L456" s="64">
        <v>76.77</v>
      </c>
      <c r="M456" s="64">
        <f t="shared" si="159"/>
        <v>46.061999999999998</v>
      </c>
      <c r="N456" s="65">
        <f>prodnorm17</f>
        <v>0</v>
      </c>
      <c r="O456" s="66">
        <f>dagwerk17</f>
        <v>0</v>
      </c>
      <c r="P456" s="62" t="s">
        <v>40</v>
      </c>
      <c r="Q456" s="67">
        <f>uurtarief17</f>
        <v>0</v>
      </c>
      <c r="R456" s="64" t="e">
        <f t="shared" si="160"/>
        <v>#DIV/0!</v>
      </c>
      <c r="S456" s="64" t="e">
        <f t="shared" si="161"/>
        <v>#DIV/0!</v>
      </c>
      <c r="T456" s="67" t="e">
        <f t="shared" si="162"/>
        <v>#DIV/0!</v>
      </c>
      <c r="U456" s="64" t="e">
        <f t="shared" si="163"/>
        <v>#DIV/0!</v>
      </c>
      <c r="V456" s="69" t="e">
        <f t="shared" si="164"/>
        <v>#DIV/0!</v>
      </c>
    </row>
    <row r="457" spans="1:22" x14ac:dyDescent="0.3">
      <c r="A457" s="61" t="s">
        <v>316</v>
      </c>
      <c r="B457" s="62" t="s">
        <v>317</v>
      </c>
      <c r="C457" s="62" t="s">
        <v>841</v>
      </c>
      <c r="D457" s="62" t="s">
        <v>859</v>
      </c>
      <c r="E457" s="63" t="s">
        <v>394</v>
      </c>
      <c r="F457" s="62" t="s">
        <v>389</v>
      </c>
      <c r="G457" s="62" t="s">
        <v>272</v>
      </c>
      <c r="H457" s="62" t="s">
        <v>11</v>
      </c>
      <c r="I457" s="62" t="s">
        <v>210</v>
      </c>
      <c r="J457" s="63" t="s">
        <v>273</v>
      </c>
      <c r="K457" s="62" t="s">
        <v>317</v>
      </c>
      <c r="L457" s="64">
        <v>64.679999999999993</v>
      </c>
      <c r="M457" s="64">
        <f t="shared" si="159"/>
        <v>64.679999999999993</v>
      </c>
      <c r="N457" s="65">
        <f>prodnorm42</f>
        <v>0</v>
      </c>
      <c r="O457" s="66">
        <f>dagwerk42</f>
        <v>0</v>
      </c>
      <c r="P457" s="62" t="s">
        <v>40</v>
      </c>
      <c r="Q457" s="67">
        <f>uurtarief42</f>
        <v>0</v>
      </c>
      <c r="R457" s="64" t="e">
        <f t="shared" si="160"/>
        <v>#DIV/0!</v>
      </c>
      <c r="S457" s="64" t="e">
        <f t="shared" si="161"/>
        <v>#DIV/0!</v>
      </c>
      <c r="T457" s="67" t="e">
        <f t="shared" si="162"/>
        <v>#DIV/0!</v>
      </c>
      <c r="U457" s="64" t="e">
        <f t="shared" si="163"/>
        <v>#DIV/0!</v>
      </c>
      <c r="V457" s="69" t="e">
        <f t="shared" si="164"/>
        <v>#DIV/0!</v>
      </c>
    </row>
    <row r="458" spans="1:22" x14ac:dyDescent="0.3">
      <c r="A458" s="61" t="s">
        <v>316</v>
      </c>
      <c r="B458" s="62" t="s">
        <v>317</v>
      </c>
      <c r="C458" s="62" t="s">
        <v>841</v>
      </c>
      <c r="D458" s="62" t="s">
        <v>860</v>
      </c>
      <c r="E458" s="63" t="s">
        <v>391</v>
      </c>
      <c r="F458" s="62" t="s">
        <v>348</v>
      </c>
      <c r="G458" s="62" t="s">
        <v>236</v>
      </c>
      <c r="H458" s="62" t="s">
        <v>14</v>
      </c>
      <c r="I458" s="62" t="s">
        <v>210</v>
      </c>
      <c r="J458" s="63" t="s">
        <v>237</v>
      </c>
      <c r="K458" s="62" t="s">
        <v>317</v>
      </c>
      <c r="L458" s="64">
        <v>51.08</v>
      </c>
      <c r="M458" s="64">
        <f t="shared" si="159"/>
        <v>30.647999999999996</v>
      </c>
      <c r="N458" s="65">
        <f>prodnorm23</f>
        <v>0</v>
      </c>
      <c r="O458" s="66">
        <f>dagwerk23</f>
        <v>0</v>
      </c>
      <c r="P458" s="62" t="s">
        <v>40</v>
      </c>
      <c r="Q458" s="67">
        <f>uurtarief23</f>
        <v>0</v>
      </c>
      <c r="R458" s="64" t="e">
        <f t="shared" si="160"/>
        <v>#DIV/0!</v>
      </c>
      <c r="S458" s="64" t="e">
        <f t="shared" si="161"/>
        <v>#DIV/0!</v>
      </c>
      <c r="T458" s="67" t="e">
        <f t="shared" si="162"/>
        <v>#DIV/0!</v>
      </c>
      <c r="U458" s="64" t="e">
        <f t="shared" si="163"/>
        <v>#DIV/0!</v>
      </c>
      <c r="V458" s="69" t="e">
        <f t="shared" si="164"/>
        <v>#DIV/0!</v>
      </c>
    </row>
    <row r="459" spans="1:22" x14ac:dyDescent="0.3">
      <c r="A459" s="61" t="s">
        <v>316</v>
      </c>
      <c r="B459" s="62" t="s">
        <v>317</v>
      </c>
      <c r="C459" s="62" t="s">
        <v>841</v>
      </c>
      <c r="D459" s="62" t="s">
        <v>861</v>
      </c>
      <c r="E459" s="63" t="s">
        <v>374</v>
      </c>
      <c r="F459" s="62" t="s">
        <v>389</v>
      </c>
      <c r="G459" s="62" t="s">
        <v>323</v>
      </c>
      <c r="H459" s="62"/>
      <c r="I459" s="62"/>
      <c r="J459" s="62"/>
      <c r="K459" s="62" t="s">
        <v>317</v>
      </c>
      <c r="L459" s="64">
        <v>2.1800000000000002</v>
      </c>
      <c r="M459" s="64"/>
      <c r="N459" s="65"/>
      <c r="O459" s="66"/>
      <c r="P459" s="62"/>
      <c r="Q459" s="67"/>
      <c r="R459" s="64"/>
      <c r="S459" s="64"/>
      <c r="T459" s="67"/>
      <c r="U459" s="68"/>
      <c r="V459" s="69"/>
    </row>
    <row r="460" spans="1:22" x14ac:dyDescent="0.3">
      <c r="A460" s="61" t="s">
        <v>316</v>
      </c>
      <c r="B460" s="62" t="s">
        <v>317</v>
      </c>
      <c r="C460" s="62" t="s">
        <v>841</v>
      </c>
      <c r="D460" s="62" t="s">
        <v>862</v>
      </c>
      <c r="E460" s="63" t="s">
        <v>394</v>
      </c>
      <c r="F460" s="62" t="s">
        <v>389</v>
      </c>
      <c r="G460" s="62" t="s">
        <v>272</v>
      </c>
      <c r="H460" s="62" t="s">
        <v>11</v>
      </c>
      <c r="I460" s="62" t="s">
        <v>210</v>
      </c>
      <c r="J460" s="63" t="s">
        <v>273</v>
      </c>
      <c r="K460" s="62" t="s">
        <v>317</v>
      </c>
      <c r="L460" s="64">
        <v>70.89</v>
      </c>
      <c r="M460" s="64">
        <f t="shared" ref="M460:M466" si="165">L460*VLOOKUP(H460,dagsoorttabel1,2,FALSE)</f>
        <v>70.89</v>
      </c>
      <c r="N460" s="65">
        <f>prodnorm42</f>
        <v>0</v>
      </c>
      <c r="O460" s="66">
        <f>dagwerk42</f>
        <v>0</v>
      </c>
      <c r="P460" s="62" t="s">
        <v>40</v>
      </c>
      <c r="Q460" s="67">
        <f>uurtarief42</f>
        <v>0</v>
      </c>
      <c r="R460" s="64" t="e">
        <f t="shared" ref="R460:R466" si="166">IF(ISBLANK(N460),0,M460/ROUND(N460,4))</f>
        <v>#DIV/0!</v>
      </c>
      <c r="S460" s="64" t="e">
        <f t="shared" ref="S460:S466" si="167">IF(ISBLANK(N460),0,R460*ROUND(O460,2))</f>
        <v>#DIV/0!</v>
      </c>
      <c r="T460" s="67" t="e">
        <f t="shared" ref="T460:T466" si="168">ROUND(Q460,2)*R460</f>
        <v>#DIV/0!</v>
      </c>
      <c r="U460" s="64" t="e">
        <f t="shared" ref="U460:U466" si="169">R460*dagenperjaar1</f>
        <v>#DIV/0!</v>
      </c>
      <c r="V460" s="69" t="e">
        <f t="shared" ref="V460:V466" si="170">U460*ROUND(Q460,2)</f>
        <v>#DIV/0!</v>
      </c>
    </row>
    <row r="461" spans="1:22" x14ac:dyDescent="0.3">
      <c r="A461" s="61" t="s">
        <v>316</v>
      </c>
      <c r="B461" s="62" t="s">
        <v>317</v>
      </c>
      <c r="C461" s="62" t="s">
        <v>841</v>
      </c>
      <c r="D461" s="62" t="s">
        <v>863</v>
      </c>
      <c r="E461" s="63" t="s">
        <v>356</v>
      </c>
      <c r="F461" s="62" t="s">
        <v>348</v>
      </c>
      <c r="G461" s="62" t="s">
        <v>212</v>
      </c>
      <c r="H461" s="62" t="s">
        <v>17</v>
      </c>
      <c r="I461" s="62" t="s">
        <v>210</v>
      </c>
      <c r="J461" s="63" t="s">
        <v>213</v>
      </c>
      <c r="K461" s="62" t="s">
        <v>317</v>
      </c>
      <c r="L461" s="64">
        <v>14.69</v>
      </c>
      <c r="M461" s="64">
        <f t="shared" si="165"/>
        <v>2.9380000000000002</v>
      </c>
      <c r="N461" s="65">
        <f>prodnorm11</f>
        <v>0</v>
      </c>
      <c r="O461" s="66">
        <f>dagwerk11</f>
        <v>0</v>
      </c>
      <c r="P461" s="62" t="s">
        <v>40</v>
      </c>
      <c r="Q461" s="67">
        <f>uurtarief11</f>
        <v>0</v>
      </c>
      <c r="R461" s="64" t="e">
        <f t="shared" si="166"/>
        <v>#DIV/0!</v>
      </c>
      <c r="S461" s="64" t="e">
        <f t="shared" si="167"/>
        <v>#DIV/0!</v>
      </c>
      <c r="T461" s="67" t="e">
        <f t="shared" si="168"/>
        <v>#DIV/0!</v>
      </c>
      <c r="U461" s="64" t="e">
        <f t="shared" si="169"/>
        <v>#DIV/0!</v>
      </c>
      <c r="V461" s="69" t="e">
        <f t="shared" si="170"/>
        <v>#DIV/0!</v>
      </c>
    </row>
    <row r="462" spans="1:22" x14ac:dyDescent="0.3">
      <c r="A462" s="61" t="s">
        <v>316</v>
      </c>
      <c r="B462" s="62" t="s">
        <v>317</v>
      </c>
      <c r="C462" s="62" t="s">
        <v>841</v>
      </c>
      <c r="D462" s="62" t="s">
        <v>864</v>
      </c>
      <c r="E462" s="63" t="s">
        <v>356</v>
      </c>
      <c r="F462" s="62" t="s">
        <v>348</v>
      </c>
      <c r="G462" s="62" t="s">
        <v>212</v>
      </c>
      <c r="H462" s="62" t="s">
        <v>17</v>
      </c>
      <c r="I462" s="62" t="s">
        <v>210</v>
      </c>
      <c r="J462" s="63" t="s">
        <v>213</v>
      </c>
      <c r="K462" s="62" t="s">
        <v>317</v>
      </c>
      <c r="L462" s="64">
        <v>14.69</v>
      </c>
      <c r="M462" s="64">
        <f t="shared" si="165"/>
        <v>2.9380000000000002</v>
      </c>
      <c r="N462" s="65">
        <f>prodnorm11</f>
        <v>0</v>
      </c>
      <c r="O462" s="66">
        <f>dagwerk11</f>
        <v>0</v>
      </c>
      <c r="P462" s="62" t="s">
        <v>40</v>
      </c>
      <c r="Q462" s="67">
        <f>uurtarief11</f>
        <v>0</v>
      </c>
      <c r="R462" s="64" t="e">
        <f t="shared" si="166"/>
        <v>#DIV/0!</v>
      </c>
      <c r="S462" s="64" t="e">
        <f t="shared" si="167"/>
        <v>#DIV/0!</v>
      </c>
      <c r="T462" s="67" t="e">
        <f t="shared" si="168"/>
        <v>#DIV/0!</v>
      </c>
      <c r="U462" s="64" t="e">
        <f t="shared" si="169"/>
        <v>#DIV/0!</v>
      </c>
      <c r="V462" s="69" t="e">
        <f t="shared" si="170"/>
        <v>#DIV/0!</v>
      </c>
    </row>
    <row r="463" spans="1:22" x14ac:dyDescent="0.3">
      <c r="A463" s="61" t="s">
        <v>316</v>
      </c>
      <c r="B463" s="62" t="s">
        <v>317</v>
      </c>
      <c r="C463" s="62" t="s">
        <v>841</v>
      </c>
      <c r="D463" s="62" t="s">
        <v>865</v>
      </c>
      <c r="E463" s="63" t="s">
        <v>391</v>
      </c>
      <c r="F463" s="62" t="s">
        <v>348</v>
      </c>
      <c r="G463" s="62" t="s">
        <v>236</v>
      </c>
      <c r="H463" s="62" t="s">
        <v>14</v>
      </c>
      <c r="I463" s="62" t="s">
        <v>210</v>
      </c>
      <c r="J463" s="63" t="s">
        <v>237</v>
      </c>
      <c r="K463" s="62" t="s">
        <v>317</v>
      </c>
      <c r="L463" s="64">
        <v>51.260000000000005</v>
      </c>
      <c r="M463" s="64">
        <f t="shared" si="165"/>
        <v>30.756</v>
      </c>
      <c r="N463" s="65">
        <f>prodnorm23</f>
        <v>0</v>
      </c>
      <c r="O463" s="66">
        <f>dagwerk23</f>
        <v>0</v>
      </c>
      <c r="P463" s="62" t="s">
        <v>40</v>
      </c>
      <c r="Q463" s="67">
        <f>uurtarief23</f>
        <v>0</v>
      </c>
      <c r="R463" s="64" t="e">
        <f t="shared" si="166"/>
        <v>#DIV/0!</v>
      </c>
      <c r="S463" s="64" t="e">
        <f t="shared" si="167"/>
        <v>#DIV/0!</v>
      </c>
      <c r="T463" s="67" t="e">
        <f t="shared" si="168"/>
        <v>#DIV/0!</v>
      </c>
      <c r="U463" s="64" t="e">
        <f t="shared" si="169"/>
        <v>#DIV/0!</v>
      </c>
      <c r="V463" s="69" t="e">
        <f t="shared" si="170"/>
        <v>#DIV/0!</v>
      </c>
    </row>
    <row r="464" spans="1:22" x14ac:dyDescent="0.3">
      <c r="A464" s="61" t="s">
        <v>316</v>
      </c>
      <c r="B464" s="62" t="s">
        <v>317</v>
      </c>
      <c r="C464" s="62" t="s">
        <v>841</v>
      </c>
      <c r="D464" s="62" t="s">
        <v>866</v>
      </c>
      <c r="E464" s="63" t="s">
        <v>391</v>
      </c>
      <c r="F464" s="62" t="s">
        <v>348</v>
      </c>
      <c r="G464" s="62" t="s">
        <v>236</v>
      </c>
      <c r="H464" s="62" t="s">
        <v>14</v>
      </c>
      <c r="I464" s="62" t="s">
        <v>210</v>
      </c>
      <c r="J464" s="63" t="s">
        <v>237</v>
      </c>
      <c r="K464" s="62" t="s">
        <v>317</v>
      </c>
      <c r="L464" s="64">
        <v>25.259999999999998</v>
      </c>
      <c r="M464" s="64">
        <f t="shared" si="165"/>
        <v>15.155999999999999</v>
      </c>
      <c r="N464" s="65">
        <f>prodnorm23</f>
        <v>0</v>
      </c>
      <c r="O464" s="66">
        <f>dagwerk23</f>
        <v>0</v>
      </c>
      <c r="P464" s="62" t="s">
        <v>40</v>
      </c>
      <c r="Q464" s="67">
        <f>uurtarief23</f>
        <v>0</v>
      </c>
      <c r="R464" s="64" t="e">
        <f t="shared" si="166"/>
        <v>#DIV/0!</v>
      </c>
      <c r="S464" s="64" t="e">
        <f t="shared" si="167"/>
        <v>#DIV/0!</v>
      </c>
      <c r="T464" s="67" t="e">
        <f t="shared" si="168"/>
        <v>#DIV/0!</v>
      </c>
      <c r="U464" s="64" t="e">
        <f t="shared" si="169"/>
        <v>#DIV/0!</v>
      </c>
      <c r="V464" s="69" t="e">
        <f t="shared" si="170"/>
        <v>#DIV/0!</v>
      </c>
    </row>
    <row r="465" spans="1:22" x14ac:dyDescent="0.3">
      <c r="A465" s="61" t="s">
        <v>316</v>
      </c>
      <c r="B465" s="62" t="s">
        <v>317</v>
      </c>
      <c r="C465" s="62" t="s">
        <v>841</v>
      </c>
      <c r="D465" s="62" t="s">
        <v>867</v>
      </c>
      <c r="E465" s="63" t="s">
        <v>868</v>
      </c>
      <c r="F465" s="62" t="s">
        <v>389</v>
      </c>
      <c r="G465" s="62" t="s">
        <v>214</v>
      </c>
      <c r="H465" s="62" t="s">
        <v>14</v>
      </c>
      <c r="I465" s="62" t="s">
        <v>210</v>
      </c>
      <c r="J465" s="63" t="s">
        <v>215</v>
      </c>
      <c r="K465" s="62" t="s">
        <v>317</v>
      </c>
      <c r="L465" s="64">
        <v>12.239999999999998</v>
      </c>
      <c r="M465" s="64">
        <f t="shared" si="165"/>
        <v>7.3439999999999985</v>
      </c>
      <c r="N465" s="65">
        <f>prodnorm12</f>
        <v>0</v>
      </c>
      <c r="O465" s="66">
        <f>dagwerk12</f>
        <v>0</v>
      </c>
      <c r="P465" s="62" t="s">
        <v>40</v>
      </c>
      <c r="Q465" s="67">
        <f>uurtarief12</f>
        <v>0</v>
      </c>
      <c r="R465" s="64" t="e">
        <f t="shared" si="166"/>
        <v>#DIV/0!</v>
      </c>
      <c r="S465" s="64" t="e">
        <f t="shared" si="167"/>
        <v>#DIV/0!</v>
      </c>
      <c r="T465" s="67" t="e">
        <f t="shared" si="168"/>
        <v>#DIV/0!</v>
      </c>
      <c r="U465" s="64" t="e">
        <f t="shared" si="169"/>
        <v>#DIV/0!</v>
      </c>
      <c r="V465" s="69" t="e">
        <f t="shared" si="170"/>
        <v>#DIV/0!</v>
      </c>
    </row>
    <row r="466" spans="1:22" x14ac:dyDescent="0.3">
      <c r="A466" s="61" t="s">
        <v>316</v>
      </c>
      <c r="B466" s="62" t="s">
        <v>317</v>
      </c>
      <c r="C466" s="62" t="s">
        <v>841</v>
      </c>
      <c r="D466" s="62" t="s">
        <v>869</v>
      </c>
      <c r="E466" s="63" t="s">
        <v>391</v>
      </c>
      <c r="F466" s="62" t="s">
        <v>348</v>
      </c>
      <c r="G466" s="62" t="s">
        <v>236</v>
      </c>
      <c r="H466" s="62" t="s">
        <v>14</v>
      </c>
      <c r="I466" s="62" t="s">
        <v>210</v>
      </c>
      <c r="J466" s="63" t="s">
        <v>237</v>
      </c>
      <c r="K466" s="62" t="s">
        <v>317</v>
      </c>
      <c r="L466" s="64">
        <v>76.930000000000007</v>
      </c>
      <c r="M466" s="64">
        <f t="shared" si="165"/>
        <v>46.158000000000001</v>
      </c>
      <c r="N466" s="65">
        <f>prodnorm23</f>
        <v>0</v>
      </c>
      <c r="O466" s="66">
        <f>dagwerk23</f>
        <v>0</v>
      </c>
      <c r="P466" s="62" t="s">
        <v>40</v>
      </c>
      <c r="Q466" s="67">
        <f>uurtarief23</f>
        <v>0</v>
      </c>
      <c r="R466" s="64" t="e">
        <f t="shared" si="166"/>
        <v>#DIV/0!</v>
      </c>
      <c r="S466" s="64" t="e">
        <f t="shared" si="167"/>
        <v>#DIV/0!</v>
      </c>
      <c r="T466" s="67" t="e">
        <f t="shared" si="168"/>
        <v>#DIV/0!</v>
      </c>
      <c r="U466" s="64" t="e">
        <f t="shared" si="169"/>
        <v>#DIV/0!</v>
      </c>
      <c r="V466" s="69" t="e">
        <f t="shared" si="170"/>
        <v>#DIV/0!</v>
      </c>
    </row>
    <row r="467" spans="1:22" x14ac:dyDescent="0.3">
      <c r="A467" s="61" t="s">
        <v>316</v>
      </c>
      <c r="B467" s="62" t="s">
        <v>317</v>
      </c>
      <c r="C467" s="62" t="s">
        <v>841</v>
      </c>
      <c r="D467" s="62" t="s">
        <v>870</v>
      </c>
      <c r="E467" s="63" t="s">
        <v>664</v>
      </c>
      <c r="F467" s="62" t="s">
        <v>322</v>
      </c>
      <c r="G467" s="62" t="s">
        <v>323</v>
      </c>
      <c r="H467" s="62"/>
      <c r="I467" s="62"/>
      <c r="J467" s="62"/>
      <c r="K467" s="62" t="s">
        <v>317</v>
      </c>
      <c r="L467" s="64">
        <v>0.69000000000000006</v>
      </c>
      <c r="M467" s="64"/>
      <c r="N467" s="65"/>
      <c r="O467" s="66"/>
      <c r="P467" s="62"/>
      <c r="Q467" s="67"/>
      <c r="R467" s="64"/>
      <c r="S467" s="64"/>
      <c r="T467" s="67"/>
      <c r="U467" s="68"/>
      <c r="V467" s="69"/>
    </row>
    <row r="468" spans="1:22" x14ac:dyDescent="0.3">
      <c r="A468" s="61" t="s">
        <v>316</v>
      </c>
      <c r="B468" s="62" t="s">
        <v>317</v>
      </c>
      <c r="C468" s="62" t="s">
        <v>841</v>
      </c>
      <c r="D468" s="62" t="s">
        <v>871</v>
      </c>
      <c r="E468" s="63" t="s">
        <v>369</v>
      </c>
      <c r="F468" s="62" t="s">
        <v>432</v>
      </c>
      <c r="G468" s="62" t="s">
        <v>323</v>
      </c>
      <c r="H468" s="62"/>
      <c r="I468" s="62"/>
      <c r="J468" s="62"/>
      <c r="K468" s="62" t="s">
        <v>317</v>
      </c>
      <c r="L468" s="64">
        <v>2.54</v>
      </c>
      <c r="M468" s="64"/>
      <c r="N468" s="65"/>
      <c r="O468" s="66"/>
      <c r="P468" s="62"/>
      <c r="Q468" s="67"/>
      <c r="R468" s="64"/>
      <c r="S468" s="64"/>
      <c r="T468" s="67"/>
      <c r="U468" s="68"/>
      <c r="V468" s="69"/>
    </row>
    <row r="469" spans="1:22" x14ac:dyDescent="0.3">
      <c r="A469" s="61" t="s">
        <v>316</v>
      </c>
      <c r="B469" s="62" t="s">
        <v>317</v>
      </c>
      <c r="C469" s="62" t="s">
        <v>841</v>
      </c>
      <c r="D469" s="62" t="s">
        <v>872</v>
      </c>
      <c r="E469" s="63" t="s">
        <v>352</v>
      </c>
      <c r="F469" s="62" t="s">
        <v>353</v>
      </c>
      <c r="G469" s="62" t="s">
        <v>266</v>
      </c>
      <c r="H469" s="62" t="s">
        <v>11</v>
      </c>
      <c r="I469" s="62" t="s">
        <v>210</v>
      </c>
      <c r="J469" s="63" t="s">
        <v>267</v>
      </c>
      <c r="K469" s="62" t="s">
        <v>317</v>
      </c>
      <c r="L469" s="64">
        <v>17.170000000000002</v>
      </c>
      <c r="M469" s="64">
        <f t="shared" ref="M469:M486" si="171">L469*VLOOKUP(H469,dagsoorttabel1,2,FALSE)</f>
        <v>17.170000000000002</v>
      </c>
      <c r="N469" s="65">
        <f>prodnorm39</f>
        <v>0</v>
      </c>
      <c r="O469" s="66">
        <f>dagwerk39</f>
        <v>0</v>
      </c>
      <c r="P469" s="62" t="s">
        <v>40</v>
      </c>
      <c r="Q469" s="67">
        <f>uurtarief39</f>
        <v>0</v>
      </c>
      <c r="R469" s="64" t="e">
        <f t="shared" ref="R469:R486" si="172">IF(ISBLANK(N469),0,M469/ROUND(N469,4))</f>
        <v>#DIV/0!</v>
      </c>
      <c r="S469" s="64" t="e">
        <f t="shared" ref="S469:S486" si="173">IF(ISBLANK(N469),0,R469*ROUND(O469,2))</f>
        <v>#DIV/0!</v>
      </c>
      <c r="T469" s="67" t="e">
        <f t="shared" ref="T469:T486" si="174">ROUND(Q469,2)*R469</f>
        <v>#DIV/0!</v>
      </c>
      <c r="U469" s="64" t="e">
        <f t="shared" ref="U469:U486" si="175">R469*dagenperjaar1</f>
        <v>#DIV/0!</v>
      </c>
      <c r="V469" s="69" t="e">
        <f t="shared" ref="V469:V486" si="176">U469*ROUND(Q469,2)</f>
        <v>#DIV/0!</v>
      </c>
    </row>
    <row r="470" spans="1:22" x14ac:dyDescent="0.3">
      <c r="A470" s="61" t="s">
        <v>316</v>
      </c>
      <c r="B470" s="62" t="s">
        <v>317</v>
      </c>
      <c r="C470" s="62" t="s">
        <v>841</v>
      </c>
      <c r="D470" s="62" t="s">
        <v>873</v>
      </c>
      <c r="E470" s="63" t="s">
        <v>352</v>
      </c>
      <c r="F470" s="62" t="s">
        <v>353</v>
      </c>
      <c r="G470" s="62" t="s">
        <v>266</v>
      </c>
      <c r="H470" s="62" t="s">
        <v>11</v>
      </c>
      <c r="I470" s="62" t="s">
        <v>210</v>
      </c>
      <c r="J470" s="63" t="s">
        <v>267</v>
      </c>
      <c r="K470" s="62" t="s">
        <v>317</v>
      </c>
      <c r="L470" s="64">
        <v>13.15</v>
      </c>
      <c r="M470" s="64">
        <f t="shared" si="171"/>
        <v>13.15</v>
      </c>
      <c r="N470" s="65">
        <f>prodnorm39</f>
        <v>0</v>
      </c>
      <c r="O470" s="66">
        <f>dagwerk39</f>
        <v>0</v>
      </c>
      <c r="P470" s="62" t="s">
        <v>40</v>
      </c>
      <c r="Q470" s="67">
        <f>uurtarief39</f>
        <v>0</v>
      </c>
      <c r="R470" s="64" t="e">
        <f t="shared" si="172"/>
        <v>#DIV/0!</v>
      </c>
      <c r="S470" s="64" t="e">
        <f t="shared" si="173"/>
        <v>#DIV/0!</v>
      </c>
      <c r="T470" s="67" t="e">
        <f t="shared" si="174"/>
        <v>#DIV/0!</v>
      </c>
      <c r="U470" s="64" t="e">
        <f t="shared" si="175"/>
        <v>#DIV/0!</v>
      </c>
      <c r="V470" s="69" t="e">
        <f t="shared" si="176"/>
        <v>#DIV/0!</v>
      </c>
    </row>
    <row r="471" spans="1:22" x14ac:dyDescent="0.3">
      <c r="A471" s="61" t="s">
        <v>316</v>
      </c>
      <c r="B471" s="62" t="s">
        <v>317</v>
      </c>
      <c r="C471" s="62" t="s">
        <v>841</v>
      </c>
      <c r="D471" s="62" t="s">
        <v>874</v>
      </c>
      <c r="E471" s="63" t="s">
        <v>391</v>
      </c>
      <c r="F471" s="62" t="s">
        <v>348</v>
      </c>
      <c r="G471" s="62" t="s">
        <v>236</v>
      </c>
      <c r="H471" s="62" t="s">
        <v>14</v>
      </c>
      <c r="I471" s="62" t="s">
        <v>210</v>
      </c>
      <c r="J471" s="63" t="s">
        <v>237</v>
      </c>
      <c r="K471" s="62" t="s">
        <v>317</v>
      </c>
      <c r="L471" s="64">
        <v>53.2</v>
      </c>
      <c r="M471" s="64">
        <f t="shared" si="171"/>
        <v>31.92</v>
      </c>
      <c r="N471" s="65">
        <f>prodnorm23</f>
        <v>0</v>
      </c>
      <c r="O471" s="66">
        <f>dagwerk23</f>
        <v>0</v>
      </c>
      <c r="P471" s="62" t="s">
        <v>40</v>
      </c>
      <c r="Q471" s="67">
        <f>uurtarief23</f>
        <v>0</v>
      </c>
      <c r="R471" s="64" t="e">
        <f t="shared" si="172"/>
        <v>#DIV/0!</v>
      </c>
      <c r="S471" s="64" t="e">
        <f t="shared" si="173"/>
        <v>#DIV/0!</v>
      </c>
      <c r="T471" s="67" t="e">
        <f t="shared" si="174"/>
        <v>#DIV/0!</v>
      </c>
      <c r="U471" s="64" t="e">
        <f t="shared" si="175"/>
        <v>#DIV/0!</v>
      </c>
      <c r="V471" s="69" t="e">
        <f t="shared" si="176"/>
        <v>#DIV/0!</v>
      </c>
    </row>
    <row r="472" spans="1:22" x14ac:dyDescent="0.3">
      <c r="A472" s="61" t="s">
        <v>316</v>
      </c>
      <c r="B472" s="62" t="s">
        <v>317</v>
      </c>
      <c r="C472" s="62" t="s">
        <v>841</v>
      </c>
      <c r="D472" s="62" t="s">
        <v>875</v>
      </c>
      <c r="E472" s="63" t="s">
        <v>391</v>
      </c>
      <c r="F472" s="62" t="s">
        <v>348</v>
      </c>
      <c r="G472" s="62" t="s">
        <v>236</v>
      </c>
      <c r="H472" s="62" t="s">
        <v>14</v>
      </c>
      <c r="I472" s="62" t="s">
        <v>210</v>
      </c>
      <c r="J472" s="63" t="s">
        <v>237</v>
      </c>
      <c r="K472" s="62" t="s">
        <v>317</v>
      </c>
      <c r="L472" s="64">
        <v>50.32</v>
      </c>
      <c r="M472" s="64">
        <f t="shared" si="171"/>
        <v>30.192</v>
      </c>
      <c r="N472" s="65">
        <f>prodnorm23</f>
        <v>0</v>
      </c>
      <c r="O472" s="66">
        <f>dagwerk23</f>
        <v>0</v>
      </c>
      <c r="P472" s="62" t="s">
        <v>40</v>
      </c>
      <c r="Q472" s="67">
        <f>uurtarief23</f>
        <v>0</v>
      </c>
      <c r="R472" s="64" t="e">
        <f t="shared" si="172"/>
        <v>#DIV/0!</v>
      </c>
      <c r="S472" s="64" t="e">
        <f t="shared" si="173"/>
        <v>#DIV/0!</v>
      </c>
      <c r="T472" s="67" t="e">
        <f t="shared" si="174"/>
        <v>#DIV/0!</v>
      </c>
      <c r="U472" s="64" t="e">
        <f t="shared" si="175"/>
        <v>#DIV/0!</v>
      </c>
      <c r="V472" s="69" t="e">
        <f t="shared" si="176"/>
        <v>#DIV/0!</v>
      </c>
    </row>
    <row r="473" spans="1:22" x14ac:dyDescent="0.3">
      <c r="A473" s="61" t="s">
        <v>316</v>
      </c>
      <c r="B473" s="62" t="s">
        <v>317</v>
      </c>
      <c r="C473" s="62" t="s">
        <v>841</v>
      </c>
      <c r="D473" s="62" t="s">
        <v>876</v>
      </c>
      <c r="E473" s="63" t="s">
        <v>858</v>
      </c>
      <c r="F473" s="62" t="s">
        <v>389</v>
      </c>
      <c r="G473" s="62" t="s">
        <v>224</v>
      </c>
      <c r="H473" s="62" t="s">
        <v>14</v>
      </c>
      <c r="I473" s="62" t="s">
        <v>210</v>
      </c>
      <c r="J473" s="63" t="s">
        <v>225</v>
      </c>
      <c r="K473" s="62" t="s">
        <v>317</v>
      </c>
      <c r="L473" s="64">
        <v>51.27</v>
      </c>
      <c r="M473" s="64">
        <f t="shared" si="171"/>
        <v>30.762</v>
      </c>
      <c r="N473" s="65">
        <f>prodnorm17</f>
        <v>0</v>
      </c>
      <c r="O473" s="66">
        <f>dagwerk17</f>
        <v>0</v>
      </c>
      <c r="P473" s="62" t="s">
        <v>40</v>
      </c>
      <c r="Q473" s="67">
        <f>uurtarief17</f>
        <v>0</v>
      </c>
      <c r="R473" s="64" t="e">
        <f t="shared" si="172"/>
        <v>#DIV/0!</v>
      </c>
      <c r="S473" s="64" t="e">
        <f t="shared" si="173"/>
        <v>#DIV/0!</v>
      </c>
      <c r="T473" s="67" t="e">
        <f t="shared" si="174"/>
        <v>#DIV/0!</v>
      </c>
      <c r="U473" s="64" t="e">
        <f t="shared" si="175"/>
        <v>#DIV/0!</v>
      </c>
      <c r="V473" s="69" t="e">
        <f t="shared" si="176"/>
        <v>#DIV/0!</v>
      </c>
    </row>
    <row r="474" spans="1:22" x14ac:dyDescent="0.3">
      <c r="A474" s="61" t="s">
        <v>316</v>
      </c>
      <c r="B474" s="62" t="s">
        <v>317</v>
      </c>
      <c r="C474" s="62" t="s">
        <v>841</v>
      </c>
      <c r="D474" s="62" t="s">
        <v>877</v>
      </c>
      <c r="E474" s="63" t="s">
        <v>391</v>
      </c>
      <c r="F474" s="62" t="s">
        <v>348</v>
      </c>
      <c r="G474" s="62" t="s">
        <v>236</v>
      </c>
      <c r="H474" s="62" t="s">
        <v>14</v>
      </c>
      <c r="I474" s="62" t="s">
        <v>210</v>
      </c>
      <c r="J474" s="63" t="s">
        <v>237</v>
      </c>
      <c r="K474" s="62" t="s">
        <v>317</v>
      </c>
      <c r="L474" s="64">
        <v>51.33</v>
      </c>
      <c r="M474" s="64">
        <f t="shared" si="171"/>
        <v>30.797999999999998</v>
      </c>
      <c r="N474" s="65">
        <f>prodnorm23</f>
        <v>0</v>
      </c>
      <c r="O474" s="66">
        <f>dagwerk23</f>
        <v>0</v>
      </c>
      <c r="P474" s="62" t="s">
        <v>40</v>
      </c>
      <c r="Q474" s="67">
        <f>uurtarief23</f>
        <v>0</v>
      </c>
      <c r="R474" s="64" t="e">
        <f t="shared" si="172"/>
        <v>#DIV/0!</v>
      </c>
      <c r="S474" s="64" t="e">
        <f t="shared" si="173"/>
        <v>#DIV/0!</v>
      </c>
      <c r="T474" s="67" t="e">
        <f t="shared" si="174"/>
        <v>#DIV/0!</v>
      </c>
      <c r="U474" s="64" t="e">
        <f t="shared" si="175"/>
        <v>#DIV/0!</v>
      </c>
      <c r="V474" s="69" t="e">
        <f t="shared" si="176"/>
        <v>#DIV/0!</v>
      </c>
    </row>
    <row r="475" spans="1:22" x14ac:dyDescent="0.3">
      <c r="A475" s="61" t="s">
        <v>316</v>
      </c>
      <c r="B475" s="62" t="s">
        <v>317</v>
      </c>
      <c r="C475" s="62" t="s">
        <v>841</v>
      </c>
      <c r="D475" s="62" t="s">
        <v>878</v>
      </c>
      <c r="E475" s="63" t="s">
        <v>391</v>
      </c>
      <c r="F475" s="62" t="s">
        <v>348</v>
      </c>
      <c r="G475" s="62" t="s">
        <v>236</v>
      </c>
      <c r="H475" s="62" t="s">
        <v>14</v>
      </c>
      <c r="I475" s="62" t="s">
        <v>210</v>
      </c>
      <c r="J475" s="63" t="s">
        <v>237</v>
      </c>
      <c r="K475" s="62" t="s">
        <v>317</v>
      </c>
      <c r="L475" s="64">
        <v>50.89</v>
      </c>
      <c r="M475" s="64">
        <f t="shared" si="171"/>
        <v>30.533999999999999</v>
      </c>
      <c r="N475" s="65">
        <f>prodnorm23</f>
        <v>0</v>
      </c>
      <c r="O475" s="66">
        <f>dagwerk23</f>
        <v>0</v>
      </c>
      <c r="P475" s="62" t="s">
        <v>40</v>
      </c>
      <c r="Q475" s="67">
        <f>uurtarief23</f>
        <v>0</v>
      </c>
      <c r="R475" s="64" t="e">
        <f t="shared" si="172"/>
        <v>#DIV/0!</v>
      </c>
      <c r="S475" s="64" t="e">
        <f t="shared" si="173"/>
        <v>#DIV/0!</v>
      </c>
      <c r="T475" s="67" t="e">
        <f t="shared" si="174"/>
        <v>#DIV/0!</v>
      </c>
      <c r="U475" s="64" t="e">
        <f t="shared" si="175"/>
        <v>#DIV/0!</v>
      </c>
      <c r="V475" s="69" t="e">
        <f t="shared" si="176"/>
        <v>#DIV/0!</v>
      </c>
    </row>
    <row r="476" spans="1:22" x14ac:dyDescent="0.3">
      <c r="A476" s="61" t="s">
        <v>316</v>
      </c>
      <c r="B476" s="62" t="s">
        <v>317</v>
      </c>
      <c r="C476" s="62" t="s">
        <v>841</v>
      </c>
      <c r="D476" s="62" t="s">
        <v>879</v>
      </c>
      <c r="E476" s="63" t="s">
        <v>391</v>
      </c>
      <c r="F476" s="62" t="s">
        <v>389</v>
      </c>
      <c r="G476" s="62" t="s">
        <v>234</v>
      </c>
      <c r="H476" s="62" t="s">
        <v>14</v>
      </c>
      <c r="I476" s="62" t="s">
        <v>210</v>
      </c>
      <c r="J476" s="63" t="s">
        <v>235</v>
      </c>
      <c r="K476" s="62" t="s">
        <v>317</v>
      </c>
      <c r="L476" s="64">
        <v>102.34</v>
      </c>
      <c r="M476" s="64">
        <f t="shared" si="171"/>
        <v>61.403999999999996</v>
      </c>
      <c r="N476" s="65">
        <f>prodnorm22</f>
        <v>0</v>
      </c>
      <c r="O476" s="66">
        <f>dagwerk22</f>
        <v>0</v>
      </c>
      <c r="P476" s="62" t="s">
        <v>40</v>
      </c>
      <c r="Q476" s="67">
        <f>uurtarief22</f>
        <v>0</v>
      </c>
      <c r="R476" s="64" t="e">
        <f t="shared" si="172"/>
        <v>#DIV/0!</v>
      </c>
      <c r="S476" s="64" t="e">
        <f t="shared" si="173"/>
        <v>#DIV/0!</v>
      </c>
      <c r="T476" s="67" t="e">
        <f t="shared" si="174"/>
        <v>#DIV/0!</v>
      </c>
      <c r="U476" s="64" t="e">
        <f t="shared" si="175"/>
        <v>#DIV/0!</v>
      </c>
      <c r="V476" s="69" t="e">
        <f t="shared" si="176"/>
        <v>#DIV/0!</v>
      </c>
    </row>
    <row r="477" spans="1:22" x14ac:dyDescent="0.3">
      <c r="A477" s="61" t="s">
        <v>316</v>
      </c>
      <c r="B477" s="62" t="s">
        <v>317</v>
      </c>
      <c r="C477" s="62" t="s">
        <v>841</v>
      </c>
      <c r="D477" s="62" t="s">
        <v>880</v>
      </c>
      <c r="E477" s="63" t="s">
        <v>881</v>
      </c>
      <c r="F477" s="62" t="s">
        <v>389</v>
      </c>
      <c r="G477" s="62" t="s">
        <v>238</v>
      </c>
      <c r="H477" s="62" t="s">
        <v>11</v>
      </c>
      <c r="I477" s="62" t="s">
        <v>210</v>
      </c>
      <c r="J477" s="63" t="s">
        <v>239</v>
      </c>
      <c r="K477" s="62" t="s">
        <v>317</v>
      </c>
      <c r="L477" s="64">
        <v>58.08</v>
      </c>
      <c r="M477" s="64">
        <f t="shared" si="171"/>
        <v>58.08</v>
      </c>
      <c r="N477" s="65">
        <f>prodnorm24</f>
        <v>0</v>
      </c>
      <c r="O477" s="66">
        <f>dagwerk24</f>
        <v>0</v>
      </c>
      <c r="P477" s="62" t="s">
        <v>40</v>
      </c>
      <c r="Q477" s="67">
        <f>uurtarief24</f>
        <v>0</v>
      </c>
      <c r="R477" s="64" t="e">
        <f t="shared" si="172"/>
        <v>#DIV/0!</v>
      </c>
      <c r="S477" s="64" t="e">
        <f t="shared" si="173"/>
        <v>#DIV/0!</v>
      </c>
      <c r="T477" s="67" t="e">
        <f t="shared" si="174"/>
        <v>#DIV/0!</v>
      </c>
      <c r="U477" s="64" t="e">
        <f t="shared" si="175"/>
        <v>#DIV/0!</v>
      </c>
      <c r="V477" s="69" t="e">
        <f t="shared" si="176"/>
        <v>#DIV/0!</v>
      </c>
    </row>
    <row r="478" spans="1:22" x14ac:dyDescent="0.3">
      <c r="A478" s="61" t="s">
        <v>316</v>
      </c>
      <c r="B478" s="62" t="s">
        <v>317</v>
      </c>
      <c r="C478" s="62" t="s">
        <v>841</v>
      </c>
      <c r="D478" s="62" t="s">
        <v>882</v>
      </c>
      <c r="E478" s="63" t="s">
        <v>356</v>
      </c>
      <c r="F478" s="62" t="s">
        <v>348</v>
      </c>
      <c r="G478" s="62" t="s">
        <v>212</v>
      </c>
      <c r="H478" s="62" t="s">
        <v>17</v>
      </c>
      <c r="I478" s="62" t="s">
        <v>210</v>
      </c>
      <c r="J478" s="63" t="s">
        <v>213</v>
      </c>
      <c r="K478" s="62" t="s">
        <v>317</v>
      </c>
      <c r="L478" s="64">
        <v>20</v>
      </c>
      <c r="M478" s="64">
        <f t="shared" si="171"/>
        <v>4</v>
      </c>
      <c r="N478" s="65">
        <f>prodnorm11</f>
        <v>0</v>
      </c>
      <c r="O478" s="66">
        <f>dagwerk11</f>
        <v>0</v>
      </c>
      <c r="P478" s="62" t="s">
        <v>40</v>
      </c>
      <c r="Q478" s="67">
        <f>uurtarief11</f>
        <v>0</v>
      </c>
      <c r="R478" s="64" t="e">
        <f t="shared" si="172"/>
        <v>#DIV/0!</v>
      </c>
      <c r="S478" s="64" t="e">
        <f t="shared" si="173"/>
        <v>#DIV/0!</v>
      </c>
      <c r="T478" s="67" t="e">
        <f t="shared" si="174"/>
        <v>#DIV/0!</v>
      </c>
      <c r="U478" s="64" t="e">
        <f t="shared" si="175"/>
        <v>#DIV/0!</v>
      </c>
      <c r="V478" s="69" t="e">
        <f t="shared" si="176"/>
        <v>#DIV/0!</v>
      </c>
    </row>
    <row r="479" spans="1:22" x14ac:dyDescent="0.3">
      <c r="A479" s="61" t="s">
        <v>316</v>
      </c>
      <c r="B479" s="62" t="s">
        <v>317</v>
      </c>
      <c r="C479" s="62" t="s">
        <v>841</v>
      </c>
      <c r="D479" s="62" t="s">
        <v>883</v>
      </c>
      <c r="E479" s="63" t="s">
        <v>356</v>
      </c>
      <c r="F479" s="62" t="s">
        <v>348</v>
      </c>
      <c r="G479" s="62" t="s">
        <v>212</v>
      </c>
      <c r="H479" s="62" t="s">
        <v>17</v>
      </c>
      <c r="I479" s="62" t="s">
        <v>210</v>
      </c>
      <c r="J479" s="63" t="s">
        <v>213</v>
      </c>
      <c r="K479" s="62" t="s">
        <v>317</v>
      </c>
      <c r="L479" s="64">
        <v>64.240000000000009</v>
      </c>
      <c r="M479" s="64">
        <f t="shared" si="171"/>
        <v>12.848000000000003</v>
      </c>
      <c r="N479" s="65">
        <f>prodnorm11</f>
        <v>0</v>
      </c>
      <c r="O479" s="66">
        <f>dagwerk11</f>
        <v>0</v>
      </c>
      <c r="P479" s="62" t="s">
        <v>40</v>
      </c>
      <c r="Q479" s="67">
        <f>uurtarief11</f>
        <v>0</v>
      </c>
      <c r="R479" s="64" t="e">
        <f t="shared" si="172"/>
        <v>#DIV/0!</v>
      </c>
      <c r="S479" s="64" t="e">
        <f t="shared" si="173"/>
        <v>#DIV/0!</v>
      </c>
      <c r="T479" s="67" t="e">
        <f t="shared" si="174"/>
        <v>#DIV/0!</v>
      </c>
      <c r="U479" s="64" t="e">
        <f t="shared" si="175"/>
        <v>#DIV/0!</v>
      </c>
      <c r="V479" s="69" t="e">
        <f t="shared" si="176"/>
        <v>#DIV/0!</v>
      </c>
    </row>
    <row r="480" spans="1:22" x14ac:dyDescent="0.3">
      <c r="A480" s="61" t="s">
        <v>316</v>
      </c>
      <c r="B480" s="62" t="s">
        <v>317</v>
      </c>
      <c r="C480" s="62" t="s">
        <v>841</v>
      </c>
      <c r="D480" s="62" t="s">
        <v>884</v>
      </c>
      <c r="E480" s="63" t="s">
        <v>356</v>
      </c>
      <c r="F480" s="62" t="s">
        <v>348</v>
      </c>
      <c r="G480" s="62" t="s">
        <v>212</v>
      </c>
      <c r="H480" s="62" t="s">
        <v>17</v>
      </c>
      <c r="I480" s="62" t="s">
        <v>210</v>
      </c>
      <c r="J480" s="63" t="s">
        <v>213</v>
      </c>
      <c r="K480" s="62" t="s">
        <v>317</v>
      </c>
      <c r="L480" s="64">
        <v>9.44</v>
      </c>
      <c r="M480" s="64">
        <f t="shared" si="171"/>
        <v>1.8879999999999999</v>
      </c>
      <c r="N480" s="65">
        <f>prodnorm11</f>
        <v>0</v>
      </c>
      <c r="O480" s="66">
        <f>dagwerk11</f>
        <v>0</v>
      </c>
      <c r="P480" s="62" t="s">
        <v>40</v>
      </c>
      <c r="Q480" s="67">
        <f>uurtarief11</f>
        <v>0</v>
      </c>
      <c r="R480" s="64" t="e">
        <f t="shared" si="172"/>
        <v>#DIV/0!</v>
      </c>
      <c r="S480" s="64" t="e">
        <f t="shared" si="173"/>
        <v>#DIV/0!</v>
      </c>
      <c r="T480" s="67" t="e">
        <f t="shared" si="174"/>
        <v>#DIV/0!</v>
      </c>
      <c r="U480" s="64" t="e">
        <f t="shared" si="175"/>
        <v>#DIV/0!</v>
      </c>
      <c r="V480" s="69" t="e">
        <f t="shared" si="176"/>
        <v>#DIV/0!</v>
      </c>
    </row>
    <row r="481" spans="1:22" x14ac:dyDescent="0.3">
      <c r="A481" s="61" t="s">
        <v>316</v>
      </c>
      <c r="B481" s="62" t="s">
        <v>317</v>
      </c>
      <c r="C481" s="62" t="s">
        <v>841</v>
      </c>
      <c r="D481" s="62" t="s">
        <v>885</v>
      </c>
      <c r="E481" s="63" t="s">
        <v>356</v>
      </c>
      <c r="F481" s="62" t="s">
        <v>348</v>
      </c>
      <c r="G481" s="62" t="s">
        <v>212</v>
      </c>
      <c r="H481" s="62" t="s">
        <v>17</v>
      </c>
      <c r="I481" s="62" t="s">
        <v>210</v>
      </c>
      <c r="J481" s="63" t="s">
        <v>213</v>
      </c>
      <c r="K481" s="62" t="s">
        <v>317</v>
      </c>
      <c r="L481" s="64">
        <v>7.26</v>
      </c>
      <c r="M481" s="64">
        <f t="shared" si="171"/>
        <v>1.452</v>
      </c>
      <c r="N481" s="65">
        <f>prodnorm11</f>
        <v>0</v>
      </c>
      <c r="O481" s="66">
        <f>dagwerk11</f>
        <v>0</v>
      </c>
      <c r="P481" s="62" t="s">
        <v>40</v>
      </c>
      <c r="Q481" s="67">
        <f>uurtarief11</f>
        <v>0</v>
      </c>
      <c r="R481" s="64" t="e">
        <f t="shared" si="172"/>
        <v>#DIV/0!</v>
      </c>
      <c r="S481" s="64" t="e">
        <f t="shared" si="173"/>
        <v>#DIV/0!</v>
      </c>
      <c r="T481" s="67" t="e">
        <f t="shared" si="174"/>
        <v>#DIV/0!</v>
      </c>
      <c r="U481" s="64" t="e">
        <f t="shared" si="175"/>
        <v>#DIV/0!</v>
      </c>
      <c r="V481" s="69" t="e">
        <f t="shared" si="176"/>
        <v>#DIV/0!</v>
      </c>
    </row>
    <row r="482" spans="1:22" x14ac:dyDescent="0.3">
      <c r="A482" s="61" t="s">
        <v>316</v>
      </c>
      <c r="B482" s="62" t="s">
        <v>317</v>
      </c>
      <c r="C482" s="62" t="s">
        <v>841</v>
      </c>
      <c r="D482" s="62" t="s">
        <v>886</v>
      </c>
      <c r="E482" s="63" t="s">
        <v>356</v>
      </c>
      <c r="F482" s="62" t="s">
        <v>348</v>
      </c>
      <c r="G482" s="62" t="s">
        <v>212</v>
      </c>
      <c r="H482" s="62" t="s">
        <v>17</v>
      </c>
      <c r="I482" s="62" t="s">
        <v>210</v>
      </c>
      <c r="J482" s="63" t="s">
        <v>213</v>
      </c>
      <c r="K482" s="62" t="s">
        <v>317</v>
      </c>
      <c r="L482" s="64">
        <v>31.1</v>
      </c>
      <c r="M482" s="64">
        <f t="shared" si="171"/>
        <v>6.2200000000000006</v>
      </c>
      <c r="N482" s="65">
        <f>prodnorm11</f>
        <v>0</v>
      </c>
      <c r="O482" s="66">
        <f>dagwerk11</f>
        <v>0</v>
      </c>
      <c r="P482" s="62" t="s">
        <v>40</v>
      </c>
      <c r="Q482" s="67">
        <f>uurtarief11</f>
        <v>0</v>
      </c>
      <c r="R482" s="64" t="e">
        <f t="shared" si="172"/>
        <v>#DIV/0!</v>
      </c>
      <c r="S482" s="64" t="e">
        <f t="shared" si="173"/>
        <v>#DIV/0!</v>
      </c>
      <c r="T482" s="67" t="e">
        <f t="shared" si="174"/>
        <v>#DIV/0!</v>
      </c>
      <c r="U482" s="64" t="e">
        <f t="shared" si="175"/>
        <v>#DIV/0!</v>
      </c>
      <c r="V482" s="69" t="e">
        <f t="shared" si="176"/>
        <v>#DIV/0!</v>
      </c>
    </row>
    <row r="483" spans="1:22" x14ac:dyDescent="0.3">
      <c r="A483" s="61" t="s">
        <v>316</v>
      </c>
      <c r="B483" s="62" t="s">
        <v>317</v>
      </c>
      <c r="C483" s="62" t="s">
        <v>841</v>
      </c>
      <c r="D483" s="62" t="s">
        <v>887</v>
      </c>
      <c r="E483" s="63" t="s">
        <v>707</v>
      </c>
      <c r="F483" s="62" t="s">
        <v>348</v>
      </c>
      <c r="G483" s="62" t="s">
        <v>226</v>
      </c>
      <c r="H483" s="62" t="s">
        <v>14</v>
      </c>
      <c r="I483" s="62" t="s">
        <v>210</v>
      </c>
      <c r="J483" s="63" t="s">
        <v>227</v>
      </c>
      <c r="K483" s="62" t="s">
        <v>317</v>
      </c>
      <c r="L483" s="64">
        <v>62.230000000000004</v>
      </c>
      <c r="M483" s="64">
        <f t="shared" si="171"/>
        <v>37.338000000000001</v>
      </c>
      <c r="N483" s="65">
        <f>prodnorm18</f>
        <v>0</v>
      </c>
      <c r="O483" s="66">
        <f>dagwerk18</f>
        <v>0</v>
      </c>
      <c r="P483" s="62" t="s">
        <v>40</v>
      </c>
      <c r="Q483" s="67">
        <f>uurtarief18</f>
        <v>0</v>
      </c>
      <c r="R483" s="64" t="e">
        <f t="shared" si="172"/>
        <v>#DIV/0!</v>
      </c>
      <c r="S483" s="64" t="e">
        <f t="shared" si="173"/>
        <v>#DIV/0!</v>
      </c>
      <c r="T483" s="67" t="e">
        <f t="shared" si="174"/>
        <v>#DIV/0!</v>
      </c>
      <c r="U483" s="64" t="e">
        <f t="shared" si="175"/>
        <v>#DIV/0!</v>
      </c>
      <c r="V483" s="69" t="e">
        <f t="shared" si="176"/>
        <v>#DIV/0!</v>
      </c>
    </row>
    <row r="484" spans="1:22" x14ac:dyDescent="0.3">
      <c r="A484" s="61" t="s">
        <v>316</v>
      </c>
      <c r="B484" s="62" t="s">
        <v>317</v>
      </c>
      <c r="C484" s="62" t="s">
        <v>841</v>
      </c>
      <c r="D484" s="62" t="s">
        <v>888</v>
      </c>
      <c r="E484" s="63" t="s">
        <v>356</v>
      </c>
      <c r="F484" s="62" t="s">
        <v>348</v>
      </c>
      <c r="G484" s="62" t="s">
        <v>212</v>
      </c>
      <c r="H484" s="62" t="s">
        <v>17</v>
      </c>
      <c r="I484" s="62" t="s">
        <v>210</v>
      </c>
      <c r="J484" s="63" t="s">
        <v>213</v>
      </c>
      <c r="K484" s="62" t="s">
        <v>317</v>
      </c>
      <c r="L484" s="64">
        <v>19.45</v>
      </c>
      <c r="M484" s="64">
        <f t="shared" si="171"/>
        <v>3.89</v>
      </c>
      <c r="N484" s="65">
        <f>prodnorm11</f>
        <v>0</v>
      </c>
      <c r="O484" s="66">
        <f>dagwerk11</f>
        <v>0</v>
      </c>
      <c r="P484" s="62" t="s">
        <v>40</v>
      </c>
      <c r="Q484" s="67">
        <f>uurtarief11</f>
        <v>0</v>
      </c>
      <c r="R484" s="64" t="e">
        <f t="shared" si="172"/>
        <v>#DIV/0!</v>
      </c>
      <c r="S484" s="64" t="e">
        <f t="shared" si="173"/>
        <v>#DIV/0!</v>
      </c>
      <c r="T484" s="67" t="e">
        <f t="shared" si="174"/>
        <v>#DIV/0!</v>
      </c>
      <c r="U484" s="64" t="e">
        <f t="shared" si="175"/>
        <v>#DIV/0!</v>
      </c>
      <c r="V484" s="69" t="e">
        <f t="shared" si="176"/>
        <v>#DIV/0!</v>
      </c>
    </row>
    <row r="485" spans="1:22" x14ac:dyDescent="0.3">
      <c r="A485" s="61" t="s">
        <v>316</v>
      </c>
      <c r="B485" s="62" t="s">
        <v>317</v>
      </c>
      <c r="C485" s="62" t="s">
        <v>841</v>
      </c>
      <c r="D485" s="62" t="s">
        <v>889</v>
      </c>
      <c r="E485" s="63" t="s">
        <v>356</v>
      </c>
      <c r="F485" s="62" t="s">
        <v>389</v>
      </c>
      <c r="G485" s="62" t="s">
        <v>209</v>
      </c>
      <c r="H485" s="62" t="s">
        <v>17</v>
      </c>
      <c r="I485" s="62" t="s">
        <v>210</v>
      </c>
      <c r="J485" s="63" t="s">
        <v>211</v>
      </c>
      <c r="K485" s="62" t="s">
        <v>317</v>
      </c>
      <c r="L485" s="64">
        <v>17.23</v>
      </c>
      <c r="M485" s="64">
        <f t="shared" si="171"/>
        <v>3.4460000000000002</v>
      </c>
      <c r="N485" s="65">
        <f>prodnorm10</f>
        <v>0</v>
      </c>
      <c r="O485" s="66">
        <f>dagwerk10</f>
        <v>0</v>
      </c>
      <c r="P485" s="62" t="s">
        <v>40</v>
      </c>
      <c r="Q485" s="67">
        <f>uurtarief10</f>
        <v>0</v>
      </c>
      <c r="R485" s="64" t="e">
        <f t="shared" si="172"/>
        <v>#DIV/0!</v>
      </c>
      <c r="S485" s="64" t="e">
        <f t="shared" si="173"/>
        <v>#DIV/0!</v>
      </c>
      <c r="T485" s="67" t="e">
        <f t="shared" si="174"/>
        <v>#DIV/0!</v>
      </c>
      <c r="U485" s="64" t="e">
        <f t="shared" si="175"/>
        <v>#DIV/0!</v>
      </c>
      <c r="V485" s="69" t="e">
        <f t="shared" si="176"/>
        <v>#DIV/0!</v>
      </c>
    </row>
    <row r="486" spans="1:22" x14ac:dyDescent="0.3">
      <c r="A486" s="61" t="s">
        <v>316</v>
      </c>
      <c r="B486" s="62" t="s">
        <v>317</v>
      </c>
      <c r="C486" s="62" t="s">
        <v>841</v>
      </c>
      <c r="D486" s="62" t="s">
        <v>890</v>
      </c>
      <c r="E486" s="63" t="s">
        <v>891</v>
      </c>
      <c r="F486" s="62" t="s">
        <v>353</v>
      </c>
      <c r="G486" s="62" t="s">
        <v>266</v>
      </c>
      <c r="H486" s="62" t="s">
        <v>11</v>
      </c>
      <c r="I486" s="62" t="s">
        <v>210</v>
      </c>
      <c r="J486" s="63" t="s">
        <v>267</v>
      </c>
      <c r="K486" s="62" t="s">
        <v>317</v>
      </c>
      <c r="L486" s="64">
        <v>7.02</v>
      </c>
      <c r="M486" s="64">
        <f t="shared" si="171"/>
        <v>7.02</v>
      </c>
      <c r="N486" s="65">
        <f>prodnorm39</f>
        <v>0</v>
      </c>
      <c r="O486" s="66">
        <f>dagwerk39</f>
        <v>0</v>
      </c>
      <c r="P486" s="62" t="s">
        <v>40</v>
      </c>
      <c r="Q486" s="67">
        <f>uurtarief39</f>
        <v>0</v>
      </c>
      <c r="R486" s="64" t="e">
        <f t="shared" si="172"/>
        <v>#DIV/0!</v>
      </c>
      <c r="S486" s="64" t="e">
        <f t="shared" si="173"/>
        <v>#DIV/0!</v>
      </c>
      <c r="T486" s="67" t="e">
        <f t="shared" si="174"/>
        <v>#DIV/0!</v>
      </c>
      <c r="U486" s="64" t="e">
        <f t="shared" si="175"/>
        <v>#DIV/0!</v>
      </c>
      <c r="V486" s="69" t="e">
        <f t="shared" si="176"/>
        <v>#DIV/0!</v>
      </c>
    </row>
    <row r="487" spans="1:22" x14ac:dyDescent="0.3">
      <c r="A487" s="61" t="s">
        <v>316</v>
      </c>
      <c r="B487" s="62" t="s">
        <v>317</v>
      </c>
      <c r="C487" s="62" t="s">
        <v>841</v>
      </c>
      <c r="D487" s="62" t="s">
        <v>892</v>
      </c>
      <c r="E487" s="63" t="s">
        <v>381</v>
      </c>
      <c r="F487" s="62" t="s">
        <v>365</v>
      </c>
      <c r="G487" s="62" t="s">
        <v>323</v>
      </c>
      <c r="H487" s="62"/>
      <c r="I487" s="62"/>
      <c r="J487" s="62"/>
      <c r="K487" s="62" t="s">
        <v>317</v>
      </c>
      <c r="L487" s="64">
        <v>3.22</v>
      </c>
      <c r="M487" s="64"/>
      <c r="N487" s="65"/>
      <c r="O487" s="66"/>
      <c r="P487" s="62"/>
      <c r="Q487" s="67"/>
      <c r="R487" s="64"/>
      <c r="S487" s="64"/>
      <c r="T487" s="67"/>
      <c r="U487" s="68"/>
      <c r="V487" s="69"/>
    </row>
    <row r="488" spans="1:22" x14ac:dyDescent="0.3">
      <c r="A488" s="61" t="s">
        <v>316</v>
      </c>
      <c r="B488" s="62" t="s">
        <v>317</v>
      </c>
      <c r="C488" s="62" t="s">
        <v>841</v>
      </c>
      <c r="D488" s="62" t="s">
        <v>893</v>
      </c>
      <c r="E488" s="63" t="s">
        <v>536</v>
      </c>
      <c r="F488" s="62" t="s">
        <v>348</v>
      </c>
      <c r="G488" s="62" t="s">
        <v>216</v>
      </c>
      <c r="H488" s="62" t="s">
        <v>14</v>
      </c>
      <c r="I488" s="62" t="s">
        <v>210</v>
      </c>
      <c r="J488" s="63" t="s">
        <v>217</v>
      </c>
      <c r="K488" s="62" t="s">
        <v>317</v>
      </c>
      <c r="L488" s="64">
        <v>12.28</v>
      </c>
      <c r="M488" s="64">
        <f>L488*VLOOKUP(H488,dagsoorttabel1,2,FALSE)</f>
        <v>7.3679999999999994</v>
      </c>
      <c r="N488" s="65">
        <f>prodnorm13</f>
        <v>0</v>
      </c>
      <c r="O488" s="66">
        <f>dagwerk13</f>
        <v>0</v>
      </c>
      <c r="P488" s="62" t="s">
        <v>40</v>
      </c>
      <c r="Q488" s="67">
        <f>uurtarief13</f>
        <v>0</v>
      </c>
      <c r="R488" s="64" t="e">
        <f>IF(ISBLANK(N488),0,M488/ROUND(N488,4))</f>
        <v>#DIV/0!</v>
      </c>
      <c r="S488" s="64" t="e">
        <f>IF(ISBLANK(N488),0,R488*ROUND(O488,2))</f>
        <v>#DIV/0!</v>
      </c>
      <c r="T488" s="67" t="e">
        <f>ROUND(Q488,2)*R488</f>
        <v>#DIV/0!</v>
      </c>
      <c r="U488" s="64" t="e">
        <f>R488*dagenperjaar1</f>
        <v>#DIV/0!</v>
      </c>
      <c r="V488" s="69" t="e">
        <f>U488*ROUND(Q488,2)</f>
        <v>#DIV/0!</v>
      </c>
    </row>
    <row r="489" spans="1:22" x14ac:dyDescent="0.3">
      <c r="A489" s="61" t="s">
        <v>316</v>
      </c>
      <c r="B489" s="62" t="s">
        <v>317</v>
      </c>
      <c r="C489" s="62" t="s">
        <v>841</v>
      </c>
      <c r="D489" s="62" t="s">
        <v>894</v>
      </c>
      <c r="E489" s="63" t="s">
        <v>400</v>
      </c>
      <c r="F489" s="62" t="s">
        <v>348</v>
      </c>
      <c r="G489" s="62" t="s">
        <v>216</v>
      </c>
      <c r="H489" s="62" t="s">
        <v>14</v>
      </c>
      <c r="I489" s="62" t="s">
        <v>210</v>
      </c>
      <c r="J489" s="63" t="s">
        <v>217</v>
      </c>
      <c r="K489" s="62" t="s">
        <v>317</v>
      </c>
      <c r="L489" s="64">
        <v>12.33</v>
      </c>
      <c r="M489" s="64">
        <f>L489*VLOOKUP(H489,dagsoorttabel1,2,FALSE)</f>
        <v>7.3979999999999997</v>
      </c>
      <c r="N489" s="65">
        <f>prodnorm13</f>
        <v>0</v>
      </c>
      <c r="O489" s="66">
        <f>dagwerk13</f>
        <v>0</v>
      </c>
      <c r="P489" s="62" t="s">
        <v>40</v>
      </c>
      <c r="Q489" s="67">
        <f>uurtarief13</f>
        <v>0</v>
      </c>
      <c r="R489" s="64" t="e">
        <f>IF(ISBLANK(N489),0,M489/ROUND(N489,4))</f>
        <v>#DIV/0!</v>
      </c>
      <c r="S489" s="64" t="e">
        <f>IF(ISBLANK(N489),0,R489*ROUND(O489,2))</f>
        <v>#DIV/0!</v>
      </c>
      <c r="T489" s="67" t="e">
        <f>ROUND(Q489,2)*R489</f>
        <v>#DIV/0!</v>
      </c>
      <c r="U489" s="64" t="e">
        <f>R489*dagenperjaar1</f>
        <v>#DIV/0!</v>
      </c>
      <c r="V489" s="69" t="e">
        <f>U489*ROUND(Q489,2)</f>
        <v>#DIV/0!</v>
      </c>
    </row>
    <row r="490" spans="1:22" x14ac:dyDescent="0.3">
      <c r="A490" s="61" t="s">
        <v>316</v>
      </c>
      <c r="B490" s="62" t="s">
        <v>317</v>
      </c>
      <c r="C490" s="62" t="s">
        <v>841</v>
      </c>
      <c r="D490" s="62" t="s">
        <v>895</v>
      </c>
      <c r="E490" s="63" t="s">
        <v>330</v>
      </c>
      <c r="F490" s="62" t="s">
        <v>389</v>
      </c>
      <c r="G490" s="62" t="s">
        <v>286</v>
      </c>
      <c r="H490" s="62" t="s">
        <v>11</v>
      </c>
      <c r="I490" s="62" t="s">
        <v>210</v>
      </c>
      <c r="J490" s="63" t="s">
        <v>287</v>
      </c>
      <c r="K490" s="62" t="s">
        <v>317</v>
      </c>
      <c r="L490" s="64">
        <v>23.939999999999998</v>
      </c>
      <c r="M490" s="64">
        <f>L490*VLOOKUP(H490,dagsoorttabel1,2,FALSE)</f>
        <v>23.939999999999998</v>
      </c>
      <c r="N490" s="65">
        <f>prodnorm49</f>
        <v>0</v>
      </c>
      <c r="O490" s="66">
        <f>dagwerk49</f>
        <v>0</v>
      </c>
      <c r="P490" s="62" t="s">
        <v>40</v>
      </c>
      <c r="Q490" s="67">
        <f>uurtarief49</f>
        <v>0</v>
      </c>
      <c r="R490" s="64" t="e">
        <f>IF(ISBLANK(N490),0,M490/ROUND(N490,4))</f>
        <v>#DIV/0!</v>
      </c>
      <c r="S490" s="64" t="e">
        <f>IF(ISBLANK(N490),0,R490*ROUND(O490,2))</f>
        <v>#DIV/0!</v>
      </c>
      <c r="T490" s="67" t="e">
        <f>ROUND(Q490,2)*R490</f>
        <v>#DIV/0!</v>
      </c>
      <c r="U490" s="64" t="e">
        <f>R490*dagenperjaar1</f>
        <v>#DIV/0!</v>
      </c>
      <c r="V490" s="69" t="e">
        <f>U490*ROUND(Q490,2)</f>
        <v>#DIV/0!</v>
      </c>
    </row>
    <row r="491" spans="1:22" x14ac:dyDescent="0.3">
      <c r="A491" s="61" t="s">
        <v>316</v>
      </c>
      <c r="B491" s="62" t="s">
        <v>317</v>
      </c>
      <c r="C491" s="62" t="s">
        <v>841</v>
      </c>
      <c r="D491" s="62" t="s">
        <v>896</v>
      </c>
      <c r="E491" s="63" t="s">
        <v>330</v>
      </c>
      <c r="F491" s="62" t="s">
        <v>389</v>
      </c>
      <c r="G491" s="62" t="s">
        <v>286</v>
      </c>
      <c r="H491" s="62" t="s">
        <v>11</v>
      </c>
      <c r="I491" s="62" t="s">
        <v>210</v>
      </c>
      <c r="J491" s="63" t="s">
        <v>287</v>
      </c>
      <c r="K491" s="62" t="s">
        <v>317</v>
      </c>
      <c r="L491" s="64">
        <v>41.11</v>
      </c>
      <c r="M491" s="64">
        <f>L491*VLOOKUP(H491,dagsoorttabel1,2,FALSE)</f>
        <v>41.11</v>
      </c>
      <c r="N491" s="65">
        <f>prodnorm49</f>
        <v>0</v>
      </c>
      <c r="O491" s="66">
        <f>dagwerk49</f>
        <v>0</v>
      </c>
      <c r="P491" s="62" t="s">
        <v>40</v>
      </c>
      <c r="Q491" s="67">
        <f>uurtarief49</f>
        <v>0</v>
      </c>
      <c r="R491" s="64" t="e">
        <f>IF(ISBLANK(N491),0,M491/ROUND(N491,4))</f>
        <v>#DIV/0!</v>
      </c>
      <c r="S491" s="64" t="e">
        <f>IF(ISBLANK(N491),0,R491*ROUND(O491,2))</f>
        <v>#DIV/0!</v>
      </c>
      <c r="T491" s="67" t="e">
        <f>ROUND(Q491,2)*R491</f>
        <v>#DIV/0!</v>
      </c>
      <c r="U491" s="64" t="e">
        <f>R491*dagenperjaar1</f>
        <v>#DIV/0!</v>
      </c>
      <c r="V491" s="69" t="e">
        <f>U491*ROUND(Q491,2)</f>
        <v>#DIV/0!</v>
      </c>
    </row>
    <row r="492" spans="1:22" x14ac:dyDescent="0.3">
      <c r="A492" s="61" t="s">
        <v>316</v>
      </c>
      <c r="B492" s="62" t="s">
        <v>317</v>
      </c>
      <c r="C492" s="62" t="s">
        <v>841</v>
      </c>
      <c r="D492" s="62" t="s">
        <v>897</v>
      </c>
      <c r="E492" s="63" t="s">
        <v>374</v>
      </c>
      <c r="F492" s="62" t="s">
        <v>389</v>
      </c>
      <c r="G492" s="62" t="s">
        <v>323</v>
      </c>
      <c r="H492" s="62"/>
      <c r="I492" s="62"/>
      <c r="J492" s="62"/>
      <c r="K492" s="62" t="s">
        <v>317</v>
      </c>
      <c r="L492" s="64">
        <v>0.78</v>
      </c>
      <c r="M492" s="64"/>
      <c r="N492" s="65"/>
      <c r="O492" s="66"/>
      <c r="P492" s="62"/>
      <c r="Q492" s="67"/>
      <c r="R492" s="64"/>
      <c r="S492" s="64"/>
      <c r="T492" s="67"/>
      <c r="U492" s="68"/>
      <c r="V492" s="69"/>
    </row>
    <row r="493" spans="1:22" x14ac:dyDescent="0.3">
      <c r="A493" s="61" t="s">
        <v>316</v>
      </c>
      <c r="B493" s="62" t="s">
        <v>317</v>
      </c>
      <c r="C493" s="62" t="s">
        <v>841</v>
      </c>
      <c r="D493" s="62" t="s">
        <v>898</v>
      </c>
      <c r="E493" s="63" t="s">
        <v>394</v>
      </c>
      <c r="F493" s="62" t="s">
        <v>389</v>
      </c>
      <c r="G493" s="62" t="s">
        <v>272</v>
      </c>
      <c r="H493" s="62" t="s">
        <v>11</v>
      </c>
      <c r="I493" s="62" t="s">
        <v>210</v>
      </c>
      <c r="J493" s="63" t="s">
        <v>273</v>
      </c>
      <c r="K493" s="62" t="s">
        <v>317</v>
      </c>
      <c r="L493" s="64">
        <v>201.18</v>
      </c>
      <c r="M493" s="64">
        <f t="shared" ref="M493:M499" si="177">L493*VLOOKUP(H493,dagsoorttabel1,2,FALSE)</f>
        <v>201.18</v>
      </c>
      <c r="N493" s="65">
        <f>prodnorm42</f>
        <v>0</v>
      </c>
      <c r="O493" s="66">
        <f>dagwerk42</f>
        <v>0</v>
      </c>
      <c r="P493" s="62" t="s">
        <v>40</v>
      </c>
      <c r="Q493" s="67">
        <f>uurtarief42</f>
        <v>0</v>
      </c>
      <c r="R493" s="64" t="e">
        <f t="shared" ref="R493:R499" si="178">IF(ISBLANK(N493),0,M493/ROUND(N493,4))</f>
        <v>#DIV/0!</v>
      </c>
      <c r="S493" s="64" t="e">
        <f t="shared" ref="S493:S499" si="179">IF(ISBLANK(N493),0,R493*ROUND(O493,2))</f>
        <v>#DIV/0!</v>
      </c>
      <c r="T493" s="67" t="e">
        <f t="shared" ref="T493:T499" si="180">ROUND(Q493,2)*R493</f>
        <v>#DIV/0!</v>
      </c>
      <c r="U493" s="64" t="e">
        <f t="shared" ref="U493:U499" si="181">R493*dagenperjaar1</f>
        <v>#DIV/0!</v>
      </c>
      <c r="V493" s="69" t="e">
        <f t="shared" ref="V493:V499" si="182">U493*ROUND(Q493,2)</f>
        <v>#DIV/0!</v>
      </c>
    </row>
    <row r="494" spans="1:22" x14ac:dyDescent="0.3">
      <c r="A494" s="61" t="s">
        <v>316</v>
      </c>
      <c r="B494" s="62" t="s">
        <v>317</v>
      </c>
      <c r="C494" s="62" t="s">
        <v>841</v>
      </c>
      <c r="D494" s="62" t="s">
        <v>899</v>
      </c>
      <c r="E494" s="63" t="s">
        <v>693</v>
      </c>
      <c r="F494" s="62" t="s">
        <v>389</v>
      </c>
      <c r="G494" s="62" t="s">
        <v>228</v>
      </c>
      <c r="H494" s="62" t="s">
        <v>11</v>
      </c>
      <c r="I494" s="62" t="s">
        <v>210</v>
      </c>
      <c r="J494" s="63" t="s">
        <v>229</v>
      </c>
      <c r="K494" s="62" t="s">
        <v>317</v>
      </c>
      <c r="L494" s="64">
        <v>6.07</v>
      </c>
      <c r="M494" s="64">
        <f t="shared" si="177"/>
        <v>6.07</v>
      </c>
      <c r="N494" s="65">
        <f>prodnorm19</f>
        <v>0</v>
      </c>
      <c r="O494" s="66">
        <f>dagwerk19</f>
        <v>0</v>
      </c>
      <c r="P494" s="62" t="s">
        <v>40</v>
      </c>
      <c r="Q494" s="67">
        <f>uurtarief19</f>
        <v>0</v>
      </c>
      <c r="R494" s="64" t="e">
        <f t="shared" si="178"/>
        <v>#DIV/0!</v>
      </c>
      <c r="S494" s="64" t="e">
        <f t="shared" si="179"/>
        <v>#DIV/0!</v>
      </c>
      <c r="T494" s="67" t="e">
        <f t="shared" si="180"/>
        <v>#DIV/0!</v>
      </c>
      <c r="U494" s="64" t="e">
        <f t="shared" si="181"/>
        <v>#DIV/0!</v>
      </c>
      <c r="V494" s="69" t="e">
        <f t="shared" si="182"/>
        <v>#DIV/0!</v>
      </c>
    </row>
    <row r="495" spans="1:22" x14ac:dyDescent="0.3">
      <c r="A495" s="61" t="s">
        <v>316</v>
      </c>
      <c r="B495" s="62" t="s">
        <v>317</v>
      </c>
      <c r="C495" s="62" t="s">
        <v>841</v>
      </c>
      <c r="D495" s="62" t="s">
        <v>900</v>
      </c>
      <c r="E495" s="63" t="s">
        <v>391</v>
      </c>
      <c r="F495" s="62" t="s">
        <v>348</v>
      </c>
      <c r="G495" s="62" t="s">
        <v>236</v>
      </c>
      <c r="H495" s="62" t="s">
        <v>14</v>
      </c>
      <c r="I495" s="62" t="s">
        <v>210</v>
      </c>
      <c r="J495" s="63" t="s">
        <v>237</v>
      </c>
      <c r="K495" s="62" t="s">
        <v>317</v>
      </c>
      <c r="L495" s="64">
        <v>61.14</v>
      </c>
      <c r="M495" s="64">
        <f t="shared" si="177"/>
        <v>36.683999999999997</v>
      </c>
      <c r="N495" s="65">
        <f>prodnorm23</f>
        <v>0</v>
      </c>
      <c r="O495" s="66">
        <f>dagwerk23</f>
        <v>0</v>
      </c>
      <c r="P495" s="62" t="s">
        <v>40</v>
      </c>
      <c r="Q495" s="67">
        <f>uurtarief23</f>
        <v>0</v>
      </c>
      <c r="R495" s="64" t="e">
        <f t="shared" si="178"/>
        <v>#DIV/0!</v>
      </c>
      <c r="S495" s="64" t="e">
        <f t="shared" si="179"/>
        <v>#DIV/0!</v>
      </c>
      <c r="T495" s="67" t="e">
        <f t="shared" si="180"/>
        <v>#DIV/0!</v>
      </c>
      <c r="U495" s="64" t="e">
        <f t="shared" si="181"/>
        <v>#DIV/0!</v>
      </c>
      <c r="V495" s="69" t="e">
        <f t="shared" si="182"/>
        <v>#DIV/0!</v>
      </c>
    </row>
    <row r="496" spans="1:22" x14ac:dyDescent="0.3">
      <c r="A496" s="61" t="s">
        <v>316</v>
      </c>
      <c r="B496" s="62" t="s">
        <v>317</v>
      </c>
      <c r="C496" s="62" t="s">
        <v>841</v>
      </c>
      <c r="D496" s="62" t="s">
        <v>901</v>
      </c>
      <c r="E496" s="63" t="s">
        <v>391</v>
      </c>
      <c r="F496" s="62" t="s">
        <v>348</v>
      </c>
      <c r="G496" s="62" t="s">
        <v>236</v>
      </c>
      <c r="H496" s="62" t="s">
        <v>14</v>
      </c>
      <c r="I496" s="62" t="s">
        <v>210</v>
      </c>
      <c r="J496" s="63" t="s">
        <v>237</v>
      </c>
      <c r="K496" s="62" t="s">
        <v>317</v>
      </c>
      <c r="L496" s="64">
        <v>49.98</v>
      </c>
      <c r="M496" s="64">
        <f t="shared" si="177"/>
        <v>29.987999999999996</v>
      </c>
      <c r="N496" s="65">
        <f>prodnorm23</f>
        <v>0</v>
      </c>
      <c r="O496" s="66">
        <f>dagwerk23</f>
        <v>0</v>
      </c>
      <c r="P496" s="62" t="s">
        <v>40</v>
      </c>
      <c r="Q496" s="67">
        <f>uurtarief23</f>
        <v>0</v>
      </c>
      <c r="R496" s="64" t="e">
        <f t="shared" si="178"/>
        <v>#DIV/0!</v>
      </c>
      <c r="S496" s="64" t="e">
        <f t="shared" si="179"/>
        <v>#DIV/0!</v>
      </c>
      <c r="T496" s="67" t="e">
        <f t="shared" si="180"/>
        <v>#DIV/0!</v>
      </c>
      <c r="U496" s="64" t="e">
        <f t="shared" si="181"/>
        <v>#DIV/0!</v>
      </c>
      <c r="V496" s="69" t="e">
        <f t="shared" si="182"/>
        <v>#DIV/0!</v>
      </c>
    </row>
    <row r="497" spans="1:22" x14ac:dyDescent="0.3">
      <c r="A497" s="61" t="s">
        <v>316</v>
      </c>
      <c r="B497" s="62" t="s">
        <v>317</v>
      </c>
      <c r="C497" s="62" t="s">
        <v>841</v>
      </c>
      <c r="D497" s="62" t="s">
        <v>902</v>
      </c>
      <c r="E497" s="63" t="s">
        <v>391</v>
      </c>
      <c r="F497" s="62" t="s">
        <v>348</v>
      </c>
      <c r="G497" s="62" t="s">
        <v>236</v>
      </c>
      <c r="H497" s="62" t="s">
        <v>14</v>
      </c>
      <c r="I497" s="62" t="s">
        <v>210</v>
      </c>
      <c r="J497" s="63" t="s">
        <v>237</v>
      </c>
      <c r="K497" s="62" t="s">
        <v>317</v>
      </c>
      <c r="L497" s="64">
        <v>47.96</v>
      </c>
      <c r="M497" s="64">
        <f t="shared" si="177"/>
        <v>28.776</v>
      </c>
      <c r="N497" s="65">
        <f>prodnorm23</f>
        <v>0</v>
      </c>
      <c r="O497" s="66">
        <f>dagwerk23</f>
        <v>0</v>
      </c>
      <c r="P497" s="62" t="s">
        <v>40</v>
      </c>
      <c r="Q497" s="67">
        <f>uurtarief23</f>
        <v>0</v>
      </c>
      <c r="R497" s="64" t="e">
        <f t="shared" si="178"/>
        <v>#DIV/0!</v>
      </c>
      <c r="S497" s="64" t="e">
        <f t="shared" si="179"/>
        <v>#DIV/0!</v>
      </c>
      <c r="T497" s="67" t="e">
        <f t="shared" si="180"/>
        <v>#DIV/0!</v>
      </c>
      <c r="U497" s="64" t="e">
        <f t="shared" si="181"/>
        <v>#DIV/0!</v>
      </c>
      <c r="V497" s="69" t="e">
        <f t="shared" si="182"/>
        <v>#DIV/0!</v>
      </c>
    </row>
    <row r="498" spans="1:22" x14ac:dyDescent="0.3">
      <c r="A498" s="61" t="s">
        <v>316</v>
      </c>
      <c r="B498" s="62" t="s">
        <v>317</v>
      </c>
      <c r="C498" s="62" t="s">
        <v>841</v>
      </c>
      <c r="D498" s="62" t="s">
        <v>903</v>
      </c>
      <c r="E498" s="63" t="s">
        <v>391</v>
      </c>
      <c r="F498" s="62" t="s">
        <v>348</v>
      </c>
      <c r="G498" s="62" t="s">
        <v>236</v>
      </c>
      <c r="H498" s="62" t="s">
        <v>14</v>
      </c>
      <c r="I498" s="62" t="s">
        <v>210</v>
      </c>
      <c r="J498" s="63" t="s">
        <v>237</v>
      </c>
      <c r="K498" s="62" t="s">
        <v>317</v>
      </c>
      <c r="L498" s="64">
        <v>48.120000000000005</v>
      </c>
      <c r="M498" s="64">
        <f t="shared" si="177"/>
        <v>28.872</v>
      </c>
      <c r="N498" s="65">
        <f>prodnorm23</f>
        <v>0</v>
      </c>
      <c r="O498" s="66">
        <f>dagwerk23</f>
        <v>0</v>
      </c>
      <c r="P498" s="62" t="s">
        <v>40</v>
      </c>
      <c r="Q498" s="67">
        <f>uurtarief23</f>
        <v>0</v>
      </c>
      <c r="R498" s="64" t="e">
        <f t="shared" si="178"/>
        <v>#DIV/0!</v>
      </c>
      <c r="S498" s="64" t="e">
        <f t="shared" si="179"/>
        <v>#DIV/0!</v>
      </c>
      <c r="T498" s="67" t="e">
        <f t="shared" si="180"/>
        <v>#DIV/0!</v>
      </c>
      <c r="U498" s="64" t="e">
        <f t="shared" si="181"/>
        <v>#DIV/0!</v>
      </c>
      <c r="V498" s="69" t="e">
        <f t="shared" si="182"/>
        <v>#DIV/0!</v>
      </c>
    </row>
    <row r="499" spans="1:22" x14ac:dyDescent="0.3">
      <c r="A499" s="61" t="s">
        <v>316</v>
      </c>
      <c r="B499" s="62" t="s">
        <v>317</v>
      </c>
      <c r="C499" s="62" t="s">
        <v>841</v>
      </c>
      <c r="D499" s="62" t="s">
        <v>904</v>
      </c>
      <c r="E499" s="63" t="s">
        <v>356</v>
      </c>
      <c r="F499" s="62" t="s">
        <v>348</v>
      </c>
      <c r="G499" s="62" t="s">
        <v>226</v>
      </c>
      <c r="H499" s="62" t="s">
        <v>14</v>
      </c>
      <c r="I499" s="62" t="s">
        <v>210</v>
      </c>
      <c r="J499" s="63" t="s">
        <v>227</v>
      </c>
      <c r="K499" s="62" t="s">
        <v>317</v>
      </c>
      <c r="L499" s="64">
        <v>43.720000000000006</v>
      </c>
      <c r="M499" s="64">
        <f t="shared" si="177"/>
        <v>26.232000000000003</v>
      </c>
      <c r="N499" s="65">
        <f>prodnorm18</f>
        <v>0</v>
      </c>
      <c r="O499" s="66">
        <f>dagwerk18</f>
        <v>0</v>
      </c>
      <c r="P499" s="62" t="s">
        <v>40</v>
      </c>
      <c r="Q499" s="67">
        <f>uurtarief18</f>
        <v>0</v>
      </c>
      <c r="R499" s="64" t="e">
        <f t="shared" si="178"/>
        <v>#DIV/0!</v>
      </c>
      <c r="S499" s="64" t="e">
        <f t="shared" si="179"/>
        <v>#DIV/0!</v>
      </c>
      <c r="T499" s="67" t="e">
        <f t="shared" si="180"/>
        <v>#DIV/0!</v>
      </c>
      <c r="U499" s="64" t="e">
        <f t="shared" si="181"/>
        <v>#DIV/0!</v>
      </c>
      <c r="V499" s="69" t="e">
        <f t="shared" si="182"/>
        <v>#DIV/0!</v>
      </c>
    </row>
    <row r="500" spans="1:22" x14ac:dyDescent="0.3">
      <c r="A500" s="61" t="s">
        <v>316</v>
      </c>
      <c r="B500" s="62" t="s">
        <v>317</v>
      </c>
      <c r="C500" s="62" t="s">
        <v>841</v>
      </c>
      <c r="D500" s="62" t="s">
        <v>905</v>
      </c>
      <c r="E500" s="63" t="s">
        <v>374</v>
      </c>
      <c r="F500" s="62" t="s">
        <v>389</v>
      </c>
      <c r="G500" s="62" t="s">
        <v>323</v>
      </c>
      <c r="H500" s="62"/>
      <c r="I500" s="62"/>
      <c r="J500" s="62"/>
      <c r="K500" s="62" t="s">
        <v>317</v>
      </c>
      <c r="L500" s="64">
        <v>4.9000000000000004</v>
      </c>
      <c r="M500" s="64"/>
      <c r="N500" s="65"/>
      <c r="O500" s="66"/>
      <c r="P500" s="62"/>
      <c r="Q500" s="67"/>
      <c r="R500" s="64"/>
      <c r="S500" s="64"/>
      <c r="T500" s="67"/>
      <c r="U500" s="68"/>
      <c r="V500" s="69"/>
    </row>
    <row r="501" spans="1:22" x14ac:dyDescent="0.3">
      <c r="A501" s="61" t="s">
        <v>316</v>
      </c>
      <c r="B501" s="62" t="s">
        <v>317</v>
      </c>
      <c r="C501" s="62" t="s">
        <v>841</v>
      </c>
      <c r="D501" s="62" t="s">
        <v>906</v>
      </c>
      <c r="E501" s="63" t="s">
        <v>352</v>
      </c>
      <c r="F501" s="62" t="s">
        <v>353</v>
      </c>
      <c r="G501" s="62" t="s">
        <v>266</v>
      </c>
      <c r="H501" s="62" t="s">
        <v>11</v>
      </c>
      <c r="I501" s="62" t="s">
        <v>210</v>
      </c>
      <c r="J501" s="63" t="s">
        <v>267</v>
      </c>
      <c r="K501" s="62" t="s">
        <v>317</v>
      </c>
      <c r="L501" s="64">
        <v>12.1</v>
      </c>
      <c r="M501" s="64">
        <f t="shared" ref="M501:M509" si="183">L501*VLOOKUP(H501,dagsoorttabel1,2,FALSE)</f>
        <v>12.1</v>
      </c>
      <c r="N501" s="65">
        <f>prodnorm39</f>
        <v>0</v>
      </c>
      <c r="O501" s="66">
        <f>dagwerk39</f>
        <v>0</v>
      </c>
      <c r="P501" s="62" t="s">
        <v>40</v>
      </c>
      <c r="Q501" s="67">
        <f>uurtarief39</f>
        <v>0</v>
      </c>
      <c r="R501" s="64" t="e">
        <f t="shared" ref="R501:R509" si="184">IF(ISBLANK(N501),0,M501/ROUND(N501,4))</f>
        <v>#DIV/0!</v>
      </c>
      <c r="S501" s="64" t="e">
        <f t="shared" ref="S501:S509" si="185">IF(ISBLANK(N501),0,R501*ROUND(O501,2))</f>
        <v>#DIV/0!</v>
      </c>
      <c r="T501" s="67" t="e">
        <f t="shared" ref="T501:T509" si="186">ROUND(Q501,2)*R501</f>
        <v>#DIV/0!</v>
      </c>
      <c r="U501" s="64" t="e">
        <f t="shared" ref="U501:U509" si="187">R501*dagenperjaar1</f>
        <v>#DIV/0!</v>
      </c>
      <c r="V501" s="69" t="e">
        <f t="shared" ref="V501:V509" si="188">U501*ROUND(Q501,2)</f>
        <v>#DIV/0!</v>
      </c>
    </row>
    <row r="502" spans="1:22" x14ac:dyDescent="0.3">
      <c r="A502" s="61" t="s">
        <v>316</v>
      </c>
      <c r="B502" s="62" t="s">
        <v>317</v>
      </c>
      <c r="C502" s="62" t="s">
        <v>841</v>
      </c>
      <c r="D502" s="62" t="s">
        <v>907</v>
      </c>
      <c r="E502" s="63" t="s">
        <v>352</v>
      </c>
      <c r="F502" s="62" t="s">
        <v>353</v>
      </c>
      <c r="G502" s="62" t="s">
        <v>266</v>
      </c>
      <c r="H502" s="62" t="s">
        <v>11</v>
      </c>
      <c r="I502" s="62" t="s">
        <v>210</v>
      </c>
      <c r="J502" s="63" t="s">
        <v>267</v>
      </c>
      <c r="K502" s="62" t="s">
        <v>317</v>
      </c>
      <c r="L502" s="64">
        <v>11.4</v>
      </c>
      <c r="M502" s="64">
        <f t="shared" si="183"/>
        <v>11.4</v>
      </c>
      <c r="N502" s="65">
        <f>prodnorm39</f>
        <v>0</v>
      </c>
      <c r="O502" s="66">
        <f>dagwerk39</f>
        <v>0</v>
      </c>
      <c r="P502" s="62" t="s">
        <v>40</v>
      </c>
      <c r="Q502" s="67">
        <f>uurtarief39</f>
        <v>0</v>
      </c>
      <c r="R502" s="64" t="e">
        <f t="shared" si="184"/>
        <v>#DIV/0!</v>
      </c>
      <c r="S502" s="64" t="e">
        <f t="shared" si="185"/>
        <v>#DIV/0!</v>
      </c>
      <c r="T502" s="67" t="e">
        <f t="shared" si="186"/>
        <v>#DIV/0!</v>
      </c>
      <c r="U502" s="64" t="e">
        <f t="shared" si="187"/>
        <v>#DIV/0!</v>
      </c>
      <c r="V502" s="69" t="e">
        <f t="shared" si="188"/>
        <v>#DIV/0!</v>
      </c>
    </row>
    <row r="503" spans="1:22" x14ac:dyDescent="0.3">
      <c r="A503" s="61" t="s">
        <v>316</v>
      </c>
      <c r="B503" s="62" t="s">
        <v>317</v>
      </c>
      <c r="C503" s="62" t="s">
        <v>841</v>
      </c>
      <c r="D503" s="62" t="s">
        <v>908</v>
      </c>
      <c r="E503" s="63" t="s">
        <v>356</v>
      </c>
      <c r="F503" s="62" t="s">
        <v>348</v>
      </c>
      <c r="G503" s="62" t="s">
        <v>212</v>
      </c>
      <c r="H503" s="62" t="s">
        <v>17</v>
      </c>
      <c r="I503" s="62" t="s">
        <v>210</v>
      </c>
      <c r="J503" s="63" t="s">
        <v>213</v>
      </c>
      <c r="K503" s="62" t="s">
        <v>317</v>
      </c>
      <c r="L503" s="64">
        <v>11.07</v>
      </c>
      <c r="M503" s="64">
        <f t="shared" si="183"/>
        <v>2.214</v>
      </c>
      <c r="N503" s="65">
        <f>prodnorm11</f>
        <v>0</v>
      </c>
      <c r="O503" s="66">
        <f>dagwerk11</f>
        <v>0</v>
      </c>
      <c r="P503" s="62" t="s">
        <v>40</v>
      </c>
      <c r="Q503" s="67">
        <f>uurtarief11</f>
        <v>0</v>
      </c>
      <c r="R503" s="64" t="e">
        <f t="shared" si="184"/>
        <v>#DIV/0!</v>
      </c>
      <c r="S503" s="64" t="e">
        <f t="shared" si="185"/>
        <v>#DIV/0!</v>
      </c>
      <c r="T503" s="67" t="e">
        <f t="shared" si="186"/>
        <v>#DIV/0!</v>
      </c>
      <c r="U503" s="64" t="e">
        <f t="shared" si="187"/>
        <v>#DIV/0!</v>
      </c>
      <c r="V503" s="69" t="e">
        <f t="shared" si="188"/>
        <v>#DIV/0!</v>
      </c>
    </row>
    <row r="504" spans="1:22" x14ac:dyDescent="0.3">
      <c r="A504" s="61" t="s">
        <v>316</v>
      </c>
      <c r="B504" s="62" t="s">
        <v>317</v>
      </c>
      <c r="C504" s="62" t="s">
        <v>841</v>
      </c>
      <c r="D504" s="62" t="s">
        <v>909</v>
      </c>
      <c r="E504" s="63" t="s">
        <v>391</v>
      </c>
      <c r="F504" s="62" t="s">
        <v>348</v>
      </c>
      <c r="G504" s="62" t="s">
        <v>236</v>
      </c>
      <c r="H504" s="62" t="s">
        <v>14</v>
      </c>
      <c r="I504" s="62" t="s">
        <v>210</v>
      </c>
      <c r="J504" s="63" t="s">
        <v>237</v>
      </c>
      <c r="K504" s="62" t="s">
        <v>317</v>
      </c>
      <c r="L504" s="64">
        <v>47.730000000000004</v>
      </c>
      <c r="M504" s="64">
        <f t="shared" si="183"/>
        <v>28.638000000000002</v>
      </c>
      <c r="N504" s="65">
        <f t="shared" ref="N504:N509" si="189">prodnorm23</f>
        <v>0</v>
      </c>
      <c r="O504" s="66">
        <f t="shared" ref="O504:O509" si="190">dagwerk23</f>
        <v>0</v>
      </c>
      <c r="P504" s="62" t="s">
        <v>40</v>
      </c>
      <c r="Q504" s="67">
        <f t="shared" ref="Q504:Q509" si="191">uurtarief23</f>
        <v>0</v>
      </c>
      <c r="R504" s="64" t="e">
        <f t="shared" si="184"/>
        <v>#DIV/0!</v>
      </c>
      <c r="S504" s="64" t="e">
        <f t="shared" si="185"/>
        <v>#DIV/0!</v>
      </c>
      <c r="T504" s="67" t="e">
        <f t="shared" si="186"/>
        <v>#DIV/0!</v>
      </c>
      <c r="U504" s="64" t="e">
        <f t="shared" si="187"/>
        <v>#DIV/0!</v>
      </c>
      <c r="V504" s="69" t="e">
        <f t="shared" si="188"/>
        <v>#DIV/0!</v>
      </c>
    </row>
    <row r="505" spans="1:22" x14ac:dyDescent="0.3">
      <c r="A505" s="61" t="s">
        <v>316</v>
      </c>
      <c r="B505" s="62" t="s">
        <v>317</v>
      </c>
      <c r="C505" s="62" t="s">
        <v>841</v>
      </c>
      <c r="D505" s="62" t="s">
        <v>910</v>
      </c>
      <c r="E505" s="63" t="s">
        <v>391</v>
      </c>
      <c r="F505" s="62" t="s">
        <v>348</v>
      </c>
      <c r="G505" s="62" t="s">
        <v>236</v>
      </c>
      <c r="H505" s="62" t="s">
        <v>14</v>
      </c>
      <c r="I505" s="62" t="s">
        <v>210</v>
      </c>
      <c r="J505" s="63" t="s">
        <v>237</v>
      </c>
      <c r="K505" s="62" t="s">
        <v>317</v>
      </c>
      <c r="L505" s="64">
        <v>49.46</v>
      </c>
      <c r="M505" s="64">
        <f t="shared" si="183"/>
        <v>29.675999999999998</v>
      </c>
      <c r="N505" s="65">
        <f t="shared" si="189"/>
        <v>0</v>
      </c>
      <c r="O505" s="66">
        <f t="shared" si="190"/>
        <v>0</v>
      </c>
      <c r="P505" s="62" t="s">
        <v>40</v>
      </c>
      <c r="Q505" s="67">
        <f t="shared" si="191"/>
        <v>0</v>
      </c>
      <c r="R505" s="64" t="e">
        <f t="shared" si="184"/>
        <v>#DIV/0!</v>
      </c>
      <c r="S505" s="64" t="e">
        <f t="shared" si="185"/>
        <v>#DIV/0!</v>
      </c>
      <c r="T505" s="67" t="e">
        <f t="shared" si="186"/>
        <v>#DIV/0!</v>
      </c>
      <c r="U505" s="64" t="e">
        <f t="shared" si="187"/>
        <v>#DIV/0!</v>
      </c>
      <c r="V505" s="69" t="e">
        <f t="shared" si="188"/>
        <v>#DIV/0!</v>
      </c>
    </row>
    <row r="506" spans="1:22" x14ac:dyDescent="0.3">
      <c r="A506" s="61" t="s">
        <v>316</v>
      </c>
      <c r="B506" s="62" t="s">
        <v>317</v>
      </c>
      <c r="C506" s="62" t="s">
        <v>841</v>
      </c>
      <c r="D506" s="62" t="s">
        <v>911</v>
      </c>
      <c r="E506" s="63" t="s">
        <v>413</v>
      </c>
      <c r="F506" s="62" t="s">
        <v>348</v>
      </c>
      <c r="G506" s="62" t="s">
        <v>236</v>
      </c>
      <c r="H506" s="62" t="s">
        <v>14</v>
      </c>
      <c r="I506" s="62" t="s">
        <v>210</v>
      </c>
      <c r="J506" s="63" t="s">
        <v>237</v>
      </c>
      <c r="K506" s="62" t="s">
        <v>317</v>
      </c>
      <c r="L506" s="64">
        <v>48.449999999999996</v>
      </c>
      <c r="M506" s="64">
        <f t="shared" si="183"/>
        <v>29.069999999999997</v>
      </c>
      <c r="N506" s="65">
        <f t="shared" si="189"/>
        <v>0</v>
      </c>
      <c r="O506" s="66">
        <f t="shared" si="190"/>
        <v>0</v>
      </c>
      <c r="P506" s="62" t="s">
        <v>40</v>
      </c>
      <c r="Q506" s="67">
        <f t="shared" si="191"/>
        <v>0</v>
      </c>
      <c r="R506" s="64" t="e">
        <f t="shared" si="184"/>
        <v>#DIV/0!</v>
      </c>
      <c r="S506" s="64" t="e">
        <f t="shared" si="185"/>
        <v>#DIV/0!</v>
      </c>
      <c r="T506" s="67" t="e">
        <f t="shared" si="186"/>
        <v>#DIV/0!</v>
      </c>
      <c r="U506" s="64" t="e">
        <f t="shared" si="187"/>
        <v>#DIV/0!</v>
      </c>
      <c r="V506" s="69" t="e">
        <f t="shared" si="188"/>
        <v>#DIV/0!</v>
      </c>
    </row>
    <row r="507" spans="1:22" x14ac:dyDescent="0.3">
      <c r="A507" s="61" t="s">
        <v>316</v>
      </c>
      <c r="B507" s="62" t="s">
        <v>317</v>
      </c>
      <c r="C507" s="62" t="s">
        <v>841</v>
      </c>
      <c r="D507" s="62" t="s">
        <v>912</v>
      </c>
      <c r="E507" s="63" t="s">
        <v>391</v>
      </c>
      <c r="F507" s="62" t="s">
        <v>348</v>
      </c>
      <c r="G507" s="62" t="s">
        <v>236</v>
      </c>
      <c r="H507" s="62" t="s">
        <v>14</v>
      </c>
      <c r="I507" s="62" t="s">
        <v>210</v>
      </c>
      <c r="J507" s="63" t="s">
        <v>237</v>
      </c>
      <c r="K507" s="62" t="s">
        <v>317</v>
      </c>
      <c r="L507" s="64">
        <v>49.36</v>
      </c>
      <c r="M507" s="64">
        <f t="shared" si="183"/>
        <v>29.616</v>
      </c>
      <c r="N507" s="65">
        <f t="shared" si="189"/>
        <v>0</v>
      </c>
      <c r="O507" s="66">
        <f t="shared" si="190"/>
        <v>0</v>
      </c>
      <c r="P507" s="62" t="s">
        <v>40</v>
      </c>
      <c r="Q507" s="67">
        <f t="shared" si="191"/>
        <v>0</v>
      </c>
      <c r="R507" s="64" t="e">
        <f t="shared" si="184"/>
        <v>#DIV/0!</v>
      </c>
      <c r="S507" s="64" t="e">
        <f t="shared" si="185"/>
        <v>#DIV/0!</v>
      </c>
      <c r="T507" s="67" t="e">
        <f t="shared" si="186"/>
        <v>#DIV/0!</v>
      </c>
      <c r="U507" s="64" t="e">
        <f t="shared" si="187"/>
        <v>#DIV/0!</v>
      </c>
      <c r="V507" s="69" t="e">
        <f t="shared" si="188"/>
        <v>#DIV/0!</v>
      </c>
    </row>
    <row r="508" spans="1:22" x14ac:dyDescent="0.3">
      <c r="A508" s="61" t="s">
        <v>316</v>
      </c>
      <c r="B508" s="62" t="s">
        <v>317</v>
      </c>
      <c r="C508" s="62" t="s">
        <v>841</v>
      </c>
      <c r="D508" s="62" t="s">
        <v>913</v>
      </c>
      <c r="E508" s="63" t="s">
        <v>391</v>
      </c>
      <c r="F508" s="62" t="s">
        <v>348</v>
      </c>
      <c r="G508" s="62" t="s">
        <v>236</v>
      </c>
      <c r="H508" s="62" t="s">
        <v>14</v>
      </c>
      <c r="I508" s="62" t="s">
        <v>210</v>
      </c>
      <c r="J508" s="63" t="s">
        <v>237</v>
      </c>
      <c r="K508" s="62" t="s">
        <v>317</v>
      </c>
      <c r="L508" s="64">
        <v>49.839999999999996</v>
      </c>
      <c r="M508" s="64">
        <f t="shared" si="183"/>
        <v>29.903999999999996</v>
      </c>
      <c r="N508" s="65">
        <f t="shared" si="189"/>
        <v>0</v>
      </c>
      <c r="O508" s="66">
        <f t="shared" si="190"/>
        <v>0</v>
      </c>
      <c r="P508" s="62" t="s">
        <v>40</v>
      </c>
      <c r="Q508" s="67">
        <f t="shared" si="191"/>
        <v>0</v>
      </c>
      <c r="R508" s="64" t="e">
        <f t="shared" si="184"/>
        <v>#DIV/0!</v>
      </c>
      <c r="S508" s="64" t="e">
        <f t="shared" si="185"/>
        <v>#DIV/0!</v>
      </c>
      <c r="T508" s="67" t="e">
        <f t="shared" si="186"/>
        <v>#DIV/0!</v>
      </c>
      <c r="U508" s="64" t="e">
        <f t="shared" si="187"/>
        <v>#DIV/0!</v>
      </c>
      <c r="V508" s="69" t="e">
        <f t="shared" si="188"/>
        <v>#DIV/0!</v>
      </c>
    </row>
    <row r="509" spans="1:22" x14ac:dyDescent="0.3">
      <c r="A509" s="61" t="s">
        <v>316</v>
      </c>
      <c r="B509" s="62" t="s">
        <v>317</v>
      </c>
      <c r="C509" s="62" t="s">
        <v>841</v>
      </c>
      <c r="D509" s="62" t="s">
        <v>914</v>
      </c>
      <c r="E509" s="63" t="s">
        <v>391</v>
      </c>
      <c r="F509" s="62" t="s">
        <v>348</v>
      </c>
      <c r="G509" s="62" t="s">
        <v>236</v>
      </c>
      <c r="H509" s="62" t="s">
        <v>14</v>
      </c>
      <c r="I509" s="62" t="s">
        <v>210</v>
      </c>
      <c r="J509" s="63" t="s">
        <v>237</v>
      </c>
      <c r="K509" s="62" t="s">
        <v>317</v>
      </c>
      <c r="L509" s="64">
        <v>49.11</v>
      </c>
      <c r="M509" s="64">
        <f t="shared" si="183"/>
        <v>29.465999999999998</v>
      </c>
      <c r="N509" s="65">
        <f t="shared" si="189"/>
        <v>0</v>
      </c>
      <c r="O509" s="66">
        <f t="shared" si="190"/>
        <v>0</v>
      </c>
      <c r="P509" s="62" t="s">
        <v>40</v>
      </c>
      <c r="Q509" s="67">
        <f t="shared" si="191"/>
        <v>0</v>
      </c>
      <c r="R509" s="64" t="e">
        <f t="shared" si="184"/>
        <v>#DIV/0!</v>
      </c>
      <c r="S509" s="64" t="e">
        <f t="shared" si="185"/>
        <v>#DIV/0!</v>
      </c>
      <c r="T509" s="67" t="e">
        <f t="shared" si="186"/>
        <v>#DIV/0!</v>
      </c>
      <c r="U509" s="64" t="e">
        <f t="shared" si="187"/>
        <v>#DIV/0!</v>
      </c>
      <c r="V509" s="69" t="e">
        <f t="shared" si="188"/>
        <v>#DIV/0!</v>
      </c>
    </row>
    <row r="510" spans="1:22" x14ac:dyDescent="0.3">
      <c r="A510" s="61" t="s">
        <v>316</v>
      </c>
      <c r="B510" s="62" t="s">
        <v>317</v>
      </c>
      <c r="C510" s="62" t="s">
        <v>841</v>
      </c>
      <c r="D510" s="62" t="s">
        <v>915</v>
      </c>
      <c r="E510" s="63" t="s">
        <v>916</v>
      </c>
      <c r="F510" s="62" t="s">
        <v>389</v>
      </c>
      <c r="G510" s="62" t="s">
        <v>323</v>
      </c>
      <c r="H510" s="62"/>
      <c r="I510" s="62"/>
      <c r="J510" s="62"/>
      <c r="K510" s="62" t="s">
        <v>317</v>
      </c>
      <c r="L510" s="64">
        <v>1.55</v>
      </c>
      <c r="M510" s="64"/>
      <c r="N510" s="65"/>
      <c r="O510" s="66"/>
      <c r="P510" s="62"/>
      <c r="Q510" s="67"/>
      <c r="R510" s="64"/>
      <c r="S510" s="64"/>
      <c r="T510" s="67"/>
      <c r="U510" s="68"/>
      <c r="V510" s="69"/>
    </row>
    <row r="511" spans="1:22" x14ac:dyDescent="0.3">
      <c r="A511" s="61" t="s">
        <v>316</v>
      </c>
      <c r="B511" s="62" t="s">
        <v>317</v>
      </c>
      <c r="C511" s="62" t="s">
        <v>841</v>
      </c>
      <c r="D511" s="62" t="s">
        <v>917</v>
      </c>
      <c r="E511" s="63" t="s">
        <v>330</v>
      </c>
      <c r="F511" s="62" t="s">
        <v>389</v>
      </c>
      <c r="G511" s="62" t="s">
        <v>286</v>
      </c>
      <c r="H511" s="62" t="s">
        <v>11</v>
      </c>
      <c r="I511" s="62" t="s">
        <v>210</v>
      </c>
      <c r="J511" s="63" t="s">
        <v>287</v>
      </c>
      <c r="K511" s="62" t="s">
        <v>317</v>
      </c>
      <c r="L511" s="64">
        <v>39.290000000000006</v>
      </c>
      <c r="M511" s="64">
        <f>L511*VLOOKUP(H511,dagsoorttabel1,2,FALSE)</f>
        <v>39.290000000000006</v>
      </c>
      <c r="N511" s="65">
        <f>prodnorm49</f>
        <v>0</v>
      </c>
      <c r="O511" s="66">
        <f>dagwerk49</f>
        <v>0</v>
      </c>
      <c r="P511" s="62" t="s">
        <v>40</v>
      </c>
      <c r="Q511" s="67">
        <f>uurtarief49</f>
        <v>0</v>
      </c>
      <c r="R511" s="64" t="e">
        <f>IF(ISBLANK(N511),0,M511/ROUND(N511,4))</f>
        <v>#DIV/0!</v>
      </c>
      <c r="S511" s="64" t="e">
        <f>IF(ISBLANK(N511),0,R511*ROUND(O511,2))</f>
        <v>#DIV/0!</v>
      </c>
      <c r="T511" s="67" t="e">
        <f>ROUND(Q511,2)*R511</f>
        <v>#DIV/0!</v>
      </c>
      <c r="U511" s="64" t="e">
        <f>R511*dagenperjaar1</f>
        <v>#DIV/0!</v>
      </c>
      <c r="V511" s="69" t="e">
        <f>U511*ROUND(Q511,2)</f>
        <v>#DIV/0!</v>
      </c>
    </row>
    <row r="512" spans="1:22" x14ac:dyDescent="0.3">
      <c r="A512" s="61" t="s">
        <v>316</v>
      </c>
      <c r="B512" s="62" t="s">
        <v>317</v>
      </c>
      <c r="C512" s="62" t="s">
        <v>841</v>
      </c>
      <c r="D512" s="62" t="s">
        <v>918</v>
      </c>
      <c r="E512" s="63" t="s">
        <v>374</v>
      </c>
      <c r="F512" s="62" t="s">
        <v>389</v>
      </c>
      <c r="G512" s="62" t="s">
        <v>323</v>
      </c>
      <c r="H512" s="62"/>
      <c r="I512" s="62"/>
      <c r="J512" s="62"/>
      <c r="K512" s="62" t="s">
        <v>317</v>
      </c>
      <c r="L512" s="64">
        <v>0.87</v>
      </c>
      <c r="M512" s="64"/>
      <c r="N512" s="65"/>
      <c r="O512" s="66"/>
      <c r="P512" s="62"/>
      <c r="Q512" s="67"/>
      <c r="R512" s="64"/>
      <c r="S512" s="64"/>
      <c r="T512" s="67"/>
      <c r="U512" s="68"/>
      <c r="V512" s="69"/>
    </row>
    <row r="513" spans="1:22" x14ac:dyDescent="0.3">
      <c r="A513" s="61" t="s">
        <v>316</v>
      </c>
      <c r="B513" s="62" t="s">
        <v>317</v>
      </c>
      <c r="C513" s="62" t="s">
        <v>841</v>
      </c>
      <c r="D513" s="62" t="s">
        <v>919</v>
      </c>
      <c r="E513" s="63" t="s">
        <v>394</v>
      </c>
      <c r="F513" s="62" t="s">
        <v>389</v>
      </c>
      <c r="G513" s="62" t="s">
        <v>272</v>
      </c>
      <c r="H513" s="62" t="s">
        <v>11</v>
      </c>
      <c r="I513" s="62" t="s">
        <v>210</v>
      </c>
      <c r="J513" s="63" t="s">
        <v>273</v>
      </c>
      <c r="K513" s="62" t="s">
        <v>317</v>
      </c>
      <c r="L513" s="64">
        <v>137.01</v>
      </c>
      <c r="M513" s="64">
        <f>L513*VLOOKUP(H513,dagsoorttabel1,2,FALSE)</f>
        <v>137.01</v>
      </c>
      <c r="N513" s="65">
        <f>prodnorm42</f>
        <v>0</v>
      </c>
      <c r="O513" s="66">
        <f>dagwerk42</f>
        <v>0</v>
      </c>
      <c r="P513" s="62" t="s">
        <v>40</v>
      </c>
      <c r="Q513" s="67">
        <f>uurtarief42</f>
        <v>0</v>
      </c>
      <c r="R513" s="64" t="e">
        <f>IF(ISBLANK(N513),0,M513/ROUND(N513,4))</f>
        <v>#DIV/0!</v>
      </c>
      <c r="S513" s="64" t="e">
        <f>IF(ISBLANK(N513),0,R513*ROUND(O513,2))</f>
        <v>#DIV/0!</v>
      </c>
      <c r="T513" s="67" t="e">
        <f>ROUND(Q513,2)*R513</f>
        <v>#DIV/0!</v>
      </c>
      <c r="U513" s="64" t="e">
        <f>R513*dagenperjaar1</f>
        <v>#DIV/0!</v>
      </c>
      <c r="V513" s="69" t="e">
        <f>U513*ROUND(Q513,2)</f>
        <v>#DIV/0!</v>
      </c>
    </row>
    <row r="514" spans="1:22" x14ac:dyDescent="0.3">
      <c r="A514" s="61" t="s">
        <v>316</v>
      </c>
      <c r="B514" s="62" t="s">
        <v>317</v>
      </c>
      <c r="C514" s="62" t="s">
        <v>841</v>
      </c>
      <c r="D514" s="62" t="s">
        <v>920</v>
      </c>
      <c r="E514" s="63" t="s">
        <v>374</v>
      </c>
      <c r="F514" s="62" t="s">
        <v>322</v>
      </c>
      <c r="G514" s="62" t="s">
        <v>323</v>
      </c>
      <c r="H514" s="62"/>
      <c r="I514" s="62"/>
      <c r="J514" s="62"/>
      <c r="K514" s="62" t="s">
        <v>317</v>
      </c>
      <c r="L514" s="64">
        <v>1.37</v>
      </c>
      <c r="M514" s="64"/>
      <c r="N514" s="65"/>
      <c r="O514" s="66"/>
      <c r="P514" s="62"/>
      <c r="Q514" s="67"/>
      <c r="R514" s="64"/>
      <c r="S514" s="64"/>
      <c r="T514" s="67"/>
      <c r="U514" s="68"/>
      <c r="V514" s="69"/>
    </row>
    <row r="515" spans="1:22" x14ac:dyDescent="0.3">
      <c r="A515" s="61" t="s">
        <v>316</v>
      </c>
      <c r="B515" s="62" t="s">
        <v>317</v>
      </c>
      <c r="C515" s="62" t="s">
        <v>841</v>
      </c>
      <c r="D515" s="62" t="s">
        <v>921</v>
      </c>
      <c r="E515" s="63" t="s">
        <v>369</v>
      </c>
      <c r="F515" s="62" t="s">
        <v>432</v>
      </c>
      <c r="G515" s="62" t="s">
        <v>323</v>
      </c>
      <c r="H515" s="62"/>
      <c r="I515" s="62"/>
      <c r="J515" s="62"/>
      <c r="K515" s="62" t="s">
        <v>317</v>
      </c>
      <c r="L515" s="64">
        <v>3.06</v>
      </c>
      <c r="M515" s="64"/>
      <c r="N515" s="65"/>
      <c r="O515" s="66"/>
      <c r="P515" s="62"/>
      <c r="Q515" s="67"/>
      <c r="R515" s="64"/>
      <c r="S515" s="64"/>
      <c r="T515" s="67"/>
      <c r="U515" s="68"/>
      <c r="V515" s="69"/>
    </row>
    <row r="516" spans="1:22" x14ac:dyDescent="0.3">
      <c r="A516" s="61" t="s">
        <v>316</v>
      </c>
      <c r="B516" s="62" t="s">
        <v>317</v>
      </c>
      <c r="C516" s="62" t="s">
        <v>841</v>
      </c>
      <c r="D516" s="62" t="s">
        <v>922</v>
      </c>
      <c r="E516" s="63" t="s">
        <v>321</v>
      </c>
      <c r="F516" s="62" t="s">
        <v>389</v>
      </c>
      <c r="G516" s="62" t="s">
        <v>323</v>
      </c>
      <c r="H516" s="62"/>
      <c r="I516" s="62"/>
      <c r="J516" s="62"/>
      <c r="K516" s="62" t="s">
        <v>317</v>
      </c>
      <c r="L516" s="64">
        <v>9.06</v>
      </c>
      <c r="M516" s="64"/>
      <c r="N516" s="65"/>
      <c r="O516" s="66"/>
      <c r="P516" s="62"/>
      <c r="Q516" s="67"/>
      <c r="R516" s="64"/>
      <c r="S516" s="64"/>
      <c r="T516" s="67"/>
      <c r="U516" s="68"/>
      <c r="V516" s="69"/>
    </row>
    <row r="517" spans="1:22" x14ac:dyDescent="0.3">
      <c r="A517" s="61" t="s">
        <v>316</v>
      </c>
      <c r="B517" s="62" t="s">
        <v>317</v>
      </c>
      <c r="C517" s="62" t="s">
        <v>841</v>
      </c>
      <c r="D517" s="62" t="s">
        <v>923</v>
      </c>
      <c r="E517" s="63" t="s">
        <v>391</v>
      </c>
      <c r="F517" s="62" t="s">
        <v>348</v>
      </c>
      <c r="G517" s="62" t="s">
        <v>236</v>
      </c>
      <c r="H517" s="62" t="s">
        <v>14</v>
      </c>
      <c r="I517" s="62" t="s">
        <v>210</v>
      </c>
      <c r="J517" s="63" t="s">
        <v>237</v>
      </c>
      <c r="K517" s="62" t="s">
        <v>317</v>
      </c>
      <c r="L517" s="64">
        <v>48.33</v>
      </c>
      <c r="M517" s="64">
        <f>L517*VLOOKUP(H517,dagsoorttabel1,2,FALSE)</f>
        <v>28.997999999999998</v>
      </c>
      <c r="N517" s="65">
        <f>prodnorm23</f>
        <v>0</v>
      </c>
      <c r="O517" s="66">
        <f>dagwerk23</f>
        <v>0</v>
      </c>
      <c r="P517" s="62" t="s">
        <v>40</v>
      </c>
      <c r="Q517" s="67">
        <f>uurtarief23</f>
        <v>0</v>
      </c>
      <c r="R517" s="64" t="e">
        <f>IF(ISBLANK(N517),0,M517/ROUND(N517,4))</f>
        <v>#DIV/0!</v>
      </c>
      <c r="S517" s="64" t="e">
        <f>IF(ISBLANK(N517),0,R517*ROUND(O517,2))</f>
        <v>#DIV/0!</v>
      </c>
      <c r="T517" s="67" t="e">
        <f>ROUND(Q517,2)*R517</f>
        <v>#DIV/0!</v>
      </c>
      <c r="U517" s="64" t="e">
        <f>R517*dagenperjaar1</f>
        <v>#DIV/0!</v>
      </c>
      <c r="V517" s="69" t="e">
        <f>U517*ROUND(Q517,2)</f>
        <v>#DIV/0!</v>
      </c>
    </row>
    <row r="518" spans="1:22" x14ac:dyDescent="0.3">
      <c r="A518" s="61" t="s">
        <v>316</v>
      </c>
      <c r="B518" s="62" t="s">
        <v>317</v>
      </c>
      <c r="C518" s="62" t="s">
        <v>841</v>
      </c>
      <c r="D518" s="62" t="s">
        <v>924</v>
      </c>
      <c r="E518" s="63" t="s">
        <v>868</v>
      </c>
      <c r="F518" s="62" t="s">
        <v>348</v>
      </c>
      <c r="G518" s="62" t="s">
        <v>216</v>
      </c>
      <c r="H518" s="62" t="s">
        <v>14</v>
      </c>
      <c r="I518" s="62" t="s">
        <v>210</v>
      </c>
      <c r="J518" s="63" t="s">
        <v>217</v>
      </c>
      <c r="K518" s="62" t="s">
        <v>317</v>
      </c>
      <c r="L518" s="64">
        <v>13.47</v>
      </c>
      <c r="M518" s="64">
        <f>L518*VLOOKUP(H518,dagsoorttabel1,2,FALSE)</f>
        <v>8.0820000000000007</v>
      </c>
      <c r="N518" s="65">
        <f>prodnorm13</f>
        <v>0</v>
      </c>
      <c r="O518" s="66">
        <f>dagwerk13</f>
        <v>0</v>
      </c>
      <c r="P518" s="62" t="s">
        <v>40</v>
      </c>
      <c r="Q518" s="67">
        <f>uurtarief13</f>
        <v>0</v>
      </c>
      <c r="R518" s="64" t="e">
        <f>IF(ISBLANK(N518),0,M518/ROUND(N518,4))</f>
        <v>#DIV/0!</v>
      </c>
      <c r="S518" s="64" t="e">
        <f>IF(ISBLANK(N518),0,R518*ROUND(O518,2))</f>
        <v>#DIV/0!</v>
      </c>
      <c r="T518" s="67" t="e">
        <f>ROUND(Q518,2)*R518</f>
        <v>#DIV/0!</v>
      </c>
      <c r="U518" s="64" t="e">
        <f>R518*dagenperjaar1</f>
        <v>#DIV/0!</v>
      </c>
      <c r="V518" s="69" t="e">
        <f>U518*ROUND(Q518,2)</f>
        <v>#DIV/0!</v>
      </c>
    </row>
    <row r="519" spans="1:22" x14ac:dyDescent="0.3">
      <c r="A519" s="61" t="s">
        <v>316</v>
      </c>
      <c r="B519" s="62" t="s">
        <v>317</v>
      </c>
      <c r="C519" s="62" t="s">
        <v>841</v>
      </c>
      <c r="D519" s="62" t="s">
        <v>925</v>
      </c>
      <c r="E519" s="63" t="s">
        <v>531</v>
      </c>
      <c r="F519" s="62" t="s">
        <v>348</v>
      </c>
      <c r="G519" s="62" t="s">
        <v>236</v>
      </c>
      <c r="H519" s="62" t="s">
        <v>14</v>
      </c>
      <c r="I519" s="62" t="s">
        <v>210</v>
      </c>
      <c r="J519" s="63" t="s">
        <v>237</v>
      </c>
      <c r="K519" s="62" t="s">
        <v>317</v>
      </c>
      <c r="L519" s="64">
        <v>50.849999999999994</v>
      </c>
      <c r="M519" s="64">
        <f>L519*VLOOKUP(H519,dagsoorttabel1,2,FALSE)</f>
        <v>30.509999999999994</v>
      </c>
      <c r="N519" s="65">
        <f>prodnorm23</f>
        <v>0</v>
      </c>
      <c r="O519" s="66">
        <f>dagwerk23</f>
        <v>0</v>
      </c>
      <c r="P519" s="62" t="s">
        <v>40</v>
      </c>
      <c r="Q519" s="67">
        <f>uurtarief23</f>
        <v>0</v>
      </c>
      <c r="R519" s="64" t="e">
        <f>IF(ISBLANK(N519),0,M519/ROUND(N519,4))</f>
        <v>#DIV/0!</v>
      </c>
      <c r="S519" s="64" t="e">
        <f>IF(ISBLANK(N519),0,R519*ROUND(O519,2))</f>
        <v>#DIV/0!</v>
      </c>
      <c r="T519" s="67" t="e">
        <f>ROUND(Q519,2)*R519</f>
        <v>#DIV/0!</v>
      </c>
      <c r="U519" s="64" t="e">
        <f>R519*dagenperjaar1</f>
        <v>#DIV/0!</v>
      </c>
      <c r="V519" s="69" t="e">
        <f>U519*ROUND(Q519,2)</f>
        <v>#DIV/0!</v>
      </c>
    </row>
    <row r="520" spans="1:22" x14ac:dyDescent="0.3">
      <c r="A520" s="61" t="s">
        <v>316</v>
      </c>
      <c r="B520" s="62" t="s">
        <v>317</v>
      </c>
      <c r="C520" s="62" t="s">
        <v>841</v>
      </c>
      <c r="D520" s="62" t="s">
        <v>926</v>
      </c>
      <c r="E520" s="63" t="s">
        <v>531</v>
      </c>
      <c r="F520" s="62" t="s">
        <v>348</v>
      </c>
      <c r="G520" s="62" t="s">
        <v>236</v>
      </c>
      <c r="H520" s="62" t="s">
        <v>14</v>
      </c>
      <c r="I520" s="62" t="s">
        <v>210</v>
      </c>
      <c r="J520" s="63" t="s">
        <v>237</v>
      </c>
      <c r="K520" s="62" t="s">
        <v>317</v>
      </c>
      <c r="L520" s="64">
        <v>75.89</v>
      </c>
      <c r="M520" s="64">
        <f>L520*VLOOKUP(H520,dagsoorttabel1,2,FALSE)</f>
        <v>45.533999999999999</v>
      </c>
      <c r="N520" s="65">
        <f>prodnorm23</f>
        <v>0</v>
      </c>
      <c r="O520" s="66">
        <f>dagwerk23</f>
        <v>0</v>
      </c>
      <c r="P520" s="62" t="s">
        <v>40</v>
      </c>
      <c r="Q520" s="67">
        <f>uurtarief23</f>
        <v>0</v>
      </c>
      <c r="R520" s="64" t="e">
        <f>IF(ISBLANK(N520),0,M520/ROUND(N520,4))</f>
        <v>#DIV/0!</v>
      </c>
      <c r="S520" s="64" t="e">
        <f>IF(ISBLANK(N520),0,R520*ROUND(O520,2))</f>
        <v>#DIV/0!</v>
      </c>
      <c r="T520" s="67" t="e">
        <f>ROUND(Q520,2)*R520</f>
        <v>#DIV/0!</v>
      </c>
      <c r="U520" s="64" t="e">
        <f>R520*dagenperjaar1</f>
        <v>#DIV/0!</v>
      </c>
      <c r="V520" s="69" t="e">
        <f>U520*ROUND(Q520,2)</f>
        <v>#DIV/0!</v>
      </c>
    </row>
    <row r="521" spans="1:22" x14ac:dyDescent="0.3">
      <c r="A521" s="61" t="s">
        <v>316</v>
      </c>
      <c r="B521" s="62" t="s">
        <v>317</v>
      </c>
      <c r="C521" s="62" t="s">
        <v>841</v>
      </c>
      <c r="D521" s="62" t="s">
        <v>927</v>
      </c>
      <c r="E521" s="63" t="s">
        <v>553</v>
      </c>
      <c r="F521" s="62" t="s">
        <v>389</v>
      </c>
      <c r="G521" s="62" t="s">
        <v>323</v>
      </c>
      <c r="H521" s="62"/>
      <c r="I521" s="62"/>
      <c r="J521" s="62"/>
      <c r="K521" s="62" t="s">
        <v>317</v>
      </c>
      <c r="L521" s="64">
        <v>5.78</v>
      </c>
      <c r="M521" s="64"/>
      <c r="N521" s="65"/>
      <c r="O521" s="66"/>
      <c r="P521" s="62"/>
      <c r="Q521" s="67"/>
      <c r="R521" s="64"/>
      <c r="S521" s="64"/>
      <c r="T521" s="67"/>
      <c r="U521" s="68"/>
      <c r="V521" s="69"/>
    </row>
    <row r="522" spans="1:22" x14ac:dyDescent="0.3">
      <c r="A522" s="61" t="s">
        <v>316</v>
      </c>
      <c r="B522" s="62" t="s">
        <v>317</v>
      </c>
      <c r="C522" s="62" t="s">
        <v>841</v>
      </c>
      <c r="D522" s="62" t="s">
        <v>928</v>
      </c>
      <c r="E522" s="63" t="s">
        <v>536</v>
      </c>
      <c r="F522" s="62" t="s">
        <v>348</v>
      </c>
      <c r="G522" s="62" t="s">
        <v>216</v>
      </c>
      <c r="H522" s="62" t="s">
        <v>14</v>
      </c>
      <c r="I522" s="62" t="s">
        <v>210</v>
      </c>
      <c r="J522" s="63" t="s">
        <v>217</v>
      </c>
      <c r="K522" s="62" t="s">
        <v>317</v>
      </c>
      <c r="L522" s="64">
        <v>29.759999999999998</v>
      </c>
      <c r="M522" s="64">
        <f t="shared" ref="M522:M527" si="192">L522*VLOOKUP(H522,dagsoorttabel1,2,FALSE)</f>
        <v>17.855999999999998</v>
      </c>
      <c r="N522" s="65">
        <f>prodnorm13</f>
        <v>0</v>
      </c>
      <c r="O522" s="66">
        <f>dagwerk13</f>
        <v>0</v>
      </c>
      <c r="P522" s="62" t="s">
        <v>40</v>
      </c>
      <c r="Q522" s="67">
        <f>uurtarief13</f>
        <v>0</v>
      </c>
      <c r="R522" s="64" t="e">
        <f t="shared" ref="R522:R527" si="193">IF(ISBLANK(N522),0,M522/ROUND(N522,4))</f>
        <v>#DIV/0!</v>
      </c>
      <c r="S522" s="64" t="e">
        <f t="shared" ref="S522:S527" si="194">IF(ISBLANK(N522),0,R522*ROUND(O522,2))</f>
        <v>#DIV/0!</v>
      </c>
      <c r="T522" s="67" t="e">
        <f t="shared" ref="T522:T527" si="195">ROUND(Q522,2)*R522</f>
        <v>#DIV/0!</v>
      </c>
      <c r="U522" s="64" t="e">
        <f t="shared" ref="U522:U527" si="196">R522*dagenperjaar1</f>
        <v>#DIV/0!</v>
      </c>
      <c r="V522" s="69" t="e">
        <f t="shared" ref="V522:V527" si="197">U522*ROUND(Q522,2)</f>
        <v>#DIV/0!</v>
      </c>
    </row>
    <row r="523" spans="1:22" x14ac:dyDescent="0.3">
      <c r="A523" s="61" t="s">
        <v>316</v>
      </c>
      <c r="B523" s="62" t="s">
        <v>317</v>
      </c>
      <c r="C523" s="62" t="s">
        <v>841</v>
      </c>
      <c r="D523" s="62" t="s">
        <v>929</v>
      </c>
      <c r="E523" s="63" t="s">
        <v>930</v>
      </c>
      <c r="F523" s="62" t="s">
        <v>389</v>
      </c>
      <c r="G523" s="62" t="s">
        <v>238</v>
      </c>
      <c r="H523" s="62" t="s">
        <v>11</v>
      </c>
      <c r="I523" s="62" t="s">
        <v>210</v>
      </c>
      <c r="J523" s="63" t="s">
        <v>239</v>
      </c>
      <c r="K523" s="62" t="s">
        <v>317</v>
      </c>
      <c r="L523" s="64">
        <v>65.61</v>
      </c>
      <c r="M523" s="64">
        <f t="shared" si="192"/>
        <v>65.61</v>
      </c>
      <c r="N523" s="65">
        <f>prodnorm24</f>
        <v>0</v>
      </c>
      <c r="O523" s="66">
        <f>dagwerk24</f>
        <v>0</v>
      </c>
      <c r="P523" s="62" t="s">
        <v>40</v>
      </c>
      <c r="Q523" s="67">
        <f>uurtarief24</f>
        <v>0</v>
      </c>
      <c r="R523" s="64" t="e">
        <f t="shared" si="193"/>
        <v>#DIV/0!</v>
      </c>
      <c r="S523" s="64" t="e">
        <f t="shared" si="194"/>
        <v>#DIV/0!</v>
      </c>
      <c r="T523" s="67" t="e">
        <f t="shared" si="195"/>
        <v>#DIV/0!</v>
      </c>
      <c r="U523" s="64" t="e">
        <f t="shared" si="196"/>
        <v>#DIV/0!</v>
      </c>
      <c r="V523" s="69" t="e">
        <f t="shared" si="197"/>
        <v>#DIV/0!</v>
      </c>
    </row>
    <row r="524" spans="1:22" x14ac:dyDescent="0.3">
      <c r="A524" s="61" t="s">
        <v>316</v>
      </c>
      <c r="B524" s="62" t="s">
        <v>317</v>
      </c>
      <c r="C524" s="62" t="s">
        <v>841</v>
      </c>
      <c r="D524" s="62" t="s">
        <v>931</v>
      </c>
      <c r="E524" s="63" t="s">
        <v>400</v>
      </c>
      <c r="F524" s="62" t="s">
        <v>348</v>
      </c>
      <c r="G524" s="62" t="s">
        <v>216</v>
      </c>
      <c r="H524" s="62" t="s">
        <v>14</v>
      </c>
      <c r="I524" s="62" t="s">
        <v>210</v>
      </c>
      <c r="J524" s="63" t="s">
        <v>217</v>
      </c>
      <c r="K524" s="62" t="s">
        <v>317</v>
      </c>
      <c r="L524" s="64">
        <v>12</v>
      </c>
      <c r="M524" s="64">
        <f t="shared" si="192"/>
        <v>7.1999999999999993</v>
      </c>
      <c r="N524" s="65">
        <f>prodnorm13</f>
        <v>0</v>
      </c>
      <c r="O524" s="66">
        <f>dagwerk13</f>
        <v>0</v>
      </c>
      <c r="P524" s="62" t="s">
        <v>40</v>
      </c>
      <c r="Q524" s="67">
        <f>uurtarief13</f>
        <v>0</v>
      </c>
      <c r="R524" s="64" t="e">
        <f t="shared" si="193"/>
        <v>#DIV/0!</v>
      </c>
      <c r="S524" s="64" t="e">
        <f t="shared" si="194"/>
        <v>#DIV/0!</v>
      </c>
      <c r="T524" s="67" t="e">
        <f t="shared" si="195"/>
        <v>#DIV/0!</v>
      </c>
      <c r="U524" s="64" t="e">
        <f t="shared" si="196"/>
        <v>#DIV/0!</v>
      </c>
      <c r="V524" s="69" t="e">
        <f t="shared" si="197"/>
        <v>#DIV/0!</v>
      </c>
    </row>
    <row r="525" spans="1:22" x14ac:dyDescent="0.3">
      <c r="A525" s="61" t="s">
        <v>316</v>
      </c>
      <c r="B525" s="62" t="s">
        <v>317</v>
      </c>
      <c r="C525" s="62" t="s">
        <v>841</v>
      </c>
      <c r="D525" s="62" t="s">
        <v>932</v>
      </c>
      <c r="E525" s="63" t="s">
        <v>400</v>
      </c>
      <c r="F525" s="62" t="s">
        <v>348</v>
      </c>
      <c r="G525" s="62" t="s">
        <v>216</v>
      </c>
      <c r="H525" s="62" t="s">
        <v>14</v>
      </c>
      <c r="I525" s="62" t="s">
        <v>210</v>
      </c>
      <c r="J525" s="63" t="s">
        <v>217</v>
      </c>
      <c r="K525" s="62" t="s">
        <v>317</v>
      </c>
      <c r="L525" s="64">
        <v>12.44</v>
      </c>
      <c r="M525" s="64">
        <f t="shared" si="192"/>
        <v>7.4639999999999995</v>
      </c>
      <c r="N525" s="65">
        <f>prodnorm13</f>
        <v>0</v>
      </c>
      <c r="O525" s="66">
        <f>dagwerk13</f>
        <v>0</v>
      </c>
      <c r="P525" s="62" t="s">
        <v>40</v>
      </c>
      <c r="Q525" s="67">
        <f>uurtarief13</f>
        <v>0</v>
      </c>
      <c r="R525" s="64" t="e">
        <f t="shared" si="193"/>
        <v>#DIV/0!</v>
      </c>
      <c r="S525" s="64" t="e">
        <f t="shared" si="194"/>
        <v>#DIV/0!</v>
      </c>
      <c r="T525" s="67" t="e">
        <f t="shared" si="195"/>
        <v>#DIV/0!</v>
      </c>
      <c r="U525" s="64" t="e">
        <f t="shared" si="196"/>
        <v>#DIV/0!</v>
      </c>
      <c r="V525" s="69" t="e">
        <f t="shared" si="197"/>
        <v>#DIV/0!</v>
      </c>
    </row>
    <row r="526" spans="1:22" x14ac:dyDescent="0.3">
      <c r="A526" s="61" t="s">
        <v>316</v>
      </c>
      <c r="B526" s="62" t="s">
        <v>317</v>
      </c>
      <c r="C526" s="62" t="s">
        <v>841</v>
      </c>
      <c r="D526" s="62" t="s">
        <v>933</v>
      </c>
      <c r="E526" s="63" t="s">
        <v>400</v>
      </c>
      <c r="F526" s="62" t="s">
        <v>348</v>
      </c>
      <c r="G526" s="62" t="s">
        <v>216</v>
      </c>
      <c r="H526" s="62" t="s">
        <v>14</v>
      </c>
      <c r="I526" s="62" t="s">
        <v>210</v>
      </c>
      <c r="J526" s="63" t="s">
        <v>217</v>
      </c>
      <c r="K526" s="62" t="s">
        <v>317</v>
      </c>
      <c r="L526" s="64">
        <v>9.91</v>
      </c>
      <c r="M526" s="64">
        <f t="shared" si="192"/>
        <v>5.9459999999999997</v>
      </c>
      <c r="N526" s="65">
        <f>prodnorm13</f>
        <v>0</v>
      </c>
      <c r="O526" s="66">
        <f>dagwerk13</f>
        <v>0</v>
      </c>
      <c r="P526" s="62" t="s">
        <v>40</v>
      </c>
      <c r="Q526" s="67">
        <f>uurtarief13</f>
        <v>0</v>
      </c>
      <c r="R526" s="64" t="e">
        <f t="shared" si="193"/>
        <v>#DIV/0!</v>
      </c>
      <c r="S526" s="64" t="e">
        <f t="shared" si="194"/>
        <v>#DIV/0!</v>
      </c>
      <c r="T526" s="67" t="e">
        <f t="shared" si="195"/>
        <v>#DIV/0!</v>
      </c>
      <c r="U526" s="64" t="e">
        <f t="shared" si="196"/>
        <v>#DIV/0!</v>
      </c>
      <c r="V526" s="69" t="e">
        <f t="shared" si="197"/>
        <v>#DIV/0!</v>
      </c>
    </row>
    <row r="527" spans="1:22" x14ac:dyDescent="0.3">
      <c r="A527" s="61" t="s">
        <v>316</v>
      </c>
      <c r="B527" s="62" t="s">
        <v>317</v>
      </c>
      <c r="C527" s="62" t="s">
        <v>841</v>
      </c>
      <c r="D527" s="62" t="s">
        <v>934</v>
      </c>
      <c r="E527" s="63" t="s">
        <v>391</v>
      </c>
      <c r="F527" s="62" t="s">
        <v>348</v>
      </c>
      <c r="G527" s="62" t="s">
        <v>236</v>
      </c>
      <c r="H527" s="62" t="s">
        <v>14</v>
      </c>
      <c r="I527" s="62" t="s">
        <v>210</v>
      </c>
      <c r="J527" s="63" t="s">
        <v>237</v>
      </c>
      <c r="K527" s="62" t="s">
        <v>317</v>
      </c>
      <c r="L527" s="64">
        <v>99.11</v>
      </c>
      <c r="M527" s="64">
        <f t="shared" si="192"/>
        <v>59.465999999999994</v>
      </c>
      <c r="N527" s="65">
        <f>prodnorm23</f>
        <v>0</v>
      </c>
      <c r="O527" s="66">
        <f>dagwerk23</f>
        <v>0</v>
      </c>
      <c r="P527" s="62" t="s">
        <v>40</v>
      </c>
      <c r="Q527" s="67">
        <f>uurtarief23</f>
        <v>0</v>
      </c>
      <c r="R527" s="64" t="e">
        <f t="shared" si="193"/>
        <v>#DIV/0!</v>
      </c>
      <c r="S527" s="64" t="e">
        <f t="shared" si="194"/>
        <v>#DIV/0!</v>
      </c>
      <c r="T527" s="67" t="e">
        <f t="shared" si="195"/>
        <v>#DIV/0!</v>
      </c>
      <c r="U527" s="64" t="e">
        <f t="shared" si="196"/>
        <v>#DIV/0!</v>
      </c>
      <c r="V527" s="69" t="e">
        <f t="shared" si="197"/>
        <v>#DIV/0!</v>
      </c>
    </row>
    <row r="528" spans="1:22" x14ac:dyDescent="0.3">
      <c r="A528" s="61" t="s">
        <v>316</v>
      </c>
      <c r="B528" s="62" t="s">
        <v>317</v>
      </c>
      <c r="C528" s="62" t="s">
        <v>841</v>
      </c>
      <c r="D528" s="62" t="s">
        <v>935</v>
      </c>
      <c r="E528" s="63" t="s">
        <v>321</v>
      </c>
      <c r="F528" s="62" t="s">
        <v>389</v>
      </c>
      <c r="G528" s="62" t="s">
        <v>323</v>
      </c>
      <c r="H528" s="62"/>
      <c r="I528" s="62"/>
      <c r="J528" s="62"/>
      <c r="K528" s="62" t="s">
        <v>317</v>
      </c>
      <c r="L528" s="64">
        <v>4.3899999999999997</v>
      </c>
      <c r="M528" s="64"/>
      <c r="N528" s="65"/>
      <c r="O528" s="66"/>
      <c r="P528" s="62"/>
      <c r="Q528" s="67"/>
      <c r="R528" s="64"/>
      <c r="S528" s="64"/>
      <c r="T528" s="67"/>
      <c r="U528" s="68"/>
      <c r="V528" s="69"/>
    </row>
    <row r="529" spans="1:22" x14ac:dyDescent="0.3">
      <c r="A529" s="61" t="s">
        <v>316</v>
      </c>
      <c r="B529" s="62" t="s">
        <v>317</v>
      </c>
      <c r="C529" s="62" t="s">
        <v>841</v>
      </c>
      <c r="D529" s="62" t="s">
        <v>936</v>
      </c>
      <c r="E529" s="63" t="s">
        <v>391</v>
      </c>
      <c r="F529" s="62" t="s">
        <v>389</v>
      </c>
      <c r="G529" s="62" t="s">
        <v>234</v>
      </c>
      <c r="H529" s="62" t="s">
        <v>14</v>
      </c>
      <c r="I529" s="62" t="s">
        <v>210</v>
      </c>
      <c r="J529" s="63" t="s">
        <v>235</v>
      </c>
      <c r="K529" s="62" t="s">
        <v>317</v>
      </c>
      <c r="L529" s="64">
        <v>51.37</v>
      </c>
      <c r="M529" s="64">
        <f>L529*VLOOKUP(H529,dagsoorttabel1,2,FALSE)</f>
        <v>30.821999999999996</v>
      </c>
      <c r="N529" s="65">
        <f>prodnorm22</f>
        <v>0</v>
      </c>
      <c r="O529" s="66">
        <f>dagwerk22</f>
        <v>0</v>
      </c>
      <c r="P529" s="62" t="s">
        <v>40</v>
      </c>
      <c r="Q529" s="67">
        <f>uurtarief22</f>
        <v>0</v>
      </c>
      <c r="R529" s="64" t="e">
        <f>IF(ISBLANK(N529),0,M529/ROUND(N529,4))</f>
        <v>#DIV/0!</v>
      </c>
      <c r="S529" s="64" t="e">
        <f>IF(ISBLANK(N529),0,R529*ROUND(O529,2))</f>
        <v>#DIV/0!</v>
      </c>
      <c r="T529" s="67" t="e">
        <f>ROUND(Q529,2)*R529</f>
        <v>#DIV/0!</v>
      </c>
      <c r="U529" s="64" t="e">
        <f>R529*dagenperjaar1</f>
        <v>#DIV/0!</v>
      </c>
      <c r="V529" s="69" t="e">
        <f>U529*ROUND(Q529,2)</f>
        <v>#DIV/0!</v>
      </c>
    </row>
    <row r="530" spans="1:22" x14ac:dyDescent="0.3">
      <c r="A530" s="61" t="s">
        <v>316</v>
      </c>
      <c r="B530" s="62" t="s">
        <v>317</v>
      </c>
      <c r="C530" s="62" t="s">
        <v>841</v>
      </c>
      <c r="D530" s="62" t="s">
        <v>937</v>
      </c>
      <c r="E530" s="63" t="s">
        <v>531</v>
      </c>
      <c r="F530" s="62" t="s">
        <v>348</v>
      </c>
      <c r="G530" s="62" t="s">
        <v>236</v>
      </c>
      <c r="H530" s="62" t="s">
        <v>14</v>
      </c>
      <c r="I530" s="62" t="s">
        <v>210</v>
      </c>
      <c r="J530" s="63" t="s">
        <v>237</v>
      </c>
      <c r="K530" s="62" t="s">
        <v>317</v>
      </c>
      <c r="L530" s="64">
        <v>48.879999999999995</v>
      </c>
      <c r="M530" s="64">
        <f>L530*VLOOKUP(H530,dagsoorttabel1,2,FALSE)</f>
        <v>29.327999999999996</v>
      </c>
      <c r="N530" s="65">
        <f>prodnorm23</f>
        <v>0</v>
      </c>
      <c r="O530" s="66">
        <f>dagwerk23</f>
        <v>0</v>
      </c>
      <c r="P530" s="62" t="s">
        <v>40</v>
      </c>
      <c r="Q530" s="67">
        <f>uurtarief23</f>
        <v>0</v>
      </c>
      <c r="R530" s="64" t="e">
        <f>IF(ISBLANK(N530),0,M530/ROUND(N530,4))</f>
        <v>#DIV/0!</v>
      </c>
      <c r="S530" s="64" t="e">
        <f>IF(ISBLANK(N530),0,R530*ROUND(O530,2))</f>
        <v>#DIV/0!</v>
      </c>
      <c r="T530" s="67" t="e">
        <f>ROUND(Q530,2)*R530</f>
        <v>#DIV/0!</v>
      </c>
      <c r="U530" s="64" t="e">
        <f>R530*dagenperjaar1</f>
        <v>#DIV/0!</v>
      </c>
      <c r="V530" s="69" t="e">
        <f>U530*ROUND(Q530,2)</f>
        <v>#DIV/0!</v>
      </c>
    </row>
    <row r="531" spans="1:22" x14ac:dyDescent="0.3">
      <c r="A531" s="61" t="s">
        <v>316</v>
      </c>
      <c r="B531" s="62" t="s">
        <v>317</v>
      </c>
      <c r="C531" s="62" t="s">
        <v>841</v>
      </c>
      <c r="D531" s="62" t="s">
        <v>938</v>
      </c>
      <c r="E531" s="63" t="s">
        <v>531</v>
      </c>
      <c r="F531" s="62" t="s">
        <v>348</v>
      </c>
      <c r="G531" s="62" t="s">
        <v>236</v>
      </c>
      <c r="H531" s="62" t="s">
        <v>14</v>
      </c>
      <c r="I531" s="62" t="s">
        <v>210</v>
      </c>
      <c r="J531" s="63" t="s">
        <v>237</v>
      </c>
      <c r="K531" s="62" t="s">
        <v>317</v>
      </c>
      <c r="L531" s="64">
        <v>50.9</v>
      </c>
      <c r="M531" s="64">
        <f>L531*VLOOKUP(H531,dagsoorttabel1,2,FALSE)</f>
        <v>30.54</v>
      </c>
      <c r="N531" s="65">
        <f>prodnorm23</f>
        <v>0</v>
      </c>
      <c r="O531" s="66">
        <f>dagwerk23</f>
        <v>0</v>
      </c>
      <c r="P531" s="62" t="s">
        <v>40</v>
      </c>
      <c r="Q531" s="67">
        <f>uurtarief23</f>
        <v>0</v>
      </c>
      <c r="R531" s="64" t="e">
        <f>IF(ISBLANK(N531),0,M531/ROUND(N531,4))</f>
        <v>#DIV/0!</v>
      </c>
      <c r="S531" s="64" t="e">
        <f>IF(ISBLANK(N531),0,R531*ROUND(O531,2))</f>
        <v>#DIV/0!</v>
      </c>
      <c r="T531" s="67" t="e">
        <f>ROUND(Q531,2)*R531</f>
        <v>#DIV/0!</v>
      </c>
      <c r="U531" s="64" t="e">
        <f>R531*dagenperjaar1</f>
        <v>#DIV/0!</v>
      </c>
      <c r="V531" s="69" t="e">
        <f>U531*ROUND(Q531,2)</f>
        <v>#DIV/0!</v>
      </c>
    </row>
    <row r="532" spans="1:22" x14ac:dyDescent="0.3">
      <c r="A532" s="61" t="s">
        <v>316</v>
      </c>
      <c r="B532" s="62" t="s">
        <v>317</v>
      </c>
      <c r="C532" s="62" t="s">
        <v>841</v>
      </c>
      <c r="D532" s="62" t="s">
        <v>939</v>
      </c>
      <c r="E532" s="63" t="s">
        <v>321</v>
      </c>
      <c r="F532" s="62" t="s">
        <v>389</v>
      </c>
      <c r="G532" s="62" t="s">
        <v>323</v>
      </c>
      <c r="H532" s="62"/>
      <c r="I532" s="62"/>
      <c r="J532" s="62"/>
      <c r="K532" s="62" t="s">
        <v>317</v>
      </c>
      <c r="L532" s="64">
        <v>7.45</v>
      </c>
      <c r="M532" s="64"/>
      <c r="N532" s="65"/>
      <c r="O532" s="66"/>
      <c r="P532" s="62"/>
      <c r="Q532" s="67"/>
      <c r="R532" s="64"/>
      <c r="S532" s="64"/>
      <c r="T532" s="67"/>
      <c r="U532" s="68"/>
      <c r="V532" s="69"/>
    </row>
    <row r="533" spans="1:22" x14ac:dyDescent="0.3">
      <c r="A533" s="61" t="s">
        <v>316</v>
      </c>
      <c r="B533" s="62" t="s">
        <v>317</v>
      </c>
      <c r="C533" s="62" t="s">
        <v>841</v>
      </c>
      <c r="D533" s="62" t="s">
        <v>940</v>
      </c>
      <c r="E533" s="63" t="s">
        <v>352</v>
      </c>
      <c r="F533" s="62" t="s">
        <v>353</v>
      </c>
      <c r="G533" s="62" t="s">
        <v>266</v>
      </c>
      <c r="H533" s="62" t="s">
        <v>11</v>
      </c>
      <c r="I533" s="62" t="s">
        <v>210</v>
      </c>
      <c r="J533" s="63" t="s">
        <v>267</v>
      </c>
      <c r="K533" s="62" t="s">
        <v>317</v>
      </c>
      <c r="L533" s="64">
        <v>8.32</v>
      </c>
      <c r="M533" s="64">
        <f>L533*VLOOKUP(H533,dagsoorttabel1,2,FALSE)</f>
        <v>8.32</v>
      </c>
      <c r="N533" s="65">
        <f>prodnorm39</f>
        <v>0</v>
      </c>
      <c r="O533" s="66">
        <f>dagwerk39</f>
        <v>0</v>
      </c>
      <c r="P533" s="62" t="s">
        <v>40</v>
      </c>
      <c r="Q533" s="67">
        <f>uurtarief39</f>
        <v>0</v>
      </c>
      <c r="R533" s="64" t="e">
        <f>IF(ISBLANK(N533),0,M533/ROUND(N533,4))</f>
        <v>#DIV/0!</v>
      </c>
      <c r="S533" s="64" t="e">
        <f>IF(ISBLANK(N533),0,R533*ROUND(O533,2))</f>
        <v>#DIV/0!</v>
      </c>
      <c r="T533" s="67" t="e">
        <f>ROUND(Q533,2)*R533</f>
        <v>#DIV/0!</v>
      </c>
      <c r="U533" s="64" t="e">
        <f>R533*dagenperjaar1</f>
        <v>#DIV/0!</v>
      </c>
      <c r="V533" s="69" t="e">
        <f>U533*ROUND(Q533,2)</f>
        <v>#DIV/0!</v>
      </c>
    </row>
    <row r="534" spans="1:22" x14ac:dyDescent="0.3">
      <c r="A534" s="61" t="s">
        <v>316</v>
      </c>
      <c r="B534" s="62" t="s">
        <v>317</v>
      </c>
      <c r="C534" s="62" t="s">
        <v>841</v>
      </c>
      <c r="D534" s="62" t="s">
        <v>941</v>
      </c>
      <c r="E534" s="63" t="s">
        <v>352</v>
      </c>
      <c r="F534" s="62" t="s">
        <v>353</v>
      </c>
      <c r="G534" s="62" t="s">
        <v>266</v>
      </c>
      <c r="H534" s="62" t="s">
        <v>11</v>
      </c>
      <c r="I534" s="62" t="s">
        <v>210</v>
      </c>
      <c r="J534" s="63" t="s">
        <v>267</v>
      </c>
      <c r="K534" s="62" t="s">
        <v>317</v>
      </c>
      <c r="L534" s="64">
        <v>20.93</v>
      </c>
      <c r="M534" s="64">
        <f>L534*VLOOKUP(H534,dagsoorttabel1,2,FALSE)</f>
        <v>20.93</v>
      </c>
      <c r="N534" s="65">
        <f>prodnorm39</f>
        <v>0</v>
      </c>
      <c r="O534" s="66">
        <f>dagwerk39</f>
        <v>0</v>
      </c>
      <c r="P534" s="62" t="s">
        <v>40</v>
      </c>
      <c r="Q534" s="67">
        <f>uurtarief39</f>
        <v>0</v>
      </c>
      <c r="R534" s="64" t="e">
        <f>IF(ISBLANK(N534),0,M534/ROUND(N534,4))</f>
        <v>#DIV/0!</v>
      </c>
      <c r="S534" s="64" t="e">
        <f>IF(ISBLANK(N534),0,R534*ROUND(O534,2))</f>
        <v>#DIV/0!</v>
      </c>
      <c r="T534" s="67" t="e">
        <f>ROUND(Q534,2)*R534</f>
        <v>#DIV/0!</v>
      </c>
      <c r="U534" s="64" t="e">
        <f>R534*dagenperjaar1</f>
        <v>#DIV/0!</v>
      </c>
      <c r="V534" s="69" t="e">
        <f>U534*ROUND(Q534,2)</f>
        <v>#DIV/0!</v>
      </c>
    </row>
    <row r="535" spans="1:22" x14ac:dyDescent="0.3">
      <c r="A535" s="61" t="s">
        <v>316</v>
      </c>
      <c r="B535" s="62" t="s">
        <v>317</v>
      </c>
      <c r="C535" s="62" t="s">
        <v>841</v>
      </c>
      <c r="D535" s="62" t="s">
        <v>942</v>
      </c>
      <c r="E535" s="63" t="s">
        <v>321</v>
      </c>
      <c r="F535" s="62" t="s">
        <v>365</v>
      </c>
      <c r="G535" s="62" t="s">
        <v>323</v>
      </c>
      <c r="H535" s="62"/>
      <c r="I535" s="62"/>
      <c r="J535" s="62"/>
      <c r="K535" s="62" t="s">
        <v>317</v>
      </c>
      <c r="L535" s="64">
        <v>2.4099999999999997</v>
      </c>
      <c r="M535" s="64"/>
      <c r="N535" s="65"/>
      <c r="O535" s="66"/>
      <c r="P535" s="62"/>
      <c r="Q535" s="67"/>
      <c r="R535" s="64"/>
      <c r="S535" s="64"/>
      <c r="T535" s="67"/>
      <c r="U535" s="68"/>
      <c r="V535" s="69"/>
    </row>
    <row r="536" spans="1:22" x14ac:dyDescent="0.3">
      <c r="A536" s="61" t="s">
        <v>316</v>
      </c>
      <c r="B536" s="62" t="s">
        <v>317</v>
      </c>
      <c r="C536" s="62" t="s">
        <v>841</v>
      </c>
      <c r="D536" s="62" t="s">
        <v>943</v>
      </c>
      <c r="E536" s="63" t="s">
        <v>330</v>
      </c>
      <c r="F536" s="62" t="s">
        <v>365</v>
      </c>
      <c r="G536" s="62" t="s">
        <v>286</v>
      </c>
      <c r="H536" s="62" t="s">
        <v>11</v>
      </c>
      <c r="I536" s="62" t="s">
        <v>210</v>
      </c>
      <c r="J536" s="63" t="s">
        <v>287</v>
      </c>
      <c r="K536" s="62" t="s">
        <v>317</v>
      </c>
      <c r="L536" s="64">
        <v>40.260000000000005</v>
      </c>
      <c r="M536" s="64">
        <f>L536*VLOOKUP(H536,dagsoorttabel1,2,FALSE)</f>
        <v>40.260000000000005</v>
      </c>
      <c r="N536" s="65">
        <f>prodnorm49</f>
        <v>0</v>
      </c>
      <c r="O536" s="66">
        <f>dagwerk49</f>
        <v>0</v>
      </c>
      <c r="P536" s="62" t="s">
        <v>40</v>
      </c>
      <c r="Q536" s="67">
        <f>uurtarief49</f>
        <v>0</v>
      </c>
      <c r="R536" s="64" t="e">
        <f>IF(ISBLANK(N536),0,M536/ROUND(N536,4))</f>
        <v>#DIV/0!</v>
      </c>
      <c r="S536" s="64" t="e">
        <f>IF(ISBLANK(N536),0,R536*ROUND(O536,2))</f>
        <v>#DIV/0!</v>
      </c>
      <c r="T536" s="67" t="e">
        <f>ROUND(Q536,2)*R536</f>
        <v>#DIV/0!</v>
      </c>
      <c r="U536" s="64" t="e">
        <f>R536*dagenperjaar1</f>
        <v>#DIV/0!</v>
      </c>
      <c r="V536" s="69" t="e">
        <f>U536*ROUND(Q536,2)</f>
        <v>#DIV/0!</v>
      </c>
    </row>
    <row r="537" spans="1:22" x14ac:dyDescent="0.3">
      <c r="A537" s="61" t="s">
        <v>316</v>
      </c>
      <c r="B537" s="62" t="s">
        <v>317</v>
      </c>
      <c r="C537" s="62" t="s">
        <v>841</v>
      </c>
      <c r="D537" s="62" t="s">
        <v>944</v>
      </c>
      <c r="E537" s="63" t="s">
        <v>374</v>
      </c>
      <c r="F537" s="62" t="s">
        <v>322</v>
      </c>
      <c r="G537" s="62" t="s">
        <v>323</v>
      </c>
      <c r="H537" s="62"/>
      <c r="I537" s="62"/>
      <c r="J537" s="62"/>
      <c r="K537" s="62" t="s">
        <v>317</v>
      </c>
      <c r="L537" s="64">
        <v>0.8</v>
      </c>
      <c r="M537" s="64"/>
      <c r="N537" s="65"/>
      <c r="O537" s="66"/>
      <c r="P537" s="62"/>
      <c r="Q537" s="67"/>
      <c r="R537" s="64"/>
      <c r="S537" s="64"/>
      <c r="T537" s="67"/>
      <c r="U537" s="68"/>
      <c r="V537" s="69"/>
    </row>
    <row r="538" spans="1:22" x14ac:dyDescent="0.3">
      <c r="A538" s="61" t="s">
        <v>316</v>
      </c>
      <c r="B538" s="62" t="s">
        <v>317</v>
      </c>
      <c r="C538" s="62" t="s">
        <v>841</v>
      </c>
      <c r="D538" s="62" t="s">
        <v>945</v>
      </c>
      <c r="E538" s="63" t="s">
        <v>394</v>
      </c>
      <c r="F538" s="62" t="s">
        <v>389</v>
      </c>
      <c r="G538" s="62" t="s">
        <v>272</v>
      </c>
      <c r="H538" s="62" t="s">
        <v>11</v>
      </c>
      <c r="I538" s="62" t="s">
        <v>210</v>
      </c>
      <c r="J538" s="63" t="s">
        <v>273</v>
      </c>
      <c r="K538" s="62" t="s">
        <v>317</v>
      </c>
      <c r="L538" s="64">
        <v>145.79</v>
      </c>
      <c r="M538" s="64">
        <f>L538*VLOOKUP(H538,dagsoorttabel1,2,FALSE)</f>
        <v>145.79</v>
      </c>
      <c r="N538" s="65">
        <f>prodnorm42</f>
        <v>0</v>
      </c>
      <c r="O538" s="66">
        <f>dagwerk42</f>
        <v>0</v>
      </c>
      <c r="P538" s="62" t="s">
        <v>40</v>
      </c>
      <c r="Q538" s="67">
        <f>uurtarief42</f>
        <v>0</v>
      </c>
      <c r="R538" s="64" t="e">
        <f>IF(ISBLANK(N538),0,M538/ROUND(N538,4))</f>
        <v>#DIV/0!</v>
      </c>
      <c r="S538" s="64" t="e">
        <f>IF(ISBLANK(N538),0,R538*ROUND(O538,2))</f>
        <v>#DIV/0!</v>
      </c>
      <c r="T538" s="67" t="e">
        <f>ROUND(Q538,2)*R538</f>
        <v>#DIV/0!</v>
      </c>
      <c r="U538" s="64" t="e">
        <f>R538*dagenperjaar1</f>
        <v>#DIV/0!</v>
      </c>
      <c r="V538" s="69" t="e">
        <f>U538*ROUND(Q538,2)</f>
        <v>#DIV/0!</v>
      </c>
    </row>
    <row r="539" spans="1:22" x14ac:dyDescent="0.3">
      <c r="A539" s="61" t="s">
        <v>316</v>
      </c>
      <c r="B539" s="62" t="s">
        <v>317</v>
      </c>
      <c r="C539" s="62" t="s">
        <v>841</v>
      </c>
      <c r="D539" s="62" t="s">
        <v>946</v>
      </c>
      <c r="E539" s="63" t="s">
        <v>391</v>
      </c>
      <c r="F539" s="62" t="s">
        <v>389</v>
      </c>
      <c r="G539" s="62" t="s">
        <v>234</v>
      </c>
      <c r="H539" s="62" t="s">
        <v>14</v>
      </c>
      <c r="I539" s="62" t="s">
        <v>210</v>
      </c>
      <c r="J539" s="63" t="s">
        <v>235</v>
      </c>
      <c r="K539" s="62" t="s">
        <v>317</v>
      </c>
      <c r="L539" s="64">
        <v>61.46</v>
      </c>
      <c r="M539" s="64">
        <f>L539*VLOOKUP(H539,dagsoorttabel1,2,FALSE)</f>
        <v>36.875999999999998</v>
      </c>
      <c r="N539" s="65">
        <f>prodnorm22</f>
        <v>0</v>
      </c>
      <c r="O539" s="66">
        <f>dagwerk22</f>
        <v>0</v>
      </c>
      <c r="P539" s="62" t="s">
        <v>40</v>
      </c>
      <c r="Q539" s="67">
        <f>uurtarief22</f>
        <v>0</v>
      </c>
      <c r="R539" s="64" t="e">
        <f>IF(ISBLANK(N539),0,M539/ROUND(N539,4))</f>
        <v>#DIV/0!</v>
      </c>
      <c r="S539" s="64" t="e">
        <f>IF(ISBLANK(N539),0,R539*ROUND(O539,2))</f>
        <v>#DIV/0!</v>
      </c>
      <c r="T539" s="67" t="e">
        <f>ROUND(Q539,2)*R539</f>
        <v>#DIV/0!</v>
      </c>
      <c r="U539" s="64" t="e">
        <f>R539*dagenperjaar1</f>
        <v>#DIV/0!</v>
      </c>
      <c r="V539" s="69" t="e">
        <f>U539*ROUND(Q539,2)</f>
        <v>#DIV/0!</v>
      </c>
    </row>
    <row r="540" spans="1:22" x14ac:dyDescent="0.3">
      <c r="A540" s="61" t="s">
        <v>316</v>
      </c>
      <c r="B540" s="62" t="s">
        <v>317</v>
      </c>
      <c r="C540" s="62" t="s">
        <v>841</v>
      </c>
      <c r="D540" s="62" t="s">
        <v>947</v>
      </c>
      <c r="E540" s="63" t="s">
        <v>321</v>
      </c>
      <c r="F540" s="62" t="s">
        <v>389</v>
      </c>
      <c r="G540" s="62" t="s">
        <v>323</v>
      </c>
      <c r="H540" s="62"/>
      <c r="I540" s="62"/>
      <c r="J540" s="62"/>
      <c r="K540" s="62" t="s">
        <v>317</v>
      </c>
      <c r="L540" s="64">
        <v>6.14</v>
      </c>
      <c r="M540" s="64"/>
      <c r="N540" s="65"/>
      <c r="O540" s="66"/>
      <c r="P540" s="62"/>
      <c r="Q540" s="67"/>
      <c r="R540" s="64"/>
      <c r="S540" s="64"/>
      <c r="T540" s="67"/>
      <c r="U540" s="68"/>
      <c r="V540" s="69"/>
    </row>
    <row r="541" spans="1:22" x14ac:dyDescent="0.3">
      <c r="A541" s="61" t="s">
        <v>316</v>
      </c>
      <c r="B541" s="62" t="s">
        <v>317</v>
      </c>
      <c r="C541" s="62" t="s">
        <v>841</v>
      </c>
      <c r="D541" s="62" t="s">
        <v>948</v>
      </c>
      <c r="E541" s="63" t="s">
        <v>391</v>
      </c>
      <c r="F541" s="62" t="s">
        <v>389</v>
      </c>
      <c r="G541" s="62" t="s">
        <v>234</v>
      </c>
      <c r="H541" s="62" t="s">
        <v>14</v>
      </c>
      <c r="I541" s="62" t="s">
        <v>210</v>
      </c>
      <c r="J541" s="63" t="s">
        <v>235</v>
      </c>
      <c r="K541" s="62" t="s">
        <v>317</v>
      </c>
      <c r="L541" s="64">
        <v>73.52</v>
      </c>
      <c r="M541" s="64">
        <f>L541*VLOOKUP(H541,dagsoorttabel1,2,FALSE)</f>
        <v>44.111999999999995</v>
      </c>
      <c r="N541" s="65">
        <f>prodnorm22</f>
        <v>0</v>
      </c>
      <c r="O541" s="66">
        <f>dagwerk22</f>
        <v>0</v>
      </c>
      <c r="P541" s="62" t="s">
        <v>40</v>
      </c>
      <c r="Q541" s="67">
        <f>uurtarief22</f>
        <v>0</v>
      </c>
      <c r="R541" s="64" t="e">
        <f>IF(ISBLANK(N541),0,M541/ROUND(N541,4))</f>
        <v>#DIV/0!</v>
      </c>
      <c r="S541" s="64" t="e">
        <f>IF(ISBLANK(N541),0,R541*ROUND(O541,2))</f>
        <v>#DIV/0!</v>
      </c>
      <c r="T541" s="67" t="e">
        <f>ROUND(Q541,2)*R541</f>
        <v>#DIV/0!</v>
      </c>
      <c r="U541" s="64" t="e">
        <f>R541*dagenperjaar1</f>
        <v>#DIV/0!</v>
      </c>
      <c r="V541" s="69" t="e">
        <f>U541*ROUND(Q541,2)</f>
        <v>#DIV/0!</v>
      </c>
    </row>
    <row r="542" spans="1:22" x14ac:dyDescent="0.3">
      <c r="A542" s="61" t="s">
        <v>316</v>
      </c>
      <c r="B542" s="62" t="s">
        <v>317</v>
      </c>
      <c r="C542" s="62" t="s">
        <v>841</v>
      </c>
      <c r="D542" s="62" t="s">
        <v>949</v>
      </c>
      <c r="E542" s="63" t="s">
        <v>575</v>
      </c>
      <c r="F542" s="62" t="s">
        <v>322</v>
      </c>
      <c r="G542" s="62" t="s">
        <v>323</v>
      </c>
      <c r="H542" s="62"/>
      <c r="I542" s="62"/>
      <c r="J542" s="62"/>
      <c r="K542" s="62" t="s">
        <v>317</v>
      </c>
      <c r="L542" s="64">
        <v>8.93</v>
      </c>
      <c r="M542" s="64"/>
      <c r="N542" s="65"/>
      <c r="O542" s="66"/>
      <c r="P542" s="62"/>
      <c r="Q542" s="67"/>
      <c r="R542" s="64"/>
      <c r="S542" s="64"/>
      <c r="T542" s="67"/>
      <c r="U542" s="68"/>
      <c r="V542" s="69"/>
    </row>
    <row r="543" spans="1:22" x14ac:dyDescent="0.3">
      <c r="A543" s="61" t="s">
        <v>316</v>
      </c>
      <c r="B543" s="62" t="s">
        <v>317</v>
      </c>
      <c r="C543" s="62" t="s">
        <v>841</v>
      </c>
      <c r="D543" s="62" t="s">
        <v>950</v>
      </c>
      <c r="E543" s="63" t="s">
        <v>356</v>
      </c>
      <c r="F543" s="62" t="s">
        <v>348</v>
      </c>
      <c r="G543" s="62" t="s">
        <v>212</v>
      </c>
      <c r="H543" s="62" t="s">
        <v>17</v>
      </c>
      <c r="I543" s="62" t="s">
        <v>210</v>
      </c>
      <c r="J543" s="63" t="s">
        <v>213</v>
      </c>
      <c r="K543" s="62" t="s">
        <v>317</v>
      </c>
      <c r="L543" s="64">
        <v>30.43</v>
      </c>
      <c r="M543" s="64">
        <f t="shared" ref="M543:M553" si="198">L543*VLOOKUP(H543,dagsoorttabel1,2,FALSE)</f>
        <v>6.0860000000000003</v>
      </c>
      <c r="N543" s="65">
        <f>prodnorm11</f>
        <v>0</v>
      </c>
      <c r="O543" s="66">
        <f>dagwerk11</f>
        <v>0</v>
      </c>
      <c r="P543" s="62" t="s">
        <v>40</v>
      </c>
      <c r="Q543" s="67">
        <f>uurtarief11</f>
        <v>0</v>
      </c>
      <c r="R543" s="64" t="e">
        <f t="shared" ref="R543:R553" si="199">IF(ISBLANK(N543),0,M543/ROUND(N543,4))</f>
        <v>#DIV/0!</v>
      </c>
      <c r="S543" s="64" t="e">
        <f t="shared" ref="S543:S553" si="200">IF(ISBLANK(N543),0,R543*ROUND(O543,2))</f>
        <v>#DIV/0!</v>
      </c>
      <c r="T543" s="67" t="e">
        <f t="shared" ref="T543:T553" si="201">ROUND(Q543,2)*R543</f>
        <v>#DIV/0!</v>
      </c>
      <c r="U543" s="64" t="e">
        <f t="shared" ref="U543:U553" si="202">R543*dagenperjaar1</f>
        <v>#DIV/0!</v>
      </c>
      <c r="V543" s="69" t="e">
        <f t="shared" ref="V543:V553" si="203">U543*ROUND(Q543,2)</f>
        <v>#DIV/0!</v>
      </c>
    </row>
    <row r="544" spans="1:22" x14ac:dyDescent="0.3">
      <c r="A544" s="61" t="s">
        <v>316</v>
      </c>
      <c r="B544" s="62" t="s">
        <v>317</v>
      </c>
      <c r="C544" s="62" t="s">
        <v>841</v>
      </c>
      <c r="D544" s="62" t="s">
        <v>951</v>
      </c>
      <c r="E544" s="63" t="s">
        <v>356</v>
      </c>
      <c r="F544" s="62" t="s">
        <v>348</v>
      </c>
      <c r="G544" s="62" t="s">
        <v>212</v>
      </c>
      <c r="H544" s="62" t="s">
        <v>17</v>
      </c>
      <c r="I544" s="62" t="s">
        <v>210</v>
      </c>
      <c r="J544" s="63" t="s">
        <v>213</v>
      </c>
      <c r="K544" s="62" t="s">
        <v>317</v>
      </c>
      <c r="L544" s="64">
        <v>5.18</v>
      </c>
      <c r="M544" s="64">
        <f t="shared" si="198"/>
        <v>1.036</v>
      </c>
      <c r="N544" s="65">
        <f>prodnorm11</f>
        <v>0</v>
      </c>
      <c r="O544" s="66">
        <f>dagwerk11</f>
        <v>0</v>
      </c>
      <c r="P544" s="62" t="s">
        <v>40</v>
      </c>
      <c r="Q544" s="67">
        <f>uurtarief11</f>
        <v>0</v>
      </c>
      <c r="R544" s="64" t="e">
        <f t="shared" si="199"/>
        <v>#DIV/0!</v>
      </c>
      <c r="S544" s="64" t="e">
        <f t="shared" si="200"/>
        <v>#DIV/0!</v>
      </c>
      <c r="T544" s="67" t="e">
        <f t="shared" si="201"/>
        <v>#DIV/0!</v>
      </c>
      <c r="U544" s="64" t="e">
        <f t="shared" si="202"/>
        <v>#DIV/0!</v>
      </c>
      <c r="V544" s="69" t="e">
        <f t="shared" si="203"/>
        <v>#DIV/0!</v>
      </c>
    </row>
    <row r="545" spans="1:22" x14ac:dyDescent="0.3">
      <c r="A545" s="61" t="s">
        <v>316</v>
      </c>
      <c r="B545" s="62" t="s">
        <v>317</v>
      </c>
      <c r="C545" s="62" t="s">
        <v>841</v>
      </c>
      <c r="D545" s="62" t="s">
        <v>952</v>
      </c>
      <c r="E545" s="63" t="s">
        <v>356</v>
      </c>
      <c r="F545" s="62" t="s">
        <v>348</v>
      </c>
      <c r="G545" s="62" t="s">
        <v>212</v>
      </c>
      <c r="H545" s="62" t="s">
        <v>17</v>
      </c>
      <c r="I545" s="62" t="s">
        <v>210</v>
      </c>
      <c r="J545" s="63" t="s">
        <v>213</v>
      </c>
      <c r="K545" s="62" t="s">
        <v>317</v>
      </c>
      <c r="L545" s="64">
        <v>5.18</v>
      </c>
      <c r="M545" s="64">
        <f t="shared" si="198"/>
        <v>1.036</v>
      </c>
      <c r="N545" s="65">
        <f>prodnorm11</f>
        <v>0</v>
      </c>
      <c r="O545" s="66">
        <f>dagwerk11</f>
        <v>0</v>
      </c>
      <c r="P545" s="62" t="s">
        <v>40</v>
      </c>
      <c r="Q545" s="67">
        <f>uurtarief11</f>
        <v>0</v>
      </c>
      <c r="R545" s="64" t="e">
        <f t="shared" si="199"/>
        <v>#DIV/0!</v>
      </c>
      <c r="S545" s="64" t="e">
        <f t="shared" si="200"/>
        <v>#DIV/0!</v>
      </c>
      <c r="T545" s="67" t="e">
        <f t="shared" si="201"/>
        <v>#DIV/0!</v>
      </c>
      <c r="U545" s="64" t="e">
        <f t="shared" si="202"/>
        <v>#DIV/0!</v>
      </c>
      <c r="V545" s="69" t="e">
        <f t="shared" si="203"/>
        <v>#DIV/0!</v>
      </c>
    </row>
    <row r="546" spans="1:22" x14ac:dyDescent="0.3">
      <c r="A546" s="61" t="s">
        <v>316</v>
      </c>
      <c r="B546" s="62" t="s">
        <v>317</v>
      </c>
      <c r="C546" s="62" t="s">
        <v>841</v>
      </c>
      <c r="D546" s="62" t="s">
        <v>953</v>
      </c>
      <c r="E546" s="63" t="s">
        <v>356</v>
      </c>
      <c r="F546" s="62" t="s">
        <v>348</v>
      </c>
      <c r="G546" s="62" t="s">
        <v>212</v>
      </c>
      <c r="H546" s="62" t="s">
        <v>17</v>
      </c>
      <c r="I546" s="62" t="s">
        <v>210</v>
      </c>
      <c r="J546" s="63" t="s">
        <v>213</v>
      </c>
      <c r="K546" s="62" t="s">
        <v>317</v>
      </c>
      <c r="L546" s="64">
        <v>5.18</v>
      </c>
      <c r="M546" s="64">
        <f t="shared" si="198"/>
        <v>1.036</v>
      </c>
      <c r="N546" s="65">
        <f>prodnorm11</f>
        <v>0</v>
      </c>
      <c r="O546" s="66">
        <f>dagwerk11</f>
        <v>0</v>
      </c>
      <c r="P546" s="62" t="s">
        <v>40</v>
      </c>
      <c r="Q546" s="67">
        <f>uurtarief11</f>
        <v>0</v>
      </c>
      <c r="R546" s="64" t="e">
        <f t="shared" si="199"/>
        <v>#DIV/0!</v>
      </c>
      <c r="S546" s="64" t="e">
        <f t="shared" si="200"/>
        <v>#DIV/0!</v>
      </c>
      <c r="T546" s="67" t="e">
        <f t="shared" si="201"/>
        <v>#DIV/0!</v>
      </c>
      <c r="U546" s="64" t="e">
        <f t="shared" si="202"/>
        <v>#DIV/0!</v>
      </c>
      <c r="V546" s="69" t="e">
        <f t="shared" si="203"/>
        <v>#DIV/0!</v>
      </c>
    </row>
    <row r="547" spans="1:22" x14ac:dyDescent="0.3">
      <c r="A547" s="61" t="s">
        <v>316</v>
      </c>
      <c r="B547" s="62" t="s">
        <v>317</v>
      </c>
      <c r="C547" s="62" t="s">
        <v>841</v>
      </c>
      <c r="D547" s="62" t="s">
        <v>954</v>
      </c>
      <c r="E547" s="63" t="s">
        <v>707</v>
      </c>
      <c r="F547" s="62" t="s">
        <v>348</v>
      </c>
      <c r="G547" s="62" t="s">
        <v>226</v>
      </c>
      <c r="H547" s="62" t="s">
        <v>14</v>
      </c>
      <c r="I547" s="62" t="s">
        <v>210</v>
      </c>
      <c r="J547" s="63" t="s">
        <v>227</v>
      </c>
      <c r="K547" s="62" t="s">
        <v>317</v>
      </c>
      <c r="L547" s="64">
        <v>70.430000000000007</v>
      </c>
      <c r="M547" s="64">
        <f t="shared" si="198"/>
        <v>42.258000000000003</v>
      </c>
      <c r="N547" s="65">
        <f>prodnorm18</f>
        <v>0</v>
      </c>
      <c r="O547" s="66">
        <f>dagwerk18</f>
        <v>0</v>
      </c>
      <c r="P547" s="62" t="s">
        <v>40</v>
      </c>
      <c r="Q547" s="67">
        <f>uurtarief18</f>
        <v>0</v>
      </c>
      <c r="R547" s="64" t="e">
        <f t="shared" si="199"/>
        <v>#DIV/0!</v>
      </c>
      <c r="S547" s="64" t="e">
        <f t="shared" si="200"/>
        <v>#DIV/0!</v>
      </c>
      <c r="T547" s="67" t="e">
        <f t="shared" si="201"/>
        <v>#DIV/0!</v>
      </c>
      <c r="U547" s="64" t="e">
        <f t="shared" si="202"/>
        <v>#DIV/0!</v>
      </c>
      <c r="V547" s="69" t="e">
        <f t="shared" si="203"/>
        <v>#DIV/0!</v>
      </c>
    </row>
    <row r="548" spans="1:22" x14ac:dyDescent="0.3">
      <c r="A548" s="61" t="s">
        <v>316</v>
      </c>
      <c r="B548" s="62" t="s">
        <v>317</v>
      </c>
      <c r="C548" s="62" t="s">
        <v>841</v>
      </c>
      <c r="D548" s="62" t="s">
        <v>955</v>
      </c>
      <c r="E548" s="63" t="s">
        <v>356</v>
      </c>
      <c r="F548" s="62" t="s">
        <v>348</v>
      </c>
      <c r="G548" s="62" t="s">
        <v>212</v>
      </c>
      <c r="H548" s="62" t="s">
        <v>17</v>
      </c>
      <c r="I548" s="62" t="s">
        <v>210</v>
      </c>
      <c r="J548" s="63" t="s">
        <v>213</v>
      </c>
      <c r="K548" s="62" t="s">
        <v>317</v>
      </c>
      <c r="L548" s="64">
        <v>24.24</v>
      </c>
      <c r="M548" s="64">
        <f t="shared" si="198"/>
        <v>4.8479999999999999</v>
      </c>
      <c r="N548" s="65">
        <f>prodnorm11</f>
        <v>0</v>
      </c>
      <c r="O548" s="66">
        <f>dagwerk11</f>
        <v>0</v>
      </c>
      <c r="P548" s="62" t="s">
        <v>40</v>
      </c>
      <c r="Q548" s="67">
        <f>uurtarief11</f>
        <v>0</v>
      </c>
      <c r="R548" s="64" t="e">
        <f t="shared" si="199"/>
        <v>#DIV/0!</v>
      </c>
      <c r="S548" s="64" t="e">
        <f t="shared" si="200"/>
        <v>#DIV/0!</v>
      </c>
      <c r="T548" s="67" t="e">
        <f t="shared" si="201"/>
        <v>#DIV/0!</v>
      </c>
      <c r="U548" s="64" t="e">
        <f t="shared" si="202"/>
        <v>#DIV/0!</v>
      </c>
      <c r="V548" s="69" t="e">
        <f t="shared" si="203"/>
        <v>#DIV/0!</v>
      </c>
    </row>
    <row r="549" spans="1:22" x14ac:dyDescent="0.3">
      <c r="A549" s="61" t="s">
        <v>316</v>
      </c>
      <c r="B549" s="62" t="s">
        <v>317</v>
      </c>
      <c r="C549" s="62" t="s">
        <v>841</v>
      </c>
      <c r="D549" s="62" t="s">
        <v>956</v>
      </c>
      <c r="E549" s="63" t="s">
        <v>391</v>
      </c>
      <c r="F549" s="62" t="s">
        <v>389</v>
      </c>
      <c r="G549" s="62" t="s">
        <v>234</v>
      </c>
      <c r="H549" s="62" t="s">
        <v>14</v>
      </c>
      <c r="I549" s="62" t="s">
        <v>210</v>
      </c>
      <c r="J549" s="63" t="s">
        <v>235</v>
      </c>
      <c r="K549" s="62" t="s">
        <v>317</v>
      </c>
      <c r="L549" s="64">
        <v>51.14</v>
      </c>
      <c r="M549" s="64">
        <f t="shared" si="198"/>
        <v>30.683999999999997</v>
      </c>
      <c r="N549" s="65">
        <f>prodnorm22</f>
        <v>0</v>
      </c>
      <c r="O549" s="66">
        <f>dagwerk22</f>
        <v>0</v>
      </c>
      <c r="P549" s="62" t="s">
        <v>40</v>
      </c>
      <c r="Q549" s="67">
        <f>uurtarief22</f>
        <v>0</v>
      </c>
      <c r="R549" s="64" t="e">
        <f t="shared" si="199"/>
        <v>#DIV/0!</v>
      </c>
      <c r="S549" s="64" t="e">
        <f t="shared" si="200"/>
        <v>#DIV/0!</v>
      </c>
      <c r="T549" s="67" t="e">
        <f t="shared" si="201"/>
        <v>#DIV/0!</v>
      </c>
      <c r="U549" s="64" t="e">
        <f t="shared" si="202"/>
        <v>#DIV/0!</v>
      </c>
      <c r="V549" s="69" t="e">
        <f t="shared" si="203"/>
        <v>#DIV/0!</v>
      </c>
    </row>
    <row r="550" spans="1:22" x14ac:dyDescent="0.3">
      <c r="A550" s="61" t="s">
        <v>316</v>
      </c>
      <c r="B550" s="62" t="s">
        <v>317</v>
      </c>
      <c r="C550" s="62" t="s">
        <v>841</v>
      </c>
      <c r="D550" s="62" t="s">
        <v>957</v>
      </c>
      <c r="E550" s="63" t="s">
        <v>391</v>
      </c>
      <c r="F550" s="62" t="s">
        <v>389</v>
      </c>
      <c r="G550" s="62" t="s">
        <v>234</v>
      </c>
      <c r="H550" s="62" t="s">
        <v>14</v>
      </c>
      <c r="I550" s="62" t="s">
        <v>210</v>
      </c>
      <c r="J550" s="63" t="s">
        <v>235</v>
      </c>
      <c r="K550" s="62" t="s">
        <v>317</v>
      </c>
      <c r="L550" s="64">
        <v>77.099999999999994</v>
      </c>
      <c r="M550" s="64">
        <f t="shared" si="198"/>
        <v>46.26</v>
      </c>
      <c r="N550" s="65">
        <f>prodnorm22</f>
        <v>0</v>
      </c>
      <c r="O550" s="66">
        <f>dagwerk22</f>
        <v>0</v>
      </c>
      <c r="P550" s="62" t="s">
        <v>40</v>
      </c>
      <c r="Q550" s="67">
        <f>uurtarief22</f>
        <v>0</v>
      </c>
      <c r="R550" s="64" t="e">
        <f t="shared" si="199"/>
        <v>#DIV/0!</v>
      </c>
      <c r="S550" s="64" t="e">
        <f t="shared" si="200"/>
        <v>#DIV/0!</v>
      </c>
      <c r="T550" s="67" t="e">
        <f t="shared" si="201"/>
        <v>#DIV/0!</v>
      </c>
      <c r="U550" s="64" t="e">
        <f t="shared" si="202"/>
        <v>#DIV/0!</v>
      </c>
      <c r="V550" s="69" t="e">
        <f t="shared" si="203"/>
        <v>#DIV/0!</v>
      </c>
    </row>
    <row r="551" spans="1:22" x14ac:dyDescent="0.3">
      <c r="A551" s="61" t="s">
        <v>316</v>
      </c>
      <c r="B551" s="62" t="s">
        <v>317</v>
      </c>
      <c r="C551" s="62" t="s">
        <v>841</v>
      </c>
      <c r="D551" s="62" t="s">
        <v>958</v>
      </c>
      <c r="E551" s="63" t="s">
        <v>391</v>
      </c>
      <c r="F551" s="62" t="s">
        <v>389</v>
      </c>
      <c r="G551" s="62" t="s">
        <v>234</v>
      </c>
      <c r="H551" s="62" t="s">
        <v>14</v>
      </c>
      <c r="I551" s="62" t="s">
        <v>210</v>
      </c>
      <c r="J551" s="63" t="s">
        <v>235</v>
      </c>
      <c r="K551" s="62" t="s">
        <v>317</v>
      </c>
      <c r="L551" s="64">
        <v>74.960000000000008</v>
      </c>
      <c r="M551" s="64">
        <f t="shared" si="198"/>
        <v>44.976000000000006</v>
      </c>
      <c r="N551" s="65">
        <f>prodnorm22</f>
        <v>0</v>
      </c>
      <c r="O551" s="66">
        <f>dagwerk22</f>
        <v>0</v>
      </c>
      <c r="P551" s="62" t="s">
        <v>40</v>
      </c>
      <c r="Q551" s="67">
        <f>uurtarief22</f>
        <v>0</v>
      </c>
      <c r="R551" s="64" t="e">
        <f t="shared" si="199"/>
        <v>#DIV/0!</v>
      </c>
      <c r="S551" s="64" t="e">
        <f t="shared" si="200"/>
        <v>#DIV/0!</v>
      </c>
      <c r="T551" s="67" t="e">
        <f t="shared" si="201"/>
        <v>#DIV/0!</v>
      </c>
      <c r="U551" s="64" t="e">
        <f t="shared" si="202"/>
        <v>#DIV/0!</v>
      </c>
      <c r="V551" s="69" t="e">
        <f t="shared" si="203"/>
        <v>#DIV/0!</v>
      </c>
    </row>
    <row r="552" spans="1:22" x14ac:dyDescent="0.3">
      <c r="A552" s="61" t="s">
        <v>316</v>
      </c>
      <c r="B552" s="62" t="s">
        <v>317</v>
      </c>
      <c r="C552" s="62" t="s">
        <v>841</v>
      </c>
      <c r="D552" s="62" t="s">
        <v>959</v>
      </c>
      <c r="E552" s="63" t="s">
        <v>391</v>
      </c>
      <c r="F552" s="62" t="s">
        <v>389</v>
      </c>
      <c r="G552" s="62" t="s">
        <v>234</v>
      </c>
      <c r="H552" s="62" t="s">
        <v>14</v>
      </c>
      <c r="I552" s="62" t="s">
        <v>210</v>
      </c>
      <c r="J552" s="63" t="s">
        <v>235</v>
      </c>
      <c r="K552" s="62" t="s">
        <v>317</v>
      </c>
      <c r="L552" s="64">
        <v>49.78</v>
      </c>
      <c r="M552" s="64">
        <f t="shared" si="198"/>
        <v>29.867999999999999</v>
      </c>
      <c r="N552" s="65">
        <f>prodnorm22</f>
        <v>0</v>
      </c>
      <c r="O552" s="66">
        <f>dagwerk22</f>
        <v>0</v>
      </c>
      <c r="P552" s="62" t="s">
        <v>40</v>
      </c>
      <c r="Q552" s="67">
        <f>uurtarief22</f>
        <v>0</v>
      </c>
      <c r="R552" s="64" t="e">
        <f t="shared" si="199"/>
        <v>#DIV/0!</v>
      </c>
      <c r="S552" s="64" t="e">
        <f t="shared" si="200"/>
        <v>#DIV/0!</v>
      </c>
      <c r="T552" s="67" t="e">
        <f t="shared" si="201"/>
        <v>#DIV/0!</v>
      </c>
      <c r="U552" s="64" t="e">
        <f t="shared" si="202"/>
        <v>#DIV/0!</v>
      </c>
      <c r="V552" s="69" t="e">
        <f t="shared" si="203"/>
        <v>#DIV/0!</v>
      </c>
    </row>
    <row r="553" spans="1:22" x14ac:dyDescent="0.3">
      <c r="A553" s="61" t="s">
        <v>316</v>
      </c>
      <c r="B553" s="62" t="s">
        <v>317</v>
      </c>
      <c r="C553" s="62" t="s">
        <v>841</v>
      </c>
      <c r="D553" s="62" t="s">
        <v>960</v>
      </c>
      <c r="E553" s="63" t="s">
        <v>391</v>
      </c>
      <c r="F553" s="62" t="s">
        <v>389</v>
      </c>
      <c r="G553" s="62" t="s">
        <v>234</v>
      </c>
      <c r="H553" s="62" t="s">
        <v>14</v>
      </c>
      <c r="I553" s="62" t="s">
        <v>210</v>
      </c>
      <c r="J553" s="63" t="s">
        <v>235</v>
      </c>
      <c r="K553" s="62" t="s">
        <v>317</v>
      </c>
      <c r="L553" s="64">
        <v>61.61</v>
      </c>
      <c r="M553" s="64">
        <f t="shared" si="198"/>
        <v>36.966000000000001</v>
      </c>
      <c r="N553" s="65">
        <f>prodnorm22</f>
        <v>0</v>
      </c>
      <c r="O553" s="66">
        <f>dagwerk22</f>
        <v>0</v>
      </c>
      <c r="P553" s="62" t="s">
        <v>40</v>
      </c>
      <c r="Q553" s="67">
        <f>uurtarief22</f>
        <v>0</v>
      </c>
      <c r="R553" s="64" t="e">
        <f t="shared" si="199"/>
        <v>#DIV/0!</v>
      </c>
      <c r="S553" s="64" t="e">
        <f t="shared" si="200"/>
        <v>#DIV/0!</v>
      </c>
      <c r="T553" s="67" t="e">
        <f t="shared" si="201"/>
        <v>#DIV/0!</v>
      </c>
      <c r="U553" s="64" t="e">
        <f t="shared" si="202"/>
        <v>#DIV/0!</v>
      </c>
      <c r="V553" s="69" t="e">
        <f t="shared" si="203"/>
        <v>#DIV/0!</v>
      </c>
    </row>
    <row r="554" spans="1:22" x14ac:dyDescent="0.3">
      <c r="A554" s="61" t="s">
        <v>316</v>
      </c>
      <c r="B554" s="62" t="s">
        <v>317</v>
      </c>
      <c r="C554" s="62" t="s">
        <v>841</v>
      </c>
      <c r="D554" s="62" t="s">
        <v>961</v>
      </c>
      <c r="E554" s="63" t="s">
        <v>321</v>
      </c>
      <c r="F554" s="62" t="s">
        <v>389</v>
      </c>
      <c r="G554" s="62" t="s">
        <v>323</v>
      </c>
      <c r="H554" s="62"/>
      <c r="I554" s="62"/>
      <c r="J554" s="62"/>
      <c r="K554" s="62" t="s">
        <v>317</v>
      </c>
      <c r="L554" s="64">
        <v>5.34</v>
      </c>
      <c r="M554" s="64"/>
      <c r="N554" s="65"/>
      <c r="O554" s="66"/>
      <c r="P554" s="62"/>
      <c r="Q554" s="67"/>
      <c r="R554" s="64"/>
      <c r="S554" s="64"/>
      <c r="T554" s="67"/>
      <c r="U554" s="68"/>
      <c r="V554" s="69"/>
    </row>
    <row r="555" spans="1:22" x14ac:dyDescent="0.3">
      <c r="A555" s="61" t="s">
        <v>316</v>
      </c>
      <c r="B555" s="62" t="s">
        <v>317</v>
      </c>
      <c r="C555" s="62" t="s">
        <v>841</v>
      </c>
      <c r="D555" s="62" t="s">
        <v>962</v>
      </c>
      <c r="E555" s="63" t="s">
        <v>391</v>
      </c>
      <c r="F555" s="62" t="s">
        <v>389</v>
      </c>
      <c r="G555" s="62" t="s">
        <v>234</v>
      </c>
      <c r="H555" s="62" t="s">
        <v>14</v>
      </c>
      <c r="I555" s="62" t="s">
        <v>210</v>
      </c>
      <c r="J555" s="63" t="s">
        <v>235</v>
      </c>
      <c r="K555" s="62" t="s">
        <v>317</v>
      </c>
      <c r="L555" s="64">
        <v>62.28</v>
      </c>
      <c r="M555" s="64">
        <f>L555*VLOOKUP(H555,dagsoorttabel1,2,FALSE)</f>
        <v>37.368000000000002</v>
      </c>
      <c r="N555" s="65">
        <f>prodnorm22</f>
        <v>0</v>
      </c>
      <c r="O555" s="66">
        <f>dagwerk22</f>
        <v>0</v>
      </c>
      <c r="P555" s="62" t="s">
        <v>40</v>
      </c>
      <c r="Q555" s="67">
        <f>uurtarief22</f>
        <v>0</v>
      </c>
      <c r="R555" s="64" t="e">
        <f>IF(ISBLANK(N555),0,M555/ROUND(N555,4))</f>
        <v>#DIV/0!</v>
      </c>
      <c r="S555" s="64" t="e">
        <f>IF(ISBLANK(N555),0,R555*ROUND(O555,2))</f>
        <v>#DIV/0!</v>
      </c>
      <c r="T555" s="67" t="e">
        <f>ROUND(Q555,2)*R555</f>
        <v>#DIV/0!</v>
      </c>
      <c r="U555" s="64" t="e">
        <f>R555*dagenperjaar1</f>
        <v>#DIV/0!</v>
      </c>
      <c r="V555" s="69" t="e">
        <f>U555*ROUND(Q555,2)</f>
        <v>#DIV/0!</v>
      </c>
    </row>
    <row r="556" spans="1:22" x14ac:dyDescent="0.3">
      <c r="A556" s="61" t="s">
        <v>316</v>
      </c>
      <c r="B556" s="62" t="s">
        <v>317</v>
      </c>
      <c r="C556" s="62" t="s">
        <v>841</v>
      </c>
      <c r="D556" s="62" t="s">
        <v>963</v>
      </c>
      <c r="E556" s="63" t="s">
        <v>492</v>
      </c>
      <c r="F556" s="62" t="s">
        <v>389</v>
      </c>
      <c r="G556" s="62" t="s">
        <v>238</v>
      </c>
      <c r="H556" s="62" t="s">
        <v>11</v>
      </c>
      <c r="I556" s="62" t="s">
        <v>210</v>
      </c>
      <c r="J556" s="63" t="s">
        <v>239</v>
      </c>
      <c r="K556" s="62" t="s">
        <v>317</v>
      </c>
      <c r="L556" s="64">
        <v>126.82</v>
      </c>
      <c r="M556" s="64">
        <f>L556*VLOOKUP(H556,dagsoorttabel1,2,FALSE)</f>
        <v>126.82</v>
      </c>
      <c r="N556" s="65">
        <f>prodnorm24</f>
        <v>0</v>
      </c>
      <c r="O556" s="66">
        <f>dagwerk24</f>
        <v>0</v>
      </c>
      <c r="P556" s="62" t="s">
        <v>40</v>
      </c>
      <c r="Q556" s="67">
        <f>uurtarief24</f>
        <v>0</v>
      </c>
      <c r="R556" s="64" t="e">
        <f>IF(ISBLANK(N556),0,M556/ROUND(N556,4))</f>
        <v>#DIV/0!</v>
      </c>
      <c r="S556" s="64" t="e">
        <f>IF(ISBLANK(N556),0,R556*ROUND(O556,2))</f>
        <v>#DIV/0!</v>
      </c>
      <c r="T556" s="67" t="e">
        <f>ROUND(Q556,2)*R556</f>
        <v>#DIV/0!</v>
      </c>
      <c r="U556" s="64" t="e">
        <f>R556*dagenperjaar1</f>
        <v>#DIV/0!</v>
      </c>
      <c r="V556" s="69" t="e">
        <f>U556*ROUND(Q556,2)</f>
        <v>#DIV/0!</v>
      </c>
    </row>
    <row r="557" spans="1:22" x14ac:dyDescent="0.3">
      <c r="A557" s="61" t="s">
        <v>316</v>
      </c>
      <c r="B557" s="62" t="s">
        <v>317</v>
      </c>
      <c r="C557" s="62" t="s">
        <v>841</v>
      </c>
      <c r="D557" s="62" t="s">
        <v>964</v>
      </c>
      <c r="E557" s="63" t="s">
        <v>321</v>
      </c>
      <c r="F557" s="62" t="s">
        <v>365</v>
      </c>
      <c r="G557" s="62" t="s">
        <v>323</v>
      </c>
      <c r="H557" s="62"/>
      <c r="I557" s="62"/>
      <c r="J557" s="62"/>
      <c r="K557" s="62" t="s">
        <v>317</v>
      </c>
      <c r="L557" s="64">
        <v>7.31</v>
      </c>
      <c r="M557" s="64"/>
      <c r="N557" s="65"/>
      <c r="O557" s="66"/>
      <c r="P557" s="62"/>
      <c r="Q557" s="67"/>
      <c r="R557" s="64"/>
      <c r="S557" s="64"/>
      <c r="T557" s="67"/>
      <c r="U557" s="68"/>
      <c r="V557" s="69"/>
    </row>
    <row r="558" spans="1:22" x14ac:dyDescent="0.3">
      <c r="A558" s="61" t="s">
        <v>316</v>
      </c>
      <c r="B558" s="62" t="s">
        <v>317</v>
      </c>
      <c r="C558" s="62" t="s">
        <v>841</v>
      </c>
      <c r="D558" s="62" t="s">
        <v>965</v>
      </c>
      <c r="E558" s="63" t="s">
        <v>966</v>
      </c>
      <c r="F558" s="62" t="s">
        <v>348</v>
      </c>
      <c r="G558" s="62" t="s">
        <v>212</v>
      </c>
      <c r="H558" s="62" t="s">
        <v>17</v>
      </c>
      <c r="I558" s="62" t="s">
        <v>210</v>
      </c>
      <c r="J558" s="63" t="s">
        <v>213</v>
      </c>
      <c r="K558" s="62" t="s">
        <v>317</v>
      </c>
      <c r="L558" s="64">
        <v>99.75</v>
      </c>
      <c r="M558" s="64">
        <f t="shared" ref="M558:M570" si="204">L558*VLOOKUP(H558,dagsoorttabel1,2,FALSE)</f>
        <v>19.950000000000003</v>
      </c>
      <c r="N558" s="65">
        <f>prodnorm11</f>
        <v>0</v>
      </c>
      <c r="O558" s="66">
        <f>dagwerk11</f>
        <v>0</v>
      </c>
      <c r="P558" s="62" t="s">
        <v>40</v>
      </c>
      <c r="Q558" s="67">
        <f>uurtarief11</f>
        <v>0</v>
      </c>
      <c r="R558" s="64" t="e">
        <f t="shared" ref="R558:R570" si="205">IF(ISBLANK(N558),0,M558/ROUND(N558,4))</f>
        <v>#DIV/0!</v>
      </c>
      <c r="S558" s="64" t="e">
        <f t="shared" ref="S558:S570" si="206">IF(ISBLANK(N558),0,R558*ROUND(O558,2))</f>
        <v>#DIV/0!</v>
      </c>
      <c r="T558" s="67" t="e">
        <f t="shared" ref="T558:T570" si="207">ROUND(Q558,2)*R558</f>
        <v>#DIV/0!</v>
      </c>
      <c r="U558" s="64" t="e">
        <f t="shared" ref="U558:U570" si="208">R558*dagenperjaar1</f>
        <v>#DIV/0!</v>
      </c>
      <c r="V558" s="69" t="e">
        <f t="shared" ref="V558:V570" si="209">U558*ROUND(Q558,2)</f>
        <v>#DIV/0!</v>
      </c>
    </row>
    <row r="559" spans="1:22" x14ac:dyDescent="0.3">
      <c r="A559" s="61" t="s">
        <v>316</v>
      </c>
      <c r="B559" s="62" t="s">
        <v>317</v>
      </c>
      <c r="C559" s="62" t="s">
        <v>841</v>
      </c>
      <c r="D559" s="62" t="s">
        <v>967</v>
      </c>
      <c r="E559" s="63" t="s">
        <v>966</v>
      </c>
      <c r="F559" s="62" t="s">
        <v>348</v>
      </c>
      <c r="G559" s="62" t="s">
        <v>212</v>
      </c>
      <c r="H559" s="62" t="s">
        <v>17</v>
      </c>
      <c r="I559" s="62" t="s">
        <v>210</v>
      </c>
      <c r="J559" s="63" t="s">
        <v>213</v>
      </c>
      <c r="K559" s="62" t="s">
        <v>317</v>
      </c>
      <c r="L559" s="64">
        <v>38.68</v>
      </c>
      <c r="M559" s="64">
        <f t="shared" si="204"/>
        <v>7.7360000000000007</v>
      </c>
      <c r="N559" s="65">
        <f>prodnorm11</f>
        <v>0</v>
      </c>
      <c r="O559" s="66">
        <f>dagwerk11</f>
        <v>0</v>
      </c>
      <c r="P559" s="62" t="s">
        <v>40</v>
      </c>
      <c r="Q559" s="67">
        <f>uurtarief11</f>
        <v>0</v>
      </c>
      <c r="R559" s="64" t="e">
        <f t="shared" si="205"/>
        <v>#DIV/0!</v>
      </c>
      <c r="S559" s="64" t="e">
        <f t="shared" si="206"/>
        <v>#DIV/0!</v>
      </c>
      <c r="T559" s="67" t="e">
        <f t="shared" si="207"/>
        <v>#DIV/0!</v>
      </c>
      <c r="U559" s="64" t="e">
        <f t="shared" si="208"/>
        <v>#DIV/0!</v>
      </c>
      <c r="V559" s="69" t="e">
        <f t="shared" si="209"/>
        <v>#DIV/0!</v>
      </c>
    </row>
    <row r="560" spans="1:22" x14ac:dyDescent="0.3">
      <c r="A560" s="61" t="s">
        <v>316</v>
      </c>
      <c r="B560" s="62" t="s">
        <v>317</v>
      </c>
      <c r="C560" s="62" t="s">
        <v>841</v>
      </c>
      <c r="D560" s="62" t="s">
        <v>968</v>
      </c>
      <c r="E560" s="63" t="s">
        <v>966</v>
      </c>
      <c r="F560" s="62" t="s">
        <v>348</v>
      </c>
      <c r="G560" s="62" t="s">
        <v>212</v>
      </c>
      <c r="H560" s="62" t="s">
        <v>17</v>
      </c>
      <c r="I560" s="62" t="s">
        <v>210</v>
      </c>
      <c r="J560" s="63" t="s">
        <v>213</v>
      </c>
      <c r="K560" s="62" t="s">
        <v>317</v>
      </c>
      <c r="L560" s="64">
        <v>41.21</v>
      </c>
      <c r="M560" s="64">
        <f t="shared" si="204"/>
        <v>8.2420000000000009</v>
      </c>
      <c r="N560" s="65">
        <f>prodnorm11</f>
        <v>0</v>
      </c>
      <c r="O560" s="66">
        <f>dagwerk11</f>
        <v>0</v>
      </c>
      <c r="P560" s="62" t="s">
        <v>40</v>
      </c>
      <c r="Q560" s="67">
        <f>uurtarief11</f>
        <v>0</v>
      </c>
      <c r="R560" s="64" t="e">
        <f t="shared" si="205"/>
        <v>#DIV/0!</v>
      </c>
      <c r="S560" s="64" t="e">
        <f t="shared" si="206"/>
        <v>#DIV/0!</v>
      </c>
      <c r="T560" s="67" t="e">
        <f t="shared" si="207"/>
        <v>#DIV/0!</v>
      </c>
      <c r="U560" s="64" t="e">
        <f t="shared" si="208"/>
        <v>#DIV/0!</v>
      </c>
      <c r="V560" s="69" t="e">
        <f t="shared" si="209"/>
        <v>#DIV/0!</v>
      </c>
    </row>
    <row r="561" spans="1:22" x14ac:dyDescent="0.3">
      <c r="A561" s="61" t="s">
        <v>316</v>
      </c>
      <c r="B561" s="62" t="s">
        <v>317</v>
      </c>
      <c r="C561" s="62" t="s">
        <v>841</v>
      </c>
      <c r="D561" s="62" t="s">
        <v>969</v>
      </c>
      <c r="E561" s="63" t="s">
        <v>970</v>
      </c>
      <c r="F561" s="62" t="s">
        <v>348</v>
      </c>
      <c r="G561" s="62" t="s">
        <v>216</v>
      </c>
      <c r="H561" s="62" t="s">
        <v>14</v>
      </c>
      <c r="I561" s="62" t="s">
        <v>210</v>
      </c>
      <c r="J561" s="63" t="s">
        <v>217</v>
      </c>
      <c r="K561" s="62" t="s">
        <v>317</v>
      </c>
      <c r="L561" s="64">
        <v>16.5</v>
      </c>
      <c r="M561" s="64">
        <f t="shared" si="204"/>
        <v>9.9</v>
      </c>
      <c r="N561" s="65">
        <f>prodnorm13</f>
        <v>0</v>
      </c>
      <c r="O561" s="66">
        <f>dagwerk13</f>
        <v>0</v>
      </c>
      <c r="P561" s="62" t="s">
        <v>40</v>
      </c>
      <c r="Q561" s="67">
        <f>uurtarief13</f>
        <v>0</v>
      </c>
      <c r="R561" s="64" t="e">
        <f t="shared" si="205"/>
        <v>#DIV/0!</v>
      </c>
      <c r="S561" s="64" t="e">
        <f t="shared" si="206"/>
        <v>#DIV/0!</v>
      </c>
      <c r="T561" s="67" t="e">
        <f t="shared" si="207"/>
        <v>#DIV/0!</v>
      </c>
      <c r="U561" s="64" t="e">
        <f t="shared" si="208"/>
        <v>#DIV/0!</v>
      </c>
      <c r="V561" s="69" t="e">
        <f t="shared" si="209"/>
        <v>#DIV/0!</v>
      </c>
    </row>
    <row r="562" spans="1:22" x14ac:dyDescent="0.3">
      <c r="A562" s="61" t="s">
        <v>316</v>
      </c>
      <c r="B562" s="62" t="s">
        <v>317</v>
      </c>
      <c r="C562" s="62" t="s">
        <v>841</v>
      </c>
      <c r="D562" s="62" t="s">
        <v>971</v>
      </c>
      <c r="E562" s="63" t="s">
        <v>966</v>
      </c>
      <c r="F562" s="62" t="s">
        <v>348</v>
      </c>
      <c r="G562" s="62" t="s">
        <v>212</v>
      </c>
      <c r="H562" s="62" t="s">
        <v>17</v>
      </c>
      <c r="I562" s="62" t="s">
        <v>210</v>
      </c>
      <c r="J562" s="63" t="s">
        <v>213</v>
      </c>
      <c r="K562" s="62" t="s">
        <v>317</v>
      </c>
      <c r="L562" s="64">
        <v>16.23</v>
      </c>
      <c r="M562" s="64">
        <f t="shared" si="204"/>
        <v>3.2460000000000004</v>
      </c>
      <c r="N562" s="65">
        <f>prodnorm11</f>
        <v>0</v>
      </c>
      <c r="O562" s="66">
        <f>dagwerk11</f>
        <v>0</v>
      </c>
      <c r="P562" s="62" t="s">
        <v>40</v>
      </c>
      <c r="Q562" s="67">
        <f>uurtarief11</f>
        <v>0</v>
      </c>
      <c r="R562" s="64" t="e">
        <f t="shared" si="205"/>
        <v>#DIV/0!</v>
      </c>
      <c r="S562" s="64" t="e">
        <f t="shared" si="206"/>
        <v>#DIV/0!</v>
      </c>
      <c r="T562" s="67" t="e">
        <f t="shared" si="207"/>
        <v>#DIV/0!</v>
      </c>
      <c r="U562" s="64" t="e">
        <f t="shared" si="208"/>
        <v>#DIV/0!</v>
      </c>
      <c r="V562" s="69" t="e">
        <f t="shared" si="209"/>
        <v>#DIV/0!</v>
      </c>
    </row>
    <row r="563" spans="1:22" x14ac:dyDescent="0.3">
      <c r="A563" s="61" t="s">
        <v>316</v>
      </c>
      <c r="B563" s="62" t="s">
        <v>317</v>
      </c>
      <c r="C563" s="62" t="s">
        <v>841</v>
      </c>
      <c r="D563" s="62" t="s">
        <v>972</v>
      </c>
      <c r="E563" s="63" t="s">
        <v>973</v>
      </c>
      <c r="F563" s="62" t="s">
        <v>348</v>
      </c>
      <c r="G563" s="62" t="s">
        <v>214</v>
      </c>
      <c r="H563" s="62" t="s">
        <v>14</v>
      </c>
      <c r="I563" s="62" t="s">
        <v>210</v>
      </c>
      <c r="J563" s="63" t="s">
        <v>215</v>
      </c>
      <c r="K563" s="62" t="s">
        <v>317</v>
      </c>
      <c r="L563" s="64">
        <v>40.42</v>
      </c>
      <c r="M563" s="64">
        <f t="shared" si="204"/>
        <v>24.251999999999999</v>
      </c>
      <c r="N563" s="65">
        <f>prodnorm12</f>
        <v>0</v>
      </c>
      <c r="O563" s="66">
        <f>dagwerk12</f>
        <v>0</v>
      </c>
      <c r="P563" s="62" t="s">
        <v>40</v>
      </c>
      <c r="Q563" s="67">
        <f>uurtarief12</f>
        <v>0</v>
      </c>
      <c r="R563" s="64" t="e">
        <f t="shared" si="205"/>
        <v>#DIV/0!</v>
      </c>
      <c r="S563" s="64" t="e">
        <f t="shared" si="206"/>
        <v>#DIV/0!</v>
      </c>
      <c r="T563" s="67" t="e">
        <f t="shared" si="207"/>
        <v>#DIV/0!</v>
      </c>
      <c r="U563" s="64" t="e">
        <f t="shared" si="208"/>
        <v>#DIV/0!</v>
      </c>
      <c r="V563" s="69" t="e">
        <f t="shared" si="209"/>
        <v>#DIV/0!</v>
      </c>
    </row>
    <row r="564" spans="1:22" x14ac:dyDescent="0.3">
      <c r="A564" s="61" t="s">
        <v>316</v>
      </c>
      <c r="B564" s="62" t="s">
        <v>317</v>
      </c>
      <c r="C564" s="62" t="s">
        <v>841</v>
      </c>
      <c r="D564" s="62" t="s">
        <v>974</v>
      </c>
      <c r="E564" s="63" t="s">
        <v>394</v>
      </c>
      <c r="F564" s="62" t="s">
        <v>348</v>
      </c>
      <c r="G564" s="62" t="s">
        <v>272</v>
      </c>
      <c r="H564" s="62" t="s">
        <v>11</v>
      </c>
      <c r="I564" s="62" t="s">
        <v>210</v>
      </c>
      <c r="J564" s="63" t="s">
        <v>273</v>
      </c>
      <c r="K564" s="62" t="s">
        <v>317</v>
      </c>
      <c r="L564" s="64">
        <v>27.22</v>
      </c>
      <c r="M564" s="64">
        <f t="shared" si="204"/>
        <v>27.22</v>
      </c>
      <c r="N564" s="65">
        <f>prodnorm42</f>
        <v>0</v>
      </c>
      <c r="O564" s="66">
        <f>dagwerk42</f>
        <v>0</v>
      </c>
      <c r="P564" s="62" t="s">
        <v>40</v>
      </c>
      <c r="Q564" s="67">
        <f>uurtarief42</f>
        <v>0</v>
      </c>
      <c r="R564" s="64" t="e">
        <f t="shared" si="205"/>
        <v>#DIV/0!</v>
      </c>
      <c r="S564" s="64" t="e">
        <f t="shared" si="206"/>
        <v>#DIV/0!</v>
      </c>
      <c r="T564" s="67" t="e">
        <f t="shared" si="207"/>
        <v>#DIV/0!</v>
      </c>
      <c r="U564" s="64" t="e">
        <f t="shared" si="208"/>
        <v>#DIV/0!</v>
      </c>
      <c r="V564" s="69" t="e">
        <f t="shared" si="209"/>
        <v>#DIV/0!</v>
      </c>
    </row>
    <row r="565" spans="1:22" x14ac:dyDescent="0.3">
      <c r="A565" s="61" t="s">
        <v>316</v>
      </c>
      <c r="B565" s="62" t="s">
        <v>317</v>
      </c>
      <c r="C565" s="62" t="s">
        <v>841</v>
      </c>
      <c r="D565" s="62" t="s">
        <v>975</v>
      </c>
      <c r="E565" s="63" t="s">
        <v>330</v>
      </c>
      <c r="F565" s="62" t="s">
        <v>365</v>
      </c>
      <c r="G565" s="62" t="s">
        <v>286</v>
      </c>
      <c r="H565" s="62" t="s">
        <v>11</v>
      </c>
      <c r="I565" s="62" t="s">
        <v>210</v>
      </c>
      <c r="J565" s="63" t="s">
        <v>287</v>
      </c>
      <c r="K565" s="62" t="s">
        <v>317</v>
      </c>
      <c r="L565" s="64">
        <v>16.3</v>
      </c>
      <c r="M565" s="64">
        <f t="shared" si="204"/>
        <v>16.3</v>
      </c>
      <c r="N565" s="65">
        <f>prodnorm49</f>
        <v>0</v>
      </c>
      <c r="O565" s="66">
        <f>dagwerk49</f>
        <v>0</v>
      </c>
      <c r="P565" s="62" t="s">
        <v>40</v>
      </c>
      <c r="Q565" s="67">
        <f>uurtarief49</f>
        <v>0</v>
      </c>
      <c r="R565" s="64" t="e">
        <f t="shared" si="205"/>
        <v>#DIV/0!</v>
      </c>
      <c r="S565" s="64" t="e">
        <f t="shared" si="206"/>
        <v>#DIV/0!</v>
      </c>
      <c r="T565" s="67" t="e">
        <f t="shared" si="207"/>
        <v>#DIV/0!</v>
      </c>
      <c r="U565" s="64" t="e">
        <f t="shared" si="208"/>
        <v>#DIV/0!</v>
      </c>
      <c r="V565" s="69" t="e">
        <f t="shared" si="209"/>
        <v>#DIV/0!</v>
      </c>
    </row>
    <row r="566" spans="1:22" x14ac:dyDescent="0.3">
      <c r="A566" s="61" t="s">
        <v>316</v>
      </c>
      <c r="B566" s="62" t="s">
        <v>317</v>
      </c>
      <c r="C566" s="62" t="s">
        <v>841</v>
      </c>
      <c r="D566" s="62" t="s">
        <v>976</v>
      </c>
      <c r="E566" s="63" t="s">
        <v>977</v>
      </c>
      <c r="F566" s="62" t="s">
        <v>365</v>
      </c>
      <c r="G566" s="62" t="s">
        <v>238</v>
      </c>
      <c r="H566" s="62" t="s">
        <v>11</v>
      </c>
      <c r="I566" s="62" t="s">
        <v>210</v>
      </c>
      <c r="J566" s="63" t="s">
        <v>239</v>
      </c>
      <c r="K566" s="62" t="s">
        <v>317</v>
      </c>
      <c r="L566" s="64">
        <v>125.64999999999999</v>
      </c>
      <c r="M566" s="64">
        <f t="shared" si="204"/>
        <v>125.64999999999999</v>
      </c>
      <c r="N566" s="65">
        <f>prodnorm24</f>
        <v>0</v>
      </c>
      <c r="O566" s="66">
        <f>dagwerk24</f>
        <v>0</v>
      </c>
      <c r="P566" s="62" t="s">
        <v>40</v>
      </c>
      <c r="Q566" s="67">
        <f>uurtarief24</f>
        <v>0</v>
      </c>
      <c r="R566" s="64" t="e">
        <f t="shared" si="205"/>
        <v>#DIV/0!</v>
      </c>
      <c r="S566" s="64" t="e">
        <f t="shared" si="206"/>
        <v>#DIV/0!</v>
      </c>
      <c r="T566" s="67" t="e">
        <f t="shared" si="207"/>
        <v>#DIV/0!</v>
      </c>
      <c r="U566" s="64" t="e">
        <f t="shared" si="208"/>
        <v>#DIV/0!</v>
      </c>
      <c r="V566" s="69" t="e">
        <f t="shared" si="209"/>
        <v>#DIV/0!</v>
      </c>
    </row>
    <row r="567" spans="1:22" x14ac:dyDescent="0.3">
      <c r="A567" s="61" t="s">
        <v>316</v>
      </c>
      <c r="B567" s="62" t="s">
        <v>317</v>
      </c>
      <c r="C567" s="62" t="s">
        <v>841</v>
      </c>
      <c r="D567" s="62" t="s">
        <v>978</v>
      </c>
      <c r="E567" s="63" t="s">
        <v>391</v>
      </c>
      <c r="F567" s="62" t="s">
        <v>365</v>
      </c>
      <c r="G567" s="62" t="s">
        <v>234</v>
      </c>
      <c r="H567" s="62" t="s">
        <v>14</v>
      </c>
      <c r="I567" s="62" t="s">
        <v>210</v>
      </c>
      <c r="J567" s="63" t="s">
        <v>235</v>
      </c>
      <c r="K567" s="62" t="s">
        <v>317</v>
      </c>
      <c r="L567" s="64">
        <v>62.08</v>
      </c>
      <c r="M567" s="64">
        <f t="shared" si="204"/>
        <v>37.247999999999998</v>
      </c>
      <c r="N567" s="65">
        <f>prodnorm22</f>
        <v>0</v>
      </c>
      <c r="O567" s="66">
        <f>dagwerk22</f>
        <v>0</v>
      </c>
      <c r="P567" s="62" t="s">
        <v>40</v>
      </c>
      <c r="Q567" s="67">
        <f>uurtarief22</f>
        <v>0</v>
      </c>
      <c r="R567" s="64" t="e">
        <f t="shared" si="205"/>
        <v>#DIV/0!</v>
      </c>
      <c r="S567" s="64" t="e">
        <f t="shared" si="206"/>
        <v>#DIV/0!</v>
      </c>
      <c r="T567" s="67" t="e">
        <f t="shared" si="207"/>
        <v>#DIV/0!</v>
      </c>
      <c r="U567" s="64" t="e">
        <f t="shared" si="208"/>
        <v>#DIV/0!</v>
      </c>
      <c r="V567" s="69" t="e">
        <f t="shared" si="209"/>
        <v>#DIV/0!</v>
      </c>
    </row>
    <row r="568" spans="1:22" x14ac:dyDescent="0.3">
      <c r="A568" s="61" t="s">
        <v>316</v>
      </c>
      <c r="B568" s="62" t="s">
        <v>317</v>
      </c>
      <c r="C568" s="62" t="s">
        <v>841</v>
      </c>
      <c r="D568" s="62" t="s">
        <v>979</v>
      </c>
      <c r="E568" s="63" t="s">
        <v>980</v>
      </c>
      <c r="F568" s="62" t="s">
        <v>335</v>
      </c>
      <c r="G568" s="62" t="s">
        <v>266</v>
      </c>
      <c r="H568" s="62" t="s">
        <v>11</v>
      </c>
      <c r="I568" s="62" t="s">
        <v>210</v>
      </c>
      <c r="J568" s="63" t="s">
        <v>267</v>
      </c>
      <c r="K568" s="62" t="s">
        <v>317</v>
      </c>
      <c r="L568" s="64">
        <v>2.23</v>
      </c>
      <c r="M568" s="64">
        <f t="shared" si="204"/>
        <v>2.23</v>
      </c>
      <c r="N568" s="65">
        <f>prodnorm39</f>
        <v>0</v>
      </c>
      <c r="O568" s="66">
        <f>dagwerk39</f>
        <v>0</v>
      </c>
      <c r="P568" s="62" t="s">
        <v>40</v>
      </c>
      <c r="Q568" s="67">
        <f>uurtarief39</f>
        <v>0</v>
      </c>
      <c r="R568" s="64" t="e">
        <f t="shared" si="205"/>
        <v>#DIV/0!</v>
      </c>
      <c r="S568" s="64" t="e">
        <f t="shared" si="206"/>
        <v>#DIV/0!</v>
      </c>
      <c r="T568" s="67" t="e">
        <f t="shared" si="207"/>
        <v>#DIV/0!</v>
      </c>
      <c r="U568" s="64" t="e">
        <f t="shared" si="208"/>
        <v>#DIV/0!</v>
      </c>
      <c r="V568" s="69" t="e">
        <f t="shared" si="209"/>
        <v>#DIV/0!</v>
      </c>
    </row>
    <row r="569" spans="1:22" x14ac:dyDescent="0.3">
      <c r="A569" s="61" t="s">
        <v>316</v>
      </c>
      <c r="B569" s="62" t="s">
        <v>317</v>
      </c>
      <c r="C569" s="62" t="s">
        <v>841</v>
      </c>
      <c r="D569" s="62" t="s">
        <v>981</v>
      </c>
      <c r="E569" s="63" t="s">
        <v>982</v>
      </c>
      <c r="F569" s="62" t="s">
        <v>335</v>
      </c>
      <c r="G569" s="62" t="s">
        <v>266</v>
      </c>
      <c r="H569" s="62" t="s">
        <v>11</v>
      </c>
      <c r="I569" s="62" t="s">
        <v>210</v>
      </c>
      <c r="J569" s="63" t="s">
        <v>267</v>
      </c>
      <c r="K569" s="62" t="s">
        <v>317</v>
      </c>
      <c r="L569" s="64">
        <v>2.0299999999999998</v>
      </c>
      <c r="M569" s="64">
        <f t="shared" si="204"/>
        <v>2.0299999999999998</v>
      </c>
      <c r="N569" s="65">
        <f>prodnorm39</f>
        <v>0</v>
      </c>
      <c r="O569" s="66">
        <f>dagwerk39</f>
        <v>0</v>
      </c>
      <c r="P569" s="62" t="s">
        <v>40</v>
      </c>
      <c r="Q569" s="67">
        <f>uurtarief39</f>
        <v>0</v>
      </c>
      <c r="R569" s="64" t="e">
        <f t="shared" si="205"/>
        <v>#DIV/0!</v>
      </c>
      <c r="S569" s="64" t="e">
        <f t="shared" si="206"/>
        <v>#DIV/0!</v>
      </c>
      <c r="T569" s="67" t="e">
        <f t="shared" si="207"/>
        <v>#DIV/0!</v>
      </c>
      <c r="U569" s="64" t="e">
        <f t="shared" si="208"/>
        <v>#DIV/0!</v>
      </c>
      <c r="V569" s="69" t="e">
        <f t="shared" si="209"/>
        <v>#DIV/0!</v>
      </c>
    </row>
    <row r="570" spans="1:22" x14ac:dyDescent="0.3">
      <c r="A570" s="61" t="s">
        <v>316</v>
      </c>
      <c r="B570" s="62" t="s">
        <v>317</v>
      </c>
      <c r="C570" s="62" t="s">
        <v>841</v>
      </c>
      <c r="D570" s="62" t="s">
        <v>983</v>
      </c>
      <c r="E570" s="63" t="s">
        <v>966</v>
      </c>
      <c r="F570" s="62" t="s">
        <v>348</v>
      </c>
      <c r="G570" s="62" t="s">
        <v>212</v>
      </c>
      <c r="H570" s="62" t="s">
        <v>17</v>
      </c>
      <c r="I570" s="62" t="s">
        <v>210</v>
      </c>
      <c r="J570" s="63" t="s">
        <v>213</v>
      </c>
      <c r="K570" s="62" t="s">
        <v>317</v>
      </c>
      <c r="L570" s="64">
        <v>22.91</v>
      </c>
      <c r="M570" s="64">
        <f t="shared" si="204"/>
        <v>4.5819999999999999</v>
      </c>
      <c r="N570" s="65">
        <f>prodnorm11</f>
        <v>0</v>
      </c>
      <c r="O570" s="66">
        <f>dagwerk11</f>
        <v>0</v>
      </c>
      <c r="P570" s="62" t="s">
        <v>40</v>
      </c>
      <c r="Q570" s="67">
        <f>uurtarief11</f>
        <v>0</v>
      </c>
      <c r="R570" s="64" t="e">
        <f t="shared" si="205"/>
        <v>#DIV/0!</v>
      </c>
      <c r="S570" s="64" t="e">
        <f t="shared" si="206"/>
        <v>#DIV/0!</v>
      </c>
      <c r="T570" s="67" t="e">
        <f t="shared" si="207"/>
        <v>#DIV/0!</v>
      </c>
      <c r="U570" s="64" t="e">
        <f t="shared" si="208"/>
        <v>#DIV/0!</v>
      </c>
      <c r="V570" s="69" t="e">
        <f t="shared" si="209"/>
        <v>#DIV/0!</v>
      </c>
    </row>
    <row r="571" spans="1:22" x14ac:dyDescent="0.3">
      <c r="A571" s="61" t="s">
        <v>316</v>
      </c>
      <c r="B571" s="62" t="s">
        <v>317</v>
      </c>
      <c r="C571" s="62" t="s">
        <v>841</v>
      </c>
      <c r="D571" s="62" t="s">
        <v>984</v>
      </c>
      <c r="E571" s="63" t="s">
        <v>374</v>
      </c>
      <c r="F571" s="62" t="s">
        <v>322</v>
      </c>
      <c r="G571" s="62" t="s">
        <v>323</v>
      </c>
      <c r="H571" s="62"/>
      <c r="I571" s="62"/>
      <c r="J571" s="62"/>
      <c r="K571" s="62" t="s">
        <v>317</v>
      </c>
      <c r="L571" s="64">
        <v>4.13</v>
      </c>
      <c r="M571" s="64"/>
      <c r="N571" s="65"/>
      <c r="O571" s="66"/>
      <c r="P571" s="62"/>
      <c r="Q571" s="67"/>
      <c r="R571" s="64"/>
      <c r="S571" s="64"/>
      <c r="T571" s="67"/>
      <c r="U571" s="68"/>
      <c r="V571" s="69"/>
    </row>
    <row r="572" spans="1:22" x14ac:dyDescent="0.3">
      <c r="A572" s="61" t="s">
        <v>316</v>
      </c>
      <c r="B572" s="62" t="s">
        <v>317</v>
      </c>
      <c r="C572" s="62" t="s">
        <v>841</v>
      </c>
      <c r="D572" s="62" t="s">
        <v>985</v>
      </c>
      <c r="E572" s="63" t="s">
        <v>381</v>
      </c>
      <c r="F572" s="62" t="s">
        <v>365</v>
      </c>
      <c r="G572" s="62" t="s">
        <v>323</v>
      </c>
      <c r="H572" s="62"/>
      <c r="I572" s="62"/>
      <c r="J572" s="62"/>
      <c r="K572" s="62" t="s">
        <v>317</v>
      </c>
      <c r="L572" s="64">
        <v>3.7</v>
      </c>
      <c r="M572" s="64"/>
      <c r="N572" s="65"/>
      <c r="O572" s="66"/>
      <c r="P572" s="62"/>
      <c r="Q572" s="67"/>
      <c r="R572" s="64"/>
      <c r="S572" s="64"/>
      <c r="T572" s="67"/>
      <c r="U572" s="68"/>
      <c r="V572" s="69"/>
    </row>
    <row r="573" spans="1:22" x14ac:dyDescent="0.3">
      <c r="A573" s="61" t="s">
        <v>316</v>
      </c>
      <c r="B573" s="62" t="s">
        <v>317</v>
      </c>
      <c r="C573" s="62" t="s">
        <v>841</v>
      </c>
      <c r="D573" s="62" t="s">
        <v>986</v>
      </c>
      <c r="E573" s="63" t="s">
        <v>693</v>
      </c>
      <c r="F573" s="62" t="s">
        <v>335</v>
      </c>
      <c r="G573" s="62" t="s">
        <v>228</v>
      </c>
      <c r="H573" s="62" t="s">
        <v>11</v>
      </c>
      <c r="I573" s="62" t="s">
        <v>210</v>
      </c>
      <c r="J573" s="63" t="s">
        <v>229</v>
      </c>
      <c r="K573" s="62" t="s">
        <v>317</v>
      </c>
      <c r="L573" s="64">
        <v>3.24</v>
      </c>
      <c r="M573" s="64">
        <f>L573*VLOOKUP(H573,dagsoorttabel1,2,FALSE)</f>
        <v>3.24</v>
      </c>
      <c r="N573" s="65">
        <f>prodnorm19</f>
        <v>0</v>
      </c>
      <c r="O573" s="66">
        <f>dagwerk19</f>
        <v>0</v>
      </c>
      <c r="P573" s="62" t="s">
        <v>40</v>
      </c>
      <c r="Q573" s="67">
        <f>uurtarief19</f>
        <v>0</v>
      </c>
      <c r="R573" s="64" t="e">
        <f>IF(ISBLANK(N573),0,M573/ROUND(N573,4))</f>
        <v>#DIV/0!</v>
      </c>
      <c r="S573" s="64" t="e">
        <f>IF(ISBLANK(N573),0,R573*ROUND(O573,2))</f>
        <v>#DIV/0!</v>
      </c>
      <c r="T573" s="67" t="e">
        <f>ROUND(Q573,2)*R573</f>
        <v>#DIV/0!</v>
      </c>
      <c r="U573" s="64" t="e">
        <f>R573*dagenperjaar1</f>
        <v>#DIV/0!</v>
      </c>
      <c r="V573" s="69" t="e">
        <f>U573*ROUND(Q573,2)</f>
        <v>#DIV/0!</v>
      </c>
    </row>
    <row r="574" spans="1:22" x14ac:dyDescent="0.3">
      <c r="A574" s="61" t="s">
        <v>316</v>
      </c>
      <c r="B574" s="62" t="s">
        <v>317</v>
      </c>
      <c r="C574" s="62" t="s">
        <v>841</v>
      </c>
      <c r="D574" s="62" t="s">
        <v>987</v>
      </c>
      <c r="E574" s="63" t="s">
        <v>321</v>
      </c>
      <c r="F574" s="62" t="s">
        <v>348</v>
      </c>
      <c r="G574" s="62" t="s">
        <v>323</v>
      </c>
      <c r="H574" s="62"/>
      <c r="I574" s="62"/>
      <c r="J574" s="62"/>
      <c r="K574" s="62" t="s">
        <v>317</v>
      </c>
      <c r="L574" s="64">
        <v>1.81</v>
      </c>
      <c r="M574" s="64"/>
      <c r="N574" s="65"/>
      <c r="O574" s="66"/>
      <c r="P574" s="62"/>
      <c r="Q574" s="67"/>
      <c r="R574" s="64"/>
      <c r="S574" s="64"/>
      <c r="T574" s="67"/>
      <c r="U574" s="68"/>
      <c r="V574" s="69"/>
    </row>
    <row r="575" spans="1:22" x14ac:dyDescent="0.3">
      <c r="A575" s="61" t="s">
        <v>316</v>
      </c>
      <c r="B575" s="62" t="s">
        <v>317</v>
      </c>
      <c r="C575" s="62" t="s">
        <v>988</v>
      </c>
      <c r="D575" s="62" t="s">
        <v>989</v>
      </c>
      <c r="E575" s="63" t="s">
        <v>843</v>
      </c>
      <c r="F575" s="62" t="s">
        <v>357</v>
      </c>
      <c r="G575" s="62" t="s">
        <v>272</v>
      </c>
      <c r="H575" s="62" t="s">
        <v>11</v>
      </c>
      <c r="I575" s="62" t="s">
        <v>210</v>
      </c>
      <c r="J575" s="63" t="s">
        <v>273</v>
      </c>
      <c r="K575" s="62" t="s">
        <v>317</v>
      </c>
      <c r="L575" s="64">
        <v>37.339999999999996</v>
      </c>
      <c r="M575" s="64">
        <f>L575*VLOOKUP(H575,dagsoorttabel1,2,FALSE)</f>
        <v>37.339999999999996</v>
      </c>
      <c r="N575" s="65">
        <f>prodnorm42</f>
        <v>0</v>
      </c>
      <c r="O575" s="66">
        <f>dagwerk42</f>
        <v>0</v>
      </c>
      <c r="P575" s="62" t="s">
        <v>40</v>
      </c>
      <c r="Q575" s="67">
        <f>uurtarief42</f>
        <v>0</v>
      </c>
      <c r="R575" s="64" t="e">
        <f>IF(ISBLANK(N575),0,M575/ROUND(N575,4))</f>
        <v>#DIV/0!</v>
      </c>
      <c r="S575" s="64" t="e">
        <f>IF(ISBLANK(N575),0,R575*ROUND(O575,2))</f>
        <v>#DIV/0!</v>
      </c>
      <c r="T575" s="67" t="e">
        <f>ROUND(Q575,2)*R575</f>
        <v>#DIV/0!</v>
      </c>
      <c r="U575" s="64" t="e">
        <f>R575*dagenperjaar1</f>
        <v>#DIV/0!</v>
      </c>
      <c r="V575" s="69" t="e">
        <f>U575*ROUND(Q575,2)</f>
        <v>#DIV/0!</v>
      </c>
    </row>
    <row r="576" spans="1:22" x14ac:dyDescent="0.3">
      <c r="A576" s="61" t="s">
        <v>316</v>
      </c>
      <c r="B576" s="62" t="s">
        <v>317</v>
      </c>
      <c r="C576" s="62" t="s">
        <v>988</v>
      </c>
      <c r="D576" s="62" t="s">
        <v>990</v>
      </c>
      <c r="E576" s="63" t="s">
        <v>553</v>
      </c>
      <c r="F576" s="62" t="s">
        <v>357</v>
      </c>
      <c r="G576" s="62" t="s">
        <v>323</v>
      </c>
      <c r="H576" s="62"/>
      <c r="I576" s="62"/>
      <c r="J576" s="62"/>
      <c r="K576" s="62" t="s">
        <v>317</v>
      </c>
      <c r="L576" s="64">
        <v>21.17</v>
      </c>
      <c r="M576" s="64"/>
      <c r="N576" s="65"/>
      <c r="O576" s="66"/>
      <c r="P576" s="62"/>
      <c r="Q576" s="67"/>
      <c r="R576" s="64"/>
      <c r="S576" s="64"/>
      <c r="T576" s="67"/>
      <c r="U576" s="68"/>
      <c r="V576" s="69"/>
    </row>
    <row r="577" spans="1:22" x14ac:dyDescent="0.3">
      <c r="A577" s="61" t="s">
        <v>316</v>
      </c>
      <c r="B577" s="62" t="s">
        <v>317</v>
      </c>
      <c r="C577" s="62" t="s">
        <v>988</v>
      </c>
      <c r="D577" s="62" t="s">
        <v>991</v>
      </c>
      <c r="E577" s="63" t="s">
        <v>321</v>
      </c>
      <c r="F577" s="62" t="s">
        <v>357</v>
      </c>
      <c r="G577" s="62" t="s">
        <v>323</v>
      </c>
      <c r="H577" s="62"/>
      <c r="I577" s="62"/>
      <c r="J577" s="62"/>
      <c r="K577" s="62" t="s">
        <v>317</v>
      </c>
      <c r="L577" s="64">
        <v>19.64</v>
      </c>
      <c r="M577" s="64"/>
      <c r="N577" s="65"/>
      <c r="O577" s="66"/>
      <c r="P577" s="62"/>
      <c r="Q577" s="67"/>
      <c r="R577" s="64"/>
      <c r="S577" s="64"/>
      <c r="T577" s="67"/>
      <c r="U577" s="68"/>
      <c r="V577" s="69"/>
    </row>
    <row r="578" spans="1:22" ht="28.8" x14ac:dyDescent="0.3">
      <c r="A578" s="61" t="s">
        <v>316</v>
      </c>
      <c r="B578" s="62" t="s">
        <v>317</v>
      </c>
      <c r="C578" s="62" t="s">
        <v>988</v>
      </c>
      <c r="D578" s="62" t="s">
        <v>992</v>
      </c>
      <c r="E578" s="63" t="s">
        <v>993</v>
      </c>
      <c r="F578" s="62" t="s">
        <v>357</v>
      </c>
      <c r="G578" s="62" t="s">
        <v>254</v>
      </c>
      <c r="H578" s="62" t="s">
        <v>11</v>
      </c>
      <c r="I578" s="62" t="s">
        <v>210</v>
      </c>
      <c r="J578" s="63" t="s">
        <v>255</v>
      </c>
      <c r="K578" s="62" t="s">
        <v>317</v>
      </c>
      <c r="L578" s="64">
        <v>74.92</v>
      </c>
      <c r="M578" s="64">
        <f>L578*VLOOKUP(H578,dagsoorttabel1,2,FALSE)</f>
        <v>74.92</v>
      </c>
      <c r="N578" s="65">
        <f>prodnorm33</f>
        <v>0</v>
      </c>
      <c r="O578" s="66">
        <f>dagwerk33</f>
        <v>0</v>
      </c>
      <c r="P578" s="62" t="s">
        <v>40</v>
      </c>
      <c r="Q578" s="67">
        <f>uurtarief33</f>
        <v>0</v>
      </c>
      <c r="R578" s="64" t="e">
        <f>IF(ISBLANK(N578),0,M578/ROUND(N578,4))</f>
        <v>#DIV/0!</v>
      </c>
      <c r="S578" s="64" t="e">
        <f>IF(ISBLANK(N578),0,R578*ROUND(O578,2))</f>
        <v>#DIV/0!</v>
      </c>
      <c r="T578" s="67" t="e">
        <f>ROUND(Q578,2)*R578</f>
        <v>#DIV/0!</v>
      </c>
      <c r="U578" s="64" t="e">
        <f>R578*dagenperjaar1</f>
        <v>#DIV/0!</v>
      </c>
      <c r="V578" s="69" t="e">
        <f>U578*ROUND(Q578,2)</f>
        <v>#DIV/0!</v>
      </c>
    </row>
    <row r="579" spans="1:22" x14ac:dyDescent="0.3">
      <c r="A579" s="61" t="s">
        <v>316</v>
      </c>
      <c r="B579" s="62" t="s">
        <v>317</v>
      </c>
      <c r="C579" s="62" t="s">
        <v>988</v>
      </c>
      <c r="D579" s="62" t="s">
        <v>994</v>
      </c>
      <c r="E579" s="63" t="s">
        <v>995</v>
      </c>
      <c r="F579" s="62" t="s">
        <v>357</v>
      </c>
      <c r="G579" s="62" t="s">
        <v>254</v>
      </c>
      <c r="H579" s="62" t="s">
        <v>11</v>
      </c>
      <c r="I579" s="62" t="s">
        <v>210</v>
      </c>
      <c r="J579" s="63" t="s">
        <v>255</v>
      </c>
      <c r="K579" s="62" t="s">
        <v>317</v>
      </c>
      <c r="L579" s="64">
        <v>25.110000000000003</v>
      </c>
      <c r="M579" s="64">
        <f>L579*VLOOKUP(H579,dagsoorttabel1,2,FALSE)</f>
        <v>25.110000000000003</v>
      </c>
      <c r="N579" s="65">
        <f>prodnorm33</f>
        <v>0</v>
      </c>
      <c r="O579" s="66">
        <f>dagwerk33</f>
        <v>0</v>
      </c>
      <c r="P579" s="62" t="s">
        <v>40</v>
      </c>
      <c r="Q579" s="67">
        <f>uurtarief33</f>
        <v>0</v>
      </c>
      <c r="R579" s="64" t="e">
        <f>IF(ISBLANK(N579),0,M579/ROUND(N579,4))</f>
        <v>#DIV/0!</v>
      </c>
      <c r="S579" s="64" t="e">
        <f>IF(ISBLANK(N579),0,R579*ROUND(O579,2))</f>
        <v>#DIV/0!</v>
      </c>
      <c r="T579" s="67" t="e">
        <f>ROUND(Q579,2)*R579</f>
        <v>#DIV/0!</v>
      </c>
      <c r="U579" s="64" t="e">
        <f>R579*dagenperjaar1</f>
        <v>#DIV/0!</v>
      </c>
      <c r="V579" s="69" t="e">
        <f>U579*ROUND(Q579,2)</f>
        <v>#DIV/0!</v>
      </c>
    </row>
    <row r="580" spans="1:22" x14ac:dyDescent="0.3">
      <c r="A580" s="61" t="s">
        <v>316</v>
      </c>
      <c r="B580" s="62" t="s">
        <v>317</v>
      </c>
      <c r="C580" s="62" t="s">
        <v>988</v>
      </c>
      <c r="D580" s="62" t="s">
        <v>996</v>
      </c>
      <c r="E580" s="63" t="s">
        <v>995</v>
      </c>
      <c r="F580" s="62" t="s">
        <v>357</v>
      </c>
      <c r="G580" s="62" t="s">
        <v>254</v>
      </c>
      <c r="H580" s="62" t="s">
        <v>11</v>
      </c>
      <c r="I580" s="62" t="s">
        <v>210</v>
      </c>
      <c r="J580" s="63" t="s">
        <v>255</v>
      </c>
      <c r="K580" s="62" t="s">
        <v>317</v>
      </c>
      <c r="L580" s="64">
        <v>75.2</v>
      </c>
      <c r="M580" s="64">
        <f>L580*VLOOKUP(H580,dagsoorttabel1,2,FALSE)</f>
        <v>75.2</v>
      </c>
      <c r="N580" s="65">
        <f>prodnorm33</f>
        <v>0</v>
      </c>
      <c r="O580" s="66">
        <f>dagwerk33</f>
        <v>0</v>
      </c>
      <c r="P580" s="62" t="s">
        <v>40</v>
      </c>
      <c r="Q580" s="67">
        <f>uurtarief33</f>
        <v>0</v>
      </c>
      <c r="R580" s="64" t="e">
        <f>IF(ISBLANK(N580),0,M580/ROUND(N580,4))</f>
        <v>#DIV/0!</v>
      </c>
      <c r="S580" s="64" t="e">
        <f>IF(ISBLANK(N580),0,R580*ROUND(O580,2))</f>
        <v>#DIV/0!</v>
      </c>
      <c r="T580" s="67" t="e">
        <f>ROUND(Q580,2)*R580</f>
        <v>#DIV/0!</v>
      </c>
      <c r="U580" s="64" t="e">
        <f>R580*dagenperjaar1</f>
        <v>#DIV/0!</v>
      </c>
      <c r="V580" s="69" t="e">
        <f>U580*ROUND(Q580,2)</f>
        <v>#DIV/0!</v>
      </c>
    </row>
    <row r="581" spans="1:22" x14ac:dyDescent="0.3">
      <c r="A581" s="61" t="s">
        <v>316</v>
      </c>
      <c r="B581" s="62" t="s">
        <v>317</v>
      </c>
      <c r="C581" s="62" t="s">
        <v>988</v>
      </c>
      <c r="D581" s="62" t="s">
        <v>997</v>
      </c>
      <c r="E581" s="63" t="s">
        <v>998</v>
      </c>
      <c r="F581" s="62" t="s">
        <v>357</v>
      </c>
      <c r="G581" s="62" t="s">
        <v>254</v>
      </c>
      <c r="H581" s="62" t="s">
        <v>11</v>
      </c>
      <c r="I581" s="62" t="s">
        <v>210</v>
      </c>
      <c r="J581" s="63" t="s">
        <v>255</v>
      </c>
      <c r="K581" s="62" t="s">
        <v>317</v>
      </c>
      <c r="L581" s="64">
        <v>77.510000000000005</v>
      </c>
      <c r="M581" s="64">
        <f>L581*VLOOKUP(H581,dagsoorttabel1,2,FALSE)</f>
        <v>77.510000000000005</v>
      </c>
      <c r="N581" s="65">
        <f>prodnorm33</f>
        <v>0</v>
      </c>
      <c r="O581" s="66">
        <f>dagwerk33</f>
        <v>0</v>
      </c>
      <c r="P581" s="62" t="s">
        <v>40</v>
      </c>
      <c r="Q581" s="67">
        <f>uurtarief33</f>
        <v>0</v>
      </c>
      <c r="R581" s="64" t="e">
        <f>IF(ISBLANK(N581),0,M581/ROUND(N581,4))</f>
        <v>#DIV/0!</v>
      </c>
      <c r="S581" s="64" t="e">
        <f>IF(ISBLANK(N581),0,R581*ROUND(O581,2))</f>
        <v>#DIV/0!</v>
      </c>
      <c r="T581" s="67" t="e">
        <f>ROUND(Q581,2)*R581</f>
        <v>#DIV/0!</v>
      </c>
      <c r="U581" s="64" t="e">
        <f>R581*dagenperjaar1</f>
        <v>#DIV/0!</v>
      </c>
      <c r="V581" s="69" t="e">
        <f>U581*ROUND(Q581,2)</f>
        <v>#DIV/0!</v>
      </c>
    </row>
    <row r="582" spans="1:22" x14ac:dyDescent="0.3">
      <c r="A582" s="61" t="s">
        <v>316</v>
      </c>
      <c r="B582" s="62" t="s">
        <v>317</v>
      </c>
      <c r="C582" s="62" t="s">
        <v>988</v>
      </c>
      <c r="D582" s="62" t="s">
        <v>999</v>
      </c>
      <c r="E582" s="63" t="s">
        <v>374</v>
      </c>
      <c r="F582" s="62" t="s">
        <v>357</v>
      </c>
      <c r="G582" s="62" t="s">
        <v>323</v>
      </c>
      <c r="H582" s="62"/>
      <c r="I582" s="62"/>
      <c r="J582" s="62"/>
      <c r="K582" s="62" t="s">
        <v>317</v>
      </c>
      <c r="L582" s="64">
        <v>10.360000000000001</v>
      </c>
      <c r="M582" s="64"/>
      <c r="N582" s="65"/>
      <c r="O582" s="66"/>
      <c r="P582" s="62"/>
      <c r="Q582" s="67"/>
      <c r="R582" s="64"/>
      <c r="S582" s="64"/>
      <c r="T582" s="67"/>
      <c r="U582" s="68"/>
      <c r="V582" s="69"/>
    </row>
    <row r="583" spans="1:22" x14ac:dyDescent="0.3">
      <c r="A583" s="61" t="s">
        <v>316</v>
      </c>
      <c r="B583" s="62" t="s">
        <v>317</v>
      </c>
      <c r="C583" s="62" t="s">
        <v>988</v>
      </c>
      <c r="D583" s="62" t="s">
        <v>1000</v>
      </c>
      <c r="E583" s="63" t="s">
        <v>374</v>
      </c>
      <c r="F583" s="62" t="s">
        <v>322</v>
      </c>
      <c r="G583" s="62" t="s">
        <v>323</v>
      </c>
      <c r="H583" s="62"/>
      <c r="I583" s="62"/>
      <c r="J583" s="62"/>
      <c r="K583" s="62" t="s">
        <v>317</v>
      </c>
      <c r="L583" s="64">
        <v>10.69</v>
      </c>
      <c r="M583" s="64"/>
      <c r="N583" s="65"/>
      <c r="O583" s="66"/>
      <c r="P583" s="62"/>
      <c r="Q583" s="67"/>
      <c r="R583" s="64"/>
      <c r="S583" s="64"/>
      <c r="T583" s="67"/>
      <c r="U583" s="68"/>
      <c r="V583" s="69"/>
    </row>
    <row r="584" spans="1:22" x14ac:dyDescent="0.3">
      <c r="A584" s="61" t="s">
        <v>316</v>
      </c>
      <c r="B584" s="62" t="s">
        <v>317</v>
      </c>
      <c r="C584" s="62" t="s">
        <v>988</v>
      </c>
      <c r="D584" s="62" t="s">
        <v>1001</v>
      </c>
      <c r="E584" s="63" t="s">
        <v>321</v>
      </c>
      <c r="F584" s="62" t="s">
        <v>357</v>
      </c>
      <c r="G584" s="62" t="s">
        <v>323</v>
      </c>
      <c r="H584" s="62"/>
      <c r="I584" s="62"/>
      <c r="J584" s="62"/>
      <c r="K584" s="62" t="s">
        <v>317</v>
      </c>
      <c r="L584" s="64">
        <v>24.5</v>
      </c>
      <c r="M584" s="64"/>
      <c r="N584" s="65"/>
      <c r="O584" s="66"/>
      <c r="P584" s="62"/>
      <c r="Q584" s="67"/>
      <c r="R584" s="64"/>
      <c r="S584" s="64"/>
      <c r="T584" s="67"/>
      <c r="U584" s="68"/>
      <c r="V584" s="69"/>
    </row>
    <row r="585" spans="1:22" x14ac:dyDescent="0.3">
      <c r="A585" s="61" t="s">
        <v>316</v>
      </c>
      <c r="B585" s="62" t="s">
        <v>317</v>
      </c>
      <c r="C585" s="62" t="s">
        <v>988</v>
      </c>
      <c r="D585" s="62" t="s">
        <v>1002</v>
      </c>
      <c r="E585" s="63" t="s">
        <v>639</v>
      </c>
      <c r="F585" s="62" t="s">
        <v>640</v>
      </c>
      <c r="G585" s="62" t="s">
        <v>286</v>
      </c>
      <c r="H585" s="62" t="s">
        <v>11</v>
      </c>
      <c r="I585" s="62" t="s">
        <v>210</v>
      </c>
      <c r="J585" s="63" t="s">
        <v>287</v>
      </c>
      <c r="K585" s="62" t="s">
        <v>317</v>
      </c>
      <c r="L585" s="64">
        <v>4.95</v>
      </c>
      <c r="M585" s="64">
        <f t="shared" ref="M585:M597" si="210">L585*VLOOKUP(H585,dagsoorttabel1,2,FALSE)</f>
        <v>4.95</v>
      </c>
      <c r="N585" s="65">
        <f>prodnorm49</f>
        <v>0</v>
      </c>
      <c r="O585" s="66">
        <f>dagwerk49</f>
        <v>0</v>
      </c>
      <c r="P585" s="62" t="s">
        <v>40</v>
      </c>
      <c r="Q585" s="67">
        <f>uurtarief49</f>
        <v>0</v>
      </c>
      <c r="R585" s="64" t="e">
        <f t="shared" ref="R585:R597" si="211">IF(ISBLANK(N585),0,M585/ROUND(N585,4))</f>
        <v>#DIV/0!</v>
      </c>
      <c r="S585" s="64" t="e">
        <f t="shared" ref="S585:S597" si="212">IF(ISBLANK(N585),0,R585*ROUND(O585,2))</f>
        <v>#DIV/0!</v>
      </c>
      <c r="T585" s="67" t="e">
        <f t="shared" ref="T585:T597" si="213">ROUND(Q585,2)*R585</f>
        <v>#DIV/0!</v>
      </c>
      <c r="U585" s="64" t="e">
        <f t="shared" ref="U585:U597" si="214">R585*dagenperjaar1</f>
        <v>#DIV/0!</v>
      </c>
      <c r="V585" s="69" t="e">
        <f t="shared" ref="V585:V597" si="215">U585*ROUND(Q585,2)</f>
        <v>#DIV/0!</v>
      </c>
    </row>
    <row r="586" spans="1:22" x14ac:dyDescent="0.3">
      <c r="A586" s="61" t="s">
        <v>316</v>
      </c>
      <c r="B586" s="62" t="s">
        <v>317</v>
      </c>
      <c r="C586" s="62" t="s">
        <v>988</v>
      </c>
      <c r="D586" s="62" t="s">
        <v>1003</v>
      </c>
      <c r="E586" s="63" t="s">
        <v>394</v>
      </c>
      <c r="F586" s="62" t="s">
        <v>357</v>
      </c>
      <c r="G586" s="62" t="s">
        <v>272</v>
      </c>
      <c r="H586" s="62" t="s">
        <v>11</v>
      </c>
      <c r="I586" s="62" t="s">
        <v>210</v>
      </c>
      <c r="J586" s="63" t="s">
        <v>273</v>
      </c>
      <c r="K586" s="62" t="s">
        <v>317</v>
      </c>
      <c r="L586" s="64">
        <v>7.95</v>
      </c>
      <c r="M586" s="64">
        <f t="shared" si="210"/>
        <v>7.95</v>
      </c>
      <c r="N586" s="65">
        <f>prodnorm42</f>
        <v>0</v>
      </c>
      <c r="O586" s="66">
        <f>dagwerk42</f>
        <v>0</v>
      </c>
      <c r="P586" s="62" t="s">
        <v>40</v>
      </c>
      <c r="Q586" s="67">
        <f>uurtarief42</f>
        <v>0</v>
      </c>
      <c r="R586" s="64" t="e">
        <f t="shared" si="211"/>
        <v>#DIV/0!</v>
      </c>
      <c r="S586" s="64" t="e">
        <f t="shared" si="212"/>
        <v>#DIV/0!</v>
      </c>
      <c r="T586" s="67" t="e">
        <f t="shared" si="213"/>
        <v>#DIV/0!</v>
      </c>
      <c r="U586" s="64" t="e">
        <f t="shared" si="214"/>
        <v>#DIV/0!</v>
      </c>
      <c r="V586" s="69" t="e">
        <f t="shared" si="215"/>
        <v>#DIV/0!</v>
      </c>
    </row>
    <row r="587" spans="1:22" ht="28.8" x14ac:dyDescent="0.3">
      <c r="A587" s="61" t="s">
        <v>316</v>
      </c>
      <c r="B587" s="62" t="s">
        <v>317</v>
      </c>
      <c r="C587" s="62" t="s">
        <v>988</v>
      </c>
      <c r="D587" s="62" t="s">
        <v>1004</v>
      </c>
      <c r="E587" s="63" t="s">
        <v>1005</v>
      </c>
      <c r="F587" s="62" t="s">
        <v>357</v>
      </c>
      <c r="G587" s="62" t="s">
        <v>248</v>
      </c>
      <c r="H587" s="62" t="s">
        <v>11</v>
      </c>
      <c r="I587" s="62" t="s">
        <v>210</v>
      </c>
      <c r="J587" s="63" t="s">
        <v>249</v>
      </c>
      <c r="K587" s="62" t="s">
        <v>317</v>
      </c>
      <c r="L587" s="64">
        <v>103.32</v>
      </c>
      <c r="M587" s="64">
        <f t="shared" si="210"/>
        <v>103.32</v>
      </c>
      <c r="N587" s="65">
        <f>prodnorm30</f>
        <v>0</v>
      </c>
      <c r="O587" s="66">
        <f>dagwerk30</f>
        <v>0</v>
      </c>
      <c r="P587" s="62" t="s">
        <v>40</v>
      </c>
      <c r="Q587" s="67">
        <f>uurtarief30</f>
        <v>0</v>
      </c>
      <c r="R587" s="64" t="e">
        <f t="shared" si="211"/>
        <v>#DIV/0!</v>
      </c>
      <c r="S587" s="64" t="e">
        <f t="shared" si="212"/>
        <v>#DIV/0!</v>
      </c>
      <c r="T587" s="67" t="e">
        <f t="shared" si="213"/>
        <v>#DIV/0!</v>
      </c>
      <c r="U587" s="64" t="e">
        <f t="shared" si="214"/>
        <v>#DIV/0!</v>
      </c>
      <c r="V587" s="69" t="e">
        <f t="shared" si="215"/>
        <v>#DIV/0!</v>
      </c>
    </row>
    <row r="588" spans="1:22" x14ac:dyDescent="0.3">
      <c r="A588" s="61" t="s">
        <v>316</v>
      </c>
      <c r="B588" s="62" t="s">
        <v>317</v>
      </c>
      <c r="C588" s="62" t="s">
        <v>988</v>
      </c>
      <c r="D588" s="62" t="s">
        <v>1006</v>
      </c>
      <c r="E588" s="63" t="s">
        <v>391</v>
      </c>
      <c r="F588" s="62" t="s">
        <v>357</v>
      </c>
      <c r="G588" s="62" t="s">
        <v>234</v>
      </c>
      <c r="H588" s="62" t="s">
        <v>14</v>
      </c>
      <c r="I588" s="62" t="s">
        <v>210</v>
      </c>
      <c r="J588" s="63" t="s">
        <v>235</v>
      </c>
      <c r="K588" s="62" t="s">
        <v>317</v>
      </c>
      <c r="L588" s="64">
        <v>54.61</v>
      </c>
      <c r="M588" s="64">
        <f t="shared" si="210"/>
        <v>32.765999999999998</v>
      </c>
      <c r="N588" s="65">
        <f>prodnorm22</f>
        <v>0</v>
      </c>
      <c r="O588" s="66">
        <f>dagwerk22</f>
        <v>0</v>
      </c>
      <c r="P588" s="62" t="s">
        <v>40</v>
      </c>
      <c r="Q588" s="67">
        <f>uurtarief22</f>
        <v>0</v>
      </c>
      <c r="R588" s="64" t="e">
        <f t="shared" si="211"/>
        <v>#DIV/0!</v>
      </c>
      <c r="S588" s="64" t="e">
        <f t="shared" si="212"/>
        <v>#DIV/0!</v>
      </c>
      <c r="T588" s="67" t="e">
        <f t="shared" si="213"/>
        <v>#DIV/0!</v>
      </c>
      <c r="U588" s="64" t="e">
        <f t="shared" si="214"/>
        <v>#DIV/0!</v>
      </c>
      <c r="V588" s="69" t="e">
        <f t="shared" si="215"/>
        <v>#DIV/0!</v>
      </c>
    </row>
    <row r="589" spans="1:22" x14ac:dyDescent="0.3">
      <c r="A589" s="61" t="s">
        <v>316</v>
      </c>
      <c r="B589" s="62" t="s">
        <v>317</v>
      </c>
      <c r="C589" s="62" t="s">
        <v>988</v>
      </c>
      <c r="D589" s="62" t="s">
        <v>1007</v>
      </c>
      <c r="E589" s="63" t="s">
        <v>394</v>
      </c>
      <c r="F589" s="62" t="s">
        <v>357</v>
      </c>
      <c r="G589" s="62" t="s">
        <v>272</v>
      </c>
      <c r="H589" s="62" t="s">
        <v>11</v>
      </c>
      <c r="I589" s="62" t="s">
        <v>210</v>
      </c>
      <c r="J589" s="63" t="s">
        <v>273</v>
      </c>
      <c r="K589" s="62" t="s">
        <v>317</v>
      </c>
      <c r="L589" s="64">
        <v>41.18</v>
      </c>
      <c r="M589" s="64">
        <f t="shared" si="210"/>
        <v>41.18</v>
      </c>
      <c r="N589" s="65">
        <f>prodnorm42</f>
        <v>0</v>
      </c>
      <c r="O589" s="66">
        <f>dagwerk42</f>
        <v>0</v>
      </c>
      <c r="P589" s="62" t="s">
        <v>40</v>
      </c>
      <c r="Q589" s="67">
        <f>uurtarief42</f>
        <v>0</v>
      </c>
      <c r="R589" s="64" t="e">
        <f t="shared" si="211"/>
        <v>#DIV/0!</v>
      </c>
      <c r="S589" s="64" t="e">
        <f t="shared" si="212"/>
        <v>#DIV/0!</v>
      </c>
      <c r="T589" s="67" t="e">
        <f t="shared" si="213"/>
        <v>#DIV/0!</v>
      </c>
      <c r="U589" s="64" t="e">
        <f t="shared" si="214"/>
        <v>#DIV/0!</v>
      </c>
      <c r="V589" s="69" t="e">
        <f t="shared" si="215"/>
        <v>#DIV/0!</v>
      </c>
    </row>
    <row r="590" spans="1:22" x14ac:dyDescent="0.3">
      <c r="A590" s="61" t="s">
        <v>316</v>
      </c>
      <c r="B590" s="62" t="s">
        <v>317</v>
      </c>
      <c r="C590" s="62" t="s">
        <v>988</v>
      </c>
      <c r="D590" s="62" t="s">
        <v>1008</v>
      </c>
      <c r="E590" s="63" t="s">
        <v>330</v>
      </c>
      <c r="F590" s="62" t="s">
        <v>389</v>
      </c>
      <c r="G590" s="62" t="s">
        <v>286</v>
      </c>
      <c r="H590" s="62" t="s">
        <v>11</v>
      </c>
      <c r="I590" s="62" t="s">
        <v>210</v>
      </c>
      <c r="J590" s="63" t="s">
        <v>287</v>
      </c>
      <c r="K590" s="62" t="s">
        <v>317</v>
      </c>
      <c r="L590" s="64">
        <v>26.16</v>
      </c>
      <c r="M590" s="64">
        <f t="shared" si="210"/>
        <v>26.16</v>
      </c>
      <c r="N590" s="65">
        <f>prodnorm49</f>
        <v>0</v>
      </c>
      <c r="O590" s="66">
        <f>dagwerk49</f>
        <v>0</v>
      </c>
      <c r="P590" s="62" t="s">
        <v>40</v>
      </c>
      <c r="Q590" s="67">
        <f>uurtarief49</f>
        <v>0</v>
      </c>
      <c r="R590" s="64" t="e">
        <f t="shared" si="211"/>
        <v>#DIV/0!</v>
      </c>
      <c r="S590" s="64" t="e">
        <f t="shared" si="212"/>
        <v>#DIV/0!</v>
      </c>
      <c r="T590" s="67" t="e">
        <f t="shared" si="213"/>
        <v>#DIV/0!</v>
      </c>
      <c r="U590" s="64" t="e">
        <f t="shared" si="214"/>
        <v>#DIV/0!</v>
      </c>
      <c r="V590" s="69" t="e">
        <f t="shared" si="215"/>
        <v>#DIV/0!</v>
      </c>
    </row>
    <row r="591" spans="1:22" x14ac:dyDescent="0.3">
      <c r="A591" s="61" t="s">
        <v>316</v>
      </c>
      <c r="B591" s="62" t="s">
        <v>317</v>
      </c>
      <c r="C591" s="62" t="s">
        <v>988</v>
      </c>
      <c r="D591" s="62" t="s">
        <v>1009</v>
      </c>
      <c r="E591" s="63" t="s">
        <v>330</v>
      </c>
      <c r="F591" s="62" t="s">
        <v>389</v>
      </c>
      <c r="G591" s="62" t="s">
        <v>286</v>
      </c>
      <c r="H591" s="62" t="s">
        <v>11</v>
      </c>
      <c r="I591" s="62" t="s">
        <v>210</v>
      </c>
      <c r="J591" s="63" t="s">
        <v>287</v>
      </c>
      <c r="K591" s="62" t="s">
        <v>317</v>
      </c>
      <c r="L591" s="64">
        <v>26.16</v>
      </c>
      <c r="M591" s="64">
        <f t="shared" si="210"/>
        <v>26.16</v>
      </c>
      <c r="N591" s="65">
        <f>prodnorm49</f>
        <v>0</v>
      </c>
      <c r="O591" s="66">
        <f>dagwerk49</f>
        <v>0</v>
      </c>
      <c r="P591" s="62" t="s">
        <v>40</v>
      </c>
      <c r="Q591" s="67">
        <f>uurtarief49</f>
        <v>0</v>
      </c>
      <c r="R591" s="64" t="e">
        <f t="shared" si="211"/>
        <v>#DIV/0!</v>
      </c>
      <c r="S591" s="64" t="e">
        <f t="shared" si="212"/>
        <v>#DIV/0!</v>
      </c>
      <c r="T591" s="67" t="e">
        <f t="shared" si="213"/>
        <v>#DIV/0!</v>
      </c>
      <c r="U591" s="64" t="e">
        <f t="shared" si="214"/>
        <v>#DIV/0!</v>
      </c>
      <c r="V591" s="69" t="e">
        <f t="shared" si="215"/>
        <v>#DIV/0!</v>
      </c>
    </row>
    <row r="592" spans="1:22" x14ac:dyDescent="0.3">
      <c r="A592" s="61" t="s">
        <v>316</v>
      </c>
      <c r="B592" s="62" t="s">
        <v>317</v>
      </c>
      <c r="C592" s="62" t="s">
        <v>988</v>
      </c>
      <c r="D592" s="62" t="s">
        <v>1010</v>
      </c>
      <c r="E592" s="63" t="s">
        <v>356</v>
      </c>
      <c r="F592" s="62" t="s">
        <v>348</v>
      </c>
      <c r="G592" s="62" t="s">
        <v>212</v>
      </c>
      <c r="H592" s="62" t="s">
        <v>17</v>
      </c>
      <c r="I592" s="62" t="s">
        <v>210</v>
      </c>
      <c r="J592" s="63" t="s">
        <v>213</v>
      </c>
      <c r="K592" s="62" t="s">
        <v>317</v>
      </c>
      <c r="L592" s="64">
        <v>17.279999999999998</v>
      </c>
      <c r="M592" s="64">
        <f t="shared" si="210"/>
        <v>3.4559999999999995</v>
      </c>
      <c r="N592" s="65">
        <f>prodnorm11</f>
        <v>0</v>
      </c>
      <c r="O592" s="66">
        <f>dagwerk11</f>
        <v>0</v>
      </c>
      <c r="P592" s="62" t="s">
        <v>40</v>
      </c>
      <c r="Q592" s="67">
        <f>uurtarief11</f>
        <v>0</v>
      </c>
      <c r="R592" s="64" t="e">
        <f t="shared" si="211"/>
        <v>#DIV/0!</v>
      </c>
      <c r="S592" s="64" t="e">
        <f t="shared" si="212"/>
        <v>#DIV/0!</v>
      </c>
      <c r="T592" s="67" t="e">
        <f t="shared" si="213"/>
        <v>#DIV/0!</v>
      </c>
      <c r="U592" s="64" t="e">
        <f t="shared" si="214"/>
        <v>#DIV/0!</v>
      </c>
      <c r="V592" s="69" t="e">
        <f t="shared" si="215"/>
        <v>#DIV/0!</v>
      </c>
    </row>
    <row r="593" spans="1:22" x14ac:dyDescent="0.3">
      <c r="A593" s="61" t="s">
        <v>316</v>
      </c>
      <c r="B593" s="62" t="s">
        <v>317</v>
      </c>
      <c r="C593" s="62" t="s">
        <v>988</v>
      </c>
      <c r="D593" s="62" t="s">
        <v>1011</v>
      </c>
      <c r="E593" s="63" t="s">
        <v>394</v>
      </c>
      <c r="F593" s="62" t="s">
        <v>389</v>
      </c>
      <c r="G593" s="62" t="s">
        <v>272</v>
      </c>
      <c r="H593" s="62" t="s">
        <v>11</v>
      </c>
      <c r="I593" s="62" t="s">
        <v>210</v>
      </c>
      <c r="J593" s="63" t="s">
        <v>273</v>
      </c>
      <c r="K593" s="62" t="s">
        <v>317</v>
      </c>
      <c r="L593" s="64">
        <v>33.28</v>
      </c>
      <c r="M593" s="64">
        <f t="shared" si="210"/>
        <v>33.28</v>
      </c>
      <c r="N593" s="65">
        <f>prodnorm42</f>
        <v>0</v>
      </c>
      <c r="O593" s="66">
        <f>dagwerk42</f>
        <v>0</v>
      </c>
      <c r="P593" s="62" t="s">
        <v>40</v>
      </c>
      <c r="Q593" s="67">
        <f>uurtarief42</f>
        <v>0</v>
      </c>
      <c r="R593" s="64" t="e">
        <f t="shared" si="211"/>
        <v>#DIV/0!</v>
      </c>
      <c r="S593" s="64" t="e">
        <f t="shared" si="212"/>
        <v>#DIV/0!</v>
      </c>
      <c r="T593" s="67" t="e">
        <f t="shared" si="213"/>
        <v>#DIV/0!</v>
      </c>
      <c r="U593" s="64" t="e">
        <f t="shared" si="214"/>
        <v>#DIV/0!</v>
      </c>
      <c r="V593" s="69" t="e">
        <f t="shared" si="215"/>
        <v>#DIV/0!</v>
      </c>
    </row>
    <row r="594" spans="1:22" x14ac:dyDescent="0.3">
      <c r="A594" s="61" t="s">
        <v>316</v>
      </c>
      <c r="B594" s="62" t="s">
        <v>317</v>
      </c>
      <c r="C594" s="62" t="s">
        <v>988</v>
      </c>
      <c r="D594" s="62" t="s">
        <v>1012</v>
      </c>
      <c r="E594" s="63" t="s">
        <v>394</v>
      </c>
      <c r="F594" s="62" t="s">
        <v>389</v>
      </c>
      <c r="G594" s="62" t="s">
        <v>272</v>
      </c>
      <c r="H594" s="62" t="s">
        <v>11</v>
      </c>
      <c r="I594" s="62" t="s">
        <v>210</v>
      </c>
      <c r="J594" s="63" t="s">
        <v>273</v>
      </c>
      <c r="K594" s="62" t="s">
        <v>317</v>
      </c>
      <c r="L594" s="64">
        <v>109.74000000000001</v>
      </c>
      <c r="M594" s="64">
        <f t="shared" si="210"/>
        <v>109.74000000000001</v>
      </c>
      <c r="N594" s="65">
        <f>prodnorm42</f>
        <v>0</v>
      </c>
      <c r="O594" s="66">
        <f>dagwerk42</f>
        <v>0</v>
      </c>
      <c r="P594" s="62" t="s">
        <v>40</v>
      </c>
      <c r="Q594" s="67">
        <f>uurtarief42</f>
        <v>0</v>
      </c>
      <c r="R594" s="64" t="e">
        <f t="shared" si="211"/>
        <v>#DIV/0!</v>
      </c>
      <c r="S594" s="64" t="e">
        <f t="shared" si="212"/>
        <v>#DIV/0!</v>
      </c>
      <c r="T594" s="67" t="e">
        <f t="shared" si="213"/>
        <v>#DIV/0!</v>
      </c>
      <c r="U594" s="64" t="e">
        <f t="shared" si="214"/>
        <v>#DIV/0!</v>
      </c>
      <c r="V594" s="69" t="e">
        <f t="shared" si="215"/>
        <v>#DIV/0!</v>
      </c>
    </row>
    <row r="595" spans="1:22" x14ac:dyDescent="0.3">
      <c r="A595" s="61" t="s">
        <v>316</v>
      </c>
      <c r="B595" s="62" t="s">
        <v>317</v>
      </c>
      <c r="C595" s="62" t="s">
        <v>988</v>
      </c>
      <c r="D595" s="62" t="s">
        <v>1013</v>
      </c>
      <c r="E595" s="63" t="s">
        <v>394</v>
      </c>
      <c r="F595" s="62" t="s">
        <v>389</v>
      </c>
      <c r="G595" s="62" t="s">
        <v>272</v>
      </c>
      <c r="H595" s="62" t="s">
        <v>11</v>
      </c>
      <c r="I595" s="62" t="s">
        <v>210</v>
      </c>
      <c r="J595" s="63" t="s">
        <v>273</v>
      </c>
      <c r="K595" s="62" t="s">
        <v>317</v>
      </c>
      <c r="L595" s="64">
        <v>124.25</v>
      </c>
      <c r="M595" s="64">
        <f t="shared" si="210"/>
        <v>124.25</v>
      </c>
      <c r="N595" s="65">
        <f>prodnorm42</f>
        <v>0</v>
      </c>
      <c r="O595" s="66">
        <f>dagwerk42</f>
        <v>0</v>
      </c>
      <c r="P595" s="62" t="s">
        <v>40</v>
      </c>
      <c r="Q595" s="67">
        <f>uurtarief42</f>
        <v>0</v>
      </c>
      <c r="R595" s="64" t="e">
        <f t="shared" si="211"/>
        <v>#DIV/0!</v>
      </c>
      <c r="S595" s="64" t="e">
        <f t="shared" si="212"/>
        <v>#DIV/0!</v>
      </c>
      <c r="T595" s="67" t="e">
        <f t="shared" si="213"/>
        <v>#DIV/0!</v>
      </c>
      <c r="U595" s="64" t="e">
        <f t="shared" si="214"/>
        <v>#DIV/0!</v>
      </c>
      <c r="V595" s="69" t="e">
        <f t="shared" si="215"/>
        <v>#DIV/0!</v>
      </c>
    </row>
    <row r="596" spans="1:22" x14ac:dyDescent="0.3">
      <c r="A596" s="61" t="s">
        <v>316</v>
      </c>
      <c r="B596" s="62" t="s">
        <v>317</v>
      </c>
      <c r="C596" s="62" t="s">
        <v>988</v>
      </c>
      <c r="D596" s="62" t="s">
        <v>1014</v>
      </c>
      <c r="E596" s="63" t="s">
        <v>394</v>
      </c>
      <c r="F596" s="62" t="s">
        <v>389</v>
      </c>
      <c r="G596" s="62" t="s">
        <v>272</v>
      </c>
      <c r="H596" s="62" t="s">
        <v>11</v>
      </c>
      <c r="I596" s="62" t="s">
        <v>210</v>
      </c>
      <c r="J596" s="63" t="s">
        <v>273</v>
      </c>
      <c r="K596" s="62" t="s">
        <v>317</v>
      </c>
      <c r="L596" s="64">
        <v>56.06</v>
      </c>
      <c r="M596" s="64">
        <f t="shared" si="210"/>
        <v>56.06</v>
      </c>
      <c r="N596" s="65">
        <f>prodnorm42</f>
        <v>0</v>
      </c>
      <c r="O596" s="66">
        <f>dagwerk42</f>
        <v>0</v>
      </c>
      <c r="P596" s="62" t="s">
        <v>40</v>
      </c>
      <c r="Q596" s="67">
        <f>uurtarief42</f>
        <v>0</v>
      </c>
      <c r="R596" s="64" t="e">
        <f t="shared" si="211"/>
        <v>#DIV/0!</v>
      </c>
      <c r="S596" s="64" t="e">
        <f t="shared" si="212"/>
        <v>#DIV/0!</v>
      </c>
      <c r="T596" s="67" t="e">
        <f t="shared" si="213"/>
        <v>#DIV/0!</v>
      </c>
      <c r="U596" s="64" t="e">
        <f t="shared" si="214"/>
        <v>#DIV/0!</v>
      </c>
      <c r="V596" s="69" t="e">
        <f t="shared" si="215"/>
        <v>#DIV/0!</v>
      </c>
    </row>
    <row r="597" spans="1:22" x14ac:dyDescent="0.3">
      <c r="A597" s="61" t="s">
        <v>316</v>
      </c>
      <c r="B597" s="62" t="s">
        <v>317</v>
      </c>
      <c r="C597" s="62" t="s">
        <v>988</v>
      </c>
      <c r="D597" s="62" t="s">
        <v>1015</v>
      </c>
      <c r="E597" s="63" t="s">
        <v>394</v>
      </c>
      <c r="F597" s="62" t="s">
        <v>389</v>
      </c>
      <c r="G597" s="62" t="s">
        <v>272</v>
      </c>
      <c r="H597" s="62" t="s">
        <v>11</v>
      </c>
      <c r="I597" s="62" t="s">
        <v>210</v>
      </c>
      <c r="J597" s="63" t="s">
        <v>273</v>
      </c>
      <c r="K597" s="62" t="s">
        <v>317</v>
      </c>
      <c r="L597" s="64">
        <v>55.04</v>
      </c>
      <c r="M597" s="64">
        <f t="shared" si="210"/>
        <v>55.04</v>
      </c>
      <c r="N597" s="65">
        <f>prodnorm42</f>
        <v>0</v>
      </c>
      <c r="O597" s="66">
        <f>dagwerk42</f>
        <v>0</v>
      </c>
      <c r="P597" s="62" t="s">
        <v>40</v>
      </c>
      <c r="Q597" s="67">
        <f>uurtarief42</f>
        <v>0</v>
      </c>
      <c r="R597" s="64" t="e">
        <f t="shared" si="211"/>
        <v>#DIV/0!</v>
      </c>
      <c r="S597" s="64" t="e">
        <f t="shared" si="212"/>
        <v>#DIV/0!</v>
      </c>
      <c r="T597" s="67" t="e">
        <f t="shared" si="213"/>
        <v>#DIV/0!</v>
      </c>
      <c r="U597" s="64" t="e">
        <f t="shared" si="214"/>
        <v>#DIV/0!</v>
      </c>
      <c r="V597" s="69" t="e">
        <f t="shared" si="215"/>
        <v>#DIV/0!</v>
      </c>
    </row>
    <row r="598" spans="1:22" x14ac:dyDescent="0.3">
      <c r="A598" s="61" t="s">
        <v>316</v>
      </c>
      <c r="B598" s="62" t="s">
        <v>317</v>
      </c>
      <c r="C598" s="62" t="s">
        <v>988</v>
      </c>
      <c r="D598" s="62" t="s">
        <v>1016</v>
      </c>
      <c r="E598" s="63" t="s">
        <v>374</v>
      </c>
      <c r="F598" s="62" t="s">
        <v>322</v>
      </c>
      <c r="G598" s="62" t="s">
        <v>323</v>
      </c>
      <c r="H598" s="62"/>
      <c r="I598" s="62"/>
      <c r="J598" s="62"/>
      <c r="K598" s="62" t="s">
        <v>317</v>
      </c>
      <c r="L598" s="64">
        <v>0.83000000000000007</v>
      </c>
      <c r="M598" s="64"/>
      <c r="N598" s="65"/>
      <c r="O598" s="66"/>
      <c r="P598" s="62"/>
      <c r="Q598" s="67"/>
      <c r="R598" s="64"/>
      <c r="S598" s="64"/>
      <c r="T598" s="67"/>
      <c r="U598" s="68"/>
      <c r="V598" s="69"/>
    </row>
    <row r="599" spans="1:22" x14ac:dyDescent="0.3">
      <c r="A599" s="61" t="s">
        <v>316</v>
      </c>
      <c r="B599" s="62" t="s">
        <v>317</v>
      </c>
      <c r="C599" s="62" t="s">
        <v>988</v>
      </c>
      <c r="D599" s="62" t="s">
        <v>1017</v>
      </c>
      <c r="E599" s="63" t="s">
        <v>356</v>
      </c>
      <c r="F599" s="62" t="s">
        <v>348</v>
      </c>
      <c r="G599" s="62" t="s">
        <v>212</v>
      </c>
      <c r="H599" s="62" t="s">
        <v>17</v>
      </c>
      <c r="I599" s="62" t="s">
        <v>210</v>
      </c>
      <c r="J599" s="63" t="s">
        <v>213</v>
      </c>
      <c r="K599" s="62" t="s">
        <v>317</v>
      </c>
      <c r="L599" s="64">
        <v>12.41</v>
      </c>
      <c r="M599" s="64">
        <f t="shared" ref="M599:M606" si="216">L599*VLOOKUP(H599,dagsoorttabel1,2,FALSE)</f>
        <v>2.4820000000000002</v>
      </c>
      <c r="N599" s="65">
        <f>prodnorm11</f>
        <v>0</v>
      </c>
      <c r="O599" s="66">
        <f>dagwerk11</f>
        <v>0</v>
      </c>
      <c r="P599" s="62" t="s">
        <v>40</v>
      </c>
      <c r="Q599" s="67">
        <f>uurtarief11</f>
        <v>0</v>
      </c>
      <c r="R599" s="64" t="e">
        <f t="shared" ref="R599:R606" si="217">IF(ISBLANK(N599),0,M599/ROUND(N599,4))</f>
        <v>#DIV/0!</v>
      </c>
      <c r="S599" s="64" t="e">
        <f t="shared" ref="S599:S606" si="218">IF(ISBLANK(N599),0,R599*ROUND(O599,2))</f>
        <v>#DIV/0!</v>
      </c>
      <c r="T599" s="67" t="e">
        <f t="shared" ref="T599:T606" si="219">ROUND(Q599,2)*R599</f>
        <v>#DIV/0!</v>
      </c>
      <c r="U599" s="64" t="e">
        <f t="shared" ref="U599:U606" si="220">R599*dagenperjaar1</f>
        <v>#DIV/0!</v>
      </c>
      <c r="V599" s="69" t="e">
        <f t="shared" ref="V599:V606" si="221">U599*ROUND(Q599,2)</f>
        <v>#DIV/0!</v>
      </c>
    </row>
    <row r="600" spans="1:22" x14ac:dyDescent="0.3">
      <c r="A600" s="61" t="s">
        <v>316</v>
      </c>
      <c r="B600" s="62" t="s">
        <v>317</v>
      </c>
      <c r="C600" s="62" t="s">
        <v>988</v>
      </c>
      <c r="D600" s="62" t="s">
        <v>1018</v>
      </c>
      <c r="E600" s="63" t="s">
        <v>356</v>
      </c>
      <c r="F600" s="62" t="s">
        <v>348</v>
      </c>
      <c r="G600" s="62" t="s">
        <v>212</v>
      </c>
      <c r="H600" s="62" t="s">
        <v>17</v>
      </c>
      <c r="I600" s="62" t="s">
        <v>210</v>
      </c>
      <c r="J600" s="63" t="s">
        <v>213</v>
      </c>
      <c r="K600" s="62" t="s">
        <v>317</v>
      </c>
      <c r="L600" s="64">
        <v>12.33</v>
      </c>
      <c r="M600" s="64">
        <f t="shared" si="216"/>
        <v>2.4660000000000002</v>
      </c>
      <c r="N600" s="65">
        <f>prodnorm11</f>
        <v>0</v>
      </c>
      <c r="O600" s="66">
        <f>dagwerk11</f>
        <v>0</v>
      </c>
      <c r="P600" s="62" t="s">
        <v>40</v>
      </c>
      <c r="Q600" s="67">
        <f>uurtarief11</f>
        <v>0</v>
      </c>
      <c r="R600" s="64" t="e">
        <f t="shared" si="217"/>
        <v>#DIV/0!</v>
      </c>
      <c r="S600" s="64" t="e">
        <f t="shared" si="218"/>
        <v>#DIV/0!</v>
      </c>
      <c r="T600" s="67" t="e">
        <f t="shared" si="219"/>
        <v>#DIV/0!</v>
      </c>
      <c r="U600" s="64" t="e">
        <f t="shared" si="220"/>
        <v>#DIV/0!</v>
      </c>
      <c r="V600" s="69" t="e">
        <f t="shared" si="221"/>
        <v>#DIV/0!</v>
      </c>
    </row>
    <row r="601" spans="1:22" x14ac:dyDescent="0.3">
      <c r="A601" s="61" t="s">
        <v>316</v>
      </c>
      <c r="B601" s="62" t="s">
        <v>317</v>
      </c>
      <c r="C601" s="62" t="s">
        <v>988</v>
      </c>
      <c r="D601" s="62" t="s">
        <v>1019</v>
      </c>
      <c r="E601" s="63" t="s">
        <v>396</v>
      </c>
      <c r="F601" s="62" t="s">
        <v>348</v>
      </c>
      <c r="G601" s="62" t="s">
        <v>240</v>
      </c>
      <c r="H601" s="62" t="s">
        <v>11</v>
      </c>
      <c r="I601" s="62" t="s">
        <v>210</v>
      </c>
      <c r="J601" s="63" t="s">
        <v>241</v>
      </c>
      <c r="K601" s="62" t="s">
        <v>317</v>
      </c>
      <c r="L601" s="64">
        <v>6.5</v>
      </c>
      <c r="M601" s="64">
        <f t="shared" si="216"/>
        <v>6.5</v>
      </c>
      <c r="N601" s="65">
        <f>prodnorm25</f>
        <v>0</v>
      </c>
      <c r="O601" s="66">
        <f>dagwerk25</f>
        <v>0</v>
      </c>
      <c r="P601" s="62" t="s">
        <v>40</v>
      </c>
      <c r="Q601" s="67">
        <f>uurtarief25</f>
        <v>0</v>
      </c>
      <c r="R601" s="64" t="e">
        <f t="shared" si="217"/>
        <v>#DIV/0!</v>
      </c>
      <c r="S601" s="64" t="e">
        <f t="shared" si="218"/>
        <v>#DIV/0!</v>
      </c>
      <c r="T601" s="67" t="e">
        <f t="shared" si="219"/>
        <v>#DIV/0!</v>
      </c>
      <c r="U601" s="64" t="e">
        <f t="shared" si="220"/>
        <v>#DIV/0!</v>
      </c>
      <c r="V601" s="69" t="e">
        <f t="shared" si="221"/>
        <v>#DIV/0!</v>
      </c>
    </row>
    <row r="602" spans="1:22" x14ac:dyDescent="0.3">
      <c r="A602" s="61" t="s">
        <v>316</v>
      </c>
      <c r="B602" s="62" t="s">
        <v>317</v>
      </c>
      <c r="C602" s="62" t="s">
        <v>988</v>
      </c>
      <c r="D602" s="62" t="s">
        <v>1020</v>
      </c>
      <c r="E602" s="63" t="s">
        <v>396</v>
      </c>
      <c r="F602" s="62" t="s">
        <v>348</v>
      </c>
      <c r="G602" s="62" t="s">
        <v>240</v>
      </c>
      <c r="H602" s="62" t="s">
        <v>11</v>
      </c>
      <c r="I602" s="62" t="s">
        <v>210</v>
      </c>
      <c r="J602" s="63" t="s">
        <v>241</v>
      </c>
      <c r="K602" s="62" t="s">
        <v>317</v>
      </c>
      <c r="L602" s="64">
        <v>6.5</v>
      </c>
      <c r="M602" s="64">
        <f t="shared" si="216"/>
        <v>6.5</v>
      </c>
      <c r="N602" s="65">
        <f>prodnorm25</f>
        <v>0</v>
      </c>
      <c r="O602" s="66">
        <f>dagwerk25</f>
        <v>0</v>
      </c>
      <c r="P602" s="62" t="s">
        <v>40</v>
      </c>
      <c r="Q602" s="67">
        <f>uurtarief25</f>
        <v>0</v>
      </c>
      <c r="R602" s="64" t="e">
        <f t="shared" si="217"/>
        <v>#DIV/0!</v>
      </c>
      <c r="S602" s="64" t="e">
        <f t="shared" si="218"/>
        <v>#DIV/0!</v>
      </c>
      <c r="T602" s="67" t="e">
        <f t="shared" si="219"/>
        <v>#DIV/0!</v>
      </c>
      <c r="U602" s="64" t="e">
        <f t="shared" si="220"/>
        <v>#DIV/0!</v>
      </c>
      <c r="V602" s="69" t="e">
        <f t="shared" si="221"/>
        <v>#DIV/0!</v>
      </c>
    </row>
    <row r="603" spans="1:22" x14ac:dyDescent="0.3">
      <c r="A603" s="61" t="s">
        <v>316</v>
      </c>
      <c r="B603" s="62" t="s">
        <v>317</v>
      </c>
      <c r="C603" s="62" t="s">
        <v>988</v>
      </c>
      <c r="D603" s="62" t="s">
        <v>1021</v>
      </c>
      <c r="E603" s="63" t="s">
        <v>396</v>
      </c>
      <c r="F603" s="62" t="s">
        <v>348</v>
      </c>
      <c r="G603" s="62" t="s">
        <v>240</v>
      </c>
      <c r="H603" s="62" t="s">
        <v>11</v>
      </c>
      <c r="I603" s="62" t="s">
        <v>210</v>
      </c>
      <c r="J603" s="63" t="s">
        <v>241</v>
      </c>
      <c r="K603" s="62" t="s">
        <v>317</v>
      </c>
      <c r="L603" s="64">
        <v>113.02</v>
      </c>
      <c r="M603" s="64">
        <f t="shared" si="216"/>
        <v>113.02</v>
      </c>
      <c r="N603" s="65">
        <f>prodnorm25</f>
        <v>0</v>
      </c>
      <c r="O603" s="66">
        <f>dagwerk25</f>
        <v>0</v>
      </c>
      <c r="P603" s="62" t="s">
        <v>40</v>
      </c>
      <c r="Q603" s="67">
        <f>uurtarief25</f>
        <v>0</v>
      </c>
      <c r="R603" s="64" t="e">
        <f t="shared" si="217"/>
        <v>#DIV/0!</v>
      </c>
      <c r="S603" s="64" t="e">
        <f t="shared" si="218"/>
        <v>#DIV/0!</v>
      </c>
      <c r="T603" s="67" t="e">
        <f t="shared" si="219"/>
        <v>#DIV/0!</v>
      </c>
      <c r="U603" s="64" t="e">
        <f t="shared" si="220"/>
        <v>#DIV/0!</v>
      </c>
      <c r="V603" s="69" t="e">
        <f t="shared" si="221"/>
        <v>#DIV/0!</v>
      </c>
    </row>
    <row r="604" spans="1:22" x14ac:dyDescent="0.3">
      <c r="A604" s="61" t="s">
        <v>316</v>
      </c>
      <c r="B604" s="62" t="s">
        <v>317</v>
      </c>
      <c r="C604" s="62" t="s">
        <v>988</v>
      </c>
      <c r="D604" s="62" t="s">
        <v>1022</v>
      </c>
      <c r="E604" s="63" t="s">
        <v>356</v>
      </c>
      <c r="F604" s="62" t="s">
        <v>348</v>
      </c>
      <c r="G604" s="62" t="s">
        <v>212</v>
      </c>
      <c r="H604" s="62" t="s">
        <v>17</v>
      </c>
      <c r="I604" s="62" t="s">
        <v>210</v>
      </c>
      <c r="J604" s="63" t="s">
        <v>213</v>
      </c>
      <c r="K604" s="62" t="s">
        <v>317</v>
      </c>
      <c r="L604" s="64">
        <v>14.25</v>
      </c>
      <c r="M604" s="64">
        <f t="shared" si="216"/>
        <v>2.85</v>
      </c>
      <c r="N604" s="65">
        <f>prodnorm11</f>
        <v>0</v>
      </c>
      <c r="O604" s="66">
        <f>dagwerk11</f>
        <v>0</v>
      </c>
      <c r="P604" s="62" t="s">
        <v>40</v>
      </c>
      <c r="Q604" s="67">
        <f>uurtarief11</f>
        <v>0</v>
      </c>
      <c r="R604" s="64" t="e">
        <f t="shared" si="217"/>
        <v>#DIV/0!</v>
      </c>
      <c r="S604" s="64" t="e">
        <f t="shared" si="218"/>
        <v>#DIV/0!</v>
      </c>
      <c r="T604" s="67" t="e">
        <f t="shared" si="219"/>
        <v>#DIV/0!</v>
      </c>
      <c r="U604" s="64" t="e">
        <f t="shared" si="220"/>
        <v>#DIV/0!</v>
      </c>
      <c r="V604" s="69" t="e">
        <f t="shared" si="221"/>
        <v>#DIV/0!</v>
      </c>
    </row>
    <row r="605" spans="1:22" x14ac:dyDescent="0.3">
      <c r="A605" s="61" t="s">
        <v>316</v>
      </c>
      <c r="B605" s="62" t="s">
        <v>317</v>
      </c>
      <c r="C605" s="62" t="s">
        <v>988</v>
      </c>
      <c r="D605" s="62" t="s">
        <v>1023</v>
      </c>
      <c r="E605" s="63" t="s">
        <v>396</v>
      </c>
      <c r="F605" s="62" t="s">
        <v>348</v>
      </c>
      <c r="G605" s="62" t="s">
        <v>240</v>
      </c>
      <c r="H605" s="62" t="s">
        <v>11</v>
      </c>
      <c r="I605" s="62" t="s">
        <v>210</v>
      </c>
      <c r="J605" s="63" t="s">
        <v>241</v>
      </c>
      <c r="K605" s="62" t="s">
        <v>317</v>
      </c>
      <c r="L605" s="64">
        <v>101.82</v>
      </c>
      <c r="M605" s="64">
        <f t="shared" si="216"/>
        <v>101.82</v>
      </c>
      <c r="N605" s="65">
        <f>prodnorm25</f>
        <v>0</v>
      </c>
      <c r="O605" s="66">
        <f>dagwerk25</f>
        <v>0</v>
      </c>
      <c r="P605" s="62" t="s">
        <v>40</v>
      </c>
      <c r="Q605" s="67">
        <f>uurtarief25</f>
        <v>0</v>
      </c>
      <c r="R605" s="64" t="e">
        <f t="shared" si="217"/>
        <v>#DIV/0!</v>
      </c>
      <c r="S605" s="64" t="e">
        <f t="shared" si="218"/>
        <v>#DIV/0!</v>
      </c>
      <c r="T605" s="67" t="e">
        <f t="shared" si="219"/>
        <v>#DIV/0!</v>
      </c>
      <c r="U605" s="64" t="e">
        <f t="shared" si="220"/>
        <v>#DIV/0!</v>
      </c>
      <c r="V605" s="69" t="e">
        <f t="shared" si="221"/>
        <v>#DIV/0!</v>
      </c>
    </row>
    <row r="606" spans="1:22" x14ac:dyDescent="0.3">
      <c r="A606" s="61" t="s">
        <v>316</v>
      </c>
      <c r="B606" s="62" t="s">
        <v>317</v>
      </c>
      <c r="C606" s="62" t="s">
        <v>988</v>
      </c>
      <c r="D606" s="62" t="s">
        <v>1024</v>
      </c>
      <c r="E606" s="63" t="s">
        <v>330</v>
      </c>
      <c r="F606" s="62" t="s">
        <v>389</v>
      </c>
      <c r="G606" s="62" t="s">
        <v>286</v>
      </c>
      <c r="H606" s="62" t="s">
        <v>11</v>
      </c>
      <c r="I606" s="62" t="s">
        <v>210</v>
      </c>
      <c r="J606" s="63" t="s">
        <v>287</v>
      </c>
      <c r="K606" s="62" t="s">
        <v>317</v>
      </c>
      <c r="L606" s="64">
        <v>23.95</v>
      </c>
      <c r="M606" s="64">
        <f t="shared" si="216"/>
        <v>23.95</v>
      </c>
      <c r="N606" s="65">
        <f>prodnorm49</f>
        <v>0</v>
      </c>
      <c r="O606" s="66">
        <f>dagwerk49</f>
        <v>0</v>
      </c>
      <c r="P606" s="62" t="s">
        <v>40</v>
      </c>
      <c r="Q606" s="67">
        <f>uurtarief49</f>
        <v>0</v>
      </c>
      <c r="R606" s="64" t="e">
        <f t="shared" si="217"/>
        <v>#DIV/0!</v>
      </c>
      <c r="S606" s="64" t="e">
        <f t="shared" si="218"/>
        <v>#DIV/0!</v>
      </c>
      <c r="T606" s="67" t="e">
        <f t="shared" si="219"/>
        <v>#DIV/0!</v>
      </c>
      <c r="U606" s="64" t="e">
        <f t="shared" si="220"/>
        <v>#DIV/0!</v>
      </c>
      <c r="V606" s="69" t="e">
        <f t="shared" si="221"/>
        <v>#DIV/0!</v>
      </c>
    </row>
    <row r="607" spans="1:22" x14ac:dyDescent="0.3">
      <c r="A607" s="61" t="s">
        <v>316</v>
      </c>
      <c r="B607" s="62" t="s">
        <v>317</v>
      </c>
      <c r="C607" s="62" t="s">
        <v>988</v>
      </c>
      <c r="D607" s="62" t="s">
        <v>1025</v>
      </c>
      <c r="E607" s="63" t="s">
        <v>1026</v>
      </c>
      <c r="F607" s="62" t="s">
        <v>389</v>
      </c>
      <c r="G607" s="62" t="s">
        <v>323</v>
      </c>
      <c r="H607" s="62"/>
      <c r="I607" s="62"/>
      <c r="J607" s="62"/>
      <c r="K607" s="62" t="s">
        <v>317</v>
      </c>
      <c r="L607" s="64">
        <v>0.65000000000000013</v>
      </c>
      <c r="M607" s="64"/>
      <c r="N607" s="65"/>
      <c r="O607" s="66"/>
      <c r="P607" s="62"/>
      <c r="Q607" s="67"/>
      <c r="R607" s="64"/>
      <c r="S607" s="64"/>
      <c r="T607" s="67"/>
      <c r="U607" s="68"/>
      <c r="V607" s="69"/>
    </row>
    <row r="608" spans="1:22" x14ac:dyDescent="0.3">
      <c r="A608" s="61" t="s">
        <v>316</v>
      </c>
      <c r="B608" s="62" t="s">
        <v>317</v>
      </c>
      <c r="C608" s="62" t="s">
        <v>988</v>
      </c>
      <c r="D608" s="62" t="s">
        <v>1027</v>
      </c>
      <c r="E608" s="63" t="s">
        <v>1028</v>
      </c>
      <c r="F608" s="62" t="s">
        <v>389</v>
      </c>
      <c r="G608" s="62" t="s">
        <v>248</v>
      </c>
      <c r="H608" s="62" t="s">
        <v>11</v>
      </c>
      <c r="I608" s="62" t="s">
        <v>210</v>
      </c>
      <c r="J608" s="63" t="s">
        <v>249</v>
      </c>
      <c r="K608" s="62" t="s">
        <v>317</v>
      </c>
      <c r="L608" s="64">
        <v>77.38</v>
      </c>
      <c r="M608" s="64">
        <f>L608*VLOOKUP(H608,dagsoorttabel1,2,FALSE)</f>
        <v>77.38</v>
      </c>
      <c r="N608" s="65">
        <f>prodnorm30</f>
        <v>0</v>
      </c>
      <c r="O608" s="66">
        <f>dagwerk30</f>
        <v>0</v>
      </c>
      <c r="P608" s="62" t="s">
        <v>40</v>
      </c>
      <c r="Q608" s="67">
        <f>uurtarief30</f>
        <v>0</v>
      </c>
      <c r="R608" s="64" t="e">
        <f>IF(ISBLANK(N608),0,M608/ROUND(N608,4))</f>
        <v>#DIV/0!</v>
      </c>
      <c r="S608" s="64" t="e">
        <f>IF(ISBLANK(N608),0,R608*ROUND(O608,2))</f>
        <v>#DIV/0!</v>
      </c>
      <c r="T608" s="67" t="e">
        <f>ROUND(Q608,2)*R608</f>
        <v>#DIV/0!</v>
      </c>
      <c r="U608" s="64" t="e">
        <f>R608*dagenperjaar1</f>
        <v>#DIV/0!</v>
      </c>
      <c r="V608" s="69" t="e">
        <f>U608*ROUND(Q608,2)</f>
        <v>#DIV/0!</v>
      </c>
    </row>
    <row r="609" spans="1:22" x14ac:dyDescent="0.3">
      <c r="A609" s="61" t="s">
        <v>316</v>
      </c>
      <c r="B609" s="62" t="s">
        <v>317</v>
      </c>
      <c r="C609" s="62" t="s">
        <v>988</v>
      </c>
      <c r="D609" s="62" t="s">
        <v>1029</v>
      </c>
      <c r="E609" s="63" t="s">
        <v>1028</v>
      </c>
      <c r="F609" s="62" t="s">
        <v>389</v>
      </c>
      <c r="G609" s="62" t="s">
        <v>248</v>
      </c>
      <c r="H609" s="62" t="s">
        <v>11</v>
      </c>
      <c r="I609" s="62" t="s">
        <v>210</v>
      </c>
      <c r="J609" s="63" t="s">
        <v>249</v>
      </c>
      <c r="K609" s="62" t="s">
        <v>317</v>
      </c>
      <c r="L609" s="64">
        <v>77.669999999999987</v>
      </c>
      <c r="M609" s="64">
        <f>L609*VLOOKUP(H609,dagsoorttabel1,2,FALSE)</f>
        <v>77.669999999999987</v>
      </c>
      <c r="N609" s="65">
        <f>prodnorm30</f>
        <v>0</v>
      </c>
      <c r="O609" s="66">
        <f>dagwerk30</f>
        <v>0</v>
      </c>
      <c r="P609" s="62" t="s">
        <v>40</v>
      </c>
      <c r="Q609" s="67">
        <f>uurtarief30</f>
        <v>0</v>
      </c>
      <c r="R609" s="64" t="e">
        <f>IF(ISBLANK(N609),0,M609/ROUND(N609,4))</f>
        <v>#DIV/0!</v>
      </c>
      <c r="S609" s="64" t="e">
        <f>IF(ISBLANK(N609),0,R609*ROUND(O609,2))</f>
        <v>#DIV/0!</v>
      </c>
      <c r="T609" s="67" t="e">
        <f>ROUND(Q609,2)*R609</f>
        <v>#DIV/0!</v>
      </c>
      <c r="U609" s="64" t="e">
        <f>R609*dagenperjaar1</f>
        <v>#DIV/0!</v>
      </c>
      <c r="V609" s="69" t="e">
        <f>U609*ROUND(Q609,2)</f>
        <v>#DIV/0!</v>
      </c>
    </row>
    <row r="610" spans="1:22" x14ac:dyDescent="0.3">
      <c r="A610" s="61" t="s">
        <v>316</v>
      </c>
      <c r="B610" s="62" t="s">
        <v>317</v>
      </c>
      <c r="C610" s="62" t="s">
        <v>988</v>
      </c>
      <c r="D610" s="62" t="s">
        <v>1030</v>
      </c>
      <c r="E610" s="63" t="s">
        <v>369</v>
      </c>
      <c r="F610" s="62" t="s">
        <v>335</v>
      </c>
      <c r="G610" s="62" t="s">
        <v>323</v>
      </c>
      <c r="H610" s="62"/>
      <c r="I610" s="62"/>
      <c r="J610" s="62"/>
      <c r="K610" s="62" t="s">
        <v>317</v>
      </c>
      <c r="L610" s="64">
        <v>2.58</v>
      </c>
      <c r="M610" s="64"/>
      <c r="N610" s="65"/>
      <c r="O610" s="66"/>
      <c r="P610" s="62"/>
      <c r="Q610" s="67"/>
      <c r="R610" s="64"/>
      <c r="S610" s="64"/>
      <c r="T610" s="67"/>
      <c r="U610" s="68"/>
      <c r="V610" s="69"/>
    </row>
    <row r="611" spans="1:22" x14ac:dyDescent="0.3">
      <c r="A611" s="61" t="s">
        <v>316</v>
      </c>
      <c r="B611" s="62" t="s">
        <v>317</v>
      </c>
      <c r="C611" s="62" t="s">
        <v>988</v>
      </c>
      <c r="D611" s="62" t="s">
        <v>1031</v>
      </c>
      <c r="E611" s="63" t="s">
        <v>352</v>
      </c>
      <c r="F611" s="62" t="s">
        <v>353</v>
      </c>
      <c r="G611" s="62" t="s">
        <v>266</v>
      </c>
      <c r="H611" s="62" t="s">
        <v>11</v>
      </c>
      <c r="I611" s="62" t="s">
        <v>210</v>
      </c>
      <c r="J611" s="63" t="s">
        <v>267</v>
      </c>
      <c r="K611" s="62" t="s">
        <v>317</v>
      </c>
      <c r="L611" s="64">
        <v>17.170000000000002</v>
      </c>
      <c r="M611" s="64">
        <f t="shared" ref="M611:M619" si="222">L611*VLOOKUP(H611,dagsoorttabel1,2,FALSE)</f>
        <v>17.170000000000002</v>
      </c>
      <c r="N611" s="65">
        <f>prodnorm39</f>
        <v>0</v>
      </c>
      <c r="O611" s="66">
        <f>dagwerk39</f>
        <v>0</v>
      </c>
      <c r="P611" s="62" t="s">
        <v>40</v>
      </c>
      <c r="Q611" s="67">
        <f>uurtarief39</f>
        <v>0</v>
      </c>
      <c r="R611" s="64" t="e">
        <f t="shared" ref="R611:R619" si="223">IF(ISBLANK(N611),0,M611/ROUND(N611,4))</f>
        <v>#DIV/0!</v>
      </c>
      <c r="S611" s="64" t="e">
        <f t="shared" ref="S611:S619" si="224">IF(ISBLANK(N611),0,R611*ROUND(O611,2))</f>
        <v>#DIV/0!</v>
      </c>
      <c r="T611" s="67" t="e">
        <f t="shared" ref="T611:T619" si="225">ROUND(Q611,2)*R611</f>
        <v>#DIV/0!</v>
      </c>
      <c r="U611" s="64" t="e">
        <f t="shared" ref="U611:U619" si="226">R611*dagenperjaar1</f>
        <v>#DIV/0!</v>
      </c>
      <c r="V611" s="69" t="e">
        <f t="shared" ref="V611:V619" si="227">U611*ROUND(Q611,2)</f>
        <v>#DIV/0!</v>
      </c>
    </row>
    <row r="612" spans="1:22" x14ac:dyDescent="0.3">
      <c r="A612" s="61" t="s">
        <v>316</v>
      </c>
      <c r="B612" s="62" t="s">
        <v>317</v>
      </c>
      <c r="C612" s="62" t="s">
        <v>988</v>
      </c>
      <c r="D612" s="62" t="s">
        <v>1032</v>
      </c>
      <c r="E612" s="63" t="s">
        <v>352</v>
      </c>
      <c r="F612" s="62" t="s">
        <v>353</v>
      </c>
      <c r="G612" s="62" t="s">
        <v>266</v>
      </c>
      <c r="H612" s="62" t="s">
        <v>11</v>
      </c>
      <c r="I612" s="62" t="s">
        <v>210</v>
      </c>
      <c r="J612" s="63" t="s">
        <v>267</v>
      </c>
      <c r="K612" s="62" t="s">
        <v>317</v>
      </c>
      <c r="L612" s="64">
        <v>13.15</v>
      </c>
      <c r="M612" s="64">
        <f t="shared" si="222"/>
        <v>13.15</v>
      </c>
      <c r="N612" s="65">
        <f>prodnorm39</f>
        <v>0</v>
      </c>
      <c r="O612" s="66">
        <f>dagwerk39</f>
        <v>0</v>
      </c>
      <c r="P612" s="62" t="s">
        <v>40</v>
      </c>
      <c r="Q612" s="67">
        <f>uurtarief39</f>
        <v>0</v>
      </c>
      <c r="R612" s="64" t="e">
        <f t="shared" si="223"/>
        <v>#DIV/0!</v>
      </c>
      <c r="S612" s="64" t="e">
        <f t="shared" si="224"/>
        <v>#DIV/0!</v>
      </c>
      <c r="T612" s="67" t="e">
        <f t="shared" si="225"/>
        <v>#DIV/0!</v>
      </c>
      <c r="U612" s="64" t="e">
        <f t="shared" si="226"/>
        <v>#DIV/0!</v>
      </c>
      <c r="V612" s="69" t="e">
        <f t="shared" si="227"/>
        <v>#DIV/0!</v>
      </c>
    </row>
    <row r="613" spans="1:22" x14ac:dyDescent="0.3">
      <c r="A613" s="61" t="s">
        <v>316</v>
      </c>
      <c r="B613" s="62" t="s">
        <v>317</v>
      </c>
      <c r="C613" s="62" t="s">
        <v>988</v>
      </c>
      <c r="D613" s="62" t="s">
        <v>1033</v>
      </c>
      <c r="E613" s="63" t="s">
        <v>356</v>
      </c>
      <c r="F613" s="62" t="s">
        <v>348</v>
      </c>
      <c r="G613" s="62" t="s">
        <v>212</v>
      </c>
      <c r="H613" s="62" t="s">
        <v>17</v>
      </c>
      <c r="I613" s="62" t="s">
        <v>210</v>
      </c>
      <c r="J613" s="63" t="s">
        <v>213</v>
      </c>
      <c r="K613" s="62" t="s">
        <v>317</v>
      </c>
      <c r="L613" s="64">
        <v>11.44</v>
      </c>
      <c r="M613" s="64">
        <f t="shared" si="222"/>
        <v>2.2879999999999998</v>
      </c>
      <c r="N613" s="65">
        <f>prodnorm11</f>
        <v>0</v>
      </c>
      <c r="O613" s="66">
        <f>dagwerk11</f>
        <v>0</v>
      </c>
      <c r="P613" s="62" t="s">
        <v>40</v>
      </c>
      <c r="Q613" s="67">
        <f>uurtarief11</f>
        <v>0</v>
      </c>
      <c r="R613" s="64" t="e">
        <f t="shared" si="223"/>
        <v>#DIV/0!</v>
      </c>
      <c r="S613" s="64" t="e">
        <f t="shared" si="224"/>
        <v>#DIV/0!</v>
      </c>
      <c r="T613" s="67" t="e">
        <f t="shared" si="225"/>
        <v>#DIV/0!</v>
      </c>
      <c r="U613" s="64" t="e">
        <f t="shared" si="226"/>
        <v>#DIV/0!</v>
      </c>
      <c r="V613" s="69" t="e">
        <f t="shared" si="227"/>
        <v>#DIV/0!</v>
      </c>
    </row>
    <row r="614" spans="1:22" x14ac:dyDescent="0.3">
      <c r="A614" s="61" t="s">
        <v>316</v>
      </c>
      <c r="B614" s="62" t="s">
        <v>317</v>
      </c>
      <c r="C614" s="62" t="s">
        <v>988</v>
      </c>
      <c r="D614" s="62" t="s">
        <v>1034</v>
      </c>
      <c r="E614" s="63" t="s">
        <v>400</v>
      </c>
      <c r="F614" s="62" t="s">
        <v>348</v>
      </c>
      <c r="G614" s="62" t="s">
        <v>216</v>
      </c>
      <c r="H614" s="62" t="s">
        <v>14</v>
      </c>
      <c r="I614" s="62" t="s">
        <v>210</v>
      </c>
      <c r="J614" s="63" t="s">
        <v>217</v>
      </c>
      <c r="K614" s="62" t="s">
        <v>317</v>
      </c>
      <c r="L614" s="64">
        <v>16.059999999999999</v>
      </c>
      <c r="M614" s="64">
        <f t="shared" si="222"/>
        <v>9.6359999999999992</v>
      </c>
      <c r="N614" s="65">
        <f>prodnorm13</f>
        <v>0</v>
      </c>
      <c r="O614" s="66">
        <f>dagwerk13</f>
        <v>0</v>
      </c>
      <c r="P614" s="62" t="s">
        <v>40</v>
      </c>
      <c r="Q614" s="67">
        <f>uurtarief13</f>
        <v>0</v>
      </c>
      <c r="R614" s="64" t="e">
        <f t="shared" si="223"/>
        <v>#DIV/0!</v>
      </c>
      <c r="S614" s="64" t="e">
        <f t="shared" si="224"/>
        <v>#DIV/0!</v>
      </c>
      <c r="T614" s="67" t="e">
        <f t="shared" si="225"/>
        <v>#DIV/0!</v>
      </c>
      <c r="U614" s="64" t="e">
        <f t="shared" si="226"/>
        <v>#DIV/0!</v>
      </c>
      <c r="V614" s="69" t="e">
        <f t="shared" si="227"/>
        <v>#DIV/0!</v>
      </c>
    </row>
    <row r="615" spans="1:22" x14ac:dyDescent="0.3">
      <c r="A615" s="61" t="s">
        <v>316</v>
      </c>
      <c r="B615" s="62" t="s">
        <v>317</v>
      </c>
      <c r="C615" s="62" t="s">
        <v>988</v>
      </c>
      <c r="D615" s="62" t="s">
        <v>1035</v>
      </c>
      <c r="E615" s="63" t="s">
        <v>356</v>
      </c>
      <c r="F615" s="62" t="s">
        <v>348</v>
      </c>
      <c r="G615" s="62" t="s">
        <v>212</v>
      </c>
      <c r="H615" s="62" t="s">
        <v>17</v>
      </c>
      <c r="I615" s="62" t="s">
        <v>210</v>
      </c>
      <c r="J615" s="63" t="s">
        <v>213</v>
      </c>
      <c r="K615" s="62" t="s">
        <v>317</v>
      </c>
      <c r="L615" s="64">
        <v>26.6</v>
      </c>
      <c r="M615" s="64">
        <f t="shared" si="222"/>
        <v>5.32</v>
      </c>
      <c r="N615" s="65">
        <f>prodnorm11</f>
        <v>0</v>
      </c>
      <c r="O615" s="66">
        <f>dagwerk11</f>
        <v>0</v>
      </c>
      <c r="P615" s="62" t="s">
        <v>40</v>
      </c>
      <c r="Q615" s="67">
        <f>uurtarief11</f>
        <v>0</v>
      </c>
      <c r="R615" s="64" t="e">
        <f t="shared" si="223"/>
        <v>#DIV/0!</v>
      </c>
      <c r="S615" s="64" t="e">
        <f t="shared" si="224"/>
        <v>#DIV/0!</v>
      </c>
      <c r="T615" s="67" t="e">
        <f t="shared" si="225"/>
        <v>#DIV/0!</v>
      </c>
      <c r="U615" s="64" t="e">
        <f t="shared" si="226"/>
        <v>#DIV/0!</v>
      </c>
      <c r="V615" s="69" t="e">
        <f t="shared" si="227"/>
        <v>#DIV/0!</v>
      </c>
    </row>
    <row r="616" spans="1:22" x14ac:dyDescent="0.3">
      <c r="A616" s="61" t="s">
        <v>316</v>
      </c>
      <c r="B616" s="62" t="s">
        <v>317</v>
      </c>
      <c r="C616" s="62" t="s">
        <v>988</v>
      </c>
      <c r="D616" s="62" t="s">
        <v>1036</v>
      </c>
      <c r="E616" s="63" t="s">
        <v>536</v>
      </c>
      <c r="F616" s="62" t="s">
        <v>348</v>
      </c>
      <c r="G616" s="62" t="s">
        <v>216</v>
      </c>
      <c r="H616" s="62" t="s">
        <v>14</v>
      </c>
      <c r="I616" s="62" t="s">
        <v>210</v>
      </c>
      <c r="J616" s="63" t="s">
        <v>217</v>
      </c>
      <c r="K616" s="62" t="s">
        <v>317</v>
      </c>
      <c r="L616" s="64">
        <v>7.17</v>
      </c>
      <c r="M616" s="64">
        <f t="shared" si="222"/>
        <v>4.3019999999999996</v>
      </c>
      <c r="N616" s="65">
        <f>prodnorm13</f>
        <v>0</v>
      </c>
      <c r="O616" s="66">
        <f>dagwerk13</f>
        <v>0</v>
      </c>
      <c r="P616" s="62" t="s">
        <v>40</v>
      </c>
      <c r="Q616" s="67">
        <f>uurtarief13</f>
        <v>0</v>
      </c>
      <c r="R616" s="64" t="e">
        <f t="shared" si="223"/>
        <v>#DIV/0!</v>
      </c>
      <c r="S616" s="64" t="e">
        <f t="shared" si="224"/>
        <v>#DIV/0!</v>
      </c>
      <c r="T616" s="67" t="e">
        <f t="shared" si="225"/>
        <v>#DIV/0!</v>
      </c>
      <c r="U616" s="64" t="e">
        <f t="shared" si="226"/>
        <v>#DIV/0!</v>
      </c>
      <c r="V616" s="69" t="e">
        <f t="shared" si="227"/>
        <v>#DIV/0!</v>
      </c>
    </row>
    <row r="617" spans="1:22" x14ac:dyDescent="0.3">
      <c r="A617" s="61" t="s">
        <v>316</v>
      </c>
      <c r="B617" s="62" t="s">
        <v>317</v>
      </c>
      <c r="C617" s="62" t="s">
        <v>988</v>
      </c>
      <c r="D617" s="62" t="s">
        <v>1037</v>
      </c>
      <c r="E617" s="63" t="s">
        <v>536</v>
      </c>
      <c r="F617" s="62" t="s">
        <v>348</v>
      </c>
      <c r="G617" s="62" t="s">
        <v>216</v>
      </c>
      <c r="H617" s="62" t="s">
        <v>14</v>
      </c>
      <c r="I617" s="62" t="s">
        <v>210</v>
      </c>
      <c r="J617" s="63" t="s">
        <v>217</v>
      </c>
      <c r="K617" s="62" t="s">
        <v>317</v>
      </c>
      <c r="L617" s="64">
        <v>5.1899999999999995</v>
      </c>
      <c r="M617" s="64">
        <f t="shared" si="222"/>
        <v>3.1139999999999994</v>
      </c>
      <c r="N617" s="65">
        <f>prodnorm13</f>
        <v>0</v>
      </c>
      <c r="O617" s="66">
        <f>dagwerk13</f>
        <v>0</v>
      </c>
      <c r="P617" s="62" t="s">
        <v>40</v>
      </c>
      <c r="Q617" s="67">
        <f>uurtarief13</f>
        <v>0</v>
      </c>
      <c r="R617" s="64" t="e">
        <f t="shared" si="223"/>
        <v>#DIV/0!</v>
      </c>
      <c r="S617" s="64" t="e">
        <f t="shared" si="224"/>
        <v>#DIV/0!</v>
      </c>
      <c r="T617" s="67" t="e">
        <f t="shared" si="225"/>
        <v>#DIV/0!</v>
      </c>
      <c r="U617" s="64" t="e">
        <f t="shared" si="226"/>
        <v>#DIV/0!</v>
      </c>
      <c r="V617" s="69" t="e">
        <f t="shared" si="227"/>
        <v>#DIV/0!</v>
      </c>
    </row>
    <row r="618" spans="1:22" x14ac:dyDescent="0.3">
      <c r="A618" s="61" t="s">
        <v>316</v>
      </c>
      <c r="B618" s="62" t="s">
        <v>317</v>
      </c>
      <c r="C618" s="62" t="s">
        <v>988</v>
      </c>
      <c r="D618" s="62" t="s">
        <v>1038</v>
      </c>
      <c r="E618" s="63" t="s">
        <v>536</v>
      </c>
      <c r="F618" s="62" t="s">
        <v>348</v>
      </c>
      <c r="G618" s="62" t="s">
        <v>216</v>
      </c>
      <c r="H618" s="62" t="s">
        <v>14</v>
      </c>
      <c r="I618" s="62" t="s">
        <v>210</v>
      </c>
      <c r="J618" s="63" t="s">
        <v>217</v>
      </c>
      <c r="K618" s="62" t="s">
        <v>317</v>
      </c>
      <c r="L618" s="64">
        <v>5.18</v>
      </c>
      <c r="M618" s="64">
        <f t="shared" si="222"/>
        <v>3.1079999999999997</v>
      </c>
      <c r="N618" s="65">
        <f>prodnorm13</f>
        <v>0</v>
      </c>
      <c r="O618" s="66">
        <f>dagwerk13</f>
        <v>0</v>
      </c>
      <c r="P618" s="62" t="s">
        <v>40</v>
      </c>
      <c r="Q618" s="67">
        <f>uurtarief13</f>
        <v>0</v>
      </c>
      <c r="R618" s="64" t="e">
        <f t="shared" si="223"/>
        <v>#DIV/0!</v>
      </c>
      <c r="S618" s="64" t="e">
        <f t="shared" si="224"/>
        <v>#DIV/0!</v>
      </c>
      <c r="T618" s="67" t="e">
        <f t="shared" si="225"/>
        <v>#DIV/0!</v>
      </c>
      <c r="U618" s="64" t="e">
        <f t="shared" si="226"/>
        <v>#DIV/0!</v>
      </c>
      <c r="V618" s="69" t="e">
        <f t="shared" si="227"/>
        <v>#DIV/0!</v>
      </c>
    </row>
    <row r="619" spans="1:22" x14ac:dyDescent="0.3">
      <c r="A619" s="61" t="s">
        <v>316</v>
      </c>
      <c r="B619" s="62" t="s">
        <v>317</v>
      </c>
      <c r="C619" s="62" t="s">
        <v>988</v>
      </c>
      <c r="D619" s="62" t="s">
        <v>1039</v>
      </c>
      <c r="E619" s="63" t="s">
        <v>536</v>
      </c>
      <c r="F619" s="62" t="s">
        <v>348</v>
      </c>
      <c r="G619" s="62" t="s">
        <v>216</v>
      </c>
      <c r="H619" s="62" t="s">
        <v>14</v>
      </c>
      <c r="I619" s="62" t="s">
        <v>210</v>
      </c>
      <c r="J619" s="63" t="s">
        <v>217</v>
      </c>
      <c r="K619" s="62" t="s">
        <v>317</v>
      </c>
      <c r="L619" s="64">
        <v>5.18</v>
      </c>
      <c r="M619" s="64">
        <f t="shared" si="222"/>
        <v>3.1079999999999997</v>
      </c>
      <c r="N619" s="65">
        <f>prodnorm13</f>
        <v>0</v>
      </c>
      <c r="O619" s="66">
        <f>dagwerk13</f>
        <v>0</v>
      </c>
      <c r="P619" s="62" t="s">
        <v>40</v>
      </c>
      <c r="Q619" s="67">
        <f>uurtarief13</f>
        <v>0</v>
      </c>
      <c r="R619" s="64" t="e">
        <f t="shared" si="223"/>
        <v>#DIV/0!</v>
      </c>
      <c r="S619" s="64" t="e">
        <f t="shared" si="224"/>
        <v>#DIV/0!</v>
      </c>
      <c r="T619" s="67" t="e">
        <f t="shared" si="225"/>
        <v>#DIV/0!</v>
      </c>
      <c r="U619" s="64" t="e">
        <f t="shared" si="226"/>
        <v>#DIV/0!</v>
      </c>
      <c r="V619" s="69" t="e">
        <f t="shared" si="227"/>
        <v>#DIV/0!</v>
      </c>
    </row>
    <row r="620" spans="1:22" x14ac:dyDescent="0.3">
      <c r="A620" s="61" t="s">
        <v>316</v>
      </c>
      <c r="B620" s="62" t="s">
        <v>317</v>
      </c>
      <c r="C620" s="62" t="s">
        <v>988</v>
      </c>
      <c r="D620" s="62" t="s">
        <v>1040</v>
      </c>
      <c r="E620" s="63" t="s">
        <v>1041</v>
      </c>
      <c r="F620" s="62" t="s">
        <v>348</v>
      </c>
      <c r="G620" s="62" t="s">
        <v>323</v>
      </c>
      <c r="H620" s="62"/>
      <c r="I620" s="62"/>
      <c r="J620" s="62"/>
      <c r="K620" s="62" t="s">
        <v>317</v>
      </c>
      <c r="L620" s="64">
        <v>17.5</v>
      </c>
      <c r="M620" s="64"/>
      <c r="N620" s="65"/>
      <c r="O620" s="66"/>
      <c r="P620" s="62"/>
      <c r="Q620" s="67"/>
      <c r="R620" s="64"/>
      <c r="S620" s="64"/>
      <c r="T620" s="67"/>
      <c r="U620" s="68"/>
      <c r="V620" s="69"/>
    </row>
    <row r="621" spans="1:22" x14ac:dyDescent="0.3">
      <c r="A621" s="61" t="s">
        <v>316</v>
      </c>
      <c r="B621" s="62" t="s">
        <v>317</v>
      </c>
      <c r="C621" s="62" t="s">
        <v>988</v>
      </c>
      <c r="D621" s="62" t="s">
        <v>1042</v>
      </c>
      <c r="E621" s="63" t="s">
        <v>582</v>
      </c>
      <c r="F621" s="62" t="s">
        <v>348</v>
      </c>
      <c r="G621" s="62" t="s">
        <v>212</v>
      </c>
      <c r="H621" s="62" t="s">
        <v>17</v>
      </c>
      <c r="I621" s="62" t="s">
        <v>210</v>
      </c>
      <c r="J621" s="63" t="s">
        <v>213</v>
      </c>
      <c r="K621" s="62" t="s">
        <v>317</v>
      </c>
      <c r="L621" s="64">
        <v>85.240000000000009</v>
      </c>
      <c r="M621" s="64">
        <f t="shared" ref="M621:M627" si="228">L621*VLOOKUP(H621,dagsoorttabel1,2,FALSE)</f>
        <v>17.048000000000002</v>
      </c>
      <c r="N621" s="65">
        <f>prodnorm11</f>
        <v>0</v>
      </c>
      <c r="O621" s="66">
        <f>dagwerk11</f>
        <v>0</v>
      </c>
      <c r="P621" s="62" t="s">
        <v>40</v>
      </c>
      <c r="Q621" s="67">
        <f>uurtarief11</f>
        <v>0</v>
      </c>
      <c r="R621" s="64" t="e">
        <f t="shared" ref="R621:R627" si="229">IF(ISBLANK(N621),0,M621/ROUND(N621,4))</f>
        <v>#DIV/0!</v>
      </c>
      <c r="S621" s="64" t="e">
        <f t="shared" ref="S621:S627" si="230">IF(ISBLANK(N621),0,R621*ROUND(O621,2))</f>
        <v>#DIV/0!</v>
      </c>
      <c r="T621" s="67" t="e">
        <f t="shared" ref="T621:T627" si="231">ROUND(Q621,2)*R621</f>
        <v>#DIV/0!</v>
      </c>
      <c r="U621" s="64" t="e">
        <f t="shared" ref="U621:U627" si="232">R621*dagenperjaar1</f>
        <v>#DIV/0!</v>
      </c>
      <c r="V621" s="69" t="e">
        <f t="shared" ref="V621:V627" si="233">U621*ROUND(Q621,2)</f>
        <v>#DIV/0!</v>
      </c>
    </row>
    <row r="622" spans="1:22" x14ac:dyDescent="0.3">
      <c r="A622" s="61" t="s">
        <v>316</v>
      </c>
      <c r="B622" s="62" t="s">
        <v>317</v>
      </c>
      <c r="C622" s="62" t="s">
        <v>988</v>
      </c>
      <c r="D622" s="62" t="s">
        <v>1043</v>
      </c>
      <c r="E622" s="63" t="s">
        <v>356</v>
      </c>
      <c r="F622" s="62" t="s">
        <v>348</v>
      </c>
      <c r="G622" s="62" t="s">
        <v>212</v>
      </c>
      <c r="H622" s="62" t="s">
        <v>17</v>
      </c>
      <c r="I622" s="62" t="s">
        <v>210</v>
      </c>
      <c r="J622" s="63" t="s">
        <v>213</v>
      </c>
      <c r="K622" s="62" t="s">
        <v>317</v>
      </c>
      <c r="L622" s="64">
        <v>5.09</v>
      </c>
      <c r="M622" s="64">
        <f t="shared" si="228"/>
        <v>1.018</v>
      </c>
      <c r="N622" s="65">
        <f>prodnorm11</f>
        <v>0</v>
      </c>
      <c r="O622" s="66">
        <f>dagwerk11</f>
        <v>0</v>
      </c>
      <c r="P622" s="62" t="s">
        <v>40</v>
      </c>
      <c r="Q622" s="67">
        <f>uurtarief11</f>
        <v>0</v>
      </c>
      <c r="R622" s="64" t="e">
        <f t="shared" si="229"/>
        <v>#DIV/0!</v>
      </c>
      <c r="S622" s="64" t="e">
        <f t="shared" si="230"/>
        <v>#DIV/0!</v>
      </c>
      <c r="T622" s="67" t="e">
        <f t="shared" si="231"/>
        <v>#DIV/0!</v>
      </c>
      <c r="U622" s="64" t="e">
        <f t="shared" si="232"/>
        <v>#DIV/0!</v>
      </c>
      <c r="V622" s="69" t="e">
        <f t="shared" si="233"/>
        <v>#DIV/0!</v>
      </c>
    </row>
    <row r="623" spans="1:22" x14ac:dyDescent="0.3">
      <c r="A623" s="61" t="s">
        <v>316</v>
      </c>
      <c r="B623" s="62" t="s">
        <v>317</v>
      </c>
      <c r="C623" s="62" t="s">
        <v>988</v>
      </c>
      <c r="D623" s="62" t="s">
        <v>1044</v>
      </c>
      <c r="E623" s="63" t="s">
        <v>1045</v>
      </c>
      <c r="F623" s="62" t="s">
        <v>348</v>
      </c>
      <c r="G623" s="62" t="s">
        <v>284</v>
      </c>
      <c r="H623" s="62" t="s">
        <v>11</v>
      </c>
      <c r="I623" s="62" t="s">
        <v>210</v>
      </c>
      <c r="J623" s="63" t="s">
        <v>285</v>
      </c>
      <c r="K623" s="62" t="s">
        <v>317</v>
      </c>
      <c r="L623" s="64">
        <v>4.0199999999999996</v>
      </c>
      <c r="M623" s="64">
        <f t="shared" si="228"/>
        <v>4.0199999999999996</v>
      </c>
      <c r="N623" s="65">
        <f>prodnorm48</f>
        <v>0</v>
      </c>
      <c r="O623" s="66">
        <f>dagwerk48</f>
        <v>0</v>
      </c>
      <c r="P623" s="62" t="s">
        <v>40</v>
      </c>
      <c r="Q623" s="67">
        <f>uurtarief48</f>
        <v>0</v>
      </c>
      <c r="R623" s="64" t="e">
        <f t="shared" si="229"/>
        <v>#DIV/0!</v>
      </c>
      <c r="S623" s="64" t="e">
        <f t="shared" si="230"/>
        <v>#DIV/0!</v>
      </c>
      <c r="T623" s="67" t="e">
        <f t="shared" si="231"/>
        <v>#DIV/0!</v>
      </c>
      <c r="U623" s="64" t="e">
        <f t="shared" si="232"/>
        <v>#DIV/0!</v>
      </c>
      <c r="V623" s="69" t="e">
        <f t="shared" si="233"/>
        <v>#DIV/0!</v>
      </c>
    </row>
    <row r="624" spans="1:22" x14ac:dyDescent="0.3">
      <c r="A624" s="61" t="s">
        <v>316</v>
      </c>
      <c r="B624" s="62" t="s">
        <v>317</v>
      </c>
      <c r="C624" s="62" t="s">
        <v>988</v>
      </c>
      <c r="D624" s="62" t="s">
        <v>1046</v>
      </c>
      <c r="E624" s="63" t="s">
        <v>868</v>
      </c>
      <c r="F624" s="62" t="s">
        <v>348</v>
      </c>
      <c r="G624" s="62" t="s">
        <v>216</v>
      </c>
      <c r="H624" s="62" t="s">
        <v>14</v>
      </c>
      <c r="I624" s="62" t="s">
        <v>210</v>
      </c>
      <c r="J624" s="63" t="s">
        <v>217</v>
      </c>
      <c r="K624" s="62" t="s">
        <v>317</v>
      </c>
      <c r="L624" s="64">
        <v>3.9899999999999998</v>
      </c>
      <c r="M624" s="64">
        <f t="shared" si="228"/>
        <v>2.3939999999999997</v>
      </c>
      <c r="N624" s="65">
        <f>prodnorm13</f>
        <v>0</v>
      </c>
      <c r="O624" s="66">
        <f>dagwerk13</f>
        <v>0</v>
      </c>
      <c r="P624" s="62" t="s">
        <v>40</v>
      </c>
      <c r="Q624" s="67">
        <f>uurtarief13</f>
        <v>0</v>
      </c>
      <c r="R624" s="64" t="e">
        <f t="shared" si="229"/>
        <v>#DIV/0!</v>
      </c>
      <c r="S624" s="64" t="e">
        <f t="shared" si="230"/>
        <v>#DIV/0!</v>
      </c>
      <c r="T624" s="67" t="e">
        <f t="shared" si="231"/>
        <v>#DIV/0!</v>
      </c>
      <c r="U624" s="64" t="e">
        <f t="shared" si="232"/>
        <v>#DIV/0!</v>
      </c>
      <c r="V624" s="69" t="e">
        <f t="shared" si="233"/>
        <v>#DIV/0!</v>
      </c>
    </row>
    <row r="625" spans="1:22" x14ac:dyDescent="0.3">
      <c r="A625" s="61" t="s">
        <v>316</v>
      </c>
      <c r="B625" s="62" t="s">
        <v>317</v>
      </c>
      <c r="C625" s="62" t="s">
        <v>988</v>
      </c>
      <c r="D625" s="62" t="s">
        <v>1047</v>
      </c>
      <c r="E625" s="63" t="s">
        <v>527</v>
      </c>
      <c r="F625" s="62" t="s">
        <v>389</v>
      </c>
      <c r="G625" s="62" t="s">
        <v>238</v>
      </c>
      <c r="H625" s="62" t="s">
        <v>11</v>
      </c>
      <c r="I625" s="62" t="s">
        <v>210</v>
      </c>
      <c r="J625" s="63" t="s">
        <v>239</v>
      </c>
      <c r="K625" s="62" t="s">
        <v>317</v>
      </c>
      <c r="L625" s="64">
        <v>51.3</v>
      </c>
      <c r="M625" s="64">
        <f t="shared" si="228"/>
        <v>51.3</v>
      </c>
      <c r="N625" s="65">
        <f>prodnorm24</f>
        <v>0</v>
      </c>
      <c r="O625" s="66">
        <f>dagwerk24</f>
        <v>0</v>
      </c>
      <c r="P625" s="62" t="s">
        <v>40</v>
      </c>
      <c r="Q625" s="67">
        <f>uurtarief24</f>
        <v>0</v>
      </c>
      <c r="R625" s="64" t="e">
        <f t="shared" si="229"/>
        <v>#DIV/0!</v>
      </c>
      <c r="S625" s="64" t="e">
        <f t="shared" si="230"/>
        <v>#DIV/0!</v>
      </c>
      <c r="T625" s="67" t="e">
        <f t="shared" si="231"/>
        <v>#DIV/0!</v>
      </c>
      <c r="U625" s="64" t="e">
        <f t="shared" si="232"/>
        <v>#DIV/0!</v>
      </c>
      <c r="V625" s="69" t="e">
        <f t="shared" si="233"/>
        <v>#DIV/0!</v>
      </c>
    </row>
    <row r="626" spans="1:22" x14ac:dyDescent="0.3">
      <c r="A626" s="61" t="s">
        <v>316</v>
      </c>
      <c r="B626" s="62" t="s">
        <v>317</v>
      </c>
      <c r="C626" s="62" t="s">
        <v>988</v>
      </c>
      <c r="D626" s="62" t="s">
        <v>1048</v>
      </c>
      <c r="E626" s="63" t="s">
        <v>391</v>
      </c>
      <c r="F626" s="62" t="s">
        <v>348</v>
      </c>
      <c r="G626" s="62" t="s">
        <v>236</v>
      </c>
      <c r="H626" s="62" t="s">
        <v>14</v>
      </c>
      <c r="I626" s="62" t="s">
        <v>210</v>
      </c>
      <c r="J626" s="63" t="s">
        <v>237</v>
      </c>
      <c r="K626" s="62" t="s">
        <v>317</v>
      </c>
      <c r="L626" s="64">
        <v>50.6</v>
      </c>
      <c r="M626" s="64">
        <f t="shared" si="228"/>
        <v>30.36</v>
      </c>
      <c r="N626" s="65">
        <f>prodnorm23</f>
        <v>0</v>
      </c>
      <c r="O626" s="66">
        <f>dagwerk23</f>
        <v>0</v>
      </c>
      <c r="P626" s="62" t="s">
        <v>40</v>
      </c>
      <c r="Q626" s="67">
        <f>uurtarief23</f>
        <v>0</v>
      </c>
      <c r="R626" s="64" t="e">
        <f t="shared" si="229"/>
        <v>#DIV/0!</v>
      </c>
      <c r="S626" s="64" t="e">
        <f t="shared" si="230"/>
        <v>#DIV/0!</v>
      </c>
      <c r="T626" s="67" t="e">
        <f t="shared" si="231"/>
        <v>#DIV/0!</v>
      </c>
      <c r="U626" s="64" t="e">
        <f t="shared" si="232"/>
        <v>#DIV/0!</v>
      </c>
      <c r="V626" s="69" t="e">
        <f t="shared" si="233"/>
        <v>#DIV/0!</v>
      </c>
    </row>
    <row r="627" spans="1:22" x14ac:dyDescent="0.3">
      <c r="A627" s="61" t="s">
        <v>316</v>
      </c>
      <c r="B627" s="62" t="s">
        <v>317</v>
      </c>
      <c r="C627" s="62" t="s">
        <v>988</v>
      </c>
      <c r="D627" s="62" t="s">
        <v>1049</v>
      </c>
      <c r="E627" s="63" t="s">
        <v>391</v>
      </c>
      <c r="F627" s="62" t="s">
        <v>389</v>
      </c>
      <c r="G627" s="62" t="s">
        <v>234</v>
      </c>
      <c r="H627" s="62" t="s">
        <v>14</v>
      </c>
      <c r="I627" s="62" t="s">
        <v>210</v>
      </c>
      <c r="J627" s="63" t="s">
        <v>235</v>
      </c>
      <c r="K627" s="62" t="s">
        <v>317</v>
      </c>
      <c r="L627" s="64">
        <v>59.09</v>
      </c>
      <c r="M627" s="64">
        <f t="shared" si="228"/>
        <v>35.454000000000001</v>
      </c>
      <c r="N627" s="65">
        <f>prodnorm22</f>
        <v>0</v>
      </c>
      <c r="O627" s="66">
        <f>dagwerk22</f>
        <v>0</v>
      </c>
      <c r="P627" s="62" t="s">
        <v>40</v>
      </c>
      <c r="Q627" s="67">
        <f>uurtarief22</f>
        <v>0</v>
      </c>
      <c r="R627" s="64" t="e">
        <f t="shared" si="229"/>
        <v>#DIV/0!</v>
      </c>
      <c r="S627" s="64" t="e">
        <f t="shared" si="230"/>
        <v>#DIV/0!</v>
      </c>
      <c r="T627" s="67" t="e">
        <f t="shared" si="231"/>
        <v>#DIV/0!</v>
      </c>
      <c r="U627" s="64" t="e">
        <f t="shared" si="232"/>
        <v>#DIV/0!</v>
      </c>
      <c r="V627" s="69" t="e">
        <f t="shared" si="233"/>
        <v>#DIV/0!</v>
      </c>
    </row>
    <row r="628" spans="1:22" x14ac:dyDescent="0.3">
      <c r="A628" s="61" t="s">
        <v>316</v>
      </c>
      <c r="B628" s="62" t="s">
        <v>317</v>
      </c>
      <c r="C628" s="62" t="s">
        <v>988</v>
      </c>
      <c r="D628" s="62" t="s">
        <v>1050</v>
      </c>
      <c r="E628" s="63" t="s">
        <v>374</v>
      </c>
      <c r="F628" s="62" t="s">
        <v>322</v>
      </c>
      <c r="G628" s="62" t="s">
        <v>323</v>
      </c>
      <c r="H628" s="62"/>
      <c r="I628" s="62"/>
      <c r="J628" s="62"/>
      <c r="K628" s="62" t="s">
        <v>317</v>
      </c>
      <c r="L628" s="64">
        <v>44.87</v>
      </c>
      <c r="M628" s="64"/>
      <c r="N628" s="65"/>
      <c r="O628" s="66"/>
      <c r="P628" s="62"/>
      <c r="Q628" s="67"/>
      <c r="R628" s="64"/>
      <c r="S628" s="64"/>
      <c r="T628" s="67"/>
      <c r="U628" s="68"/>
      <c r="V628" s="69"/>
    </row>
    <row r="629" spans="1:22" x14ac:dyDescent="0.3">
      <c r="A629" s="61" t="s">
        <v>316</v>
      </c>
      <c r="B629" s="62" t="s">
        <v>317</v>
      </c>
      <c r="C629" s="62" t="s">
        <v>988</v>
      </c>
      <c r="D629" s="62" t="s">
        <v>1051</v>
      </c>
      <c r="E629" s="63" t="s">
        <v>374</v>
      </c>
      <c r="F629" s="62" t="s">
        <v>322</v>
      </c>
      <c r="G629" s="62" t="s">
        <v>323</v>
      </c>
      <c r="H629" s="62"/>
      <c r="I629" s="62"/>
      <c r="J629" s="62"/>
      <c r="K629" s="62" t="s">
        <v>317</v>
      </c>
      <c r="L629" s="64">
        <v>8.3800000000000008</v>
      </c>
      <c r="M629" s="64"/>
      <c r="N629" s="65"/>
      <c r="O629" s="66"/>
      <c r="P629" s="62"/>
      <c r="Q629" s="67"/>
      <c r="R629" s="64"/>
      <c r="S629" s="64"/>
      <c r="T629" s="67"/>
      <c r="U629" s="68"/>
      <c r="V629" s="69"/>
    </row>
    <row r="630" spans="1:22" x14ac:dyDescent="0.3">
      <c r="A630" s="61" t="s">
        <v>316</v>
      </c>
      <c r="B630" s="62" t="s">
        <v>317</v>
      </c>
      <c r="C630" s="62" t="s">
        <v>988</v>
      </c>
      <c r="D630" s="62" t="s">
        <v>1052</v>
      </c>
      <c r="E630" s="63" t="s">
        <v>374</v>
      </c>
      <c r="F630" s="62" t="s">
        <v>322</v>
      </c>
      <c r="G630" s="62" t="s">
        <v>323</v>
      </c>
      <c r="H630" s="62"/>
      <c r="I630" s="62"/>
      <c r="J630" s="62"/>
      <c r="K630" s="62" t="s">
        <v>317</v>
      </c>
      <c r="L630" s="64">
        <v>3.8299999999999996</v>
      </c>
      <c r="M630" s="64"/>
      <c r="N630" s="65"/>
      <c r="O630" s="66"/>
      <c r="P630" s="62"/>
      <c r="Q630" s="67"/>
      <c r="R630" s="64"/>
      <c r="S630" s="64"/>
      <c r="T630" s="67"/>
      <c r="U630" s="68"/>
      <c r="V630" s="69"/>
    </row>
    <row r="631" spans="1:22" x14ac:dyDescent="0.3">
      <c r="A631" s="61" t="s">
        <v>316</v>
      </c>
      <c r="B631" s="62" t="s">
        <v>317</v>
      </c>
      <c r="C631" s="62" t="s">
        <v>988</v>
      </c>
      <c r="D631" s="62" t="s">
        <v>1053</v>
      </c>
      <c r="E631" s="63" t="s">
        <v>891</v>
      </c>
      <c r="F631" s="62" t="s">
        <v>353</v>
      </c>
      <c r="G631" s="62" t="s">
        <v>266</v>
      </c>
      <c r="H631" s="62" t="s">
        <v>11</v>
      </c>
      <c r="I631" s="62" t="s">
        <v>210</v>
      </c>
      <c r="J631" s="63" t="s">
        <v>267</v>
      </c>
      <c r="K631" s="62" t="s">
        <v>317</v>
      </c>
      <c r="L631" s="64">
        <v>6.38</v>
      </c>
      <c r="M631" s="64">
        <f>L631*VLOOKUP(H631,dagsoorttabel1,2,FALSE)</f>
        <v>6.38</v>
      </c>
      <c r="N631" s="65">
        <f>prodnorm39</f>
        <v>0</v>
      </c>
      <c r="O631" s="66">
        <f>dagwerk39</f>
        <v>0</v>
      </c>
      <c r="P631" s="62" t="s">
        <v>40</v>
      </c>
      <c r="Q631" s="67">
        <f>uurtarief39</f>
        <v>0</v>
      </c>
      <c r="R631" s="64" t="e">
        <f>IF(ISBLANK(N631),0,M631/ROUND(N631,4))</f>
        <v>#DIV/0!</v>
      </c>
      <c r="S631" s="64" t="e">
        <f>IF(ISBLANK(N631),0,R631*ROUND(O631,2))</f>
        <v>#DIV/0!</v>
      </c>
      <c r="T631" s="67" t="e">
        <f>ROUND(Q631,2)*R631</f>
        <v>#DIV/0!</v>
      </c>
      <c r="U631" s="64" t="e">
        <f>R631*dagenperjaar1</f>
        <v>#DIV/0!</v>
      </c>
      <c r="V631" s="69" t="e">
        <f>U631*ROUND(Q631,2)</f>
        <v>#DIV/0!</v>
      </c>
    </row>
    <row r="632" spans="1:22" x14ac:dyDescent="0.3">
      <c r="A632" s="61" t="s">
        <v>316</v>
      </c>
      <c r="B632" s="62" t="s">
        <v>317</v>
      </c>
      <c r="C632" s="62" t="s">
        <v>988</v>
      </c>
      <c r="D632" s="62" t="s">
        <v>1054</v>
      </c>
      <c r="E632" s="63" t="s">
        <v>381</v>
      </c>
      <c r="F632" s="62" t="s">
        <v>365</v>
      </c>
      <c r="G632" s="62" t="s">
        <v>323</v>
      </c>
      <c r="H632" s="62"/>
      <c r="I632" s="62"/>
      <c r="J632" s="62"/>
      <c r="K632" s="62" t="s">
        <v>317</v>
      </c>
      <c r="L632" s="64">
        <v>3.22</v>
      </c>
      <c r="M632" s="64"/>
      <c r="N632" s="65"/>
      <c r="O632" s="66"/>
      <c r="P632" s="62"/>
      <c r="Q632" s="67"/>
      <c r="R632" s="64"/>
      <c r="S632" s="64"/>
      <c r="T632" s="67"/>
      <c r="U632" s="68"/>
      <c r="V632" s="69"/>
    </row>
    <row r="633" spans="1:22" x14ac:dyDescent="0.3">
      <c r="A633" s="61" t="s">
        <v>316</v>
      </c>
      <c r="B633" s="62" t="s">
        <v>317</v>
      </c>
      <c r="C633" s="62" t="s">
        <v>988</v>
      </c>
      <c r="D633" s="62" t="s">
        <v>1055</v>
      </c>
      <c r="E633" s="63" t="s">
        <v>369</v>
      </c>
      <c r="F633" s="62" t="s">
        <v>432</v>
      </c>
      <c r="G633" s="62" t="s">
        <v>323</v>
      </c>
      <c r="H633" s="62"/>
      <c r="I633" s="62"/>
      <c r="J633" s="62"/>
      <c r="K633" s="62" t="s">
        <v>317</v>
      </c>
      <c r="L633" s="64">
        <v>1.58</v>
      </c>
      <c r="M633" s="64"/>
      <c r="N633" s="65"/>
      <c r="O633" s="66"/>
      <c r="P633" s="62"/>
      <c r="Q633" s="67"/>
      <c r="R633" s="64"/>
      <c r="S633" s="64"/>
      <c r="T633" s="67"/>
      <c r="U633" s="68"/>
      <c r="V633" s="69"/>
    </row>
    <row r="634" spans="1:22" x14ac:dyDescent="0.3">
      <c r="A634" s="61" t="s">
        <v>316</v>
      </c>
      <c r="B634" s="62" t="s">
        <v>317</v>
      </c>
      <c r="C634" s="62" t="s">
        <v>988</v>
      </c>
      <c r="D634" s="62" t="s">
        <v>1056</v>
      </c>
      <c r="E634" s="63" t="s">
        <v>352</v>
      </c>
      <c r="F634" s="62" t="s">
        <v>353</v>
      </c>
      <c r="G634" s="62" t="s">
        <v>266</v>
      </c>
      <c r="H634" s="62" t="s">
        <v>11</v>
      </c>
      <c r="I634" s="62" t="s">
        <v>210</v>
      </c>
      <c r="J634" s="63" t="s">
        <v>267</v>
      </c>
      <c r="K634" s="62" t="s">
        <v>317</v>
      </c>
      <c r="L634" s="64">
        <v>4.4700000000000006</v>
      </c>
      <c r="M634" s="64">
        <f>L634*VLOOKUP(H634,dagsoorttabel1,2,FALSE)</f>
        <v>4.4700000000000006</v>
      </c>
      <c r="N634" s="65">
        <f>prodnorm39</f>
        <v>0</v>
      </c>
      <c r="O634" s="66">
        <f>dagwerk39</f>
        <v>0</v>
      </c>
      <c r="P634" s="62" t="s">
        <v>40</v>
      </c>
      <c r="Q634" s="67">
        <f>uurtarief39</f>
        <v>0</v>
      </c>
      <c r="R634" s="64" t="e">
        <f>IF(ISBLANK(N634),0,M634/ROUND(N634,4))</f>
        <v>#DIV/0!</v>
      </c>
      <c r="S634" s="64" t="e">
        <f>IF(ISBLANK(N634),0,R634*ROUND(O634,2))</f>
        <v>#DIV/0!</v>
      </c>
      <c r="T634" s="67" t="e">
        <f>ROUND(Q634,2)*R634</f>
        <v>#DIV/0!</v>
      </c>
      <c r="U634" s="64" t="e">
        <f>R634*dagenperjaar1</f>
        <v>#DIV/0!</v>
      </c>
      <c r="V634" s="69" t="e">
        <f>U634*ROUND(Q634,2)</f>
        <v>#DIV/0!</v>
      </c>
    </row>
    <row r="635" spans="1:22" x14ac:dyDescent="0.3">
      <c r="A635" s="61" t="s">
        <v>316</v>
      </c>
      <c r="B635" s="62" t="s">
        <v>317</v>
      </c>
      <c r="C635" s="62" t="s">
        <v>988</v>
      </c>
      <c r="D635" s="62" t="s">
        <v>1057</v>
      </c>
      <c r="E635" s="63" t="s">
        <v>352</v>
      </c>
      <c r="F635" s="62" t="s">
        <v>353</v>
      </c>
      <c r="G635" s="62" t="s">
        <v>266</v>
      </c>
      <c r="H635" s="62" t="s">
        <v>11</v>
      </c>
      <c r="I635" s="62" t="s">
        <v>210</v>
      </c>
      <c r="J635" s="63" t="s">
        <v>267</v>
      </c>
      <c r="K635" s="62" t="s">
        <v>317</v>
      </c>
      <c r="L635" s="64">
        <v>4.5199999999999996</v>
      </c>
      <c r="M635" s="64">
        <f>L635*VLOOKUP(H635,dagsoorttabel1,2,FALSE)</f>
        <v>4.5199999999999996</v>
      </c>
      <c r="N635" s="65">
        <f>prodnorm39</f>
        <v>0</v>
      </c>
      <c r="O635" s="66">
        <f>dagwerk39</f>
        <v>0</v>
      </c>
      <c r="P635" s="62" t="s">
        <v>40</v>
      </c>
      <c r="Q635" s="67">
        <f>uurtarief39</f>
        <v>0</v>
      </c>
      <c r="R635" s="64" t="e">
        <f>IF(ISBLANK(N635),0,M635/ROUND(N635,4))</f>
        <v>#DIV/0!</v>
      </c>
      <c r="S635" s="64" t="e">
        <f>IF(ISBLANK(N635),0,R635*ROUND(O635,2))</f>
        <v>#DIV/0!</v>
      </c>
      <c r="T635" s="67" t="e">
        <f>ROUND(Q635,2)*R635</f>
        <v>#DIV/0!</v>
      </c>
      <c r="U635" s="64" t="e">
        <f>R635*dagenperjaar1</f>
        <v>#DIV/0!</v>
      </c>
      <c r="V635" s="69" t="e">
        <f>U635*ROUND(Q635,2)</f>
        <v>#DIV/0!</v>
      </c>
    </row>
    <row r="636" spans="1:22" x14ac:dyDescent="0.3">
      <c r="A636" s="61" t="s">
        <v>316</v>
      </c>
      <c r="B636" s="62" t="s">
        <v>317</v>
      </c>
      <c r="C636" s="62" t="s">
        <v>988</v>
      </c>
      <c r="D636" s="62" t="s">
        <v>1058</v>
      </c>
      <c r="E636" s="63" t="s">
        <v>394</v>
      </c>
      <c r="F636" s="62" t="s">
        <v>389</v>
      </c>
      <c r="G636" s="62" t="s">
        <v>272</v>
      </c>
      <c r="H636" s="62" t="s">
        <v>11</v>
      </c>
      <c r="I636" s="62" t="s">
        <v>210</v>
      </c>
      <c r="J636" s="63" t="s">
        <v>273</v>
      </c>
      <c r="K636" s="62" t="s">
        <v>317</v>
      </c>
      <c r="L636" s="64">
        <v>5.0999999999999996</v>
      </c>
      <c r="M636" s="64">
        <f>L636*VLOOKUP(H636,dagsoorttabel1,2,FALSE)</f>
        <v>5.0999999999999996</v>
      </c>
      <c r="N636" s="65">
        <f>prodnorm42</f>
        <v>0</v>
      </c>
      <c r="O636" s="66">
        <f>dagwerk42</f>
        <v>0</v>
      </c>
      <c r="P636" s="62" t="s">
        <v>40</v>
      </c>
      <c r="Q636" s="67">
        <f>uurtarief42</f>
        <v>0</v>
      </c>
      <c r="R636" s="64" t="e">
        <f>IF(ISBLANK(N636),0,M636/ROUND(N636,4))</f>
        <v>#DIV/0!</v>
      </c>
      <c r="S636" s="64" t="e">
        <f>IF(ISBLANK(N636),0,R636*ROUND(O636,2))</f>
        <v>#DIV/0!</v>
      </c>
      <c r="T636" s="67" t="e">
        <f>ROUND(Q636,2)*R636</f>
        <v>#DIV/0!</v>
      </c>
      <c r="U636" s="64" t="e">
        <f>R636*dagenperjaar1</f>
        <v>#DIV/0!</v>
      </c>
      <c r="V636" s="69" t="e">
        <f>U636*ROUND(Q636,2)</f>
        <v>#DIV/0!</v>
      </c>
    </row>
    <row r="637" spans="1:22" x14ac:dyDescent="0.3">
      <c r="A637" s="61" t="s">
        <v>316</v>
      </c>
      <c r="B637" s="62" t="s">
        <v>317</v>
      </c>
      <c r="C637" s="62" t="s">
        <v>988</v>
      </c>
      <c r="D637" s="62" t="s">
        <v>1059</v>
      </c>
      <c r="E637" s="63" t="s">
        <v>356</v>
      </c>
      <c r="F637" s="62" t="s">
        <v>348</v>
      </c>
      <c r="G637" s="62" t="s">
        <v>212</v>
      </c>
      <c r="H637" s="62" t="s">
        <v>17</v>
      </c>
      <c r="I637" s="62" t="s">
        <v>210</v>
      </c>
      <c r="J637" s="63" t="s">
        <v>213</v>
      </c>
      <c r="K637" s="62" t="s">
        <v>317</v>
      </c>
      <c r="L637" s="64">
        <v>52.54</v>
      </c>
      <c r="M637" s="64">
        <f>L637*VLOOKUP(H637,dagsoorttabel1,2,FALSE)</f>
        <v>10.508000000000001</v>
      </c>
      <c r="N637" s="65">
        <f>prodnorm11</f>
        <v>0</v>
      </c>
      <c r="O637" s="66">
        <f>dagwerk11</f>
        <v>0</v>
      </c>
      <c r="P637" s="62" t="s">
        <v>40</v>
      </c>
      <c r="Q637" s="67">
        <f>uurtarief11</f>
        <v>0</v>
      </c>
      <c r="R637" s="64" t="e">
        <f>IF(ISBLANK(N637),0,M637/ROUND(N637,4))</f>
        <v>#DIV/0!</v>
      </c>
      <c r="S637" s="64" t="e">
        <f>IF(ISBLANK(N637),0,R637*ROUND(O637,2))</f>
        <v>#DIV/0!</v>
      </c>
      <c r="T637" s="67" t="e">
        <f>ROUND(Q637,2)*R637</f>
        <v>#DIV/0!</v>
      </c>
      <c r="U637" s="64" t="e">
        <f>R637*dagenperjaar1</f>
        <v>#DIV/0!</v>
      </c>
      <c r="V637" s="69" t="e">
        <f>U637*ROUND(Q637,2)</f>
        <v>#DIV/0!</v>
      </c>
    </row>
    <row r="638" spans="1:22" x14ac:dyDescent="0.3">
      <c r="A638" s="61" t="s">
        <v>316</v>
      </c>
      <c r="B638" s="62" t="s">
        <v>317</v>
      </c>
      <c r="C638" s="62" t="s">
        <v>988</v>
      </c>
      <c r="D638" s="62" t="s">
        <v>1060</v>
      </c>
      <c r="E638" s="63" t="s">
        <v>1061</v>
      </c>
      <c r="F638" s="62" t="s">
        <v>365</v>
      </c>
      <c r="G638" s="62" t="s">
        <v>323</v>
      </c>
      <c r="H638" s="62"/>
      <c r="I638" s="62"/>
      <c r="J638" s="62"/>
      <c r="K638" s="62" t="s">
        <v>317</v>
      </c>
      <c r="L638" s="64">
        <v>27.66</v>
      </c>
      <c r="M638" s="64"/>
      <c r="N638" s="65"/>
      <c r="O638" s="66"/>
      <c r="P638" s="62"/>
      <c r="Q638" s="67"/>
      <c r="R638" s="64"/>
      <c r="S638" s="64"/>
      <c r="T638" s="67"/>
      <c r="U638" s="68"/>
      <c r="V638" s="69"/>
    </row>
    <row r="639" spans="1:22" x14ac:dyDescent="0.3">
      <c r="A639" s="61" t="s">
        <v>316</v>
      </c>
      <c r="B639" s="62" t="s">
        <v>317</v>
      </c>
      <c r="C639" s="62" t="s">
        <v>988</v>
      </c>
      <c r="D639" s="62" t="s">
        <v>1062</v>
      </c>
      <c r="E639" s="63" t="s">
        <v>707</v>
      </c>
      <c r="F639" s="62" t="s">
        <v>348</v>
      </c>
      <c r="G639" s="62" t="s">
        <v>226</v>
      </c>
      <c r="H639" s="62" t="s">
        <v>14</v>
      </c>
      <c r="I639" s="62" t="s">
        <v>210</v>
      </c>
      <c r="J639" s="63" t="s">
        <v>227</v>
      </c>
      <c r="K639" s="62" t="s">
        <v>317</v>
      </c>
      <c r="L639" s="64">
        <v>29.01</v>
      </c>
      <c r="M639" s="64">
        <f>L639*VLOOKUP(H639,dagsoorttabel1,2,FALSE)</f>
        <v>17.405999999999999</v>
      </c>
      <c r="N639" s="65">
        <f>prodnorm18</f>
        <v>0</v>
      </c>
      <c r="O639" s="66">
        <f>dagwerk18</f>
        <v>0</v>
      </c>
      <c r="P639" s="62" t="s">
        <v>40</v>
      </c>
      <c r="Q639" s="67">
        <f>uurtarief18</f>
        <v>0</v>
      </c>
      <c r="R639" s="64" t="e">
        <f>IF(ISBLANK(N639),0,M639/ROUND(N639,4))</f>
        <v>#DIV/0!</v>
      </c>
      <c r="S639" s="64" t="e">
        <f>IF(ISBLANK(N639),0,R639*ROUND(O639,2))</f>
        <v>#DIV/0!</v>
      </c>
      <c r="T639" s="67" t="e">
        <f>ROUND(Q639,2)*R639</f>
        <v>#DIV/0!</v>
      </c>
      <c r="U639" s="64" t="e">
        <f>R639*dagenperjaar1</f>
        <v>#DIV/0!</v>
      </c>
      <c r="V639" s="69" t="e">
        <f>U639*ROUND(Q639,2)</f>
        <v>#DIV/0!</v>
      </c>
    </row>
    <row r="640" spans="1:22" x14ac:dyDescent="0.3">
      <c r="A640" s="61" t="s">
        <v>316</v>
      </c>
      <c r="B640" s="62" t="s">
        <v>317</v>
      </c>
      <c r="C640" s="62" t="s">
        <v>988</v>
      </c>
      <c r="D640" s="62" t="s">
        <v>1063</v>
      </c>
      <c r="E640" s="63" t="s">
        <v>356</v>
      </c>
      <c r="F640" s="62" t="s">
        <v>348</v>
      </c>
      <c r="G640" s="62" t="s">
        <v>212</v>
      </c>
      <c r="H640" s="62" t="s">
        <v>17</v>
      </c>
      <c r="I640" s="62" t="s">
        <v>210</v>
      </c>
      <c r="J640" s="63" t="s">
        <v>213</v>
      </c>
      <c r="K640" s="62" t="s">
        <v>317</v>
      </c>
      <c r="L640" s="64">
        <v>15.67</v>
      </c>
      <c r="M640" s="64">
        <f>L640*VLOOKUP(H640,dagsoorttabel1,2,FALSE)</f>
        <v>3.1340000000000003</v>
      </c>
      <c r="N640" s="65">
        <f>prodnorm11</f>
        <v>0</v>
      </c>
      <c r="O640" s="66">
        <f>dagwerk11</f>
        <v>0</v>
      </c>
      <c r="P640" s="62" t="s">
        <v>40</v>
      </c>
      <c r="Q640" s="67">
        <f>uurtarief11</f>
        <v>0</v>
      </c>
      <c r="R640" s="64" t="e">
        <f>IF(ISBLANK(N640),0,M640/ROUND(N640,4))</f>
        <v>#DIV/0!</v>
      </c>
      <c r="S640" s="64" t="e">
        <f>IF(ISBLANK(N640),0,R640*ROUND(O640,2))</f>
        <v>#DIV/0!</v>
      </c>
      <c r="T640" s="67" t="e">
        <f>ROUND(Q640,2)*R640</f>
        <v>#DIV/0!</v>
      </c>
      <c r="U640" s="64" t="e">
        <f>R640*dagenperjaar1</f>
        <v>#DIV/0!</v>
      </c>
      <c r="V640" s="69" t="e">
        <f>U640*ROUND(Q640,2)</f>
        <v>#DIV/0!</v>
      </c>
    </row>
    <row r="641" spans="1:22" x14ac:dyDescent="0.3">
      <c r="A641" s="61" t="s">
        <v>316</v>
      </c>
      <c r="B641" s="62" t="s">
        <v>317</v>
      </c>
      <c r="C641" s="62" t="s">
        <v>988</v>
      </c>
      <c r="D641" s="62" t="s">
        <v>1064</v>
      </c>
      <c r="E641" s="63" t="s">
        <v>400</v>
      </c>
      <c r="F641" s="62" t="s">
        <v>348</v>
      </c>
      <c r="G641" s="62" t="s">
        <v>216</v>
      </c>
      <c r="H641" s="62" t="s">
        <v>14</v>
      </c>
      <c r="I641" s="62" t="s">
        <v>210</v>
      </c>
      <c r="J641" s="63" t="s">
        <v>217</v>
      </c>
      <c r="K641" s="62" t="s">
        <v>317</v>
      </c>
      <c r="L641" s="64">
        <v>17.100000000000001</v>
      </c>
      <c r="M641" s="64">
        <f>L641*VLOOKUP(H641,dagsoorttabel1,2,FALSE)</f>
        <v>10.26</v>
      </c>
      <c r="N641" s="65">
        <f>prodnorm13</f>
        <v>0</v>
      </c>
      <c r="O641" s="66">
        <f>dagwerk13</f>
        <v>0</v>
      </c>
      <c r="P641" s="62" t="s">
        <v>40</v>
      </c>
      <c r="Q641" s="67">
        <f>uurtarief13</f>
        <v>0</v>
      </c>
      <c r="R641" s="64" t="e">
        <f>IF(ISBLANK(N641),0,M641/ROUND(N641,4))</f>
        <v>#DIV/0!</v>
      </c>
      <c r="S641" s="64" t="e">
        <f>IF(ISBLANK(N641),0,R641*ROUND(O641,2))</f>
        <v>#DIV/0!</v>
      </c>
      <c r="T641" s="67" t="e">
        <f>ROUND(Q641,2)*R641</f>
        <v>#DIV/0!</v>
      </c>
      <c r="U641" s="64" t="e">
        <f>R641*dagenperjaar1</f>
        <v>#DIV/0!</v>
      </c>
      <c r="V641" s="69" t="e">
        <f>U641*ROUND(Q641,2)</f>
        <v>#DIV/0!</v>
      </c>
    </row>
    <row r="642" spans="1:22" x14ac:dyDescent="0.3">
      <c r="A642" s="61" t="s">
        <v>316</v>
      </c>
      <c r="B642" s="62" t="s">
        <v>317</v>
      </c>
      <c r="C642" s="62" t="s">
        <v>988</v>
      </c>
      <c r="D642" s="62" t="s">
        <v>1065</v>
      </c>
      <c r="E642" s="63" t="s">
        <v>356</v>
      </c>
      <c r="F642" s="62" t="s">
        <v>348</v>
      </c>
      <c r="G642" s="62" t="s">
        <v>212</v>
      </c>
      <c r="H642" s="62" t="s">
        <v>17</v>
      </c>
      <c r="I642" s="62" t="s">
        <v>210</v>
      </c>
      <c r="J642" s="63" t="s">
        <v>213</v>
      </c>
      <c r="K642" s="62" t="s">
        <v>317</v>
      </c>
      <c r="L642" s="64">
        <v>51.7</v>
      </c>
      <c r="M642" s="64">
        <f>L642*VLOOKUP(H642,dagsoorttabel1,2,FALSE)</f>
        <v>10.340000000000002</v>
      </c>
      <c r="N642" s="65">
        <f>prodnorm11</f>
        <v>0</v>
      </c>
      <c r="O642" s="66">
        <f>dagwerk11</f>
        <v>0</v>
      </c>
      <c r="P642" s="62" t="s">
        <v>40</v>
      </c>
      <c r="Q642" s="67">
        <f>uurtarief11</f>
        <v>0</v>
      </c>
      <c r="R642" s="64" t="e">
        <f>IF(ISBLANK(N642),0,M642/ROUND(N642,4))</f>
        <v>#DIV/0!</v>
      </c>
      <c r="S642" s="64" t="e">
        <f>IF(ISBLANK(N642),0,R642*ROUND(O642,2))</f>
        <v>#DIV/0!</v>
      </c>
      <c r="T642" s="67" t="e">
        <f>ROUND(Q642,2)*R642</f>
        <v>#DIV/0!</v>
      </c>
      <c r="U642" s="64" t="e">
        <f>R642*dagenperjaar1</f>
        <v>#DIV/0!</v>
      </c>
      <c r="V642" s="69" t="e">
        <f>U642*ROUND(Q642,2)</f>
        <v>#DIV/0!</v>
      </c>
    </row>
    <row r="643" spans="1:22" x14ac:dyDescent="0.3">
      <c r="A643" s="61" t="s">
        <v>316</v>
      </c>
      <c r="B643" s="62" t="s">
        <v>317</v>
      </c>
      <c r="C643" s="62" t="s">
        <v>988</v>
      </c>
      <c r="D643" s="62" t="s">
        <v>1066</v>
      </c>
      <c r="E643" s="63" t="s">
        <v>330</v>
      </c>
      <c r="F643" s="62" t="s">
        <v>389</v>
      </c>
      <c r="G643" s="62" t="s">
        <v>286</v>
      </c>
      <c r="H643" s="62" t="s">
        <v>11</v>
      </c>
      <c r="I643" s="62" t="s">
        <v>210</v>
      </c>
      <c r="J643" s="63" t="s">
        <v>287</v>
      </c>
      <c r="K643" s="62" t="s">
        <v>317</v>
      </c>
      <c r="L643" s="64">
        <v>39.120000000000005</v>
      </c>
      <c r="M643" s="64">
        <f>L643*VLOOKUP(H643,dagsoorttabel1,2,FALSE)</f>
        <v>39.120000000000005</v>
      </c>
      <c r="N643" s="65">
        <f>prodnorm49</f>
        <v>0</v>
      </c>
      <c r="O643" s="66">
        <f>dagwerk49</f>
        <v>0</v>
      </c>
      <c r="P643" s="62" t="s">
        <v>40</v>
      </c>
      <c r="Q643" s="67">
        <f>uurtarief49</f>
        <v>0</v>
      </c>
      <c r="R643" s="64" t="e">
        <f>IF(ISBLANK(N643),0,M643/ROUND(N643,4))</f>
        <v>#DIV/0!</v>
      </c>
      <c r="S643" s="64" t="e">
        <f>IF(ISBLANK(N643),0,R643*ROUND(O643,2))</f>
        <v>#DIV/0!</v>
      </c>
      <c r="T643" s="67" t="e">
        <f>ROUND(Q643,2)*R643</f>
        <v>#DIV/0!</v>
      </c>
      <c r="U643" s="64" t="e">
        <f>R643*dagenperjaar1</f>
        <v>#DIV/0!</v>
      </c>
      <c r="V643" s="69" t="e">
        <f>U643*ROUND(Q643,2)</f>
        <v>#DIV/0!</v>
      </c>
    </row>
    <row r="644" spans="1:22" x14ac:dyDescent="0.3">
      <c r="A644" s="61" t="s">
        <v>316</v>
      </c>
      <c r="B644" s="62" t="s">
        <v>317</v>
      </c>
      <c r="C644" s="62" t="s">
        <v>988</v>
      </c>
      <c r="D644" s="62" t="s">
        <v>1067</v>
      </c>
      <c r="E644" s="63" t="s">
        <v>374</v>
      </c>
      <c r="F644" s="62" t="s">
        <v>389</v>
      </c>
      <c r="G644" s="62" t="s">
        <v>323</v>
      </c>
      <c r="H644" s="62"/>
      <c r="I644" s="62"/>
      <c r="J644" s="62"/>
      <c r="K644" s="62" t="s">
        <v>317</v>
      </c>
      <c r="L644" s="64">
        <v>0.78</v>
      </c>
      <c r="M644" s="64"/>
      <c r="N644" s="65"/>
      <c r="O644" s="66"/>
      <c r="P644" s="62"/>
      <c r="Q644" s="67"/>
      <c r="R644" s="64"/>
      <c r="S644" s="64"/>
      <c r="T644" s="67"/>
      <c r="U644" s="68"/>
      <c r="V644" s="69"/>
    </row>
    <row r="645" spans="1:22" x14ac:dyDescent="0.3">
      <c r="A645" s="61" t="s">
        <v>316</v>
      </c>
      <c r="B645" s="62" t="s">
        <v>317</v>
      </c>
      <c r="C645" s="62" t="s">
        <v>988</v>
      </c>
      <c r="D645" s="62" t="s">
        <v>1068</v>
      </c>
      <c r="E645" s="63" t="s">
        <v>394</v>
      </c>
      <c r="F645" s="62" t="s">
        <v>389</v>
      </c>
      <c r="G645" s="62" t="s">
        <v>272</v>
      </c>
      <c r="H645" s="62" t="s">
        <v>11</v>
      </c>
      <c r="I645" s="62" t="s">
        <v>210</v>
      </c>
      <c r="J645" s="63" t="s">
        <v>273</v>
      </c>
      <c r="K645" s="62" t="s">
        <v>317</v>
      </c>
      <c r="L645" s="64">
        <v>207.70999999999998</v>
      </c>
      <c r="M645" s="64">
        <f t="shared" ref="M645:M650" si="234">L645*VLOOKUP(H645,dagsoorttabel1,2,FALSE)</f>
        <v>207.70999999999998</v>
      </c>
      <c r="N645" s="65">
        <f>prodnorm42</f>
        <v>0</v>
      </c>
      <c r="O645" s="66">
        <f>dagwerk42</f>
        <v>0</v>
      </c>
      <c r="P645" s="62" t="s">
        <v>40</v>
      </c>
      <c r="Q645" s="67">
        <f>uurtarief42</f>
        <v>0</v>
      </c>
      <c r="R645" s="64" t="e">
        <f t="shared" ref="R645:R650" si="235">IF(ISBLANK(N645),0,M645/ROUND(N645,4))</f>
        <v>#DIV/0!</v>
      </c>
      <c r="S645" s="64" t="e">
        <f t="shared" ref="S645:S650" si="236">IF(ISBLANK(N645),0,R645*ROUND(O645,2))</f>
        <v>#DIV/0!</v>
      </c>
      <c r="T645" s="67" t="e">
        <f t="shared" ref="T645:T650" si="237">ROUND(Q645,2)*R645</f>
        <v>#DIV/0!</v>
      </c>
      <c r="U645" s="64" t="e">
        <f t="shared" ref="U645:U650" si="238">R645*dagenperjaar1</f>
        <v>#DIV/0!</v>
      </c>
      <c r="V645" s="69" t="e">
        <f t="shared" ref="V645:V650" si="239">U645*ROUND(Q645,2)</f>
        <v>#DIV/0!</v>
      </c>
    </row>
    <row r="646" spans="1:22" x14ac:dyDescent="0.3">
      <c r="A646" s="61" t="s">
        <v>316</v>
      </c>
      <c r="B646" s="62" t="s">
        <v>317</v>
      </c>
      <c r="C646" s="62" t="s">
        <v>988</v>
      </c>
      <c r="D646" s="62" t="s">
        <v>1069</v>
      </c>
      <c r="E646" s="63" t="s">
        <v>391</v>
      </c>
      <c r="F646" s="62" t="s">
        <v>348</v>
      </c>
      <c r="G646" s="62" t="s">
        <v>236</v>
      </c>
      <c r="H646" s="62" t="s">
        <v>14</v>
      </c>
      <c r="I646" s="62" t="s">
        <v>210</v>
      </c>
      <c r="J646" s="63" t="s">
        <v>237</v>
      </c>
      <c r="K646" s="62" t="s">
        <v>317</v>
      </c>
      <c r="L646" s="64">
        <v>61.01</v>
      </c>
      <c r="M646" s="64">
        <f t="shared" si="234"/>
        <v>36.605999999999995</v>
      </c>
      <c r="N646" s="65">
        <f>prodnorm23</f>
        <v>0</v>
      </c>
      <c r="O646" s="66">
        <f>dagwerk23</f>
        <v>0</v>
      </c>
      <c r="P646" s="62" t="s">
        <v>40</v>
      </c>
      <c r="Q646" s="67">
        <f>uurtarief23</f>
        <v>0</v>
      </c>
      <c r="R646" s="64" t="e">
        <f t="shared" si="235"/>
        <v>#DIV/0!</v>
      </c>
      <c r="S646" s="64" t="e">
        <f t="shared" si="236"/>
        <v>#DIV/0!</v>
      </c>
      <c r="T646" s="67" t="e">
        <f t="shared" si="237"/>
        <v>#DIV/0!</v>
      </c>
      <c r="U646" s="64" t="e">
        <f t="shared" si="238"/>
        <v>#DIV/0!</v>
      </c>
      <c r="V646" s="69" t="e">
        <f t="shared" si="239"/>
        <v>#DIV/0!</v>
      </c>
    </row>
    <row r="647" spans="1:22" x14ac:dyDescent="0.3">
      <c r="A647" s="61" t="s">
        <v>316</v>
      </c>
      <c r="B647" s="62" t="s">
        <v>317</v>
      </c>
      <c r="C647" s="62" t="s">
        <v>988</v>
      </c>
      <c r="D647" s="62" t="s">
        <v>1070</v>
      </c>
      <c r="E647" s="63" t="s">
        <v>1071</v>
      </c>
      <c r="F647" s="62" t="s">
        <v>348</v>
      </c>
      <c r="G647" s="62" t="s">
        <v>232</v>
      </c>
      <c r="H647" s="62" t="s">
        <v>11</v>
      </c>
      <c r="I647" s="62" t="s">
        <v>210</v>
      </c>
      <c r="J647" s="63" t="s">
        <v>233</v>
      </c>
      <c r="K647" s="62" t="s">
        <v>317</v>
      </c>
      <c r="L647" s="64">
        <v>71.09</v>
      </c>
      <c r="M647" s="64">
        <f t="shared" si="234"/>
        <v>71.09</v>
      </c>
      <c r="N647" s="65">
        <f>prodnorm21</f>
        <v>0</v>
      </c>
      <c r="O647" s="66">
        <f>dagwerk21</f>
        <v>0</v>
      </c>
      <c r="P647" s="62" t="s">
        <v>40</v>
      </c>
      <c r="Q647" s="67">
        <f>uurtarief21</f>
        <v>0</v>
      </c>
      <c r="R647" s="64" t="e">
        <f t="shared" si="235"/>
        <v>#DIV/0!</v>
      </c>
      <c r="S647" s="64" t="e">
        <f t="shared" si="236"/>
        <v>#DIV/0!</v>
      </c>
      <c r="T647" s="67" t="e">
        <f t="shared" si="237"/>
        <v>#DIV/0!</v>
      </c>
      <c r="U647" s="64" t="e">
        <f t="shared" si="238"/>
        <v>#DIV/0!</v>
      </c>
      <c r="V647" s="69" t="e">
        <f t="shared" si="239"/>
        <v>#DIV/0!</v>
      </c>
    </row>
    <row r="648" spans="1:22" x14ac:dyDescent="0.3">
      <c r="A648" s="61" t="s">
        <v>316</v>
      </c>
      <c r="B648" s="62" t="s">
        <v>317</v>
      </c>
      <c r="C648" s="62" t="s">
        <v>988</v>
      </c>
      <c r="D648" s="62" t="s">
        <v>1072</v>
      </c>
      <c r="E648" s="63" t="s">
        <v>391</v>
      </c>
      <c r="F648" s="62" t="s">
        <v>348</v>
      </c>
      <c r="G648" s="62" t="s">
        <v>236</v>
      </c>
      <c r="H648" s="62" t="s">
        <v>14</v>
      </c>
      <c r="I648" s="62" t="s">
        <v>210</v>
      </c>
      <c r="J648" s="63" t="s">
        <v>237</v>
      </c>
      <c r="K648" s="62" t="s">
        <v>317</v>
      </c>
      <c r="L648" s="64">
        <v>49.43</v>
      </c>
      <c r="M648" s="64">
        <f t="shared" si="234"/>
        <v>29.657999999999998</v>
      </c>
      <c r="N648" s="65">
        <f>prodnorm23</f>
        <v>0</v>
      </c>
      <c r="O648" s="66">
        <f>dagwerk23</f>
        <v>0</v>
      </c>
      <c r="P648" s="62" t="s">
        <v>40</v>
      </c>
      <c r="Q648" s="67">
        <f>uurtarief23</f>
        <v>0</v>
      </c>
      <c r="R648" s="64" t="e">
        <f t="shared" si="235"/>
        <v>#DIV/0!</v>
      </c>
      <c r="S648" s="64" t="e">
        <f t="shared" si="236"/>
        <v>#DIV/0!</v>
      </c>
      <c r="T648" s="67" t="e">
        <f t="shared" si="237"/>
        <v>#DIV/0!</v>
      </c>
      <c r="U648" s="64" t="e">
        <f t="shared" si="238"/>
        <v>#DIV/0!</v>
      </c>
      <c r="V648" s="69" t="e">
        <f t="shared" si="239"/>
        <v>#DIV/0!</v>
      </c>
    </row>
    <row r="649" spans="1:22" x14ac:dyDescent="0.3">
      <c r="A649" s="61" t="s">
        <v>316</v>
      </c>
      <c r="B649" s="62" t="s">
        <v>317</v>
      </c>
      <c r="C649" s="62" t="s">
        <v>988</v>
      </c>
      <c r="D649" s="62" t="s">
        <v>1073</v>
      </c>
      <c r="E649" s="63" t="s">
        <v>391</v>
      </c>
      <c r="F649" s="62" t="s">
        <v>348</v>
      </c>
      <c r="G649" s="62" t="s">
        <v>236</v>
      </c>
      <c r="H649" s="62" t="s">
        <v>14</v>
      </c>
      <c r="I649" s="62" t="s">
        <v>210</v>
      </c>
      <c r="J649" s="63" t="s">
        <v>237</v>
      </c>
      <c r="K649" s="62" t="s">
        <v>317</v>
      </c>
      <c r="L649" s="64">
        <v>49.58</v>
      </c>
      <c r="M649" s="64">
        <f t="shared" si="234"/>
        <v>29.747999999999998</v>
      </c>
      <c r="N649" s="65">
        <f>prodnorm23</f>
        <v>0</v>
      </c>
      <c r="O649" s="66">
        <f>dagwerk23</f>
        <v>0</v>
      </c>
      <c r="P649" s="62" t="s">
        <v>40</v>
      </c>
      <c r="Q649" s="67">
        <f>uurtarief23</f>
        <v>0</v>
      </c>
      <c r="R649" s="64" t="e">
        <f t="shared" si="235"/>
        <v>#DIV/0!</v>
      </c>
      <c r="S649" s="64" t="e">
        <f t="shared" si="236"/>
        <v>#DIV/0!</v>
      </c>
      <c r="T649" s="67" t="e">
        <f t="shared" si="237"/>
        <v>#DIV/0!</v>
      </c>
      <c r="U649" s="64" t="e">
        <f t="shared" si="238"/>
        <v>#DIV/0!</v>
      </c>
      <c r="V649" s="69" t="e">
        <f t="shared" si="239"/>
        <v>#DIV/0!</v>
      </c>
    </row>
    <row r="650" spans="1:22" x14ac:dyDescent="0.3">
      <c r="A650" s="61" t="s">
        <v>316</v>
      </c>
      <c r="B650" s="62" t="s">
        <v>317</v>
      </c>
      <c r="C650" s="62" t="s">
        <v>988</v>
      </c>
      <c r="D650" s="62" t="s">
        <v>1074</v>
      </c>
      <c r="E650" s="63" t="s">
        <v>1075</v>
      </c>
      <c r="F650" s="62" t="s">
        <v>389</v>
      </c>
      <c r="G650" s="62" t="s">
        <v>214</v>
      </c>
      <c r="H650" s="62" t="s">
        <v>14</v>
      </c>
      <c r="I650" s="62" t="s">
        <v>210</v>
      </c>
      <c r="J650" s="63" t="s">
        <v>215</v>
      </c>
      <c r="K650" s="62" t="s">
        <v>317</v>
      </c>
      <c r="L650" s="64">
        <v>25.919999999999998</v>
      </c>
      <c r="M650" s="64">
        <f t="shared" si="234"/>
        <v>15.551999999999998</v>
      </c>
      <c r="N650" s="65">
        <f>prodnorm12</f>
        <v>0</v>
      </c>
      <c r="O650" s="66">
        <f>dagwerk12</f>
        <v>0</v>
      </c>
      <c r="P650" s="62" t="s">
        <v>40</v>
      </c>
      <c r="Q650" s="67">
        <f>uurtarief12</f>
        <v>0</v>
      </c>
      <c r="R650" s="64" t="e">
        <f t="shared" si="235"/>
        <v>#DIV/0!</v>
      </c>
      <c r="S650" s="64" t="e">
        <f t="shared" si="236"/>
        <v>#DIV/0!</v>
      </c>
      <c r="T650" s="67" t="e">
        <f t="shared" si="237"/>
        <v>#DIV/0!</v>
      </c>
      <c r="U650" s="64" t="e">
        <f t="shared" si="238"/>
        <v>#DIV/0!</v>
      </c>
      <c r="V650" s="69" t="e">
        <f t="shared" si="239"/>
        <v>#DIV/0!</v>
      </c>
    </row>
    <row r="651" spans="1:22" x14ac:dyDescent="0.3">
      <c r="A651" s="61" t="s">
        <v>316</v>
      </c>
      <c r="B651" s="62" t="s">
        <v>317</v>
      </c>
      <c r="C651" s="62" t="s">
        <v>988</v>
      </c>
      <c r="D651" s="62" t="s">
        <v>1076</v>
      </c>
      <c r="E651" s="63" t="s">
        <v>369</v>
      </c>
      <c r="F651" s="62" t="s">
        <v>432</v>
      </c>
      <c r="G651" s="62" t="s">
        <v>323</v>
      </c>
      <c r="H651" s="62"/>
      <c r="I651" s="62"/>
      <c r="J651" s="62"/>
      <c r="K651" s="62" t="s">
        <v>317</v>
      </c>
      <c r="L651" s="64">
        <v>2.06</v>
      </c>
      <c r="M651" s="64"/>
      <c r="N651" s="65"/>
      <c r="O651" s="66"/>
      <c r="P651" s="62"/>
      <c r="Q651" s="67"/>
      <c r="R651" s="64"/>
      <c r="S651" s="64"/>
      <c r="T651" s="67"/>
      <c r="U651" s="68"/>
      <c r="V651" s="69"/>
    </row>
    <row r="652" spans="1:22" x14ac:dyDescent="0.3">
      <c r="A652" s="61" t="s">
        <v>316</v>
      </c>
      <c r="B652" s="62" t="s">
        <v>317</v>
      </c>
      <c r="C652" s="62" t="s">
        <v>988</v>
      </c>
      <c r="D652" s="62" t="s">
        <v>1077</v>
      </c>
      <c r="E652" s="63" t="s">
        <v>374</v>
      </c>
      <c r="F652" s="62" t="s">
        <v>389</v>
      </c>
      <c r="G652" s="62" t="s">
        <v>323</v>
      </c>
      <c r="H652" s="62"/>
      <c r="I652" s="62"/>
      <c r="J652" s="62"/>
      <c r="K652" s="62" t="s">
        <v>317</v>
      </c>
      <c r="L652" s="64">
        <v>2.8</v>
      </c>
      <c r="M652" s="64"/>
      <c r="N652" s="65"/>
      <c r="O652" s="66"/>
      <c r="P652" s="62"/>
      <c r="Q652" s="67"/>
      <c r="R652" s="64"/>
      <c r="S652" s="64"/>
      <c r="T652" s="67"/>
      <c r="U652" s="68"/>
      <c r="V652" s="69"/>
    </row>
    <row r="653" spans="1:22" x14ac:dyDescent="0.3">
      <c r="A653" s="61" t="s">
        <v>316</v>
      </c>
      <c r="B653" s="62" t="s">
        <v>317</v>
      </c>
      <c r="C653" s="62" t="s">
        <v>988</v>
      </c>
      <c r="D653" s="62" t="s">
        <v>1078</v>
      </c>
      <c r="E653" s="63" t="s">
        <v>352</v>
      </c>
      <c r="F653" s="62" t="s">
        <v>353</v>
      </c>
      <c r="G653" s="62" t="s">
        <v>266</v>
      </c>
      <c r="H653" s="62" t="s">
        <v>11</v>
      </c>
      <c r="I653" s="62" t="s">
        <v>210</v>
      </c>
      <c r="J653" s="63" t="s">
        <v>267</v>
      </c>
      <c r="K653" s="62" t="s">
        <v>317</v>
      </c>
      <c r="L653" s="64">
        <v>11.93</v>
      </c>
      <c r="M653" s="64">
        <f t="shared" ref="M653:M660" si="240">L653*VLOOKUP(H653,dagsoorttabel1,2,FALSE)</f>
        <v>11.93</v>
      </c>
      <c r="N653" s="65">
        <f>prodnorm39</f>
        <v>0</v>
      </c>
      <c r="O653" s="66">
        <f>dagwerk39</f>
        <v>0</v>
      </c>
      <c r="P653" s="62" t="s">
        <v>40</v>
      </c>
      <c r="Q653" s="67">
        <f>uurtarief39</f>
        <v>0</v>
      </c>
      <c r="R653" s="64" t="e">
        <f t="shared" ref="R653:R660" si="241">IF(ISBLANK(N653),0,M653/ROUND(N653,4))</f>
        <v>#DIV/0!</v>
      </c>
      <c r="S653" s="64" t="e">
        <f t="shared" ref="S653:S660" si="242">IF(ISBLANK(N653),0,R653*ROUND(O653,2))</f>
        <v>#DIV/0!</v>
      </c>
      <c r="T653" s="67" t="e">
        <f t="shared" ref="T653:T660" si="243">ROUND(Q653,2)*R653</f>
        <v>#DIV/0!</v>
      </c>
      <c r="U653" s="64" t="e">
        <f t="shared" ref="U653:U660" si="244">R653*dagenperjaar1</f>
        <v>#DIV/0!</v>
      </c>
      <c r="V653" s="69" t="e">
        <f t="shared" ref="V653:V660" si="245">U653*ROUND(Q653,2)</f>
        <v>#DIV/0!</v>
      </c>
    </row>
    <row r="654" spans="1:22" x14ac:dyDescent="0.3">
      <c r="A654" s="61" t="s">
        <v>316</v>
      </c>
      <c r="B654" s="62" t="s">
        <v>317</v>
      </c>
      <c r="C654" s="62" t="s">
        <v>988</v>
      </c>
      <c r="D654" s="62" t="s">
        <v>1079</v>
      </c>
      <c r="E654" s="63" t="s">
        <v>352</v>
      </c>
      <c r="F654" s="62" t="s">
        <v>353</v>
      </c>
      <c r="G654" s="62" t="s">
        <v>266</v>
      </c>
      <c r="H654" s="62" t="s">
        <v>11</v>
      </c>
      <c r="I654" s="62" t="s">
        <v>210</v>
      </c>
      <c r="J654" s="63" t="s">
        <v>267</v>
      </c>
      <c r="K654" s="62" t="s">
        <v>317</v>
      </c>
      <c r="L654" s="64">
        <v>11.39</v>
      </c>
      <c r="M654" s="64">
        <f t="shared" si="240"/>
        <v>11.39</v>
      </c>
      <c r="N654" s="65">
        <f>prodnorm39</f>
        <v>0</v>
      </c>
      <c r="O654" s="66">
        <f>dagwerk39</f>
        <v>0</v>
      </c>
      <c r="P654" s="62" t="s">
        <v>40</v>
      </c>
      <c r="Q654" s="67">
        <f>uurtarief39</f>
        <v>0</v>
      </c>
      <c r="R654" s="64" t="e">
        <f t="shared" si="241"/>
        <v>#DIV/0!</v>
      </c>
      <c r="S654" s="64" t="e">
        <f t="shared" si="242"/>
        <v>#DIV/0!</v>
      </c>
      <c r="T654" s="67" t="e">
        <f t="shared" si="243"/>
        <v>#DIV/0!</v>
      </c>
      <c r="U654" s="64" t="e">
        <f t="shared" si="244"/>
        <v>#DIV/0!</v>
      </c>
      <c r="V654" s="69" t="e">
        <f t="shared" si="245"/>
        <v>#DIV/0!</v>
      </c>
    </row>
    <row r="655" spans="1:22" x14ac:dyDescent="0.3">
      <c r="A655" s="61" t="s">
        <v>316</v>
      </c>
      <c r="B655" s="62" t="s">
        <v>317</v>
      </c>
      <c r="C655" s="62" t="s">
        <v>988</v>
      </c>
      <c r="D655" s="62" t="s">
        <v>1080</v>
      </c>
      <c r="E655" s="63" t="s">
        <v>391</v>
      </c>
      <c r="F655" s="62" t="s">
        <v>348</v>
      </c>
      <c r="G655" s="62" t="s">
        <v>236</v>
      </c>
      <c r="H655" s="62" t="s">
        <v>14</v>
      </c>
      <c r="I655" s="62" t="s">
        <v>210</v>
      </c>
      <c r="J655" s="63" t="s">
        <v>237</v>
      </c>
      <c r="K655" s="62" t="s">
        <v>317</v>
      </c>
      <c r="L655" s="64">
        <v>47.730000000000004</v>
      </c>
      <c r="M655" s="64">
        <f t="shared" si="240"/>
        <v>28.638000000000002</v>
      </c>
      <c r="N655" s="65">
        <f t="shared" ref="N655:N660" si="246">prodnorm23</f>
        <v>0</v>
      </c>
      <c r="O655" s="66">
        <f t="shared" ref="O655:O660" si="247">dagwerk23</f>
        <v>0</v>
      </c>
      <c r="P655" s="62" t="s">
        <v>40</v>
      </c>
      <c r="Q655" s="67">
        <f t="shared" ref="Q655:Q660" si="248">uurtarief23</f>
        <v>0</v>
      </c>
      <c r="R655" s="64" t="e">
        <f t="shared" si="241"/>
        <v>#DIV/0!</v>
      </c>
      <c r="S655" s="64" t="e">
        <f t="shared" si="242"/>
        <v>#DIV/0!</v>
      </c>
      <c r="T655" s="67" t="e">
        <f t="shared" si="243"/>
        <v>#DIV/0!</v>
      </c>
      <c r="U655" s="64" t="e">
        <f t="shared" si="244"/>
        <v>#DIV/0!</v>
      </c>
      <c r="V655" s="69" t="e">
        <f t="shared" si="245"/>
        <v>#DIV/0!</v>
      </c>
    </row>
    <row r="656" spans="1:22" x14ac:dyDescent="0.3">
      <c r="A656" s="61" t="s">
        <v>316</v>
      </c>
      <c r="B656" s="62" t="s">
        <v>317</v>
      </c>
      <c r="C656" s="62" t="s">
        <v>988</v>
      </c>
      <c r="D656" s="62" t="s">
        <v>1081</v>
      </c>
      <c r="E656" s="63" t="s">
        <v>391</v>
      </c>
      <c r="F656" s="62" t="s">
        <v>348</v>
      </c>
      <c r="G656" s="62" t="s">
        <v>236</v>
      </c>
      <c r="H656" s="62" t="s">
        <v>14</v>
      </c>
      <c r="I656" s="62" t="s">
        <v>210</v>
      </c>
      <c r="J656" s="63" t="s">
        <v>237</v>
      </c>
      <c r="K656" s="62" t="s">
        <v>317</v>
      </c>
      <c r="L656" s="64">
        <v>49.6</v>
      </c>
      <c r="M656" s="64">
        <f t="shared" si="240"/>
        <v>29.759999999999998</v>
      </c>
      <c r="N656" s="65">
        <f t="shared" si="246"/>
        <v>0</v>
      </c>
      <c r="O656" s="66">
        <f t="shared" si="247"/>
        <v>0</v>
      </c>
      <c r="P656" s="62" t="s">
        <v>40</v>
      </c>
      <c r="Q656" s="67">
        <f t="shared" si="248"/>
        <v>0</v>
      </c>
      <c r="R656" s="64" t="e">
        <f t="shared" si="241"/>
        <v>#DIV/0!</v>
      </c>
      <c r="S656" s="64" t="e">
        <f t="shared" si="242"/>
        <v>#DIV/0!</v>
      </c>
      <c r="T656" s="67" t="e">
        <f t="shared" si="243"/>
        <v>#DIV/0!</v>
      </c>
      <c r="U656" s="64" t="e">
        <f t="shared" si="244"/>
        <v>#DIV/0!</v>
      </c>
      <c r="V656" s="69" t="e">
        <f t="shared" si="245"/>
        <v>#DIV/0!</v>
      </c>
    </row>
    <row r="657" spans="1:22" x14ac:dyDescent="0.3">
      <c r="A657" s="61" t="s">
        <v>316</v>
      </c>
      <c r="B657" s="62" t="s">
        <v>317</v>
      </c>
      <c r="C657" s="62" t="s">
        <v>988</v>
      </c>
      <c r="D657" s="62" t="s">
        <v>1082</v>
      </c>
      <c r="E657" s="63" t="s">
        <v>391</v>
      </c>
      <c r="F657" s="62" t="s">
        <v>348</v>
      </c>
      <c r="G657" s="62" t="s">
        <v>236</v>
      </c>
      <c r="H657" s="62" t="s">
        <v>14</v>
      </c>
      <c r="I657" s="62" t="s">
        <v>210</v>
      </c>
      <c r="J657" s="63" t="s">
        <v>237</v>
      </c>
      <c r="K657" s="62" t="s">
        <v>317</v>
      </c>
      <c r="L657" s="64">
        <v>50.1</v>
      </c>
      <c r="M657" s="64">
        <f t="shared" si="240"/>
        <v>30.06</v>
      </c>
      <c r="N657" s="65">
        <f t="shared" si="246"/>
        <v>0</v>
      </c>
      <c r="O657" s="66">
        <f t="shared" si="247"/>
        <v>0</v>
      </c>
      <c r="P657" s="62" t="s">
        <v>40</v>
      </c>
      <c r="Q657" s="67">
        <f t="shared" si="248"/>
        <v>0</v>
      </c>
      <c r="R657" s="64" t="e">
        <f t="shared" si="241"/>
        <v>#DIV/0!</v>
      </c>
      <c r="S657" s="64" t="e">
        <f t="shared" si="242"/>
        <v>#DIV/0!</v>
      </c>
      <c r="T657" s="67" t="e">
        <f t="shared" si="243"/>
        <v>#DIV/0!</v>
      </c>
      <c r="U657" s="64" t="e">
        <f t="shared" si="244"/>
        <v>#DIV/0!</v>
      </c>
      <c r="V657" s="69" t="e">
        <f t="shared" si="245"/>
        <v>#DIV/0!</v>
      </c>
    </row>
    <row r="658" spans="1:22" x14ac:dyDescent="0.3">
      <c r="A658" s="61" t="s">
        <v>316</v>
      </c>
      <c r="B658" s="62" t="s">
        <v>317</v>
      </c>
      <c r="C658" s="62" t="s">
        <v>988</v>
      </c>
      <c r="D658" s="62" t="s">
        <v>1083</v>
      </c>
      <c r="E658" s="63" t="s">
        <v>391</v>
      </c>
      <c r="F658" s="62" t="s">
        <v>348</v>
      </c>
      <c r="G658" s="62" t="s">
        <v>236</v>
      </c>
      <c r="H658" s="62" t="s">
        <v>14</v>
      </c>
      <c r="I658" s="62" t="s">
        <v>210</v>
      </c>
      <c r="J658" s="63" t="s">
        <v>237</v>
      </c>
      <c r="K658" s="62" t="s">
        <v>317</v>
      </c>
      <c r="L658" s="64">
        <v>51.01</v>
      </c>
      <c r="M658" s="64">
        <f t="shared" si="240"/>
        <v>30.605999999999998</v>
      </c>
      <c r="N658" s="65">
        <f t="shared" si="246"/>
        <v>0</v>
      </c>
      <c r="O658" s="66">
        <f t="shared" si="247"/>
        <v>0</v>
      </c>
      <c r="P658" s="62" t="s">
        <v>40</v>
      </c>
      <c r="Q658" s="67">
        <f t="shared" si="248"/>
        <v>0</v>
      </c>
      <c r="R658" s="64" t="e">
        <f t="shared" si="241"/>
        <v>#DIV/0!</v>
      </c>
      <c r="S658" s="64" t="e">
        <f t="shared" si="242"/>
        <v>#DIV/0!</v>
      </c>
      <c r="T658" s="67" t="e">
        <f t="shared" si="243"/>
        <v>#DIV/0!</v>
      </c>
      <c r="U658" s="64" t="e">
        <f t="shared" si="244"/>
        <v>#DIV/0!</v>
      </c>
      <c r="V658" s="69" t="e">
        <f t="shared" si="245"/>
        <v>#DIV/0!</v>
      </c>
    </row>
    <row r="659" spans="1:22" x14ac:dyDescent="0.3">
      <c r="A659" s="61" t="s">
        <v>316</v>
      </c>
      <c r="B659" s="62" t="s">
        <v>317</v>
      </c>
      <c r="C659" s="62" t="s">
        <v>988</v>
      </c>
      <c r="D659" s="62" t="s">
        <v>1084</v>
      </c>
      <c r="E659" s="63" t="s">
        <v>391</v>
      </c>
      <c r="F659" s="62" t="s">
        <v>348</v>
      </c>
      <c r="G659" s="62" t="s">
        <v>236</v>
      </c>
      <c r="H659" s="62" t="s">
        <v>14</v>
      </c>
      <c r="I659" s="62" t="s">
        <v>210</v>
      </c>
      <c r="J659" s="63" t="s">
        <v>237</v>
      </c>
      <c r="K659" s="62" t="s">
        <v>317</v>
      </c>
      <c r="L659" s="64">
        <v>51.52</v>
      </c>
      <c r="M659" s="64">
        <f t="shared" si="240"/>
        <v>30.911999999999999</v>
      </c>
      <c r="N659" s="65">
        <f t="shared" si="246"/>
        <v>0</v>
      </c>
      <c r="O659" s="66">
        <f t="shared" si="247"/>
        <v>0</v>
      </c>
      <c r="P659" s="62" t="s">
        <v>40</v>
      </c>
      <c r="Q659" s="67">
        <f t="shared" si="248"/>
        <v>0</v>
      </c>
      <c r="R659" s="64" t="e">
        <f t="shared" si="241"/>
        <v>#DIV/0!</v>
      </c>
      <c r="S659" s="64" t="e">
        <f t="shared" si="242"/>
        <v>#DIV/0!</v>
      </c>
      <c r="T659" s="67" t="e">
        <f t="shared" si="243"/>
        <v>#DIV/0!</v>
      </c>
      <c r="U659" s="64" t="e">
        <f t="shared" si="244"/>
        <v>#DIV/0!</v>
      </c>
      <c r="V659" s="69" t="e">
        <f t="shared" si="245"/>
        <v>#DIV/0!</v>
      </c>
    </row>
    <row r="660" spans="1:22" x14ac:dyDescent="0.3">
      <c r="A660" s="61" t="s">
        <v>316</v>
      </c>
      <c r="B660" s="62" t="s">
        <v>317</v>
      </c>
      <c r="C660" s="62" t="s">
        <v>988</v>
      </c>
      <c r="D660" s="62" t="s">
        <v>1085</v>
      </c>
      <c r="E660" s="63" t="s">
        <v>391</v>
      </c>
      <c r="F660" s="62" t="s">
        <v>348</v>
      </c>
      <c r="G660" s="62" t="s">
        <v>236</v>
      </c>
      <c r="H660" s="62" t="s">
        <v>14</v>
      </c>
      <c r="I660" s="62" t="s">
        <v>210</v>
      </c>
      <c r="J660" s="63" t="s">
        <v>237</v>
      </c>
      <c r="K660" s="62" t="s">
        <v>317</v>
      </c>
      <c r="L660" s="64">
        <v>50.65</v>
      </c>
      <c r="M660" s="64">
        <f t="shared" si="240"/>
        <v>30.389999999999997</v>
      </c>
      <c r="N660" s="65">
        <f t="shared" si="246"/>
        <v>0</v>
      </c>
      <c r="O660" s="66">
        <f t="shared" si="247"/>
        <v>0</v>
      </c>
      <c r="P660" s="62" t="s">
        <v>40</v>
      </c>
      <c r="Q660" s="67">
        <f t="shared" si="248"/>
        <v>0</v>
      </c>
      <c r="R660" s="64" t="e">
        <f t="shared" si="241"/>
        <v>#DIV/0!</v>
      </c>
      <c r="S660" s="64" t="e">
        <f t="shared" si="242"/>
        <v>#DIV/0!</v>
      </c>
      <c r="T660" s="67" t="e">
        <f t="shared" si="243"/>
        <v>#DIV/0!</v>
      </c>
      <c r="U660" s="64" t="e">
        <f t="shared" si="244"/>
        <v>#DIV/0!</v>
      </c>
      <c r="V660" s="69" t="e">
        <f t="shared" si="245"/>
        <v>#DIV/0!</v>
      </c>
    </row>
    <row r="661" spans="1:22" x14ac:dyDescent="0.3">
      <c r="A661" s="61" t="s">
        <v>316</v>
      </c>
      <c r="B661" s="62" t="s">
        <v>317</v>
      </c>
      <c r="C661" s="62" t="s">
        <v>988</v>
      </c>
      <c r="D661" s="62" t="s">
        <v>1086</v>
      </c>
      <c r="E661" s="63" t="s">
        <v>374</v>
      </c>
      <c r="F661" s="62" t="s">
        <v>389</v>
      </c>
      <c r="G661" s="62" t="s">
        <v>323</v>
      </c>
      <c r="H661" s="62"/>
      <c r="I661" s="62"/>
      <c r="J661" s="62"/>
      <c r="K661" s="62" t="s">
        <v>317</v>
      </c>
      <c r="L661" s="64">
        <v>1.6600000000000001</v>
      </c>
      <c r="M661" s="64"/>
      <c r="N661" s="65"/>
      <c r="O661" s="66"/>
      <c r="P661" s="62"/>
      <c r="Q661" s="67"/>
      <c r="R661" s="64"/>
      <c r="S661" s="64"/>
      <c r="T661" s="67"/>
      <c r="U661" s="68"/>
      <c r="V661" s="69"/>
    </row>
    <row r="662" spans="1:22" x14ac:dyDescent="0.3">
      <c r="A662" s="61" t="s">
        <v>316</v>
      </c>
      <c r="B662" s="62" t="s">
        <v>317</v>
      </c>
      <c r="C662" s="62" t="s">
        <v>988</v>
      </c>
      <c r="D662" s="62" t="s">
        <v>1087</v>
      </c>
      <c r="E662" s="63" t="s">
        <v>330</v>
      </c>
      <c r="F662" s="62" t="s">
        <v>365</v>
      </c>
      <c r="G662" s="62" t="s">
        <v>286</v>
      </c>
      <c r="H662" s="62" t="s">
        <v>11</v>
      </c>
      <c r="I662" s="62" t="s">
        <v>210</v>
      </c>
      <c r="J662" s="63" t="s">
        <v>287</v>
      </c>
      <c r="K662" s="62" t="s">
        <v>317</v>
      </c>
      <c r="L662" s="64">
        <v>38.56</v>
      </c>
      <c r="M662" s="64">
        <f>L662*VLOOKUP(H662,dagsoorttabel1,2,FALSE)</f>
        <v>38.56</v>
      </c>
      <c r="N662" s="65">
        <f>prodnorm49</f>
        <v>0</v>
      </c>
      <c r="O662" s="66">
        <f>dagwerk49</f>
        <v>0</v>
      </c>
      <c r="P662" s="62" t="s">
        <v>40</v>
      </c>
      <c r="Q662" s="67">
        <f>uurtarief49</f>
        <v>0</v>
      </c>
      <c r="R662" s="64" t="e">
        <f>IF(ISBLANK(N662),0,M662/ROUND(N662,4))</f>
        <v>#DIV/0!</v>
      </c>
      <c r="S662" s="64" t="e">
        <f>IF(ISBLANK(N662),0,R662*ROUND(O662,2))</f>
        <v>#DIV/0!</v>
      </c>
      <c r="T662" s="67" t="e">
        <f>ROUND(Q662,2)*R662</f>
        <v>#DIV/0!</v>
      </c>
      <c r="U662" s="64" t="e">
        <f>R662*dagenperjaar1</f>
        <v>#DIV/0!</v>
      </c>
      <c r="V662" s="69" t="e">
        <f>U662*ROUND(Q662,2)</f>
        <v>#DIV/0!</v>
      </c>
    </row>
    <row r="663" spans="1:22" x14ac:dyDescent="0.3">
      <c r="A663" s="61" t="s">
        <v>316</v>
      </c>
      <c r="B663" s="62" t="s">
        <v>317</v>
      </c>
      <c r="C663" s="62" t="s">
        <v>988</v>
      </c>
      <c r="D663" s="62" t="s">
        <v>1088</v>
      </c>
      <c r="E663" s="63" t="s">
        <v>374</v>
      </c>
      <c r="F663" s="62" t="s">
        <v>322</v>
      </c>
      <c r="G663" s="62" t="s">
        <v>323</v>
      </c>
      <c r="H663" s="62"/>
      <c r="I663" s="62"/>
      <c r="J663" s="62"/>
      <c r="K663" s="62" t="s">
        <v>317</v>
      </c>
      <c r="L663" s="64">
        <v>0.77</v>
      </c>
      <c r="M663" s="64"/>
      <c r="N663" s="65"/>
      <c r="O663" s="66"/>
      <c r="P663" s="62"/>
      <c r="Q663" s="67"/>
      <c r="R663" s="64"/>
      <c r="S663" s="64"/>
      <c r="T663" s="67"/>
      <c r="U663" s="68"/>
      <c r="V663" s="69"/>
    </row>
    <row r="664" spans="1:22" x14ac:dyDescent="0.3">
      <c r="A664" s="61" t="s">
        <v>316</v>
      </c>
      <c r="B664" s="62" t="s">
        <v>317</v>
      </c>
      <c r="C664" s="62" t="s">
        <v>988</v>
      </c>
      <c r="D664" s="62" t="s">
        <v>1089</v>
      </c>
      <c r="E664" s="63" t="s">
        <v>394</v>
      </c>
      <c r="F664" s="62" t="s">
        <v>389</v>
      </c>
      <c r="G664" s="62" t="s">
        <v>272</v>
      </c>
      <c r="H664" s="62" t="s">
        <v>11</v>
      </c>
      <c r="I664" s="62" t="s">
        <v>210</v>
      </c>
      <c r="J664" s="63" t="s">
        <v>273</v>
      </c>
      <c r="K664" s="62" t="s">
        <v>317</v>
      </c>
      <c r="L664" s="64">
        <v>136.38000000000002</v>
      </c>
      <c r="M664" s="64">
        <f t="shared" ref="M664:M669" si="249">L664*VLOOKUP(H664,dagsoorttabel1,2,FALSE)</f>
        <v>136.38000000000002</v>
      </c>
      <c r="N664" s="65">
        <f>prodnorm42</f>
        <v>0</v>
      </c>
      <c r="O664" s="66">
        <f>dagwerk42</f>
        <v>0</v>
      </c>
      <c r="P664" s="62" t="s">
        <v>40</v>
      </c>
      <c r="Q664" s="67">
        <f>uurtarief42</f>
        <v>0</v>
      </c>
      <c r="R664" s="64" t="e">
        <f t="shared" ref="R664:R669" si="250">IF(ISBLANK(N664),0,M664/ROUND(N664,4))</f>
        <v>#DIV/0!</v>
      </c>
      <c r="S664" s="64" t="e">
        <f t="shared" ref="S664:S669" si="251">IF(ISBLANK(N664),0,R664*ROUND(O664,2))</f>
        <v>#DIV/0!</v>
      </c>
      <c r="T664" s="67" t="e">
        <f t="shared" ref="T664:T669" si="252">ROUND(Q664,2)*R664</f>
        <v>#DIV/0!</v>
      </c>
      <c r="U664" s="64" t="e">
        <f t="shared" ref="U664:U669" si="253">R664*dagenperjaar1</f>
        <v>#DIV/0!</v>
      </c>
      <c r="V664" s="69" t="e">
        <f t="shared" ref="V664:V669" si="254">U664*ROUND(Q664,2)</f>
        <v>#DIV/0!</v>
      </c>
    </row>
    <row r="665" spans="1:22" x14ac:dyDescent="0.3">
      <c r="A665" s="61" t="s">
        <v>316</v>
      </c>
      <c r="B665" s="62" t="s">
        <v>317</v>
      </c>
      <c r="C665" s="62" t="s">
        <v>988</v>
      </c>
      <c r="D665" s="62" t="s">
        <v>1090</v>
      </c>
      <c r="E665" s="63" t="s">
        <v>356</v>
      </c>
      <c r="F665" s="62" t="s">
        <v>348</v>
      </c>
      <c r="G665" s="62" t="s">
        <v>212</v>
      </c>
      <c r="H665" s="62" t="s">
        <v>17</v>
      </c>
      <c r="I665" s="62" t="s">
        <v>210</v>
      </c>
      <c r="J665" s="63" t="s">
        <v>213</v>
      </c>
      <c r="K665" s="62" t="s">
        <v>317</v>
      </c>
      <c r="L665" s="64">
        <v>12.719999999999999</v>
      </c>
      <c r="M665" s="64">
        <f t="shared" si="249"/>
        <v>2.544</v>
      </c>
      <c r="N665" s="65">
        <f>prodnorm11</f>
        <v>0</v>
      </c>
      <c r="O665" s="66">
        <f>dagwerk11</f>
        <v>0</v>
      </c>
      <c r="P665" s="62" t="s">
        <v>40</v>
      </c>
      <c r="Q665" s="67">
        <f>uurtarief11</f>
        <v>0</v>
      </c>
      <c r="R665" s="64" t="e">
        <f t="shared" si="250"/>
        <v>#DIV/0!</v>
      </c>
      <c r="S665" s="64" t="e">
        <f t="shared" si="251"/>
        <v>#DIV/0!</v>
      </c>
      <c r="T665" s="67" t="e">
        <f t="shared" si="252"/>
        <v>#DIV/0!</v>
      </c>
      <c r="U665" s="64" t="e">
        <f t="shared" si="253"/>
        <v>#DIV/0!</v>
      </c>
      <c r="V665" s="69" t="e">
        <f t="shared" si="254"/>
        <v>#DIV/0!</v>
      </c>
    </row>
    <row r="666" spans="1:22" x14ac:dyDescent="0.3">
      <c r="A666" s="61" t="s">
        <v>316</v>
      </c>
      <c r="B666" s="62" t="s">
        <v>317</v>
      </c>
      <c r="C666" s="62" t="s">
        <v>988</v>
      </c>
      <c r="D666" s="62" t="s">
        <v>1091</v>
      </c>
      <c r="E666" s="63" t="s">
        <v>356</v>
      </c>
      <c r="F666" s="62" t="s">
        <v>348</v>
      </c>
      <c r="G666" s="62" t="s">
        <v>212</v>
      </c>
      <c r="H666" s="62" t="s">
        <v>17</v>
      </c>
      <c r="I666" s="62" t="s">
        <v>210</v>
      </c>
      <c r="J666" s="63" t="s">
        <v>213</v>
      </c>
      <c r="K666" s="62" t="s">
        <v>317</v>
      </c>
      <c r="L666" s="64">
        <v>10.27</v>
      </c>
      <c r="M666" s="64">
        <f t="shared" si="249"/>
        <v>2.0539999999999998</v>
      </c>
      <c r="N666" s="65">
        <f>prodnorm11</f>
        <v>0</v>
      </c>
      <c r="O666" s="66">
        <f>dagwerk11</f>
        <v>0</v>
      </c>
      <c r="P666" s="62" t="s">
        <v>40</v>
      </c>
      <c r="Q666" s="67">
        <f>uurtarief11</f>
        <v>0</v>
      </c>
      <c r="R666" s="64" t="e">
        <f t="shared" si="250"/>
        <v>#DIV/0!</v>
      </c>
      <c r="S666" s="64" t="e">
        <f t="shared" si="251"/>
        <v>#DIV/0!</v>
      </c>
      <c r="T666" s="67" t="e">
        <f t="shared" si="252"/>
        <v>#DIV/0!</v>
      </c>
      <c r="U666" s="64" t="e">
        <f t="shared" si="253"/>
        <v>#DIV/0!</v>
      </c>
      <c r="V666" s="69" t="e">
        <f t="shared" si="254"/>
        <v>#DIV/0!</v>
      </c>
    </row>
    <row r="667" spans="1:22" x14ac:dyDescent="0.3">
      <c r="A667" s="61" t="s">
        <v>316</v>
      </c>
      <c r="B667" s="62" t="s">
        <v>317</v>
      </c>
      <c r="C667" s="62" t="s">
        <v>988</v>
      </c>
      <c r="D667" s="62" t="s">
        <v>1092</v>
      </c>
      <c r="E667" s="63" t="s">
        <v>619</v>
      </c>
      <c r="F667" s="62" t="s">
        <v>389</v>
      </c>
      <c r="G667" s="62" t="s">
        <v>238</v>
      </c>
      <c r="H667" s="62" t="s">
        <v>11</v>
      </c>
      <c r="I667" s="62" t="s">
        <v>210</v>
      </c>
      <c r="J667" s="63" t="s">
        <v>239</v>
      </c>
      <c r="K667" s="62" t="s">
        <v>317</v>
      </c>
      <c r="L667" s="64">
        <v>49.28</v>
      </c>
      <c r="M667" s="64">
        <f t="shared" si="249"/>
        <v>49.28</v>
      </c>
      <c r="N667" s="65">
        <f>prodnorm24</f>
        <v>0</v>
      </c>
      <c r="O667" s="66">
        <f>dagwerk24</f>
        <v>0</v>
      </c>
      <c r="P667" s="62" t="s">
        <v>40</v>
      </c>
      <c r="Q667" s="67">
        <f>uurtarief24</f>
        <v>0</v>
      </c>
      <c r="R667" s="64" t="e">
        <f t="shared" si="250"/>
        <v>#DIV/0!</v>
      </c>
      <c r="S667" s="64" t="e">
        <f t="shared" si="251"/>
        <v>#DIV/0!</v>
      </c>
      <c r="T667" s="67" t="e">
        <f t="shared" si="252"/>
        <v>#DIV/0!</v>
      </c>
      <c r="U667" s="64" t="e">
        <f t="shared" si="253"/>
        <v>#DIV/0!</v>
      </c>
      <c r="V667" s="69" t="e">
        <f t="shared" si="254"/>
        <v>#DIV/0!</v>
      </c>
    </row>
    <row r="668" spans="1:22" x14ac:dyDescent="0.3">
      <c r="A668" s="61" t="s">
        <v>316</v>
      </c>
      <c r="B668" s="62" t="s">
        <v>317</v>
      </c>
      <c r="C668" s="62" t="s">
        <v>988</v>
      </c>
      <c r="D668" s="62" t="s">
        <v>1093</v>
      </c>
      <c r="E668" s="63" t="s">
        <v>413</v>
      </c>
      <c r="F668" s="62" t="s">
        <v>389</v>
      </c>
      <c r="G668" s="62" t="s">
        <v>234</v>
      </c>
      <c r="H668" s="62" t="s">
        <v>14</v>
      </c>
      <c r="I668" s="62" t="s">
        <v>210</v>
      </c>
      <c r="J668" s="63" t="s">
        <v>235</v>
      </c>
      <c r="K668" s="62" t="s">
        <v>317</v>
      </c>
      <c r="L668" s="64">
        <v>57.02</v>
      </c>
      <c r="M668" s="64">
        <f t="shared" si="249"/>
        <v>34.212000000000003</v>
      </c>
      <c r="N668" s="65">
        <f>prodnorm22</f>
        <v>0</v>
      </c>
      <c r="O668" s="66">
        <f>dagwerk22</f>
        <v>0</v>
      </c>
      <c r="P668" s="62" t="s">
        <v>40</v>
      </c>
      <c r="Q668" s="67">
        <f>uurtarief22</f>
        <v>0</v>
      </c>
      <c r="R668" s="64" t="e">
        <f t="shared" si="250"/>
        <v>#DIV/0!</v>
      </c>
      <c r="S668" s="64" t="e">
        <f t="shared" si="251"/>
        <v>#DIV/0!</v>
      </c>
      <c r="T668" s="67" t="e">
        <f t="shared" si="252"/>
        <v>#DIV/0!</v>
      </c>
      <c r="U668" s="64" t="e">
        <f t="shared" si="253"/>
        <v>#DIV/0!</v>
      </c>
      <c r="V668" s="69" t="e">
        <f t="shared" si="254"/>
        <v>#DIV/0!</v>
      </c>
    </row>
    <row r="669" spans="1:22" x14ac:dyDescent="0.3">
      <c r="A669" s="61" t="s">
        <v>316</v>
      </c>
      <c r="B669" s="62" t="s">
        <v>317</v>
      </c>
      <c r="C669" s="62" t="s">
        <v>988</v>
      </c>
      <c r="D669" s="62" t="s">
        <v>1094</v>
      </c>
      <c r="E669" s="63" t="s">
        <v>536</v>
      </c>
      <c r="F669" s="62" t="s">
        <v>389</v>
      </c>
      <c r="G669" s="62" t="s">
        <v>214</v>
      </c>
      <c r="H669" s="62" t="s">
        <v>14</v>
      </c>
      <c r="I669" s="62" t="s">
        <v>210</v>
      </c>
      <c r="J669" s="63" t="s">
        <v>215</v>
      </c>
      <c r="K669" s="62" t="s">
        <v>317</v>
      </c>
      <c r="L669" s="64">
        <v>25.259999999999998</v>
      </c>
      <c r="M669" s="64">
        <f t="shared" si="249"/>
        <v>15.155999999999999</v>
      </c>
      <c r="N669" s="65">
        <f>prodnorm12</f>
        <v>0</v>
      </c>
      <c r="O669" s="66">
        <f>dagwerk12</f>
        <v>0</v>
      </c>
      <c r="P669" s="62" t="s">
        <v>40</v>
      </c>
      <c r="Q669" s="67">
        <f>uurtarief12</f>
        <v>0</v>
      </c>
      <c r="R669" s="64" t="e">
        <f t="shared" si="250"/>
        <v>#DIV/0!</v>
      </c>
      <c r="S669" s="64" t="e">
        <f t="shared" si="251"/>
        <v>#DIV/0!</v>
      </c>
      <c r="T669" s="67" t="e">
        <f t="shared" si="252"/>
        <v>#DIV/0!</v>
      </c>
      <c r="U669" s="64" t="e">
        <f t="shared" si="253"/>
        <v>#DIV/0!</v>
      </c>
      <c r="V669" s="69" t="e">
        <f t="shared" si="254"/>
        <v>#DIV/0!</v>
      </c>
    </row>
    <row r="670" spans="1:22" x14ac:dyDescent="0.3">
      <c r="A670" s="61" t="s">
        <v>316</v>
      </c>
      <c r="B670" s="62" t="s">
        <v>317</v>
      </c>
      <c r="C670" s="62" t="s">
        <v>988</v>
      </c>
      <c r="D670" s="62" t="s">
        <v>1095</v>
      </c>
      <c r="E670" s="63" t="s">
        <v>374</v>
      </c>
      <c r="F670" s="62" t="s">
        <v>322</v>
      </c>
      <c r="G670" s="62" t="s">
        <v>323</v>
      </c>
      <c r="H670" s="62"/>
      <c r="I670" s="62"/>
      <c r="J670" s="62"/>
      <c r="K670" s="62" t="s">
        <v>317</v>
      </c>
      <c r="L670" s="64">
        <v>48.21</v>
      </c>
      <c r="M670" s="64"/>
      <c r="N670" s="65"/>
      <c r="O670" s="66"/>
      <c r="P670" s="62"/>
      <c r="Q670" s="67"/>
      <c r="R670" s="64"/>
      <c r="S670" s="64"/>
      <c r="T670" s="67"/>
      <c r="U670" s="68"/>
      <c r="V670" s="69"/>
    </row>
    <row r="671" spans="1:22" x14ac:dyDescent="0.3">
      <c r="A671" s="61" t="s">
        <v>316</v>
      </c>
      <c r="B671" s="62" t="s">
        <v>317</v>
      </c>
      <c r="C671" s="62" t="s">
        <v>988</v>
      </c>
      <c r="D671" s="62" t="s">
        <v>1096</v>
      </c>
      <c r="E671" s="63" t="s">
        <v>391</v>
      </c>
      <c r="F671" s="62" t="s">
        <v>389</v>
      </c>
      <c r="G671" s="62" t="s">
        <v>234</v>
      </c>
      <c r="H671" s="62" t="s">
        <v>14</v>
      </c>
      <c r="I671" s="62" t="s">
        <v>210</v>
      </c>
      <c r="J671" s="63" t="s">
        <v>235</v>
      </c>
      <c r="K671" s="62" t="s">
        <v>317</v>
      </c>
      <c r="L671" s="64">
        <v>98.490000000000009</v>
      </c>
      <c r="M671" s="64">
        <f>L671*VLOOKUP(H671,dagsoorttabel1,2,FALSE)</f>
        <v>59.094000000000001</v>
      </c>
      <c r="N671" s="65">
        <f>prodnorm22</f>
        <v>0</v>
      </c>
      <c r="O671" s="66">
        <f>dagwerk22</f>
        <v>0</v>
      </c>
      <c r="P671" s="62" t="s">
        <v>40</v>
      </c>
      <c r="Q671" s="67">
        <f>uurtarief22</f>
        <v>0</v>
      </c>
      <c r="R671" s="64" t="e">
        <f>IF(ISBLANK(N671),0,M671/ROUND(N671,4))</f>
        <v>#DIV/0!</v>
      </c>
      <c r="S671" s="64" t="e">
        <f>IF(ISBLANK(N671),0,R671*ROUND(O671,2))</f>
        <v>#DIV/0!</v>
      </c>
      <c r="T671" s="67" t="e">
        <f>ROUND(Q671,2)*R671</f>
        <v>#DIV/0!</v>
      </c>
      <c r="U671" s="64" t="e">
        <f>R671*dagenperjaar1</f>
        <v>#DIV/0!</v>
      </c>
      <c r="V671" s="69" t="e">
        <f>U671*ROUND(Q671,2)</f>
        <v>#DIV/0!</v>
      </c>
    </row>
    <row r="672" spans="1:22" x14ac:dyDescent="0.3">
      <c r="A672" s="61" t="s">
        <v>316</v>
      </c>
      <c r="B672" s="62" t="s">
        <v>317</v>
      </c>
      <c r="C672" s="62" t="s">
        <v>988</v>
      </c>
      <c r="D672" s="62" t="s">
        <v>1097</v>
      </c>
      <c r="E672" s="63" t="s">
        <v>391</v>
      </c>
      <c r="F672" s="62" t="s">
        <v>389</v>
      </c>
      <c r="G672" s="62" t="s">
        <v>234</v>
      </c>
      <c r="H672" s="62" t="s">
        <v>14</v>
      </c>
      <c r="I672" s="62" t="s">
        <v>210</v>
      </c>
      <c r="J672" s="63" t="s">
        <v>235</v>
      </c>
      <c r="K672" s="62" t="s">
        <v>317</v>
      </c>
      <c r="L672" s="64">
        <v>77.19</v>
      </c>
      <c r="M672" s="64">
        <f>L672*VLOOKUP(H672,dagsoorttabel1,2,FALSE)</f>
        <v>46.314</v>
      </c>
      <c r="N672" s="65">
        <f>prodnorm22</f>
        <v>0</v>
      </c>
      <c r="O672" s="66">
        <f>dagwerk22</f>
        <v>0</v>
      </c>
      <c r="P672" s="62" t="s">
        <v>40</v>
      </c>
      <c r="Q672" s="67">
        <f>uurtarief22</f>
        <v>0</v>
      </c>
      <c r="R672" s="64" t="e">
        <f>IF(ISBLANK(N672),0,M672/ROUND(N672,4))</f>
        <v>#DIV/0!</v>
      </c>
      <c r="S672" s="64" t="e">
        <f>IF(ISBLANK(N672),0,R672*ROUND(O672,2))</f>
        <v>#DIV/0!</v>
      </c>
      <c r="T672" s="67" t="e">
        <f>ROUND(Q672,2)*R672</f>
        <v>#DIV/0!</v>
      </c>
      <c r="U672" s="64" t="e">
        <f>R672*dagenperjaar1</f>
        <v>#DIV/0!</v>
      </c>
      <c r="V672" s="69" t="e">
        <f>U672*ROUND(Q672,2)</f>
        <v>#DIV/0!</v>
      </c>
    </row>
    <row r="673" spans="1:22" x14ac:dyDescent="0.3">
      <c r="A673" s="61" t="s">
        <v>316</v>
      </c>
      <c r="B673" s="62" t="s">
        <v>317</v>
      </c>
      <c r="C673" s="62" t="s">
        <v>988</v>
      </c>
      <c r="D673" s="62" t="s">
        <v>1098</v>
      </c>
      <c r="E673" s="63" t="s">
        <v>391</v>
      </c>
      <c r="F673" s="62" t="s">
        <v>389</v>
      </c>
      <c r="G673" s="62" t="s">
        <v>234</v>
      </c>
      <c r="H673" s="62" t="s">
        <v>14</v>
      </c>
      <c r="I673" s="62" t="s">
        <v>210</v>
      </c>
      <c r="J673" s="63" t="s">
        <v>235</v>
      </c>
      <c r="K673" s="62" t="s">
        <v>317</v>
      </c>
      <c r="L673" s="64">
        <v>77.19</v>
      </c>
      <c r="M673" s="64">
        <f>L673*VLOOKUP(H673,dagsoorttabel1,2,FALSE)</f>
        <v>46.314</v>
      </c>
      <c r="N673" s="65">
        <f>prodnorm22</f>
        <v>0</v>
      </c>
      <c r="O673" s="66">
        <f>dagwerk22</f>
        <v>0</v>
      </c>
      <c r="P673" s="62" t="s">
        <v>40</v>
      </c>
      <c r="Q673" s="67">
        <f>uurtarief22</f>
        <v>0</v>
      </c>
      <c r="R673" s="64" t="e">
        <f>IF(ISBLANK(N673),0,M673/ROUND(N673,4))</f>
        <v>#DIV/0!</v>
      </c>
      <c r="S673" s="64" t="e">
        <f>IF(ISBLANK(N673),0,R673*ROUND(O673,2))</f>
        <v>#DIV/0!</v>
      </c>
      <c r="T673" s="67" t="e">
        <f>ROUND(Q673,2)*R673</f>
        <v>#DIV/0!</v>
      </c>
      <c r="U673" s="64" t="e">
        <f>R673*dagenperjaar1</f>
        <v>#DIV/0!</v>
      </c>
      <c r="V673" s="69" t="e">
        <f>U673*ROUND(Q673,2)</f>
        <v>#DIV/0!</v>
      </c>
    </row>
    <row r="674" spans="1:22" x14ac:dyDescent="0.3">
      <c r="A674" s="61" t="s">
        <v>316</v>
      </c>
      <c r="B674" s="62" t="s">
        <v>317</v>
      </c>
      <c r="C674" s="62" t="s">
        <v>988</v>
      </c>
      <c r="D674" s="62" t="s">
        <v>1099</v>
      </c>
      <c r="E674" s="63" t="s">
        <v>391</v>
      </c>
      <c r="F674" s="62" t="s">
        <v>389</v>
      </c>
      <c r="G674" s="62" t="s">
        <v>234</v>
      </c>
      <c r="H674" s="62" t="s">
        <v>14</v>
      </c>
      <c r="I674" s="62" t="s">
        <v>210</v>
      </c>
      <c r="J674" s="63" t="s">
        <v>235</v>
      </c>
      <c r="K674" s="62" t="s">
        <v>317</v>
      </c>
      <c r="L674" s="64">
        <v>73.75</v>
      </c>
      <c r="M674" s="64">
        <f>L674*VLOOKUP(H674,dagsoorttabel1,2,FALSE)</f>
        <v>44.25</v>
      </c>
      <c r="N674" s="65">
        <f>prodnorm22</f>
        <v>0</v>
      </c>
      <c r="O674" s="66">
        <f>dagwerk22</f>
        <v>0</v>
      </c>
      <c r="P674" s="62" t="s">
        <v>40</v>
      </c>
      <c r="Q674" s="67">
        <f>uurtarief22</f>
        <v>0</v>
      </c>
      <c r="R674" s="64" t="e">
        <f>IF(ISBLANK(N674),0,M674/ROUND(N674,4))</f>
        <v>#DIV/0!</v>
      </c>
      <c r="S674" s="64" t="e">
        <f>IF(ISBLANK(N674),0,R674*ROUND(O674,2))</f>
        <v>#DIV/0!</v>
      </c>
      <c r="T674" s="67" t="e">
        <f>ROUND(Q674,2)*R674</f>
        <v>#DIV/0!</v>
      </c>
      <c r="U674" s="64" t="e">
        <f>R674*dagenperjaar1</f>
        <v>#DIV/0!</v>
      </c>
      <c r="V674" s="69" t="e">
        <f>U674*ROUND(Q674,2)</f>
        <v>#DIV/0!</v>
      </c>
    </row>
    <row r="675" spans="1:22" x14ac:dyDescent="0.3">
      <c r="A675" s="61" t="s">
        <v>316</v>
      </c>
      <c r="B675" s="62" t="s">
        <v>317</v>
      </c>
      <c r="C675" s="62" t="s">
        <v>988</v>
      </c>
      <c r="D675" s="62" t="s">
        <v>1100</v>
      </c>
      <c r="E675" s="63" t="s">
        <v>374</v>
      </c>
      <c r="F675" s="62" t="s">
        <v>389</v>
      </c>
      <c r="G675" s="62" t="s">
        <v>323</v>
      </c>
      <c r="H675" s="62"/>
      <c r="I675" s="62"/>
      <c r="J675" s="62"/>
      <c r="K675" s="62" t="s">
        <v>317</v>
      </c>
      <c r="L675" s="64">
        <v>9.06</v>
      </c>
      <c r="M675" s="64"/>
      <c r="N675" s="65"/>
      <c r="O675" s="66"/>
      <c r="P675" s="62"/>
      <c r="Q675" s="67"/>
      <c r="R675" s="64"/>
      <c r="S675" s="64"/>
      <c r="T675" s="67"/>
      <c r="U675" s="68"/>
      <c r="V675" s="69"/>
    </row>
    <row r="676" spans="1:22" x14ac:dyDescent="0.3">
      <c r="A676" s="61" t="s">
        <v>316</v>
      </c>
      <c r="B676" s="62" t="s">
        <v>317</v>
      </c>
      <c r="C676" s="62" t="s">
        <v>988</v>
      </c>
      <c r="D676" s="62" t="s">
        <v>1101</v>
      </c>
      <c r="E676" s="63" t="s">
        <v>400</v>
      </c>
      <c r="F676" s="62" t="s">
        <v>389</v>
      </c>
      <c r="G676" s="62" t="s">
        <v>214</v>
      </c>
      <c r="H676" s="62" t="s">
        <v>14</v>
      </c>
      <c r="I676" s="62" t="s">
        <v>210</v>
      </c>
      <c r="J676" s="63" t="s">
        <v>215</v>
      </c>
      <c r="K676" s="62" t="s">
        <v>317</v>
      </c>
      <c r="L676" s="64">
        <v>10.59</v>
      </c>
      <c r="M676" s="64">
        <f>L676*VLOOKUP(H676,dagsoorttabel1,2,FALSE)</f>
        <v>6.3540000000000001</v>
      </c>
      <c r="N676" s="65">
        <f>prodnorm12</f>
        <v>0</v>
      </c>
      <c r="O676" s="66">
        <f>dagwerk12</f>
        <v>0</v>
      </c>
      <c r="P676" s="62" t="s">
        <v>40</v>
      </c>
      <c r="Q676" s="67">
        <f>uurtarief12</f>
        <v>0</v>
      </c>
      <c r="R676" s="64" t="e">
        <f>IF(ISBLANK(N676),0,M676/ROUND(N676,4))</f>
        <v>#DIV/0!</v>
      </c>
      <c r="S676" s="64" t="e">
        <f>IF(ISBLANK(N676),0,R676*ROUND(O676,2))</f>
        <v>#DIV/0!</v>
      </c>
      <c r="T676" s="67" t="e">
        <f>ROUND(Q676,2)*R676</f>
        <v>#DIV/0!</v>
      </c>
      <c r="U676" s="64" t="e">
        <f>R676*dagenperjaar1</f>
        <v>#DIV/0!</v>
      </c>
      <c r="V676" s="69" t="e">
        <f>U676*ROUND(Q676,2)</f>
        <v>#DIV/0!</v>
      </c>
    </row>
    <row r="677" spans="1:22" x14ac:dyDescent="0.3">
      <c r="A677" s="61" t="s">
        <v>316</v>
      </c>
      <c r="B677" s="62" t="s">
        <v>317</v>
      </c>
      <c r="C677" s="62" t="s">
        <v>988</v>
      </c>
      <c r="D677" s="62" t="s">
        <v>1102</v>
      </c>
      <c r="E677" s="63" t="s">
        <v>1103</v>
      </c>
      <c r="F677" s="62" t="s">
        <v>389</v>
      </c>
      <c r="G677" s="62" t="s">
        <v>234</v>
      </c>
      <c r="H677" s="62" t="s">
        <v>14</v>
      </c>
      <c r="I677" s="62" t="s">
        <v>210</v>
      </c>
      <c r="J677" s="63" t="s">
        <v>235</v>
      </c>
      <c r="K677" s="62" t="s">
        <v>317</v>
      </c>
      <c r="L677" s="64">
        <v>71.410000000000011</v>
      </c>
      <c r="M677" s="64">
        <f>L677*VLOOKUP(H677,dagsoorttabel1,2,FALSE)</f>
        <v>42.846000000000004</v>
      </c>
      <c r="N677" s="65">
        <f>prodnorm22</f>
        <v>0</v>
      </c>
      <c r="O677" s="66">
        <f>dagwerk22</f>
        <v>0</v>
      </c>
      <c r="P677" s="62" t="s">
        <v>40</v>
      </c>
      <c r="Q677" s="67">
        <f>uurtarief22</f>
        <v>0</v>
      </c>
      <c r="R677" s="64" t="e">
        <f>IF(ISBLANK(N677),0,M677/ROUND(N677,4))</f>
        <v>#DIV/0!</v>
      </c>
      <c r="S677" s="64" t="e">
        <f>IF(ISBLANK(N677),0,R677*ROUND(O677,2))</f>
        <v>#DIV/0!</v>
      </c>
      <c r="T677" s="67" t="e">
        <f>ROUND(Q677,2)*R677</f>
        <v>#DIV/0!</v>
      </c>
      <c r="U677" s="64" t="e">
        <f>R677*dagenperjaar1</f>
        <v>#DIV/0!</v>
      </c>
      <c r="V677" s="69" t="e">
        <f>U677*ROUND(Q677,2)</f>
        <v>#DIV/0!</v>
      </c>
    </row>
    <row r="678" spans="1:22" x14ac:dyDescent="0.3">
      <c r="A678" s="70" t="s">
        <v>316</v>
      </c>
      <c r="B678" s="71" t="s">
        <v>317</v>
      </c>
      <c r="C678" s="71" t="s">
        <v>988</v>
      </c>
      <c r="D678" s="71" t="s">
        <v>1104</v>
      </c>
      <c r="E678" s="72" t="s">
        <v>321</v>
      </c>
      <c r="F678" s="71" t="s">
        <v>389</v>
      </c>
      <c r="G678" s="71" t="s">
        <v>323</v>
      </c>
      <c r="H678" s="71"/>
      <c r="I678" s="71"/>
      <c r="J678" s="71"/>
      <c r="K678" s="71" t="s">
        <v>317</v>
      </c>
      <c r="L678" s="73">
        <v>9.9700000000000006</v>
      </c>
      <c r="M678" s="73"/>
      <c r="N678" s="74"/>
      <c r="O678" s="75"/>
      <c r="P678" s="71"/>
      <c r="Q678" s="76"/>
      <c r="R678" s="73"/>
      <c r="S678" s="73"/>
      <c r="T678" s="76"/>
      <c r="U678" s="77"/>
      <c r="V678" s="78"/>
    </row>
    <row r="679" spans="1:22" x14ac:dyDescent="0.3">
      <c r="A679" s="79" t="s">
        <v>1105</v>
      </c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5" t="e">
        <f>IF(_xlfn.SINGLE(object1_urenjaar1)&gt;0,_xlfn.SINGLE(object1_prijsjaar1)/_xlfn.SINGLE(object1_urenjaar1),0)</f>
        <v>#DIV/0!</v>
      </c>
      <c r="R679" s="44" t="e">
        <f>SUM(R5:R678)</f>
        <v>#DIV/0!</v>
      </c>
      <c r="S679" s="44" t="e">
        <f>SUM(S5:S678)</f>
        <v>#DIV/0!</v>
      </c>
      <c r="T679" s="45" t="e">
        <f>SUM(T5:T678)</f>
        <v>#DIV/0!</v>
      </c>
      <c r="U679" s="44" t="e">
        <f>SUM(U5:U678)</f>
        <v>#DIV/0!</v>
      </c>
      <c r="V679" s="46" t="e">
        <f>SUM(V5:V678)</f>
        <v>#DIV/0!</v>
      </c>
    </row>
    <row r="680" spans="1:22" x14ac:dyDescent="0.3">
      <c r="A680" s="52" t="s">
        <v>1106</v>
      </c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41"/>
    </row>
    <row r="681" spans="1:22" x14ac:dyDescent="0.3">
      <c r="A681" s="53" t="s">
        <v>1107</v>
      </c>
      <c r="B681" s="54" t="s">
        <v>317</v>
      </c>
      <c r="C681" s="54" t="s">
        <v>318</v>
      </c>
      <c r="D681" s="54" t="s">
        <v>1108</v>
      </c>
      <c r="E681" s="55" t="s">
        <v>356</v>
      </c>
      <c r="F681" s="54" t="s">
        <v>357</v>
      </c>
      <c r="G681" s="54" t="s">
        <v>209</v>
      </c>
      <c r="H681" s="54" t="s">
        <v>17</v>
      </c>
      <c r="I681" s="54" t="s">
        <v>210</v>
      </c>
      <c r="J681" s="55" t="s">
        <v>211</v>
      </c>
      <c r="K681" s="54" t="s">
        <v>317</v>
      </c>
      <c r="L681" s="56">
        <v>36.43</v>
      </c>
      <c r="M681" s="56">
        <f>L681*VLOOKUP(H681,dagsoorttabel1,2,FALSE)</f>
        <v>7.2860000000000005</v>
      </c>
      <c r="N681" s="57">
        <f>prodnorm10</f>
        <v>0</v>
      </c>
      <c r="O681" s="58">
        <f>dagwerk10</f>
        <v>0</v>
      </c>
      <c r="P681" s="54" t="s">
        <v>40</v>
      </c>
      <c r="Q681" s="59">
        <f>uurtarief10</f>
        <v>0</v>
      </c>
      <c r="R681" s="56" t="e">
        <f>IF(ISBLANK(N681),0,M681/ROUND(N681,4))</f>
        <v>#DIV/0!</v>
      </c>
      <c r="S681" s="56" t="e">
        <f>IF(ISBLANK(N681),0,R681*ROUND(O681,2))</f>
        <v>#DIV/0!</v>
      </c>
      <c r="T681" s="59" t="e">
        <f>ROUND(Q681,2)*R681</f>
        <v>#DIV/0!</v>
      </c>
      <c r="U681" s="56" t="e">
        <f>R681*dagenperjaar1</f>
        <v>#DIV/0!</v>
      </c>
      <c r="V681" s="60" t="e">
        <f>U681*ROUND(Q681,2)</f>
        <v>#DIV/0!</v>
      </c>
    </row>
    <row r="682" spans="1:22" x14ac:dyDescent="0.3">
      <c r="A682" s="61" t="s">
        <v>1107</v>
      </c>
      <c r="B682" s="62" t="s">
        <v>317</v>
      </c>
      <c r="C682" s="62" t="s">
        <v>318</v>
      </c>
      <c r="D682" s="62" t="s">
        <v>1109</v>
      </c>
      <c r="E682" s="63" t="s">
        <v>1110</v>
      </c>
      <c r="F682" s="62" t="s">
        <v>357</v>
      </c>
      <c r="G682" s="62" t="s">
        <v>254</v>
      </c>
      <c r="H682" s="62" t="s">
        <v>11</v>
      </c>
      <c r="I682" s="62" t="s">
        <v>210</v>
      </c>
      <c r="J682" s="63" t="s">
        <v>255</v>
      </c>
      <c r="K682" s="62" t="s">
        <v>317</v>
      </c>
      <c r="L682" s="64">
        <v>382.15000000000003</v>
      </c>
      <c r="M682" s="64">
        <f>L682*VLOOKUP(H682,dagsoorttabel1,2,FALSE)</f>
        <v>382.15000000000003</v>
      </c>
      <c r="N682" s="65">
        <f>prodnorm33</f>
        <v>0</v>
      </c>
      <c r="O682" s="66">
        <f>dagwerk33</f>
        <v>0</v>
      </c>
      <c r="P682" s="62" t="s">
        <v>40</v>
      </c>
      <c r="Q682" s="67">
        <f>uurtarief33</f>
        <v>0</v>
      </c>
      <c r="R682" s="64" t="e">
        <f>IF(ISBLANK(N682),0,M682/ROUND(N682,4))</f>
        <v>#DIV/0!</v>
      </c>
      <c r="S682" s="64" t="e">
        <f>IF(ISBLANK(N682),0,R682*ROUND(O682,2))</f>
        <v>#DIV/0!</v>
      </c>
      <c r="T682" s="67" t="e">
        <f>ROUND(Q682,2)*R682</f>
        <v>#DIV/0!</v>
      </c>
      <c r="U682" s="64" t="e">
        <f>R682*dagenperjaar1</f>
        <v>#DIV/0!</v>
      </c>
      <c r="V682" s="69" t="e">
        <f>U682*ROUND(Q682,2)</f>
        <v>#DIV/0!</v>
      </c>
    </row>
    <row r="683" spans="1:22" x14ac:dyDescent="0.3">
      <c r="A683" s="61" t="s">
        <v>1107</v>
      </c>
      <c r="B683" s="62" t="s">
        <v>317</v>
      </c>
      <c r="C683" s="62" t="s">
        <v>318</v>
      </c>
      <c r="D683" s="62" t="s">
        <v>1111</v>
      </c>
      <c r="E683" s="63" t="s">
        <v>356</v>
      </c>
      <c r="F683" s="62" t="s">
        <v>357</v>
      </c>
      <c r="G683" s="62" t="s">
        <v>209</v>
      </c>
      <c r="H683" s="62" t="s">
        <v>17</v>
      </c>
      <c r="I683" s="62" t="s">
        <v>210</v>
      </c>
      <c r="J683" s="63" t="s">
        <v>211</v>
      </c>
      <c r="K683" s="62" t="s">
        <v>317</v>
      </c>
      <c r="L683" s="64">
        <v>6.3</v>
      </c>
      <c r="M683" s="64">
        <f>L683*VLOOKUP(H683,dagsoorttabel1,2,FALSE)</f>
        <v>1.26</v>
      </c>
      <c r="N683" s="65">
        <f>prodnorm10</f>
        <v>0</v>
      </c>
      <c r="O683" s="66">
        <f>dagwerk10</f>
        <v>0</v>
      </c>
      <c r="P683" s="62" t="s">
        <v>40</v>
      </c>
      <c r="Q683" s="67">
        <f>uurtarief10</f>
        <v>0</v>
      </c>
      <c r="R683" s="64" t="e">
        <f>IF(ISBLANK(N683),0,M683/ROUND(N683,4))</f>
        <v>#DIV/0!</v>
      </c>
      <c r="S683" s="64" t="e">
        <f>IF(ISBLANK(N683),0,R683*ROUND(O683,2))</f>
        <v>#DIV/0!</v>
      </c>
      <c r="T683" s="67" t="e">
        <f>ROUND(Q683,2)*R683</f>
        <v>#DIV/0!</v>
      </c>
      <c r="U683" s="64" t="e">
        <f>R683*dagenperjaar1</f>
        <v>#DIV/0!</v>
      </c>
      <c r="V683" s="69" t="e">
        <f>U683*ROUND(Q683,2)</f>
        <v>#DIV/0!</v>
      </c>
    </row>
    <row r="684" spans="1:22" x14ac:dyDescent="0.3">
      <c r="A684" s="61" t="s">
        <v>1107</v>
      </c>
      <c r="B684" s="62" t="s">
        <v>317</v>
      </c>
      <c r="C684" s="62" t="s">
        <v>318</v>
      </c>
      <c r="D684" s="62" t="s">
        <v>1112</v>
      </c>
      <c r="E684" s="63" t="s">
        <v>396</v>
      </c>
      <c r="F684" s="62" t="s">
        <v>357</v>
      </c>
      <c r="G684" s="62" t="s">
        <v>238</v>
      </c>
      <c r="H684" s="62" t="s">
        <v>11</v>
      </c>
      <c r="I684" s="62" t="s">
        <v>210</v>
      </c>
      <c r="J684" s="63" t="s">
        <v>239</v>
      </c>
      <c r="K684" s="62" t="s">
        <v>317</v>
      </c>
      <c r="L684" s="64">
        <v>46.65</v>
      </c>
      <c r="M684" s="64">
        <f>L684*VLOOKUP(H684,dagsoorttabel1,2,FALSE)</f>
        <v>46.65</v>
      </c>
      <c r="N684" s="65">
        <f>prodnorm24</f>
        <v>0</v>
      </c>
      <c r="O684" s="66">
        <f>dagwerk24</f>
        <v>0</v>
      </c>
      <c r="P684" s="62" t="s">
        <v>40</v>
      </c>
      <c r="Q684" s="67">
        <f>uurtarief24</f>
        <v>0</v>
      </c>
      <c r="R684" s="64" t="e">
        <f>IF(ISBLANK(N684),0,M684/ROUND(N684,4))</f>
        <v>#DIV/0!</v>
      </c>
      <c r="S684" s="64" t="e">
        <f>IF(ISBLANK(N684),0,R684*ROUND(O684,2))</f>
        <v>#DIV/0!</v>
      </c>
      <c r="T684" s="67" t="e">
        <f>ROUND(Q684,2)*R684</f>
        <v>#DIV/0!</v>
      </c>
      <c r="U684" s="64" t="e">
        <f>R684*dagenperjaar1</f>
        <v>#DIV/0!</v>
      </c>
      <c r="V684" s="69" t="e">
        <f>U684*ROUND(Q684,2)</f>
        <v>#DIV/0!</v>
      </c>
    </row>
    <row r="685" spans="1:22" x14ac:dyDescent="0.3">
      <c r="A685" s="61" t="s">
        <v>1107</v>
      </c>
      <c r="B685" s="62" t="s">
        <v>317</v>
      </c>
      <c r="C685" s="62" t="s">
        <v>318</v>
      </c>
      <c r="D685" s="62" t="s">
        <v>1113</v>
      </c>
      <c r="E685" s="63" t="s">
        <v>553</v>
      </c>
      <c r="F685" s="62" t="s">
        <v>357</v>
      </c>
      <c r="G685" s="62" t="s">
        <v>323</v>
      </c>
      <c r="H685" s="62"/>
      <c r="I685" s="62"/>
      <c r="J685" s="62"/>
      <c r="K685" s="62" t="s">
        <v>317</v>
      </c>
      <c r="L685" s="64">
        <v>46.65</v>
      </c>
      <c r="M685" s="64"/>
      <c r="N685" s="65"/>
      <c r="O685" s="66"/>
      <c r="P685" s="62"/>
      <c r="Q685" s="67"/>
      <c r="R685" s="64"/>
      <c r="S685" s="64"/>
      <c r="T685" s="67"/>
      <c r="U685" s="68"/>
      <c r="V685" s="69"/>
    </row>
    <row r="686" spans="1:22" x14ac:dyDescent="0.3">
      <c r="A686" s="61" t="s">
        <v>1107</v>
      </c>
      <c r="B686" s="62" t="s">
        <v>317</v>
      </c>
      <c r="C686" s="62" t="s">
        <v>318</v>
      </c>
      <c r="D686" s="62" t="s">
        <v>1114</v>
      </c>
      <c r="E686" s="63" t="s">
        <v>1115</v>
      </c>
      <c r="F686" s="62" t="s">
        <v>331</v>
      </c>
      <c r="G686" s="62" t="s">
        <v>323</v>
      </c>
      <c r="H686" s="62"/>
      <c r="I686" s="62"/>
      <c r="J686" s="62"/>
      <c r="K686" s="62" t="s">
        <v>317</v>
      </c>
      <c r="L686" s="64">
        <v>2.72</v>
      </c>
      <c r="M686" s="64"/>
      <c r="N686" s="65"/>
      <c r="O686" s="66"/>
      <c r="P686" s="62"/>
      <c r="Q686" s="67"/>
      <c r="R686" s="64"/>
      <c r="S686" s="64"/>
      <c r="T686" s="67"/>
      <c r="U686" s="68"/>
      <c r="V686" s="69"/>
    </row>
    <row r="687" spans="1:22" x14ac:dyDescent="0.3">
      <c r="A687" s="61" t="s">
        <v>1107</v>
      </c>
      <c r="B687" s="62" t="s">
        <v>317</v>
      </c>
      <c r="C687" s="62" t="s">
        <v>318</v>
      </c>
      <c r="D687" s="62" t="s">
        <v>1116</v>
      </c>
      <c r="E687" s="63" t="s">
        <v>1117</v>
      </c>
      <c r="F687" s="62" t="s">
        <v>1118</v>
      </c>
      <c r="G687" s="62" t="s">
        <v>270</v>
      </c>
      <c r="H687" s="62" t="s">
        <v>11</v>
      </c>
      <c r="I687" s="62" t="s">
        <v>210</v>
      </c>
      <c r="J687" s="63" t="s">
        <v>271</v>
      </c>
      <c r="K687" s="62" t="s">
        <v>317</v>
      </c>
      <c r="L687" s="64">
        <v>9.0399999999999991</v>
      </c>
      <c r="M687" s="64">
        <f>L687*VLOOKUP(H687,dagsoorttabel1,2,FALSE)</f>
        <v>9.0399999999999991</v>
      </c>
      <c r="N687" s="65">
        <f>prodnorm41</f>
        <v>0</v>
      </c>
      <c r="O687" s="66">
        <f>dagwerk41</f>
        <v>0</v>
      </c>
      <c r="P687" s="62" t="s">
        <v>40</v>
      </c>
      <c r="Q687" s="67">
        <f>uurtarief41</f>
        <v>0</v>
      </c>
      <c r="R687" s="64" t="e">
        <f>IF(ISBLANK(N687),0,M687/ROUND(N687,4))</f>
        <v>#DIV/0!</v>
      </c>
      <c r="S687" s="64" t="e">
        <f>IF(ISBLANK(N687),0,R687*ROUND(O687,2))</f>
        <v>#DIV/0!</v>
      </c>
      <c r="T687" s="67" t="e">
        <f>ROUND(Q687,2)*R687</f>
        <v>#DIV/0!</v>
      </c>
      <c r="U687" s="64" t="e">
        <f>R687*dagenperjaar1</f>
        <v>#DIV/0!</v>
      </c>
      <c r="V687" s="69" t="e">
        <f>U687*ROUND(Q687,2)</f>
        <v>#DIV/0!</v>
      </c>
    </row>
    <row r="688" spans="1:22" x14ac:dyDescent="0.3">
      <c r="A688" s="61" t="s">
        <v>1107</v>
      </c>
      <c r="B688" s="62" t="s">
        <v>317</v>
      </c>
      <c r="C688" s="62" t="s">
        <v>318</v>
      </c>
      <c r="D688" s="62" t="s">
        <v>1119</v>
      </c>
      <c r="E688" s="63" t="s">
        <v>356</v>
      </c>
      <c r="F688" s="62" t="s">
        <v>357</v>
      </c>
      <c r="G688" s="62" t="s">
        <v>209</v>
      </c>
      <c r="H688" s="62" t="s">
        <v>17</v>
      </c>
      <c r="I688" s="62" t="s">
        <v>210</v>
      </c>
      <c r="J688" s="63" t="s">
        <v>211</v>
      </c>
      <c r="K688" s="62" t="s">
        <v>317</v>
      </c>
      <c r="L688" s="64">
        <v>34.700000000000003</v>
      </c>
      <c r="M688" s="64">
        <f>L688*VLOOKUP(H688,dagsoorttabel1,2,FALSE)</f>
        <v>6.9400000000000013</v>
      </c>
      <c r="N688" s="65">
        <f>prodnorm10</f>
        <v>0</v>
      </c>
      <c r="O688" s="66">
        <f>dagwerk10</f>
        <v>0</v>
      </c>
      <c r="P688" s="62" t="s">
        <v>40</v>
      </c>
      <c r="Q688" s="67">
        <f>uurtarief10</f>
        <v>0</v>
      </c>
      <c r="R688" s="64" t="e">
        <f>IF(ISBLANK(N688),0,M688/ROUND(N688,4))</f>
        <v>#DIV/0!</v>
      </c>
      <c r="S688" s="64" t="e">
        <f>IF(ISBLANK(N688),0,R688*ROUND(O688,2))</f>
        <v>#DIV/0!</v>
      </c>
      <c r="T688" s="67" t="e">
        <f>ROUND(Q688,2)*R688</f>
        <v>#DIV/0!</v>
      </c>
      <c r="U688" s="64" t="e">
        <f>R688*dagenperjaar1</f>
        <v>#DIV/0!</v>
      </c>
      <c r="V688" s="69" t="e">
        <f>U688*ROUND(Q688,2)</f>
        <v>#DIV/0!</v>
      </c>
    </row>
    <row r="689" spans="1:22" x14ac:dyDescent="0.3">
      <c r="A689" s="61" t="s">
        <v>1107</v>
      </c>
      <c r="B689" s="62" t="s">
        <v>317</v>
      </c>
      <c r="C689" s="62" t="s">
        <v>318</v>
      </c>
      <c r="D689" s="62" t="s">
        <v>1120</v>
      </c>
      <c r="E689" s="63" t="s">
        <v>1121</v>
      </c>
      <c r="F689" s="62" t="s">
        <v>1118</v>
      </c>
      <c r="G689" s="62" t="s">
        <v>266</v>
      </c>
      <c r="H689" s="62" t="s">
        <v>11</v>
      </c>
      <c r="I689" s="62" t="s">
        <v>210</v>
      </c>
      <c r="J689" s="63" t="s">
        <v>267</v>
      </c>
      <c r="K689" s="62" t="s">
        <v>317</v>
      </c>
      <c r="L689" s="64">
        <v>2.68</v>
      </c>
      <c r="M689" s="64">
        <f>L689*VLOOKUP(H689,dagsoorttabel1,2,FALSE)</f>
        <v>2.68</v>
      </c>
      <c r="N689" s="65">
        <f>prodnorm39</f>
        <v>0</v>
      </c>
      <c r="O689" s="66">
        <f>dagwerk39</f>
        <v>0</v>
      </c>
      <c r="P689" s="62" t="s">
        <v>40</v>
      </c>
      <c r="Q689" s="67">
        <f>uurtarief39</f>
        <v>0</v>
      </c>
      <c r="R689" s="64" t="e">
        <f>IF(ISBLANK(N689),0,M689/ROUND(N689,4))</f>
        <v>#DIV/0!</v>
      </c>
      <c r="S689" s="64" t="e">
        <f>IF(ISBLANK(N689),0,R689*ROUND(O689,2))</f>
        <v>#DIV/0!</v>
      </c>
      <c r="T689" s="67" t="e">
        <f>ROUND(Q689,2)*R689</f>
        <v>#DIV/0!</v>
      </c>
      <c r="U689" s="64" t="e">
        <f>R689*dagenperjaar1</f>
        <v>#DIV/0!</v>
      </c>
      <c r="V689" s="69" t="e">
        <f>U689*ROUND(Q689,2)</f>
        <v>#DIV/0!</v>
      </c>
    </row>
    <row r="690" spans="1:22" x14ac:dyDescent="0.3">
      <c r="A690" s="61" t="s">
        <v>1107</v>
      </c>
      <c r="B690" s="62" t="s">
        <v>317</v>
      </c>
      <c r="C690" s="62" t="s">
        <v>318</v>
      </c>
      <c r="D690" s="62" t="s">
        <v>1122</v>
      </c>
      <c r="E690" s="63" t="s">
        <v>394</v>
      </c>
      <c r="F690" s="62" t="s">
        <v>357</v>
      </c>
      <c r="G690" s="62" t="s">
        <v>272</v>
      </c>
      <c r="H690" s="62" t="s">
        <v>11</v>
      </c>
      <c r="I690" s="62" t="s">
        <v>210</v>
      </c>
      <c r="J690" s="63" t="s">
        <v>273</v>
      </c>
      <c r="K690" s="62" t="s">
        <v>317</v>
      </c>
      <c r="L690" s="64">
        <v>15.08</v>
      </c>
      <c r="M690" s="64">
        <f>L690*VLOOKUP(H690,dagsoorttabel1,2,FALSE)</f>
        <v>15.08</v>
      </c>
      <c r="N690" s="65">
        <f>prodnorm42</f>
        <v>0</v>
      </c>
      <c r="O690" s="66">
        <f>dagwerk42</f>
        <v>0</v>
      </c>
      <c r="P690" s="62" t="s">
        <v>40</v>
      </c>
      <c r="Q690" s="67">
        <f>uurtarief42</f>
        <v>0</v>
      </c>
      <c r="R690" s="64" t="e">
        <f>IF(ISBLANK(N690),0,M690/ROUND(N690,4))</f>
        <v>#DIV/0!</v>
      </c>
      <c r="S690" s="64" t="e">
        <f>IF(ISBLANK(N690),0,R690*ROUND(O690,2))</f>
        <v>#DIV/0!</v>
      </c>
      <c r="T690" s="67" t="e">
        <f>ROUND(Q690,2)*R690</f>
        <v>#DIV/0!</v>
      </c>
      <c r="U690" s="64" t="e">
        <f>R690*dagenperjaar1</f>
        <v>#DIV/0!</v>
      </c>
      <c r="V690" s="69" t="e">
        <f>U690*ROUND(Q690,2)</f>
        <v>#DIV/0!</v>
      </c>
    </row>
    <row r="691" spans="1:22" x14ac:dyDescent="0.3">
      <c r="A691" s="61" t="s">
        <v>1107</v>
      </c>
      <c r="B691" s="62" t="s">
        <v>317</v>
      </c>
      <c r="C691" s="62" t="s">
        <v>318</v>
      </c>
      <c r="D691" s="62" t="s">
        <v>1123</v>
      </c>
      <c r="E691" s="63" t="s">
        <v>374</v>
      </c>
      <c r="F691" s="62" t="s">
        <v>357</v>
      </c>
      <c r="G691" s="62" t="s">
        <v>323</v>
      </c>
      <c r="H691" s="62"/>
      <c r="I691" s="62"/>
      <c r="J691" s="62"/>
      <c r="K691" s="62" t="s">
        <v>317</v>
      </c>
      <c r="L691" s="64">
        <v>0.35000000000000003</v>
      </c>
      <c r="M691" s="64"/>
      <c r="N691" s="65"/>
      <c r="O691" s="66"/>
      <c r="P691" s="62"/>
      <c r="Q691" s="67"/>
      <c r="R691" s="64"/>
      <c r="S691" s="64"/>
      <c r="T691" s="67"/>
      <c r="U691" s="68"/>
      <c r="V691" s="69"/>
    </row>
    <row r="692" spans="1:22" x14ac:dyDescent="0.3">
      <c r="A692" s="61" t="s">
        <v>1107</v>
      </c>
      <c r="B692" s="62" t="s">
        <v>317</v>
      </c>
      <c r="C692" s="62" t="s">
        <v>318</v>
      </c>
      <c r="D692" s="62" t="s">
        <v>1124</v>
      </c>
      <c r="E692" s="63" t="s">
        <v>369</v>
      </c>
      <c r="F692" s="62" t="s">
        <v>357</v>
      </c>
      <c r="G692" s="62" t="s">
        <v>323</v>
      </c>
      <c r="H692" s="62"/>
      <c r="I692" s="62"/>
      <c r="J692" s="62"/>
      <c r="K692" s="62" t="s">
        <v>317</v>
      </c>
      <c r="L692" s="64">
        <v>2.17</v>
      </c>
      <c r="M692" s="64"/>
      <c r="N692" s="65"/>
      <c r="O692" s="66"/>
      <c r="P692" s="62"/>
      <c r="Q692" s="67"/>
      <c r="R692" s="64"/>
      <c r="S692" s="64"/>
      <c r="T692" s="67"/>
      <c r="U692" s="68"/>
      <c r="V692" s="69"/>
    </row>
    <row r="693" spans="1:22" x14ac:dyDescent="0.3">
      <c r="A693" s="61" t="s">
        <v>1107</v>
      </c>
      <c r="B693" s="62" t="s">
        <v>317</v>
      </c>
      <c r="C693" s="62" t="s">
        <v>318</v>
      </c>
      <c r="D693" s="62" t="s">
        <v>1125</v>
      </c>
      <c r="E693" s="63" t="s">
        <v>428</v>
      </c>
      <c r="F693" s="62" t="s">
        <v>377</v>
      </c>
      <c r="G693" s="62" t="s">
        <v>272</v>
      </c>
      <c r="H693" s="62" t="s">
        <v>11</v>
      </c>
      <c r="I693" s="62" t="s">
        <v>210</v>
      </c>
      <c r="J693" s="63" t="s">
        <v>273</v>
      </c>
      <c r="K693" s="62" t="s">
        <v>317</v>
      </c>
      <c r="L693" s="64">
        <v>3.56</v>
      </c>
      <c r="M693" s="64">
        <f>L693*VLOOKUP(H693,dagsoorttabel1,2,FALSE)</f>
        <v>3.56</v>
      </c>
      <c r="N693" s="65">
        <f>prodnorm42</f>
        <v>0</v>
      </c>
      <c r="O693" s="66">
        <f>dagwerk42</f>
        <v>0</v>
      </c>
      <c r="P693" s="62" t="s">
        <v>40</v>
      </c>
      <c r="Q693" s="67">
        <f>uurtarief42</f>
        <v>0</v>
      </c>
      <c r="R693" s="64" t="e">
        <f>IF(ISBLANK(N693),0,M693/ROUND(N693,4))</f>
        <v>#DIV/0!</v>
      </c>
      <c r="S693" s="64" t="e">
        <f>IF(ISBLANK(N693),0,R693*ROUND(O693,2))</f>
        <v>#DIV/0!</v>
      </c>
      <c r="T693" s="67" t="e">
        <f>ROUND(Q693,2)*R693</f>
        <v>#DIV/0!</v>
      </c>
      <c r="U693" s="64" t="e">
        <f>R693*dagenperjaar1</f>
        <v>#DIV/0!</v>
      </c>
      <c r="V693" s="69" t="e">
        <f>U693*ROUND(Q693,2)</f>
        <v>#DIV/0!</v>
      </c>
    </row>
    <row r="694" spans="1:22" x14ac:dyDescent="0.3">
      <c r="A694" s="61" t="s">
        <v>1107</v>
      </c>
      <c r="B694" s="62" t="s">
        <v>317</v>
      </c>
      <c r="C694" s="62" t="s">
        <v>318</v>
      </c>
      <c r="D694" s="62" t="s">
        <v>1126</v>
      </c>
      <c r="E694" s="63" t="s">
        <v>553</v>
      </c>
      <c r="F694" s="62" t="s">
        <v>377</v>
      </c>
      <c r="G694" s="62" t="s">
        <v>323</v>
      </c>
      <c r="H694" s="62"/>
      <c r="I694" s="62"/>
      <c r="J694" s="62"/>
      <c r="K694" s="62" t="s">
        <v>317</v>
      </c>
      <c r="L694" s="64">
        <v>63.379999999999995</v>
      </c>
      <c r="M694" s="64"/>
      <c r="N694" s="65"/>
      <c r="O694" s="66"/>
      <c r="P694" s="62"/>
      <c r="Q694" s="67"/>
      <c r="R694" s="64"/>
      <c r="S694" s="64"/>
      <c r="T694" s="67"/>
      <c r="U694" s="68"/>
      <c r="V694" s="69"/>
    </row>
    <row r="695" spans="1:22" x14ac:dyDescent="0.3">
      <c r="A695" s="61" t="s">
        <v>1107</v>
      </c>
      <c r="B695" s="62" t="s">
        <v>317</v>
      </c>
      <c r="C695" s="62" t="s">
        <v>629</v>
      </c>
      <c r="D695" s="62" t="s">
        <v>1127</v>
      </c>
      <c r="E695" s="63" t="s">
        <v>396</v>
      </c>
      <c r="F695" s="62" t="s">
        <v>357</v>
      </c>
      <c r="G695" s="62" t="s">
        <v>238</v>
      </c>
      <c r="H695" s="62" t="s">
        <v>11</v>
      </c>
      <c r="I695" s="62" t="s">
        <v>210</v>
      </c>
      <c r="J695" s="63" t="s">
        <v>239</v>
      </c>
      <c r="K695" s="62" t="s">
        <v>317</v>
      </c>
      <c r="L695" s="64">
        <v>37.4</v>
      </c>
      <c r="M695" s="64">
        <f>L695*VLOOKUP(H695,dagsoorttabel1,2,FALSE)</f>
        <v>37.4</v>
      </c>
      <c r="N695" s="65">
        <f>prodnorm24</f>
        <v>0</v>
      </c>
      <c r="O695" s="66">
        <f>dagwerk24</f>
        <v>0</v>
      </c>
      <c r="P695" s="62" t="s">
        <v>40</v>
      </c>
      <c r="Q695" s="67">
        <f>uurtarief24</f>
        <v>0</v>
      </c>
      <c r="R695" s="64" t="e">
        <f>IF(ISBLANK(N695),0,M695/ROUND(N695,4))</f>
        <v>#DIV/0!</v>
      </c>
      <c r="S695" s="64" t="e">
        <f>IF(ISBLANK(N695),0,R695*ROUND(O695,2))</f>
        <v>#DIV/0!</v>
      </c>
      <c r="T695" s="67" t="e">
        <f>ROUND(Q695,2)*R695</f>
        <v>#DIV/0!</v>
      </c>
      <c r="U695" s="64" t="e">
        <f>R695*dagenperjaar1</f>
        <v>#DIV/0!</v>
      </c>
      <c r="V695" s="69" t="e">
        <f>U695*ROUND(Q695,2)</f>
        <v>#DIV/0!</v>
      </c>
    </row>
    <row r="696" spans="1:22" x14ac:dyDescent="0.3">
      <c r="A696" s="61" t="s">
        <v>1107</v>
      </c>
      <c r="B696" s="62" t="s">
        <v>317</v>
      </c>
      <c r="C696" s="62" t="s">
        <v>629</v>
      </c>
      <c r="D696" s="62" t="s">
        <v>1128</v>
      </c>
      <c r="E696" s="63" t="s">
        <v>396</v>
      </c>
      <c r="F696" s="62" t="s">
        <v>357</v>
      </c>
      <c r="G696" s="62" t="s">
        <v>238</v>
      </c>
      <c r="H696" s="62" t="s">
        <v>11</v>
      </c>
      <c r="I696" s="62" t="s">
        <v>210</v>
      </c>
      <c r="J696" s="63" t="s">
        <v>239</v>
      </c>
      <c r="K696" s="62" t="s">
        <v>317</v>
      </c>
      <c r="L696" s="64">
        <v>36.849999999999994</v>
      </c>
      <c r="M696" s="64">
        <f>L696*VLOOKUP(H696,dagsoorttabel1,2,FALSE)</f>
        <v>36.849999999999994</v>
      </c>
      <c r="N696" s="65">
        <f>prodnorm24</f>
        <v>0</v>
      </c>
      <c r="O696" s="66">
        <f>dagwerk24</f>
        <v>0</v>
      </c>
      <c r="P696" s="62" t="s">
        <v>40</v>
      </c>
      <c r="Q696" s="67">
        <f>uurtarief24</f>
        <v>0</v>
      </c>
      <c r="R696" s="64" t="e">
        <f>IF(ISBLANK(N696),0,M696/ROUND(N696,4))</f>
        <v>#DIV/0!</v>
      </c>
      <c r="S696" s="64" t="e">
        <f>IF(ISBLANK(N696),0,R696*ROUND(O696,2))</f>
        <v>#DIV/0!</v>
      </c>
      <c r="T696" s="67" t="e">
        <f>ROUND(Q696,2)*R696</f>
        <v>#DIV/0!</v>
      </c>
      <c r="U696" s="64" t="e">
        <f>R696*dagenperjaar1</f>
        <v>#DIV/0!</v>
      </c>
      <c r="V696" s="69" t="e">
        <f>U696*ROUND(Q696,2)</f>
        <v>#DIV/0!</v>
      </c>
    </row>
    <row r="697" spans="1:22" x14ac:dyDescent="0.3">
      <c r="A697" s="61" t="s">
        <v>1107</v>
      </c>
      <c r="B697" s="62" t="s">
        <v>317</v>
      </c>
      <c r="C697" s="62" t="s">
        <v>629</v>
      </c>
      <c r="D697" s="62" t="s">
        <v>1129</v>
      </c>
      <c r="E697" s="63" t="s">
        <v>394</v>
      </c>
      <c r="F697" s="62" t="s">
        <v>357</v>
      </c>
      <c r="G697" s="62" t="s">
        <v>272</v>
      </c>
      <c r="H697" s="62" t="s">
        <v>11</v>
      </c>
      <c r="I697" s="62" t="s">
        <v>210</v>
      </c>
      <c r="J697" s="63" t="s">
        <v>273</v>
      </c>
      <c r="K697" s="62" t="s">
        <v>317</v>
      </c>
      <c r="L697" s="64">
        <v>15.02</v>
      </c>
      <c r="M697" s="64">
        <f>L697*VLOOKUP(H697,dagsoorttabel1,2,FALSE)</f>
        <v>15.02</v>
      </c>
      <c r="N697" s="65">
        <f>prodnorm42</f>
        <v>0</v>
      </c>
      <c r="O697" s="66">
        <f>dagwerk42</f>
        <v>0</v>
      </c>
      <c r="P697" s="62" t="s">
        <v>40</v>
      </c>
      <c r="Q697" s="67">
        <f>uurtarief42</f>
        <v>0</v>
      </c>
      <c r="R697" s="64" t="e">
        <f>IF(ISBLANK(N697),0,M697/ROUND(N697,4))</f>
        <v>#DIV/0!</v>
      </c>
      <c r="S697" s="64" t="e">
        <f>IF(ISBLANK(N697),0,R697*ROUND(O697,2))</f>
        <v>#DIV/0!</v>
      </c>
      <c r="T697" s="67" t="e">
        <f>ROUND(Q697,2)*R697</f>
        <v>#DIV/0!</v>
      </c>
      <c r="U697" s="64" t="e">
        <f>R697*dagenperjaar1</f>
        <v>#DIV/0!</v>
      </c>
      <c r="V697" s="69" t="e">
        <f>U697*ROUND(Q697,2)</f>
        <v>#DIV/0!</v>
      </c>
    </row>
    <row r="698" spans="1:22" x14ac:dyDescent="0.3">
      <c r="A698" s="61" t="s">
        <v>1107</v>
      </c>
      <c r="B698" s="62" t="s">
        <v>317</v>
      </c>
      <c r="C698" s="62" t="s">
        <v>629</v>
      </c>
      <c r="D698" s="62" t="s">
        <v>1130</v>
      </c>
      <c r="E698" s="63" t="s">
        <v>1115</v>
      </c>
      <c r="F698" s="62" t="s">
        <v>357</v>
      </c>
      <c r="G698" s="62" t="s">
        <v>323</v>
      </c>
      <c r="H698" s="62"/>
      <c r="I698" s="62"/>
      <c r="J698" s="62"/>
      <c r="K698" s="62" t="s">
        <v>317</v>
      </c>
      <c r="L698" s="64">
        <v>2.08</v>
      </c>
      <c r="M698" s="64"/>
      <c r="N698" s="65"/>
      <c r="O698" s="66"/>
      <c r="P698" s="62"/>
      <c r="Q698" s="67"/>
      <c r="R698" s="64"/>
      <c r="S698" s="64"/>
      <c r="T698" s="67"/>
      <c r="U698" s="68"/>
      <c r="V698" s="69"/>
    </row>
    <row r="699" spans="1:22" x14ac:dyDescent="0.3">
      <c r="A699" s="70" t="s">
        <v>1107</v>
      </c>
      <c r="B699" s="71" t="s">
        <v>317</v>
      </c>
      <c r="C699" s="71" t="s">
        <v>629</v>
      </c>
      <c r="D699" s="71" t="s">
        <v>1131</v>
      </c>
      <c r="E699" s="72" t="s">
        <v>330</v>
      </c>
      <c r="F699" s="71" t="s">
        <v>377</v>
      </c>
      <c r="G699" s="71" t="s">
        <v>286</v>
      </c>
      <c r="H699" s="71" t="s">
        <v>11</v>
      </c>
      <c r="I699" s="71" t="s">
        <v>210</v>
      </c>
      <c r="J699" s="72" t="s">
        <v>287</v>
      </c>
      <c r="K699" s="71" t="s">
        <v>317</v>
      </c>
      <c r="L699" s="73">
        <v>1.58</v>
      </c>
      <c r="M699" s="73">
        <f>L699*VLOOKUP(H699,dagsoorttabel1,2,FALSE)</f>
        <v>1.58</v>
      </c>
      <c r="N699" s="74">
        <f>prodnorm49</f>
        <v>0</v>
      </c>
      <c r="O699" s="75">
        <f>dagwerk49</f>
        <v>0</v>
      </c>
      <c r="P699" s="71" t="s">
        <v>40</v>
      </c>
      <c r="Q699" s="76">
        <f>uurtarief49</f>
        <v>0</v>
      </c>
      <c r="R699" s="73" t="e">
        <f>IF(ISBLANK(N699),0,M699/ROUND(N699,4))</f>
        <v>#DIV/0!</v>
      </c>
      <c r="S699" s="73" t="e">
        <f>IF(ISBLANK(N699),0,R699*ROUND(O699,2))</f>
        <v>#DIV/0!</v>
      </c>
      <c r="T699" s="76" t="e">
        <f>ROUND(Q699,2)*R699</f>
        <v>#DIV/0!</v>
      </c>
      <c r="U699" s="73" t="e">
        <f>R699*dagenperjaar1</f>
        <v>#DIV/0!</v>
      </c>
      <c r="V699" s="78" t="e">
        <f>U699*ROUND(Q699,2)</f>
        <v>#DIV/0!</v>
      </c>
    </row>
    <row r="700" spans="1:22" x14ac:dyDescent="0.3">
      <c r="A700" s="79" t="s">
        <v>1105</v>
      </c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5" t="e">
        <f>IF(_xlfn.SINGLE(object2_urenjaar1)&gt;0,_xlfn.SINGLE(object2_prijsjaar1)/_xlfn.SINGLE(object2_urenjaar1),0)</f>
        <v>#DIV/0!</v>
      </c>
      <c r="R700" s="44" t="e">
        <f>SUM(R681:R699)</f>
        <v>#DIV/0!</v>
      </c>
      <c r="S700" s="44" t="e">
        <f>SUM(S681:S699)</f>
        <v>#DIV/0!</v>
      </c>
      <c r="T700" s="45" t="e">
        <f>SUM(T681:T699)</f>
        <v>#DIV/0!</v>
      </c>
      <c r="U700" s="44" t="e">
        <f>SUM(U681:U699)</f>
        <v>#DIV/0!</v>
      </c>
      <c r="V700" s="46" t="e">
        <f>SUM(V681:V699)</f>
        <v>#DIV/0!</v>
      </c>
    </row>
    <row r="701" spans="1:22" x14ac:dyDescent="0.3">
      <c r="A701" s="52" t="s">
        <v>1132</v>
      </c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41"/>
    </row>
    <row r="702" spans="1:22" x14ac:dyDescent="0.3">
      <c r="A702" s="53" t="s">
        <v>1133</v>
      </c>
      <c r="B702" s="54" t="s">
        <v>317</v>
      </c>
      <c r="C702" s="54" t="s">
        <v>318</v>
      </c>
      <c r="D702" s="54" t="s">
        <v>1108</v>
      </c>
      <c r="E702" s="55" t="s">
        <v>1134</v>
      </c>
      <c r="F702" s="54" t="s">
        <v>348</v>
      </c>
      <c r="G702" s="54" t="s">
        <v>274</v>
      </c>
      <c r="H702" s="54" t="s">
        <v>11</v>
      </c>
      <c r="I702" s="54" t="s">
        <v>210</v>
      </c>
      <c r="J702" s="55" t="s">
        <v>275</v>
      </c>
      <c r="K702" s="54" t="s">
        <v>317</v>
      </c>
      <c r="L702" s="56">
        <v>26.150000000000002</v>
      </c>
      <c r="M702" s="56">
        <f>L702*VLOOKUP(H702,dagsoorttabel1,2,FALSE)</f>
        <v>26.150000000000002</v>
      </c>
      <c r="N702" s="57">
        <f>prodnorm43</f>
        <v>0</v>
      </c>
      <c r="O702" s="58">
        <f>dagwerk43</f>
        <v>0</v>
      </c>
      <c r="P702" s="54" t="s">
        <v>40</v>
      </c>
      <c r="Q702" s="59">
        <f>uurtarief43</f>
        <v>0</v>
      </c>
      <c r="R702" s="56" t="e">
        <f>IF(ISBLANK(N702),0,M702/ROUND(N702,4))</f>
        <v>#DIV/0!</v>
      </c>
      <c r="S702" s="56" t="e">
        <f>IF(ISBLANK(N702),0,R702*ROUND(O702,2))</f>
        <v>#DIV/0!</v>
      </c>
      <c r="T702" s="59" t="e">
        <f>ROUND(Q702,2)*R702</f>
        <v>#DIV/0!</v>
      </c>
      <c r="U702" s="56" t="e">
        <f>R702*dagenperjaar1</f>
        <v>#DIV/0!</v>
      </c>
      <c r="V702" s="60" t="e">
        <f>U702*ROUND(Q702,2)</f>
        <v>#DIV/0!</v>
      </c>
    </row>
    <row r="703" spans="1:22" x14ac:dyDescent="0.3">
      <c r="A703" s="61" t="s">
        <v>1133</v>
      </c>
      <c r="B703" s="62" t="s">
        <v>317</v>
      </c>
      <c r="C703" s="62" t="s">
        <v>318</v>
      </c>
      <c r="D703" s="62" t="s">
        <v>1109</v>
      </c>
      <c r="E703" s="63" t="s">
        <v>394</v>
      </c>
      <c r="F703" s="62" t="s">
        <v>365</v>
      </c>
      <c r="G703" s="62" t="s">
        <v>272</v>
      </c>
      <c r="H703" s="62" t="s">
        <v>11</v>
      </c>
      <c r="I703" s="62" t="s">
        <v>210</v>
      </c>
      <c r="J703" s="63" t="s">
        <v>273</v>
      </c>
      <c r="K703" s="62" t="s">
        <v>317</v>
      </c>
      <c r="L703" s="64">
        <v>57.309999999999995</v>
      </c>
      <c r="M703" s="64">
        <f>L703*VLOOKUP(H703,dagsoorttabel1,2,FALSE)</f>
        <v>57.309999999999995</v>
      </c>
      <c r="N703" s="65">
        <f>prodnorm42</f>
        <v>0</v>
      </c>
      <c r="O703" s="66">
        <f>dagwerk42</f>
        <v>0</v>
      </c>
      <c r="P703" s="62" t="s">
        <v>40</v>
      </c>
      <c r="Q703" s="67">
        <f>uurtarief42</f>
        <v>0</v>
      </c>
      <c r="R703" s="64" t="e">
        <f>IF(ISBLANK(N703),0,M703/ROUND(N703,4))</f>
        <v>#DIV/0!</v>
      </c>
      <c r="S703" s="64" t="e">
        <f>IF(ISBLANK(N703),0,R703*ROUND(O703,2))</f>
        <v>#DIV/0!</v>
      </c>
      <c r="T703" s="67" t="e">
        <f>ROUND(Q703,2)*R703</f>
        <v>#DIV/0!</v>
      </c>
      <c r="U703" s="64" t="e">
        <f>R703*dagenperjaar1</f>
        <v>#DIV/0!</v>
      </c>
      <c r="V703" s="69" t="e">
        <f>U703*ROUND(Q703,2)</f>
        <v>#DIV/0!</v>
      </c>
    </row>
    <row r="704" spans="1:22" x14ac:dyDescent="0.3">
      <c r="A704" s="61" t="s">
        <v>1133</v>
      </c>
      <c r="B704" s="62" t="s">
        <v>317</v>
      </c>
      <c r="C704" s="62" t="s">
        <v>318</v>
      </c>
      <c r="D704" s="62" t="s">
        <v>1112</v>
      </c>
      <c r="E704" s="63" t="s">
        <v>624</v>
      </c>
      <c r="F704" s="62" t="s">
        <v>348</v>
      </c>
      <c r="G704" s="62" t="s">
        <v>278</v>
      </c>
      <c r="H704" s="62" t="s">
        <v>11</v>
      </c>
      <c r="I704" s="62" t="s">
        <v>210</v>
      </c>
      <c r="J704" s="63" t="s">
        <v>279</v>
      </c>
      <c r="K704" s="62" t="s">
        <v>317</v>
      </c>
      <c r="L704" s="64">
        <v>18.32</v>
      </c>
      <c r="M704" s="64">
        <f>L704*VLOOKUP(H704,dagsoorttabel1,2,FALSE)</f>
        <v>18.32</v>
      </c>
      <c r="N704" s="65">
        <f>prodnorm45</f>
        <v>0</v>
      </c>
      <c r="O704" s="66">
        <f>dagwerk45</f>
        <v>0</v>
      </c>
      <c r="P704" s="62" t="s">
        <v>40</v>
      </c>
      <c r="Q704" s="67">
        <f>uurtarief45</f>
        <v>0</v>
      </c>
      <c r="R704" s="64" t="e">
        <f>IF(ISBLANK(N704),0,M704/ROUND(N704,4))</f>
        <v>#DIV/0!</v>
      </c>
      <c r="S704" s="64" t="e">
        <f>IF(ISBLANK(N704),0,R704*ROUND(O704,2))</f>
        <v>#DIV/0!</v>
      </c>
      <c r="T704" s="67" t="e">
        <f>ROUND(Q704,2)*R704</f>
        <v>#DIV/0!</v>
      </c>
      <c r="U704" s="64" t="e">
        <f>R704*dagenperjaar1</f>
        <v>#DIV/0!</v>
      </c>
      <c r="V704" s="69" t="e">
        <f>U704*ROUND(Q704,2)</f>
        <v>#DIV/0!</v>
      </c>
    </row>
    <row r="705" spans="1:22" x14ac:dyDescent="0.3">
      <c r="A705" s="61" t="s">
        <v>1133</v>
      </c>
      <c r="B705" s="62" t="s">
        <v>317</v>
      </c>
      <c r="C705" s="62" t="s">
        <v>318</v>
      </c>
      <c r="D705" s="62" t="s">
        <v>1113</v>
      </c>
      <c r="E705" s="63" t="s">
        <v>374</v>
      </c>
      <c r="F705" s="62" t="s">
        <v>348</v>
      </c>
      <c r="G705" s="62" t="s">
        <v>323</v>
      </c>
      <c r="H705" s="62"/>
      <c r="I705" s="62"/>
      <c r="J705" s="62"/>
      <c r="K705" s="62" t="s">
        <v>317</v>
      </c>
      <c r="L705" s="64">
        <v>1.1200000000000001</v>
      </c>
      <c r="M705" s="64"/>
      <c r="N705" s="65"/>
      <c r="O705" s="66"/>
      <c r="P705" s="62"/>
      <c r="Q705" s="67"/>
      <c r="R705" s="64"/>
      <c r="S705" s="64"/>
      <c r="T705" s="67"/>
      <c r="U705" s="68"/>
      <c r="V705" s="69"/>
    </row>
    <row r="706" spans="1:22" x14ac:dyDescent="0.3">
      <c r="A706" s="61" t="s">
        <v>1133</v>
      </c>
      <c r="B706" s="62" t="s">
        <v>317</v>
      </c>
      <c r="C706" s="62" t="s">
        <v>318</v>
      </c>
      <c r="D706" s="62" t="s">
        <v>1114</v>
      </c>
      <c r="E706" s="63" t="s">
        <v>374</v>
      </c>
      <c r="F706" s="62" t="s">
        <v>348</v>
      </c>
      <c r="G706" s="62" t="s">
        <v>323</v>
      </c>
      <c r="H706" s="62"/>
      <c r="I706" s="62"/>
      <c r="J706" s="62"/>
      <c r="K706" s="62" t="s">
        <v>317</v>
      </c>
      <c r="L706" s="64">
        <v>0.9</v>
      </c>
      <c r="M706" s="64"/>
      <c r="N706" s="65"/>
      <c r="O706" s="66"/>
      <c r="P706" s="62"/>
      <c r="Q706" s="67"/>
      <c r="R706" s="64"/>
      <c r="S706" s="64"/>
      <c r="T706" s="67"/>
      <c r="U706" s="68"/>
      <c r="V706" s="69"/>
    </row>
    <row r="707" spans="1:22" x14ac:dyDescent="0.3">
      <c r="A707" s="61" t="s">
        <v>1133</v>
      </c>
      <c r="B707" s="62" t="s">
        <v>317</v>
      </c>
      <c r="C707" s="62" t="s">
        <v>318</v>
      </c>
      <c r="D707" s="62" t="s">
        <v>1116</v>
      </c>
      <c r="E707" s="63" t="s">
        <v>321</v>
      </c>
      <c r="F707" s="62" t="s">
        <v>365</v>
      </c>
      <c r="G707" s="62" t="s">
        <v>323</v>
      </c>
      <c r="H707" s="62"/>
      <c r="I707" s="62"/>
      <c r="J707" s="62"/>
      <c r="K707" s="62" t="s">
        <v>317</v>
      </c>
      <c r="L707" s="64">
        <v>4.01</v>
      </c>
      <c r="M707" s="64"/>
      <c r="N707" s="65"/>
      <c r="O707" s="66"/>
      <c r="P707" s="62"/>
      <c r="Q707" s="67"/>
      <c r="R707" s="64"/>
      <c r="S707" s="64"/>
      <c r="T707" s="67"/>
      <c r="U707" s="68"/>
      <c r="V707" s="69"/>
    </row>
    <row r="708" spans="1:22" x14ac:dyDescent="0.3">
      <c r="A708" s="61" t="s">
        <v>1133</v>
      </c>
      <c r="B708" s="62" t="s">
        <v>317</v>
      </c>
      <c r="C708" s="62" t="s">
        <v>318</v>
      </c>
      <c r="D708" s="62" t="s">
        <v>1119</v>
      </c>
      <c r="E708" s="63" t="s">
        <v>394</v>
      </c>
      <c r="F708" s="62" t="s">
        <v>365</v>
      </c>
      <c r="G708" s="62" t="s">
        <v>272</v>
      </c>
      <c r="H708" s="62" t="s">
        <v>11</v>
      </c>
      <c r="I708" s="62" t="s">
        <v>210</v>
      </c>
      <c r="J708" s="63" t="s">
        <v>273</v>
      </c>
      <c r="K708" s="62" t="s">
        <v>317</v>
      </c>
      <c r="L708" s="64">
        <v>44.1</v>
      </c>
      <c r="M708" s="64">
        <f>L708*VLOOKUP(H708,dagsoorttabel1,2,FALSE)</f>
        <v>44.1</v>
      </c>
      <c r="N708" s="65">
        <f>prodnorm42</f>
        <v>0</v>
      </c>
      <c r="O708" s="66">
        <f>dagwerk42</f>
        <v>0</v>
      </c>
      <c r="P708" s="62" t="s">
        <v>40</v>
      </c>
      <c r="Q708" s="67">
        <f>uurtarief42</f>
        <v>0</v>
      </c>
      <c r="R708" s="64" t="e">
        <f>IF(ISBLANK(N708),0,M708/ROUND(N708,4))</f>
        <v>#DIV/0!</v>
      </c>
      <c r="S708" s="64" t="e">
        <f>IF(ISBLANK(N708),0,R708*ROUND(O708,2))</f>
        <v>#DIV/0!</v>
      </c>
      <c r="T708" s="67" t="e">
        <f>ROUND(Q708,2)*R708</f>
        <v>#DIV/0!</v>
      </c>
      <c r="U708" s="64" t="e">
        <f>R708*dagenperjaar1</f>
        <v>#DIV/0!</v>
      </c>
      <c r="V708" s="69" t="e">
        <f>U708*ROUND(Q708,2)</f>
        <v>#DIV/0!</v>
      </c>
    </row>
    <row r="709" spans="1:22" x14ac:dyDescent="0.3">
      <c r="A709" s="61" t="s">
        <v>1133</v>
      </c>
      <c r="B709" s="62" t="s">
        <v>317</v>
      </c>
      <c r="C709" s="62" t="s">
        <v>318</v>
      </c>
      <c r="D709" s="62" t="s">
        <v>1120</v>
      </c>
      <c r="E709" s="63" t="s">
        <v>1135</v>
      </c>
      <c r="F709" s="62" t="s">
        <v>348</v>
      </c>
      <c r="G709" s="62" t="s">
        <v>212</v>
      </c>
      <c r="H709" s="62" t="s">
        <v>17</v>
      </c>
      <c r="I709" s="62" t="s">
        <v>210</v>
      </c>
      <c r="J709" s="63" t="s">
        <v>213</v>
      </c>
      <c r="K709" s="62" t="s">
        <v>317</v>
      </c>
      <c r="L709" s="64">
        <v>52.37</v>
      </c>
      <c r="M709" s="64">
        <f>L709*VLOOKUP(H709,dagsoorttabel1,2,FALSE)</f>
        <v>10.474</v>
      </c>
      <c r="N709" s="65">
        <f>prodnorm11</f>
        <v>0</v>
      </c>
      <c r="O709" s="66">
        <f>dagwerk11</f>
        <v>0</v>
      </c>
      <c r="P709" s="62" t="s">
        <v>40</v>
      </c>
      <c r="Q709" s="67">
        <f>uurtarief11</f>
        <v>0</v>
      </c>
      <c r="R709" s="64" t="e">
        <f>IF(ISBLANK(N709),0,M709/ROUND(N709,4))</f>
        <v>#DIV/0!</v>
      </c>
      <c r="S709" s="64" t="e">
        <f>IF(ISBLANK(N709),0,R709*ROUND(O709,2))</f>
        <v>#DIV/0!</v>
      </c>
      <c r="T709" s="67" t="e">
        <f>ROUND(Q709,2)*R709</f>
        <v>#DIV/0!</v>
      </c>
      <c r="U709" s="64" t="e">
        <f>R709*dagenperjaar1</f>
        <v>#DIV/0!</v>
      </c>
      <c r="V709" s="69" t="e">
        <f>U709*ROUND(Q709,2)</f>
        <v>#DIV/0!</v>
      </c>
    </row>
    <row r="710" spans="1:22" x14ac:dyDescent="0.3">
      <c r="A710" s="61" t="s">
        <v>1133</v>
      </c>
      <c r="B710" s="62" t="s">
        <v>317</v>
      </c>
      <c r="C710" s="62" t="s">
        <v>318</v>
      </c>
      <c r="D710" s="62" t="s">
        <v>1122</v>
      </c>
      <c r="E710" s="63" t="s">
        <v>1136</v>
      </c>
      <c r="F710" s="62" t="s">
        <v>348</v>
      </c>
      <c r="G710" s="62" t="s">
        <v>216</v>
      </c>
      <c r="H710" s="62" t="s">
        <v>14</v>
      </c>
      <c r="I710" s="62" t="s">
        <v>210</v>
      </c>
      <c r="J710" s="63" t="s">
        <v>217</v>
      </c>
      <c r="K710" s="62" t="s">
        <v>317</v>
      </c>
      <c r="L710" s="64">
        <v>18.37</v>
      </c>
      <c r="M710" s="64">
        <f>L710*VLOOKUP(H710,dagsoorttabel1,2,FALSE)</f>
        <v>11.022</v>
      </c>
      <c r="N710" s="65">
        <f>prodnorm13</f>
        <v>0</v>
      </c>
      <c r="O710" s="66">
        <f>dagwerk13</f>
        <v>0</v>
      </c>
      <c r="P710" s="62" t="s">
        <v>40</v>
      </c>
      <c r="Q710" s="67">
        <f>uurtarief13</f>
        <v>0</v>
      </c>
      <c r="R710" s="64" t="e">
        <f>IF(ISBLANK(N710),0,M710/ROUND(N710,4))</f>
        <v>#DIV/0!</v>
      </c>
      <c r="S710" s="64" t="e">
        <f>IF(ISBLANK(N710),0,R710*ROUND(O710,2))</f>
        <v>#DIV/0!</v>
      </c>
      <c r="T710" s="67" t="e">
        <f>ROUND(Q710,2)*R710</f>
        <v>#DIV/0!</v>
      </c>
      <c r="U710" s="64" t="e">
        <f>R710*dagenperjaar1</f>
        <v>#DIV/0!</v>
      </c>
      <c r="V710" s="69" t="e">
        <f>U710*ROUND(Q710,2)</f>
        <v>#DIV/0!</v>
      </c>
    </row>
    <row r="711" spans="1:22" x14ac:dyDescent="0.3">
      <c r="A711" s="61" t="s">
        <v>1133</v>
      </c>
      <c r="B711" s="62" t="s">
        <v>317</v>
      </c>
      <c r="C711" s="62" t="s">
        <v>318</v>
      </c>
      <c r="D711" s="62" t="s">
        <v>1124</v>
      </c>
      <c r="E711" s="63" t="s">
        <v>1137</v>
      </c>
      <c r="F711" s="62" t="s">
        <v>348</v>
      </c>
      <c r="G711" s="62" t="s">
        <v>284</v>
      </c>
      <c r="H711" s="62" t="s">
        <v>11</v>
      </c>
      <c r="I711" s="62" t="s">
        <v>210</v>
      </c>
      <c r="J711" s="63" t="s">
        <v>285</v>
      </c>
      <c r="K711" s="62" t="s">
        <v>317</v>
      </c>
      <c r="L711" s="64">
        <v>3.67</v>
      </c>
      <c r="M711" s="64">
        <f>L711*VLOOKUP(H711,dagsoorttabel1,2,FALSE)</f>
        <v>3.67</v>
      </c>
      <c r="N711" s="65">
        <f>prodnorm48</f>
        <v>0</v>
      </c>
      <c r="O711" s="66">
        <f>dagwerk48</f>
        <v>0</v>
      </c>
      <c r="P711" s="62" t="s">
        <v>40</v>
      </c>
      <c r="Q711" s="67">
        <f>uurtarief48</f>
        <v>0</v>
      </c>
      <c r="R711" s="64" t="e">
        <f>IF(ISBLANK(N711),0,M711/ROUND(N711,4))</f>
        <v>#DIV/0!</v>
      </c>
      <c r="S711" s="64" t="e">
        <f>IF(ISBLANK(N711),0,R711*ROUND(O711,2))</f>
        <v>#DIV/0!</v>
      </c>
      <c r="T711" s="67" t="e">
        <f>ROUND(Q711,2)*R711</f>
        <v>#DIV/0!</v>
      </c>
      <c r="U711" s="64" t="e">
        <f>R711*dagenperjaar1</f>
        <v>#DIV/0!</v>
      </c>
      <c r="V711" s="69" t="e">
        <f>U711*ROUND(Q711,2)</f>
        <v>#DIV/0!</v>
      </c>
    </row>
    <row r="712" spans="1:22" x14ac:dyDescent="0.3">
      <c r="A712" s="61" t="s">
        <v>1133</v>
      </c>
      <c r="B712" s="62" t="s">
        <v>317</v>
      </c>
      <c r="C712" s="62" t="s">
        <v>318</v>
      </c>
      <c r="D712" s="62" t="s">
        <v>1125</v>
      </c>
      <c r="E712" s="63" t="s">
        <v>321</v>
      </c>
      <c r="F712" s="62" t="s">
        <v>365</v>
      </c>
      <c r="G712" s="62" t="s">
        <v>323</v>
      </c>
      <c r="H712" s="62"/>
      <c r="I712" s="62"/>
      <c r="J712" s="62"/>
      <c r="K712" s="62" t="s">
        <v>317</v>
      </c>
      <c r="L712" s="64">
        <v>5.51</v>
      </c>
      <c r="M712" s="64"/>
      <c r="N712" s="65"/>
      <c r="O712" s="66"/>
      <c r="P712" s="62"/>
      <c r="Q712" s="67"/>
      <c r="R712" s="64"/>
      <c r="S712" s="64"/>
      <c r="T712" s="67"/>
      <c r="U712" s="68"/>
      <c r="V712" s="69"/>
    </row>
    <row r="713" spans="1:22" x14ac:dyDescent="0.3">
      <c r="A713" s="61" t="s">
        <v>1133</v>
      </c>
      <c r="B713" s="62" t="s">
        <v>317</v>
      </c>
      <c r="C713" s="62" t="s">
        <v>318</v>
      </c>
      <c r="D713" s="62" t="s">
        <v>1126</v>
      </c>
      <c r="E713" s="63" t="s">
        <v>356</v>
      </c>
      <c r="F713" s="62" t="s">
        <v>348</v>
      </c>
      <c r="G713" s="62" t="s">
        <v>212</v>
      </c>
      <c r="H713" s="62" t="s">
        <v>17</v>
      </c>
      <c r="I713" s="62" t="s">
        <v>210</v>
      </c>
      <c r="J713" s="63" t="s">
        <v>213</v>
      </c>
      <c r="K713" s="62" t="s">
        <v>317</v>
      </c>
      <c r="L713" s="64">
        <v>16.34</v>
      </c>
      <c r="M713" s="64">
        <f t="shared" ref="M713:M723" si="255">L713*VLOOKUP(H713,dagsoorttabel1,2,FALSE)</f>
        <v>3.2680000000000002</v>
      </c>
      <c r="N713" s="65">
        <f>prodnorm11</f>
        <v>0</v>
      </c>
      <c r="O713" s="66">
        <f>dagwerk11</f>
        <v>0</v>
      </c>
      <c r="P713" s="62" t="s">
        <v>40</v>
      </c>
      <c r="Q713" s="67">
        <f>uurtarief11</f>
        <v>0</v>
      </c>
      <c r="R713" s="64" t="e">
        <f t="shared" ref="R713:R723" si="256">IF(ISBLANK(N713),0,M713/ROUND(N713,4))</f>
        <v>#DIV/0!</v>
      </c>
      <c r="S713" s="64" t="e">
        <f t="shared" ref="S713:S723" si="257">IF(ISBLANK(N713),0,R713*ROUND(O713,2))</f>
        <v>#DIV/0!</v>
      </c>
      <c r="T713" s="67" t="e">
        <f t="shared" ref="T713:T723" si="258">ROUND(Q713,2)*R713</f>
        <v>#DIV/0!</v>
      </c>
      <c r="U713" s="64" t="e">
        <f t="shared" ref="U713:U723" si="259">R713*dagenperjaar1</f>
        <v>#DIV/0!</v>
      </c>
      <c r="V713" s="69" t="e">
        <f t="shared" ref="V713:V723" si="260">U713*ROUND(Q713,2)</f>
        <v>#DIV/0!</v>
      </c>
    </row>
    <row r="714" spans="1:22" x14ac:dyDescent="0.3">
      <c r="A714" s="61" t="s">
        <v>1133</v>
      </c>
      <c r="B714" s="62" t="s">
        <v>317</v>
      </c>
      <c r="C714" s="62" t="s">
        <v>318</v>
      </c>
      <c r="D714" s="62" t="s">
        <v>1138</v>
      </c>
      <c r="E714" s="63" t="s">
        <v>356</v>
      </c>
      <c r="F714" s="62" t="s">
        <v>348</v>
      </c>
      <c r="G714" s="62" t="s">
        <v>212</v>
      </c>
      <c r="H714" s="62" t="s">
        <v>17</v>
      </c>
      <c r="I714" s="62" t="s">
        <v>210</v>
      </c>
      <c r="J714" s="63" t="s">
        <v>213</v>
      </c>
      <c r="K714" s="62" t="s">
        <v>317</v>
      </c>
      <c r="L714" s="64">
        <v>17.77</v>
      </c>
      <c r="M714" s="64">
        <f t="shared" si="255"/>
        <v>3.5540000000000003</v>
      </c>
      <c r="N714" s="65">
        <f>prodnorm11</f>
        <v>0</v>
      </c>
      <c r="O714" s="66">
        <f>dagwerk11</f>
        <v>0</v>
      </c>
      <c r="P714" s="62" t="s">
        <v>40</v>
      </c>
      <c r="Q714" s="67">
        <f>uurtarief11</f>
        <v>0</v>
      </c>
      <c r="R714" s="64" t="e">
        <f t="shared" si="256"/>
        <v>#DIV/0!</v>
      </c>
      <c r="S714" s="64" t="e">
        <f t="shared" si="257"/>
        <v>#DIV/0!</v>
      </c>
      <c r="T714" s="67" t="e">
        <f t="shared" si="258"/>
        <v>#DIV/0!</v>
      </c>
      <c r="U714" s="64" t="e">
        <f t="shared" si="259"/>
        <v>#DIV/0!</v>
      </c>
      <c r="V714" s="69" t="e">
        <f t="shared" si="260"/>
        <v>#DIV/0!</v>
      </c>
    </row>
    <row r="715" spans="1:22" x14ac:dyDescent="0.3">
      <c r="A715" s="61" t="s">
        <v>1133</v>
      </c>
      <c r="B715" s="62" t="s">
        <v>317</v>
      </c>
      <c r="C715" s="62" t="s">
        <v>318</v>
      </c>
      <c r="D715" s="62" t="s">
        <v>1139</v>
      </c>
      <c r="E715" s="63" t="s">
        <v>1140</v>
      </c>
      <c r="F715" s="62" t="s">
        <v>1118</v>
      </c>
      <c r="G715" s="62" t="s">
        <v>266</v>
      </c>
      <c r="H715" s="62" t="s">
        <v>11</v>
      </c>
      <c r="I715" s="62" t="s">
        <v>210</v>
      </c>
      <c r="J715" s="63" t="s">
        <v>267</v>
      </c>
      <c r="K715" s="62" t="s">
        <v>317</v>
      </c>
      <c r="L715" s="64">
        <v>5.6899999999999995</v>
      </c>
      <c r="M715" s="64">
        <f t="shared" si="255"/>
        <v>5.6899999999999995</v>
      </c>
      <c r="N715" s="65">
        <f>prodnorm39</f>
        <v>0</v>
      </c>
      <c r="O715" s="66">
        <f>dagwerk39</f>
        <v>0</v>
      </c>
      <c r="P715" s="62" t="s">
        <v>40</v>
      </c>
      <c r="Q715" s="67">
        <f>uurtarief39</f>
        <v>0</v>
      </c>
      <c r="R715" s="64" t="e">
        <f t="shared" si="256"/>
        <v>#DIV/0!</v>
      </c>
      <c r="S715" s="64" t="e">
        <f t="shared" si="257"/>
        <v>#DIV/0!</v>
      </c>
      <c r="T715" s="67" t="e">
        <f t="shared" si="258"/>
        <v>#DIV/0!</v>
      </c>
      <c r="U715" s="64" t="e">
        <f t="shared" si="259"/>
        <v>#DIV/0!</v>
      </c>
      <c r="V715" s="69" t="e">
        <f t="shared" si="260"/>
        <v>#DIV/0!</v>
      </c>
    </row>
    <row r="716" spans="1:22" x14ac:dyDescent="0.3">
      <c r="A716" s="61" t="s">
        <v>1133</v>
      </c>
      <c r="B716" s="62" t="s">
        <v>317</v>
      </c>
      <c r="C716" s="62" t="s">
        <v>318</v>
      </c>
      <c r="D716" s="62" t="s">
        <v>1141</v>
      </c>
      <c r="E716" s="63" t="s">
        <v>1142</v>
      </c>
      <c r="F716" s="62" t="s">
        <v>1118</v>
      </c>
      <c r="G716" s="62" t="s">
        <v>266</v>
      </c>
      <c r="H716" s="62" t="s">
        <v>11</v>
      </c>
      <c r="I716" s="62" t="s">
        <v>210</v>
      </c>
      <c r="J716" s="63" t="s">
        <v>267</v>
      </c>
      <c r="K716" s="62" t="s">
        <v>317</v>
      </c>
      <c r="L716" s="64">
        <v>3.56</v>
      </c>
      <c r="M716" s="64">
        <f t="shared" si="255"/>
        <v>3.56</v>
      </c>
      <c r="N716" s="65">
        <f>prodnorm39</f>
        <v>0</v>
      </c>
      <c r="O716" s="66">
        <f>dagwerk39</f>
        <v>0</v>
      </c>
      <c r="P716" s="62" t="s">
        <v>40</v>
      </c>
      <c r="Q716" s="67">
        <f>uurtarief39</f>
        <v>0</v>
      </c>
      <c r="R716" s="64" t="e">
        <f t="shared" si="256"/>
        <v>#DIV/0!</v>
      </c>
      <c r="S716" s="64" t="e">
        <f t="shared" si="257"/>
        <v>#DIV/0!</v>
      </c>
      <c r="T716" s="67" t="e">
        <f t="shared" si="258"/>
        <v>#DIV/0!</v>
      </c>
      <c r="U716" s="64" t="e">
        <f t="shared" si="259"/>
        <v>#DIV/0!</v>
      </c>
      <c r="V716" s="69" t="e">
        <f t="shared" si="260"/>
        <v>#DIV/0!</v>
      </c>
    </row>
    <row r="717" spans="1:22" ht="28.8" x14ac:dyDescent="0.3">
      <c r="A717" s="61" t="s">
        <v>1133</v>
      </c>
      <c r="B717" s="62" t="s">
        <v>317</v>
      </c>
      <c r="C717" s="62" t="s">
        <v>318</v>
      </c>
      <c r="D717" s="62" t="s">
        <v>1143</v>
      </c>
      <c r="E717" s="63" t="s">
        <v>1144</v>
      </c>
      <c r="F717" s="62" t="s">
        <v>1145</v>
      </c>
      <c r="G717" s="62" t="s">
        <v>218</v>
      </c>
      <c r="H717" s="62" t="s">
        <v>11</v>
      </c>
      <c r="I717" s="62" t="s">
        <v>210</v>
      </c>
      <c r="J717" s="63" t="s">
        <v>219</v>
      </c>
      <c r="K717" s="62" t="s">
        <v>317</v>
      </c>
      <c r="L717" s="64">
        <v>214.37</v>
      </c>
      <c r="M717" s="64">
        <f t="shared" si="255"/>
        <v>214.37</v>
      </c>
      <c r="N717" s="65">
        <f>prodnorm14</f>
        <v>0</v>
      </c>
      <c r="O717" s="66">
        <f>dagwerk14</f>
        <v>0</v>
      </c>
      <c r="P717" s="62" t="s">
        <v>40</v>
      </c>
      <c r="Q717" s="67">
        <f>uurtarief14</f>
        <v>0</v>
      </c>
      <c r="R717" s="64" t="e">
        <f t="shared" si="256"/>
        <v>#DIV/0!</v>
      </c>
      <c r="S717" s="64" t="e">
        <f t="shared" si="257"/>
        <v>#DIV/0!</v>
      </c>
      <c r="T717" s="67" t="e">
        <f t="shared" si="258"/>
        <v>#DIV/0!</v>
      </c>
      <c r="U717" s="64" t="e">
        <f t="shared" si="259"/>
        <v>#DIV/0!</v>
      </c>
      <c r="V717" s="69" t="e">
        <f t="shared" si="260"/>
        <v>#DIV/0!</v>
      </c>
    </row>
    <row r="718" spans="1:22" x14ac:dyDescent="0.3">
      <c r="A718" s="61" t="s">
        <v>1133</v>
      </c>
      <c r="B718" s="62" t="s">
        <v>317</v>
      </c>
      <c r="C718" s="62" t="s">
        <v>318</v>
      </c>
      <c r="D718" s="62" t="s">
        <v>1146</v>
      </c>
      <c r="E718" s="63" t="s">
        <v>394</v>
      </c>
      <c r="F718" s="62" t="s">
        <v>365</v>
      </c>
      <c r="G718" s="62" t="s">
        <v>272</v>
      </c>
      <c r="H718" s="62" t="s">
        <v>11</v>
      </c>
      <c r="I718" s="62" t="s">
        <v>210</v>
      </c>
      <c r="J718" s="63" t="s">
        <v>273</v>
      </c>
      <c r="K718" s="62" t="s">
        <v>317</v>
      </c>
      <c r="L718" s="64">
        <v>52.71</v>
      </c>
      <c r="M718" s="64">
        <f t="shared" si="255"/>
        <v>52.71</v>
      </c>
      <c r="N718" s="65">
        <f>prodnorm42</f>
        <v>0</v>
      </c>
      <c r="O718" s="66">
        <f>dagwerk42</f>
        <v>0</v>
      </c>
      <c r="P718" s="62" t="s">
        <v>40</v>
      </c>
      <c r="Q718" s="67">
        <f>uurtarief42</f>
        <v>0</v>
      </c>
      <c r="R718" s="64" t="e">
        <f t="shared" si="256"/>
        <v>#DIV/0!</v>
      </c>
      <c r="S718" s="64" t="e">
        <f t="shared" si="257"/>
        <v>#DIV/0!</v>
      </c>
      <c r="T718" s="67" t="e">
        <f t="shared" si="258"/>
        <v>#DIV/0!</v>
      </c>
      <c r="U718" s="64" t="e">
        <f t="shared" si="259"/>
        <v>#DIV/0!</v>
      </c>
      <c r="V718" s="69" t="e">
        <f t="shared" si="260"/>
        <v>#DIV/0!</v>
      </c>
    </row>
    <row r="719" spans="1:22" x14ac:dyDescent="0.3">
      <c r="A719" s="61" t="s">
        <v>1133</v>
      </c>
      <c r="B719" s="62" t="s">
        <v>317</v>
      </c>
      <c r="C719" s="62" t="s">
        <v>318</v>
      </c>
      <c r="D719" s="62" t="s">
        <v>1147</v>
      </c>
      <c r="E719" s="63" t="s">
        <v>356</v>
      </c>
      <c r="F719" s="62" t="s">
        <v>348</v>
      </c>
      <c r="G719" s="62" t="s">
        <v>212</v>
      </c>
      <c r="H719" s="62" t="s">
        <v>17</v>
      </c>
      <c r="I719" s="62" t="s">
        <v>210</v>
      </c>
      <c r="J719" s="63" t="s">
        <v>213</v>
      </c>
      <c r="K719" s="62" t="s">
        <v>317</v>
      </c>
      <c r="L719" s="64">
        <v>13.850000000000001</v>
      </c>
      <c r="M719" s="64">
        <f t="shared" si="255"/>
        <v>2.7700000000000005</v>
      </c>
      <c r="N719" s="65">
        <f>prodnorm11</f>
        <v>0</v>
      </c>
      <c r="O719" s="66">
        <f>dagwerk11</f>
        <v>0</v>
      </c>
      <c r="P719" s="62" t="s">
        <v>40</v>
      </c>
      <c r="Q719" s="67">
        <f>uurtarief11</f>
        <v>0</v>
      </c>
      <c r="R719" s="64" t="e">
        <f t="shared" si="256"/>
        <v>#DIV/0!</v>
      </c>
      <c r="S719" s="64" t="e">
        <f t="shared" si="257"/>
        <v>#DIV/0!</v>
      </c>
      <c r="T719" s="67" t="e">
        <f t="shared" si="258"/>
        <v>#DIV/0!</v>
      </c>
      <c r="U719" s="64" t="e">
        <f t="shared" si="259"/>
        <v>#DIV/0!</v>
      </c>
      <c r="V719" s="69" t="e">
        <f t="shared" si="260"/>
        <v>#DIV/0!</v>
      </c>
    </row>
    <row r="720" spans="1:22" x14ac:dyDescent="0.3">
      <c r="A720" s="61" t="s">
        <v>1133</v>
      </c>
      <c r="B720" s="62" t="s">
        <v>317</v>
      </c>
      <c r="C720" s="62" t="s">
        <v>318</v>
      </c>
      <c r="D720" s="62" t="s">
        <v>1148</v>
      </c>
      <c r="E720" s="63" t="s">
        <v>356</v>
      </c>
      <c r="F720" s="62" t="s">
        <v>348</v>
      </c>
      <c r="G720" s="62" t="s">
        <v>212</v>
      </c>
      <c r="H720" s="62" t="s">
        <v>17</v>
      </c>
      <c r="I720" s="62" t="s">
        <v>210</v>
      </c>
      <c r="J720" s="63" t="s">
        <v>213</v>
      </c>
      <c r="K720" s="62" t="s">
        <v>317</v>
      </c>
      <c r="L720" s="64">
        <v>28.07</v>
      </c>
      <c r="M720" s="64">
        <f t="shared" si="255"/>
        <v>5.6140000000000008</v>
      </c>
      <c r="N720" s="65">
        <f>prodnorm11</f>
        <v>0</v>
      </c>
      <c r="O720" s="66">
        <f>dagwerk11</f>
        <v>0</v>
      </c>
      <c r="P720" s="62" t="s">
        <v>40</v>
      </c>
      <c r="Q720" s="67">
        <f>uurtarief11</f>
        <v>0</v>
      </c>
      <c r="R720" s="64" t="e">
        <f t="shared" si="256"/>
        <v>#DIV/0!</v>
      </c>
      <c r="S720" s="64" t="e">
        <f t="shared" si="257"/>
        <v>#DIV/0!</v>
      </c>
      <c r="T720" s="67" t="e">
        <f t="shared" si="258"/>
        <v>#DIV/0!</v>
      </c>
      <c r="U720" s="64" t="e">
        <f t="shared" si="259"/>
        <v>#DIV/0!</v>
      </c>
      <c r="V720" s="69" t="e">
        <f t="shared" si="260"/>
        <v>#DIV/0!</v>
      </c>
    </row>
    <row r="721" spans="1:22" x14ac:dyDescent="0.3">
      <c r="A721" s="61" t="s">
        <v>1133</v>
      </c>
      <c r="B721" s="62" t="s">
        <v>317</v>
      </c>
      <c r="C721" s="62" t="s">
        <v>318</v>
      </c>
      <c r="D721" s="62" t="s">
        <v>1149</v>
      </c>
      <c r="E721" s="63" t="s">
        <v>356</v>
      </c>
      <c r="F721" s="62" t="s">
        <v>348</v>
      </c>
      <c r="G721" s="62" t="s">
        <v>212</v>
      </c>
      <c r="H721" s="62" t="s">
        <v>17</v>
      </c>
      <c r="I721" s="62" t="s">
        <v>210</v>
      </c>
      <c r="J721" s="63" t="s">
        <v>213</v>
      </c>
      <c r="K721" s="62" t="s">
        <v>317</v>
      </c>
      <c r="L721" s="64">
        <v>16.52</v>
      </c>
      <c r="M721" s="64">
        <f t="shared" si="255"/>
        <v>3.3040000000000003</v>
      </c>
      <c r="N721" s="65">
        <f>prodnorm11</f>
        <v>0</v>
      </c>
      <c r="O721" s="66">
        <f>dagwerk11</f>
        <v>0</v>
      </c>
      <c r="P721" s="62" t="s">
        <v>40</v>
      </c>
      <c r="Q721" s="67">
        <f>uurtarief11</f>
        <v>0</v>
      </c>
      <c r="R721" s="64" t="e">
        <f t="shared" si="256"/>
        <v>#DIV/0!</v>
      </c>
      <c r="S721" s="64" t="e">
        <f t="shared" si="257"/>
        <v>#DIV/0!</v>
      </c>
      <c r="T721" s="67" t="e">
        <f t="shared" si="258"/>
        <v>#DIV/0!</v>
      </c>
      <c r="U721" s="64" t="e">
        <f t="shared" si="259"/>
        <v>#DIV/0!</v>
      </c>
      <c r="V721" s="69" t="e">
        <f t="shared" si="260"/>
        <v>#DIV/0!</v>
      </c>
    </row>
    <row r="722" spans="1:22" x14ac:dyDescent="0.3">
      <c r="A722" s="61" t="s">
        <v>1133</v>
      </c>
      <c r="B722" s="62" t="s">
        <v>317</v>
      </c>
      <c r="C722" s="62" t="s">
        <v>318</v>
      </c>
      <c r="D722" s="62" t="s">
        <v>1150</v>
      </c>
      <c r="E722" s="63" t="s">
        <v>356</v>
      </c>
      <c r="F722" s="62" t="s">
        <v>348</v>
      </c>
      <c r="G722" s="62" t="s">
        <v>212</v>
      </c>
      <c r="H722" s="62" t="s">
        <v>17</v>
      </c>
      <c r="I722" s="62" t="s">
        <v>210</v>
      </c>
      <c r="J722" s="63" t="s">
        <v>213</v>
      </c>
      <c r="K722" s="62" t="s">
        <v>317</v>
      </c>
      <c r="L722" s="64">
        <v>22.71</v>
      </c>
      <c r="M722" s="64">
        <f t="shared" si="255"/>
        <v>4.5420000000000007</v>
      </c>
      <c r="N722" s="65">
        <f>prodnorm11</f>
        <v>0</v>
      </c>
      <c r="O722" s="66">
        <f>dagwerk11</f>
        <v>0</v>
      </c>
      <c r="P722" s="62" t="s">
        <v>40</v>
      </c>
      <c r="Q722" s="67">
        <f>uurtarief11</f>
        <v>0</v>
      </c>
      <c r="R722" s="64" t="e">
        <f t="shared" si="256"/>
        <v>#DIV/0!</v>
      </c>
      <c r="S722" s="64" t="e">
        <f t="shared" si="257"/>
        <v>#DIV/0!</v>
      </c>
      <c r="T722" s="67" t="e">
        <f t="shared" si="258"/>
        <v>#DIV/0!</v>
      </c>
      <c r="U722" s="64" t="e">
        <f t="shared" si="259"/>
        <v>#DIV/0!</v>
      </c>
      <c r="V722" s="69" t="e">
        <f t="shared" si="260"/>
        <v>#DIV/0!</v>
      </c>
    </row>
    <row r="723" spans="1:22" x14ac:dyDescent="0.3">
      <c r="A723" s="61" t="s">
        <v>1133</v>
      </c>
      <c r="B723" s="62" t="s">
        <v>317</v>
      </c>
      <c r="C723" s="62" t="s">
        <v>318</v>
      </c>
      <c r="D723" s="62" t="s">
        <v>1151</v>
      </c>
      <c r="E723" s="63" t="s">
        <v>1152</v>
      </c>
      <c r="F723" s="62" t="s">
        <v>365</v>
      </c>
      <c r="G723" s="62" t="s">
        <v>238</v>
      </c>
      <c r="H723" s="62" t="s">
        <v>11</v>
      </c>
      <c r="I723" s="62" t="s">
        <v>210</v>
      </c>
      <c r="J723" s="63" t="s">
        <v>239</v>
      </c>
      <c r="K723" s="62" t="s">
        <v>317</v>
      </c>
      <c r="L723" s="64">
        <v>65.61</v>
      </c>
      <c r="M723" s="64">
        <f t="shared" si="255"/>
        <v>65.61</v>
      </c>
      <c r="N723" s="65">
        <f>prodnorm24</f>
        <v>0</v>
      </c>
      <c r="O723" s="66">
        <f>dagwerk24</f>
        <v>0</v>
      </c>
      <c r="P723" s="62" t="s">
        <v>40</v>
      </c>
      <c r="Q723" s="67">
        <f>uurtarief24</f>
        <v>0</v>
      </c>
      <c r="R723" s="64" t="e">
        <f t="shared" si="256"/>
        <v>#DIV/0!</v>
      </c>
      <c r="S723" s="64" t="e">
        <f t="shared" si="257"/>
        <v>#DIV/0!</v>
      </c>
      <c r="T723" s="67" t="e">
        <f t="shared" si="258"/>
        <v>#DIV/0!</v>
      </c>
      <c r="U723" s="64" t="e">
        <f t="shared" si="259"/>
        <v>#DIV/0!</v>
      </c>
      <c r="V723" s="69" t="e">
        <f t="shared" si="260"/>
        <v>#DIV/0!</v>
      </c>
    </row>
    <row r="724" spans="1:22" x14ac:dyDescent="0.3">
      <c r="A724" s="61" t="s">
        <v>1133</v>
      </c>
      <c r="B724" s="62" t="s">
        <v>317</v>
      </c>
      <c r="C724" s="62" t="s">
        <v>318</v>
      </c>
      <c r="D724" s="62" t="s">
        <v>1153</v>
      </c>
      <c r="E724" s="63" t="s">
        <v>575</v>
      </c>
      <c r="F724" s="62" t="s">
        <v>365</v>
      </c>
      <c r="G724" s="62" t="s">
        <v>323</v>
      </c>
      <c r="H724" s="62"/>
      <c r="I724" s="62"/>
      <c r="J724" s="62"/>
      <c r="K724" s="62" t="s">
        <v>317</v>
      </c>
      <c r="L724" s="64">
        <v>21.5</v>
      </c>
      <c r="M724" s="64"/>
      <c r="N724" s="65"/>
      <c r="O724" s="66"/>
      <c r="P724" s="62"/>
      <c r="Q724" s="67"/>
      <c r="R724" s="64"/>
      <c r="S724" s="64"/>
      <c r="T724" s="67"/>
      <c r="U724" s="68"/>
      <c r="V724" s="69"/>
    </row>
    <row r="725" spans="1:22" x14ac:dyDescent="0.3">
      <c r="A725" s="61" t="s">
        <v>1133</v>
      </c>
      <c r="B725" s="62" t="s">
        <v>317</v>
      </c>
      <c r="C725" s="62" t="s">
        <v>318</v>
      </c>
      <c r="D725" s="62" t="s">
        <v>1154</v>
      </c>
      <c r="E725" s="63" t="s">
        <v>381</v>
      </c>
      <c r="F725" s="62" t="s">
        <v>365</v>
      </c>
      <c r="G725" s="62" t="s">
        <v>280</v>
      </c>
      <c r="H725" s="62" t="s">
        <v>11</v>
      </c>
      <c r="I725" s="62" t="s">
        <v>210</v>
      </c>
      <c r="J725" s="63" t="s">
        <v>281</v>
      </c>
      <c r="K725" s="62" t="s">
        <v>317</v>
      </c>
      <c r="L725" s="64">
        <v>2.98</v>
      </c>
      <c r="M725" s="64">
        <f>L725*VLOOKUP(H725,dagsoorttabel1,2,FALSE)</f>
        <v>2.98</v>
      </c>
      <c r="N725" s="65">
        <f>prodnorm46</f>
        <v>0</v>
      </c>
      <c r="O725" s="66">
        <f>dagwerk46</f>
        <v>0</v>
      </c>
      <c r="P725" s="62" t="s">
        <v>40</v>
      </c>
      <c r="Q725" s="67">
        <f>uurtarief46</f>
        <v>0</v>
      </c>
      <c r="R725" s="64" t="e">
        <f>IF(ISBLANK(N725),0,M725/ROUND(N725,4))</f>
        <v>#DIV/0!</v>
      </c>
      <c r="S725" s="64" t="e">
        <f>IF(ISBLANK(N725),0,R725*ROUND(O725,2))</f>
        <v>#DIV/0!</v>
      </c>
      <c r="T725" s="67" t="e">
        <f>ROUND(Q725,2)*R725</f>
        <v>#DIV/0!</v>
      </c>
      <c r="U725" s="64" t="e">
        <f>R725*dagenperjaar1</f>
        <v>#DIV/0!</v>
      </c>
      <c r="V725" s="69" t="e">
        <f>U725*ROUND(Q725,2)</f>
        <v>#DIV/0!</v>
      </c>
    </row>
    <row r="726" spans="1:22" ht="28.8" x14ac:dyDescent="0.3">
      <c r="A726" s="61" t="s">
        <v>1133</v>
      </c>
      <c r="B726" s="62" t="s">
        <v>317</v>
      </c>
      <c r="C726" s="62" t="s">
        <v>318</v>
      </c>
      <c r="D726" s="62" t="s">
        <v>1155</v>
      </c>
      <c r="E726" s="63" t="s">
        <v>1156</v>
      </c>
      <c r="F726" s="62" t="s">
        <v>365</v>
      </c>
      <c r="G726" s="62" t="s">
        <v>246</v>
      </c>
      <c r="H726" s="62" t="s">
        <v>20</v>
      </c>
      <c r="I726" s="62" t="s">
        <v>210</v>
      </c>
      <c r="J726" s="63" t="s">
        <v>247</v>
      </c>
      <c r="K726" s="62" t="s">
        <v>317</v>
      </c>
      <c r="L726" s="64">
        <v>2.58</v>
      </c>
      <c r="M726" s="64">
        <f>L726*VLOOKUP(H726,dagsoorttabel1,2,FALSE)</f>
        <v>0.12285714285714286</v>
      </c>
      <c r="N726" s="65">
        <f>prodnorm28</f>
        <v>0</v>
      </c>
      <c r="O726" s="66">
        <f>dagwerk28</f>
        <v>0</v>
      </c>
      <c r="P726" s="62" t="s">
        <v>40</v>
      </c>
      <c r="Q726" s="67">
        <f>uurtarief28</f>
        <v>0</v>
      </c>
      <c r="R726" s="64" t="e">
        <f>IF(ISBLANK(N726),0,M726/ROUND(N726,4))</f>
        <v>#DIV/0!</v>
      </c>
      <c r="S726" s="64" t="e">
        <f>IF(ISBLANK(N726),0,R726*ROUND(O726,2))</f>
        <v>#DIV/0!</v>
      </c>
      <c r="T726" s="67" t="e">
        <f>ROUND(Q726,2)*R726</f>
        <v>#DIV/0!</v>
      </c>
      <c r="U726" s="64" t="e">
        <f>R726*dagenperjaar1</f>
        <v>#DIV/0!</v>
      </c>
      <c r="V726" s="69" t="e">
        <f>U726*ROUND(Q726,2)</f>
        <v>#DIV/0!</v>
      </c>
    </row>
    <row r="727" spans="1:22" x14ac:dyDescent="0.3">
      <c r="A727" s="61" t="s">
        <v>1133</v>
      </c>
      <c r="B727" s="62" t="s">
        <v>317</v>
      </c>
      <c r="C727" s="62" t="s">
        <v>318</v>
      </c>
      <c r="D727" s="62" t="s">
        <v>1157</v>
      </c>
      <c r="E727" s="63" t="s">
        <v>1158</v>
      </c>
      <c r="F727" s="62" t="s">
        <v>1118</v>
      </c>
      <c r="G727" s="62" t="s">
        <v>323</v>
      </c>
      <c r="H727" s="62"/>
      <c r="I727" s="62"/>
      <c r="J727" s="62"/>
      <c r="K727" s="62" t="s">
        <v>317</v>
      </c>
      <c r="L727" s="64">
        <v>14.49</v>
      </c>
      <c r="M727" s="64"/>
      <c r="N727" s="65"/>
      <c r="O727" s="66"/>
      <c r="P727" s="62"/>
      <c r="Q727" s="67"/>
      <c r="R727" s="64"/>
      <c r="S727" s="64"/>
      <c r="T727" s="67"/>
      <c r="U727" s="68"/>
      <c r="V727" s="69"/>
    </row>
    <row r="728" spans="1:22" x14ac:dyDescent="0.3">
      <c r="A728" s="61" t="s">
        <v>1133</v>
      </c>
      <c r="B728" s="62" t="s">
        <v>317</v>
      </c>
      <c r="C728" s="62" t="s">
        <v>318</v>
      </c>
      <c r="D728" s="62" t="s">
        <v>1159</v>
      </c>
      <c r="E728" s="63" t="s">
        <v>619</v>
      </c>
      <c r="F728" s="62" t="s">
        <v>365</v>
      </c>
      <c r="G728" s="62" t="s">
        <v>238</v>
      </c>
      <c r="H728" s="62" t="s">
        <v>11</v>
      </c>
      <c r="I728" s="62" t="s">
        <v>210</v>
      </c>
      <c r="J728" s="63" t="s">
        <v>239</v>
      </c>
      <c r="K728" s="62" t="s">
        <v>317</v>
      </c>
      <c r="L728" s="64">
        <v>53.51</v>
      </c>
      <c r="M728" s="64">
        <f>L728*VLOOKUP(H728,dagsoorttabel1,2,FALSE)</f>
        <v>53.51</v>
      </c>
      <c r="N728" s="65">
        <f>prodnorm24</f>
        <v>0</v>
      </c>
      <c r="O728" s="66">
        <f>dagwerk24</f>
        <v>0</v>
      </c>
      <c r="P728" s="62" t="s">
        <v>40</v>
      </c>
      <c r="Q728" s="67">
        <f>uurtarief24</f>
        <v>0</v>
      </c>
      <c r="R728" s="64" t="e">
        <f>IF(ISBLANK(N728),0,M728/ROUND(N728,4))</f>
        <v>#DIV/0!</v>
      </c>
      <c r="S728" s="64" t="e">
        <f>IF(ISBLANK(N728),0,R728*ROUND(O728,2))</f>
        <v>#DIV/0!</v>
      </c>
      <c r="T728" s="67" t="e">
        <f>ROUND(Q728,2)*R728</f>
        <v>#DIV/0!</v>
      </c>
      <c r="U728" s="64" t="e">
        <f>R728*dagenperjaar1</f>
        <v>#DIV/0!</v>
      </c>
      <c r="V728" s="69" t="e">
        <f>U728*ROUND(Q728,2)</f>
        <v>#DIV/0!</v>
      </c>
    </row>
    <row r="729" spans="1:22" x14ac:dyDescent="0.3">
      <c r="A729" s="61" t="s">
        <v>1133</v>
      </c>
      <c r="B729" s="62" t="s">
        <v>317</v>
      </c>
      <c r="C729" s="62" t="s">
        <v>318</v>
      </c>
      <c r="D729" s="62" t="s">
        <v>1160</v>
      </c>
      <c r="E729" s="63" t="s">
        <v>619</v>
      </c>
      <c r="F729" s="62" t="s">
        <v>365</v>
      </c>
      <c r="G729" s="62" t="s">
        <v>238</v>
      </c>
      <c r="H729" s="62" t="s">
        <v>11</v>
      </c>
      <c r="I729" s="62" t="s">
        <v>210</v>
      </c>
      <c r="J729" s="63" t="s">
        <v>239</v>
      </c>
      <c r="K729" s="62" t="s">
        <v>317</v>
      </c>
      <c r="L729" s="64">
        <v>74.990000000000009</v>
      </c>
      <c r="M729" s="64">
        <f>L729*VLOOKUP(H729,dagsoorttabel1,2,FALSE)</f>
        <v>74.990000000000009</v>
      </c>
      <c r="N729" s="65">
        <f>prodnorm24</f>
        <v>0</v>
      </c>
      <c r="O729" s="66">
        <f>dagwerk24</f>
        <v>0</v>
      </c>
      <c r="P729" s="62" t="s">
        <v>40</v>
      </c>
      <c r="Q729" s="67">
        <f>uurtarief24</f>
        <v>0</v>
      </c>
      <c r="R729" s="64" t="e">
        <f>IF(ISBLANK(N729),0,M729/ROUND(N729,4))</f>
        <v>#DIV/0!</v>
      </c>
      <c r="S729" s="64" t="e">
        <f>IF(ISBLANK(N729),0,R729*ROUND(O729,2))</f>
        <v>#DIV/0!</v>
      </c>
      <c r="T729" s="67" t="e">
        <f>ROUND(Q729,2)*R729</f>
        <v>#DIV/0!</v>
      </c>
      <c r="U729" s="64" t="e">
        <f>R729*dagenperjaar1</f>
        <v>#DIV/0!</v>
      </c>
      <c r="V729" s="69" t="e">
        <f>U729*ROUND(Q729,2)</f>
        <v>#DIV/0!</v>
      </c>
    </row>
    <row r="730" spans="1:22" x14ac:dyDescent="0.3">
      <c r="A730" s="61" t="s">
        <v>1133</v>
      </c>
      <c r="B730" s="62" t="s">
        <v>317</v>
      </c>
      <c r="C730" s="62" t="s">
        <v>318</v>
      </c>
      <c r="D730" s="62" t="s">
        <v>1161</v>
      </c>
      <c r="E730" s="63" t="s">
        <v>1162</v>
      </c>
      <c r="F730" s="62" t="s">
        <v>365</v>
      </c>
      <c r="G730" s="62" t="s">
        <v>220</v>
      </c>
      <c r="H730" s="62" t="s">
        <v>11</v>
      </c>
      <c r="I730" s="62" t="s">
        <v>210</v>
      </c>
      <c r="J730" s="63" t="s">
        <v>221</v>
      </c>
      <c r="K730" s="62" t="s">
        <v>317</v>
      </c>
      <c r="L730" s="64">
        <v>174.23999999999998</v>
      </c>
      <c r="M730" s="64">
        <f>L730*VLOOKUP(H730,dagsoorttabel1,2,FALSE)</f>
        <v>174.23999999999998</v>
      </c>
      <c r="N730" s="65">
        <f>prodnorm15</f>
        <v>0</v>
      </c>
      <c r="O730" s="66">
        <f>dagwerk15</f>
        <v>0</v>
      </c>
      <c r="P730" s="62" t="s">
        <v>40</v>
      </c>
      <c r="Q730" s="67">
        <f>uurtarief15</f>
        <v>0</v>
      </c>
      <c r="R730" s="64" t="e">
        <f>IF(ISBLANK(N730),0,M730/ROUND(N730,4))</f>
        <v>#DIV/0!</v>
      </c>
      <c r="S730" s="64" t="e">
        <f>IF(ISBLANK(N730),0,R730*ROUND(O730,2))</f>
        <v>#DIV/0!</v>
      </c>
      <c r="T730" s="67" t="e">
        <f>ROUND(Q730,2)*R730</f>
        <v>#DIV/0!</v>
      </c>
      <c r="U730" s="64" t="e">
        <f>R730*dagenperjaar1</f>
        <v>#DIV/0!</v>
      </c>
      <c r="V730" s="69" t="e">
        <f>U730*ROUND(Q730,2)</f>
        <v>#DIV/0!</v>
      </c>
    </row>
    <row r="731" spans="1:22" x14ac:dyDescent="0.3">
      <c r="A731" s="61" t="s">
        <v>1133</v>
      </c>
      <c r="B731" s="62" t="s">
        <v>317</v>
      </c>
      <c r="C731" s="62" t="s">
        <v>318</v>
      </c>
      <c r="D731" s="62" t="s">
        <v>1163</v>
      </c>
      <c r="E731" s="63" t="s">
        <v>394</v>
      </c>
      <c r="F731" s="62" t="s">
        <v>365</v>
      </c>
      <c r="G731" s="62" t="s">
        <v>272</v>
      </c>
      <c r="H731" s="62" t="s">
        <v>11</v>
      </c>
      <c r="I731" s="62" t="s">
        <v>210</v>
      </c>
      <c r="J731" s="63" t="s">
        <v>273</v>
      </c>
      <c r="K731" s="62" t="s">
        <v>317</v>
      </c>
      <c r="L731" s="64">
        <v>74.63</v>
      </c>
      <c r="M731" s="64">
        <f>L731*VLOOKUP(H731,dagsoorttabel1,2,FALSE)</f>
        <v>74.63</v>
      </c>
      <c r="N731" s="65">
        <f>prodnorm42</f>
        <v>0</v>
      </c>
      <c r="O731" s="66">
        <f>dagwerk42</f>
        <v>0</v>
      </c>
      <c r="P731" s="62" t="s">
        <v>40</v>
      </c>
      <c r="Q731" s="67">
        <f>uurtarief42</f>
        <v>0</v>
      </c>
      <c r="R731" s="64" t="e">
        <f>IF(ISBLANK(N731),0,M731/ROUND(N731,4))</f>
        <v>#DIV/0!</v>
      </c>
      <c r="S731" s="64" t="e">
        <f>IF(ISBLANK(N731),0,R731*ROUND(O731,2))</f>
        <v>#DIV/0!</v>
      </c>
      <c r="T731" s="67" t="e">
        <f>ROUND(Q731,2)*R731</f>
        <v>#DIV/0!</v>
      </c>
      <c r="U731" s="64" t="e">
        <f>R731*dagenperjaar1</f>
        <v>#DIV/0!</v>
      </c>
      <c r="V731" s="69" t="e">
        <f>U731*ROUND(Q731,2)</f>
        <v>#DIV/0!</v>
      </c>
    </row>
    <row r="732" spans="1:22" x14ac:dyDescent="0.3">
      <c r="A732" s="61" t="s">
        <v>1133</v>
      </c>
      <c r="B732" s="62" t="s">
        <v>317</v>
      </c>
      <c r="C732" s="62" t="s">
        <v>318</v>
      </c>
      <c r="D732" s="62" t="s">
        <v>1164</v>
      </c>
      <c r="E732" s="63" t="s">
        <v>321</v>
      </c>
      <c r="F732" s="62" t="s">
        <v>365</v>
      </c>
      <c r="G732" s="62" t="s">
        <v>323</v>
      </c>
      <c r="H732" s="62"/>
      <c r="I732" s="62"/>
      <c r="J732" s="62"/>
      <c r="K732" s="62" t="s">
        <v>317</v>
      </c>
      <c r="L732" s="64">
        <v>8.15</v>
      </c>
      <c r="M732" s="64"/>
      <c r="N732" s="65"/>
      <c r="O732" s="66"/>
      <c r="P732" s="62"/>
      <c r="Q732" s="67"/>
      <c r="R732" s="64"/>
      <c r="S732" s="64"/>
      <c r="T732" s="67"/>
      <c r="U732" s="68"/>
      <c r="V732" s="69"/>
    </row>
    <row r="733" spans="1:22" x14ac:dyDescent="0.3">
      <c r="A733" s="61" t="s">
        <v>1133</v>
      </c>
      <c r="B733" s="62" t="s">
        <v>317</v>
      </c>
      <c r="C733" s="62" t="s">
        <v>318</v>
      </c>
      <c r="D733" s="62" t="s">
        <v>1165</v>
      </c>
      <c r="E733" s="63" t="s">
        <v>1166</v>
      </c>
      <c r="F733" s="62" t="s">
        <v>365</v>
      </c>
      <c r="G733" s="62" t="s">
        <v>209</v>
      </c>
      <c r="H733" s="62" t="s">
        <v>17</v>
      </c>
      <c r="I733" s="62" t="s">
        <v>210</v>
      </c>
      <c r="J733" s="63" t="s">
        <v>211</v>
      </c>
      <c r="K733" s="62" t="s">
        <v>317</v>
      </c>
      <c r="L733" s="64">
        <v>10.89</v>
      </c>
      <c r="M733" s="64">
        <f>L733*VLOOKUP(H733,dagsoorttabel1,2,FALSE)</f>
        <v>2.1780000000000004</v>
      </c>
      <c r="N733" s="65">
        <f>prodnorm10</f>
        <v>0</v>
      </c>
      <c r="O733" s="66">
        <f>dagwerk10</f>
        <v>0</v>
      </c>
      <c r="P733" s="62" t="s">
        <v>40</v>
      </c>
      <c r="Q733" s="67">
        <f>uurtarief10</f>
        <v>0</v>
      </c>
      <c r="R733" s="64" t="e">
        <f>IF(ISBLANK(N733),0,M733/ROUND(N733,4))</f>
        <v>#DIV/0!</v>
      </c>
      <c r="S733" s="64" t="e">
        <f>IF(ISBLANK(N733),0,R733*ROUND(O733,2))</f>
        <v>#DIV/0!</v>
      </c>
      <c r="T733" s="67" t="e">
        <f>ROUND(Q733,2)*R733</f>
        <v>#DIV/0!</v>
      </c>
      <c r="U733" s="64" t="e">
        <f>R733*dagenperjaar1</f>
        <v>#DIV/0!</v>
      </c>
      <c r="V733" s="69" t="e">
        <f>U733*ROUND(Q733,2)</f>
        <v>#DIV/0!</v>
      </c>
    </row>
    <row r="734" spans="1:22" x14ac:dyDescent="0.3">
      <c r="A734" s="61" t="s">
        <v>1133</v>
      </c>
      <c r="B734" s="62" t="s">
        <v>317</v>
      </c>
      <c r="C734" s="62" t="s">
        <v>318</v>
      </c>
      <c r="D734" s="62" t="s">
        <v>1167</v>
      </c>
      <c r="E734" s="63" t="s">
        <v>624</v>
      </c>
      <c r="F734" s="62" t="s">
        <v>348</v>
      </c>
      <c r="G734" s="62" t="s">
        <v>278</v>
      </c>
      <c r="H734" s="62" t="s">
        <v>11</v>
      </c>
      <c r="I734" s="62" t="s">
        <v>210</v>
      </c>
      <c r="J734" s="63" t="s">
        <v>279</v>
      </c>
      <c r="K734" s="62" t="s">
        <v>317</v>
      </c>
      <c r="L734" s="64">
        <v>17.34</v>
      </c>
      <c r="M734" s="64">
        <f>L734*VLOOKUP(H734,dagsoorttabel1,2,FALSE)</f>
        <v>17.34</v>
      </c>
      <c r="N734" s="65">
        <f>prodnorm45</f>
        <v>0</v>
      </c>
      <c r="O734" s="66">
        <f>dagwerk45</f>
        <v>0</v>
      </c>
      <c r="P734" s="62" t="s">
        <v>40</v>
      </c>
      <c r="Q734" s="67">
        <f>uurtarief45</f>
        <v>0</v>
      </c>
      <c r="R734" s="64" t="e">
        <f>IF(ISBLANK(N734),0,M734/ROUND(N734,4))</f>
        <v>#DIV/0!</v>
      </c>
      <c r="S734" s="64" t="e">
        <f>IF(ISBLANK(N734),0,R734*ROUND(O734,2))</f>
        <v>#DIV/0!</v>
      </c>
      <c r="T734" s="67" t="e">
        <f>ROUND(Q734,2)*R734</f>
        <v>#DIV/0!</v>
      </c>
      <c r="U734" s="64" t="e">
        <f>R734*dagenperjaar1</f>
        <v>#DIV/0!</v>
      </c>
      <c r="V734" s="69" t="e">
        <f>U734*ROUND(Q734,2)</f>
        <v>#DIV/0!</v>
      </c>
    </row>
    <row r="735" spans="1:22" x14ac:dyDescent="0.3">
      <c r="A735" s="61" t="s">
        <v>1133</v>
      </c>
      <c r="B735" s="62" t="s">
        <v>317</v>
      </c>
      <c r="C735" s="62" t="s">
        <v>318</v>
      </c>
      <c r="D735" s="62" t="s">
        <v>1168</v>
      </c>
      <c r="E735" s="63" t="s">
        <v>1169</v>
      </c>
      <c r="F735" s="62" t="s">
        <v>1118</v>
      </c>
      <c r="G735" s="62" t="s">
        <v>266</v>
      </c>
      <c r="H735" s="62" t="s">
        <v>11</v>
      </c>
      <c r="I735" s="62" t="s">
        <v>210</v>
      </c>
      <c r="J735" s="63" t="s">
        <v>267</v>
      </c>
      <c r="K735" s="62" t="s">
        <v>317</v>
      </c>
      <c r="L735" s="64">
        <v>22.71</v>
      </c>
      <c r="M735" s="64">
        <f>L735*VLOOKUP(H735,dagsoorttabel1,2,FALSE)</f>
        <v>22.71</v>
      </c>
      <c r="N735" s="65">
        <f>prodnorm39</f>
        <v>0</v>
      </c>
      <c r="O735" s="66">
        <f>dagwerk39</f>
        <v>0</v>
      </c>
      <c r="P735" s="62" t="s">
        <v>40</v>
      </c>
      <c r="Q735" s="67">
        <f>uurtarief39</f>
        <v>0</v>
      </c>
      <c r="R735" s="64" t="e">
        <f>IF(ISBLANK(N735),0,M735/ROUND(N735,4))</f>
        <v>#DIV/0!</v>
      </c>
      <c r="S735" s="64" t="e">
        <f>IF(ISBLANK(N735),0,R735*ROUND(O735,2))</f>
        <v>#DIV/0!</v>
      </c>
      <c r="T735" s="67" t="e">
        <f>ROUND(Q735,2)*R735</f>
        <v>#DIV/0!</v>
      </c>
      <c r="U735" s="64" t="e">
        <f>R735*dagenperjaar1</f>
        <v>#DIV/0!</v>
      </c>
      <c r="V735" s="69" t="e">
        <f>U735*ROUND(Q735,2)</f>
        <v>#DIV/0!</v>
      </c>
    </row>
    <row r="736" spans="1:22" x14ac:dyDescent="0.3">
      <c r="A736" s="61" t="s">
        <v>1133</v>
      </c>
      <c r="B736" s="62" t="s">
        <v>317</v>
      </c>
      <c r="C736" s="62" t="s">
        <v>318</v>
      </c>
      <c r="D736" s="62" t="s">
        <v>1170</v>
      </c>
      <c r="E736" s="63" t="s">
        <v>1171</v>
      </c>
      <c r="F736" s="62" t="s">
        <v>1118</v>
      </c>
      <c r="G736" s="62" t="s">
        <v>266</v>
      </c>
      <c r="H736" s="62" t="s">
        <v>11</v>
      </c>
      <c r="I736" s="62" t="s">
        <v>210</v>
      </c>
      <c r="J736" s="63" t="s">
        <v>267</v>
      </c>
      <c r="K736" s="62" t="s">
        <v>317</v>
      </c>
      <c r="L736" s="64">
        <v>24.66</v>
      </c>
      <c r="M736" s="64">
        <f>L736*VLOOKUP(H736,dagsoorttabel1,2,FALSE)</f>
        <v>24.66</v>
      </c>
      <c r="N736" s="65">
        <f>prodnorm39</f>
        <v>0</v>
      </c>
      <c r="O736" s="66">
        <f>dagwerk39</f>
        <v>0</v>
      </c>
      <c r="P736" s="62" t="s">
        <v>40</v>
      </c>
      <c r="Q736" s="67">
        <f>uurtarief39</f>
        <v>0</v>
      </c>
      <c r="R736" s="64" t="e">
        <f>IF(ISBLANK(N736),0,M736/ROUND(N736,4))</f>
        <v>#DIV/0!</v>
      </c>
      <c r="S736" s="64" t="e">
        <f>IF(ISBLANK(N736),0,R736*ROUND(O736,2))</f>
        <v>#DIV/0!</v>
      </c>
      <c r="T736" s="67" t="e">
        <f>ROUND(Q736,2)*R736</f>
        <v>#DIV/0!</v>
      </c>
      <c r="U736" s="64" t="e">
        <f>R736*dagenperjaar1</f>
        <v>#DIV/0!</v>
      </c>
      <c r="V736" s="69" t="e">
        <f>U736*ROUND(Q736,2)</f>
        <v>#DIV/0!</v>
      </c>
    </row>
    <row r="737" spans="1:22" x14ac:dyDescent="0.3">
      <c r="A737" s="61" t="s">
        <v>1133</v>
      </c>
      <c r="B737" s="62" t="s">
        <v>317</v>
      </c>
      <c r="C737" s="62" t="s">
        <v>318</v>
      </c>
      <c r="D737" s="62" t="s">
        <v>1172</v>
      </c>
      <c r="E737" s="63" t="s">
        <v>1173</v>
      </c>
      <c r="F737" s="62" t="s">
        <v>365</v>
      </c>
      <c r="G737" s="62" t="s">
        <v>323</v>
      </c>
      <c r="H737" s="62"/>
      <c r="I737" s="62"/>
      <c r="J737" s="62"/>
      <c r="K737" s="62" t="s">
        <v>317</v>
      </c>
      <c r="L737" s="64">
        <v>5.22</v>
      </c>
      <c r="M737" s="64"/>
      <c r="N737" s="65"/>
      <c r="O737" s="66"/>
      <c r="P737" s="62"/>
      <c r="Q737" s="67"/>
      <c r="R737" s="64"/>
      <c r="S737" s="64"/>
      <c r="T737" s="67"/>
      <c r="U737" s="68"/>
      <c r="V737" s="69"/>
    </row>
    <row r="738" spans="1:22" x14ac:dyDescent="0.3">
      <c r="A738" s="61" t="s">
        <v>1133</v>
      </c>
      <c r="B738" s="62" t="s">
        <v>317</v>
      </c>
      <c r="C738" s="62" t="s">
        <v>318</v>
      </c>
      <c r="D738" s="62" t="s">
        <v>1174</v>
      </c>
      <c r="E738" s="63" t="s">
        <v>1175</v>
      </c>
      <c r="F738" s="62" t="s">
        <v>365</v>
      </c>
      <c r="G738" s="62" t="s">
        <v>224</v>
      </c>
      <c r="H738" s="62" t="s">
        <v>14</v>
      </c>
      <c r="I738" s="62" t="s">
        <v>210</v>
      </c>
      <c r="J738" s="63" t="s">
        <v>225</v>
      </c>
      <c r="K738" s="62" t="s">
        <v>317</v>
      </c>
      <c r="L738" s="64">
        <v>51.33</v>
      </c>
      <c r="M738" s="64">
        <f t="shared" ref="M738:M743" si="261">L738*VLOOKUP(H738,dagsoorttabel1,2,FALSE)</f>
        <v>30.797999999999998</v>
      </c>
      <c r="N738" s="65">
        <f>prodnorm17</f>
        <v>0</v>
      </c>
      <c r="O738" s="66">
        <f>dagwerk17</f>
        <v>0</v>
      </c>
      <c r="P738" s="62" t="s">
        <v>40</v>
      </c>
      <c r="Q738" s="67">
        <f>uurtarief17</f>
        <v>0</v>
      </c>
      <c r="R738" s="64" t="e">
        <f t="shared" ref="R738:R743" si="262">IF(ISBLANK(N738),0,M738/ROUND(N738,4))</f>
        <v>#DIV/0!</v>
      </c>
      <c r="S738" s="64" t="e">
        <f t="shared" ref="S738:S743" si="263">IF(ISBLANK(N738),0,R738*ROUND(O738,2))</f>
        <v>#DIV/0!</v>
      </c>
      <c r="T738" s="67" t="e">
        <f t="shared" ref="T738:T743" si="264">ROUND(Q738,2)*R738</f>
        <v>#DIV/0!</v>
      </c>
      <c r="U738" s="64" t="e">
        <f t="shared" ref="U738:U743" si="265">R738*dagenperjaar1</f>
        <v>#DIV/0!</v>
      </c>
      <c r="V738" s="69" t="e">
        <f t="shared" ref="V738:V743" si="266">U738*ROUND(Q738,2)</f>
        <v>#DIV/0!</v>
      </c>
    </row>
    <row r="739" spans="1:22" x14ac:dyDescent="0.3">
      <c r="A739" s="61" t="s">
        <v>1133</v>
      </c>
      <c r="B739" s="62" t="s">
        <v>317</v>
      </c>
      <c r="C739" s="62" t="s">
        <v>318</v>
      </c>
      <c r="D739" s="62" t="s">
        <v>1176</v>
      </c>
      <c r="E739" s="63" t="s">
        <v>1177</v>
      </c>
      <c r="F739" s="62" t="s">
        <v>365</v>
      </c>
      <c r="G739" s="62" t="s">
        <v>234</v>
      </c>
      <c r="H739" s="62" t="s">
        <v>14</v>
      </c>
      <c r="I739" s="62" t="s">
        <v>210</v>
      </c>
      <c r="J739" s="63" t="s">
        <v>235</v>
      </c>
      <c r="K739" s="62" t="s">
        <v>317</v>
      </c>
      <c r="L739" s="64">
        <v>49.3</v>
      </c>
      <c r="M739" s="64">
        <f t="shared" si="261"/>
        <v>29.58</v>
      </c>
      <c r="N739" s="65">
        <f>prodnorm22</f>
        <v>0</v>
      </c>
      <c r="O739" s="66">
        <f>dagwerk22</f>
        <v>0</v>
      </c>
      <c r="P739" s="62" t="s">
        <v>40</v>
      </c>
      <c r="Q739" s="67">
        <f>uurtarief22</f>
        <v>0</v>
      </c>
      <c r="R739" s="64" t="e">
        <f t="shared" si="262"/>
        <v>#DIV/0!</v>
      </c>
      <c r="S739" s="64" t="e">
        <f t="shared" si="263"/>
        <v>#DIV/0!</v>
      </c>
      <c r="T739" s="67" t="e">
        <f t="shared" si="264"/>
        <v>#DIV/0!</v>
      </c>
      <c r="U739" s="64" t="e">
        <f t="shared" si="265"/>
        <v>#DIV/0!</v>
      </c>
      <c r="V739" s="69" t="e">
        <f t="shared" si="266"/>
        <v>#DIV/0!</v>
      </c>
    </row>
    <row r="740" spans="1:22" x14ac:dyDescent="0.3">
      <c r="A740" s="61" t="s">
        <v>1133</v>
      </c>
      <c r="B740" s="62" t="s">
        <v>317</v>
      </c>
      <c r="C740" s="62" t="s">
        <v>318</v>
      </c>
      <c r="D740" s="62" t="s">
        <v>1178</v>
      </c>
      <c r="E740" s="63" t="s">
        <v>1179</v>
      </c>
      <c r="F740" s="62" t="s">
        <v>365</v>
      </c>
      <c r="G740" s="62" t="s">
        <v>234</v>
      </c>
      <c r="H740" s="62" t="s">
        <v>14</v>
      </c>
      <c r="I740" s="62" t="s">
        <v>210</v>
      </c>
      <c r="J740" s="63" t="s">
        <v>235</v>
      </c>
      <c r="K740" s="62" t="s">
        <v>317</v>
      </c>
      <c r="L740" s="64">
        <v>55.32</v>
      </c>
      <c r="M740" s="64">
        <f t="shared" si="261"/>
        <v>33.192</v>
      </c>
      <c r="N740" s="65">
        <f>prodnorm22</f>
        <v>0</v>
      </c>
      <c r="O740" s="66">
        <f>dagwerk22</f>
        <v>0</v>
      </c>
      <c r="P740" s="62" t="s">
        <v>40</v>
      </c>
      <c r="Q740" s="67">
        <f>uurtarief22</f>
        <v>0</v>
      </c>
      <c r="R740" s="64" t="e">
        <f t="shared" si="262"/>
        <v>#DIV/0!</v>
      </c>
      <c r="S740" s="64" t="e">
        <f t="shared" si="263"/>
        <v>#DIV/0!</v>
      </c>
      <c r="T740" s="67" t="e">
        <f t="shared" si="264"/>
        <v>#DIV/0!</v>
      </c>
      <c r="U740" s="64" t="e">
        <f t="shared" si="265"/>
        <v>#DIV/0!</v>
      </c>
      <c r="V740" s="69" t="e">
        <f t="shared" si="266"/>
        <v>#DIV/0!</v>
      </c>
    </row>
    <row r="741" spans="1:22" x14ac:dyDescent="0.3">
      <c r="A741" s="61" t="s">
        <v>1133</v>
      </c>
      <c r="B741" s="62" t="s">
        <v>317</v>
      </c>
      <c r="C741" s="62" t="s">
        <v>318</v>
      </c>
      <c r="D741" s="62" t="s">
        <v>1180</v>
      </c>
      <c r="E741" s="63" t="s">
        <v>1181</v>
      </c>
      <c r="F741" s="62" t="s">
        <v>365</v>
      </c>
      <c r="G741" s="62" t="s">
        <v>234</v>
      </c>
      <c r="H741" s="62" t="s">
        <v>14</v>
      </c>
      <c r="I741" s="62" t="s">
        <v>210</v>
      </c>
      <c r="J741" s="63" t="s">
        <v>235</v>
      </c>
      <c r="K741" s="62" t="s">
        <v>317</v>
      </c>
      <c r="L741" s="64">
        <v>55.64</v>
      </c>
      <c r="M741" s="64">
        <f t="shared" si="261"/>
        <v>33.384</v>
      </c>
      <c r="N741" s="65">
        <f>prodnorm22</f>
        <v>0</v>
      </c>
      <c r="O741" s="66">
        <f>dagwerk22</f>
        <v>0</v>
      </c>
      <c r="P741" s="62" t="s">
        <v>40</v>
      </c>
      <c r="Q741" s="67">
        <f>uurtarief22</f>
        <v>0</v>
      </c>
      <c r="R741" s="64" t="e">
        <f t="shared" si="262"/>
        <v>#DIV/0!</v>
      </c>
      <c r="S741" s="64" t="e">
        <f t="shared" si="263"/>
        <v>#DIV/0!</v>
      </c>
      <c r="T741" s="67" t="e">
        <f t="shared" si="264"/>
        <v>#DIV/0!</v>
      </c>
      <c r="U741" s="64" t="e">
        <f t="shared" si="265"/>
        <v>#DIV/0!</v>
      </c>
      <c r="V741" s="69" t="e">
        <f t="shared" si="266"/>
        <v>#DIV/0!</v>
      </c>
    </row>
    <row r="742" spans="1:22" x14ac:dyDescent="0.3">
      <c r="A742" s="61" t="s">
        <v>1133</v>
      </c>
      <c r="B742" s="62" t="s">
        <v>317</v>
      </c>
      <c r="C742" s="62" t="s">
        <v>318</v>
      </c>
      <c r="D742" s="62" t="s">
        <v>1182</v>
      </c>
      <c r="E742" s="63" t="s">
        <v>1183</v>
      </c>
      <c r="F742" s="62" t="s">
        <v>365</v>
      </c>
      <c r="G742" s="62" t="s">
        <v>252</v>
      </c>
      <c r="H742" s="62" t="s">
        <v>11</v>
      </c>
      <c r="I742" s="62" t="s">
        <v>210</v>
      </c>
      <c r="J742" s="63" t="s">
        <v>253</v>
      </c>
      <c r="K742" s="62" t="s">
        <v>317</v>
      </c>
      <c r="L742" s="64">
        <v>23.07</v>
      </c>
      <c r="M742" s="64">
        <f t="shared" si="261"/>
        <v>23.07</v>
      </c>
      <c r="N742" s="65">
        <f>prodnorm32</f>
        <v>0</v>
      </c>
      <c r="O742" s="66">
        <f>dagwerk32</f>
        <v>0</v>
      </c>
      <c r="P742" s="62" t="s">
        <v>40</v>
      </c>
      <c r="Q742" s="67">
        <f>uurtarief32</f>
        <v>0</v>
      </c>
      <c r="R742" s="64" t="e">
        <f t="shared" si="262"/>
        <v>#DIV/0!</v>
      </c>
      <c r="S742" s="64" t="e">
        <f t="shared" si="263"/>
        <v>#DIV/0!</v>
      </c>
      <c r="T742" s="67" t="e">
        <f t="shared" si="264"/>
        <v>#DIV/0!</v>
      </c>
      <c r="U742" s="64" t="e">
        <f t="shared" si="265"/>
        <v>#DIV/0!</v>
      </c>
      <c r="V742" s="69" t="e">
        <f t="shared" si="266"/>
        <v>#DIV/0!</v>
      </c>
    </row>
    <row r="743" spans="1:22" x14ac:dyDescent="0.3">
      <c r="A743" s="61" t="s">
        <v>1133</v>
      </c>
      <c r="B743" s="62" t="s">
        <v>317</v>
      </c>
      <c r="C743" s="62" t="s">
        <v>318</v>
      </c>
      <c r="D743" s="62" t="s">
        <v>1184</v>
      </c>
      <c r="E743" s="63" t="s">
        <v>1185</v>
      </c>
      <c r="F743" s="62" t="s">
        <v>365</v>
      </c>
      <c r="G743" s="62" t="s">
        <v>234</v>
      </c>
      <c r="H743" s="62" t="s">
        <v>14</v>
      </c>
      <c r="I743" s="62" t="s">
        <v>210</v>
      </c>
      <c r="J743" s="63" t="s">
        <v>235</v>
      </c>
      <c r="K743" s="62" t="s">
        <v>317</v>
      </c>
      <c r="L743" s="64">
        <v>55.33</v>
      </c>
      <c r="M743" s="64">
        <f t="shared" si="261"/>
        <v>33.198</v>
      </c>
      <c r="N743" s="65">
        <f>prodnorm22</f>
        <v>0</v>
      </c>
      <c r="O743" s="66">
        <f>dagwerk22</f>
        <v>0</v>
      </c>
      <c r="P743" s="62" t="s">
        <v>40</v>
      </c>
      <c r="Q743" s="67">
        <f>uurtarief22</f>
        <v>0</v>
      </c>
      <c r="R743" s="64" t="e">
        <f t="shared" si="262"/>
        <v>#DIV/0!</v>
      </c>
      <c r="S743" s="64" t="e">
        <f t="shared" si="263"/>
        <v>#DIV/0!</v>
      </c>
      <c r="T743" s="67" t="e">
        <f t="shared" si="264"/>
        <v>#DIV/0!</v>
      </c>
      <c r="U743" s="64" t="e">
        <f t="shared" si="265"/>
        <v>#DIV/0!</v>
      </c>
      <c r="V743" s="69" t="e">
        <f t="shared" si="266"/>
        <v>#DIV/0!</v>
      </c>
    </row>
    <row r="744" spans="1:22" x14ac:dyDescent="0.3">
      <c r="A744" s="61" t="s">
        <v>1133</v>
      </c>
      <c r="B744" s="62" t="s">
        <v>317</v>
      </c>
      <c r="C744" s="62" t="s">
        <v>318</v>
      </c>
      <c r="D744" s="62" t="s">
        <v>1186</v>
      </c>
      <c r="E744" s="63" t="s">
        <v>1187</v>
      </c>
      <c r="F744" s="62" t="s">
        <v>331</v>
      </c>
      <c r="G744" s="62" t="s">
        <v>323</v>
      </c>
      <c r="H744" s="62"/>
      <c r="I744" s="62"/>
      <c r="J744" s="62"/>
      <c r="K744" s="62" t="s">
        <v>317</v>
      </c>
      <c r="L744" s="64">
        <v>0.6100000000000001</v>
      </c>
      <c r="M744" s="64"/>
      <c r="N744" s="65"/>
      <c r="O744" s="66"/>
      <c r="P744" s="62"/>
      <c r="Q744" s="67"/>
      <c r="R744" s="64"/>
      <c r="S744" s="64"/>
      <c r="T744" s="67"/>
      <c r="U744" s="68"/>
      <c r="V744" s="69"/>
    </row>
    <row r="745" spans="1:22" x14ac:dyDescent="0.3">
      <c r="A745" s="61" t="s">
        <v>1133</v>
      </c>
      <c r="B745" s="62" t="s">
        <v>317</v>
      </c>
      <c r="C745" s="62" t="s">
        <v>318</v>
      </c>
      <c r="D745" s="62" t="s">
        <v>1188</v>
      </c>
      <c r="E745" s="63" t="s">
        <v>330</v>
      </c>
      <c r="F745" s="62" t="s">
        <v>331</v>
      </c>
      <c r="G745" s="62" t="s">
        <v>286</v>
      </c>
      <c r="H745" s="62" t="s">
        <v>11</v>
      </c>
      <c r="I745" s="62" t="s">
        <v>210</v>
      </c>
      <c r="J745" s="63" t="s">
        <v>287</v>
      </c>
      <c r="K745" s="62" t="s">
        <v>317</v>
      </c>
      <c r="L745" s="64">
        <v>5.8199999999999994</v>
      </c>
      <c r="M745" s="64">
        <f t="shared" ref="M745:M751" si="267">L745*VLOOKUP(H745,dagsoorttabel1,2,FALSE)</f>
        <v>5.8199999999999994</v>
      </c>
      <c r="N745" s="65">
        <f>prodnorm49</f>
        <v>0</v>
      </c>
      <c r="O745" s="66">
        <f>dagwerk49</f>
        <v>0</v>
      </c>
      <c r="P745" s="62" t="s">
        <v>40</v>
      </c>
      <c r="Q745" s="67">
        <f>uurtarief49</f>
        <v>0</v>
      </c>
      <c r="R745" s="64" t="e">
        <f t="shared" ref="R745:R751" si="268">IF(ISBLANK(N745),0,M745/ROUND(N745,4))</f>
        <v>#DIV/0!</v>
      </c>
      <c r="S745" s="64" t="e">
        <f t="shared" ref="S745:S751" si="269">IF(ISBLANK(N745),0,R745*ROUND(O745,2))</f>
        <v>#DIV/0!</v>
      </c>
      <c r="T745" s="67" t="e">
        <f t="shared" ref="T745:T751" si="270">ROUND(Q745,2)*R745</f>
        <v>#DIV/0!</v>
      </c>
      <c r="U745" s="64" t="e">
        <f t="shared" ref="U745:U751" si="271">R745*dagenperjaar1</f>
        <v>#DIV/0!</v>
      </c>
      <c r="V745" s="69" t="e">
        <f t="shared" ref="V745:V751" si="272">U745*ROUND(Q745,2)</f>
        <v>#DIV/0!</v>
      </c>
    </row>
    <row r="746" spans="1:22" x14ac:dyDescent="0.3">
      <c r="A746" s="61" t="s">
        <v>1133</v>
      </c>
      <c r="B746" s="62" t="s">
        <v>317</v>
      </c>
      <c r="C746" s="62" t="s">
        <v>318</v>
      </c>
      <c r="D746" s="62" t="s">
        <v>1189</v>
      </c>
      <c r="E746" s="63" t="s">
        <v>1121</v>
      </c>
      <c r="F746" s="62" t="s">
        <v>365</v>
      </c>
      <c r="G746" s="62" t="s">
        <v>272</v>
      </c>
      <c r="H746" s="62" t="s">
        <v>11</v>
      </c>
      <c r="I746" s="62" t="s">
        <v>210</v>
      </c>
      <c r="J746" s="63" t="s">
        <v>273</v>
      </c>
      <c r="K746" s="62" t="s">
        <v>317</v>
      </c>
      <c r="L746" s="64">
        <v>21.56</v>
      </c>
      <c r="M746" s="64">
        <f t="shared" si="267"/>
        <v>21.56</v>
      </c>
      <c r="N746" s="65">
        <f>prodnorm42</f>
        <v>0</v>
      </c>
      <c r="O746" s="66">
        <f>dagwerk42</f>
        <v>0</v>
      </c>
      <c r="P746" s="62" t="s">
        <v>40</v>
      </c>
      <c r="Q746" s="67">
        <f>uurtarief42</f>
        <v>0</v>
      </c>
      <c r="R746" s="64" t="e">
        <f t="shared" si="268"/>
        <v>#DIV/0!</v>
      </c>
      <c r="S746" s="64" t="e">
        <f t="shared" si="269"/>
        <v>#DIV/0!</v>
      </c>
      <c r="T746" s="67" t="e">
        <f t="shared" si="270"/>
        <v>#DIV/0!</v>
      </c>
      <c r="U746" s="64" t="e">
        <f t="shared" si="271"/>
        <v>#DIV/0!</v>
      </c>
      <c r="V746" s="69" t="e">
        <f t="shared" si="272"/>
        <v>#DIV/0!</v>
      </c>
    </row>
    <row r="747" spans="1:22" x14ac:dyDescent="0.3">
      <c r="A747" s="61" t="s">
        <v>1133</v>
      </c>
      <c r="B747" s="62" t="s">
        <v>317</v>
      </c>
      <c r="C747" s="62" t="s">
        <v>318</v>
      </c>
      <c r="D747" s="62" t="s">
        <v>1190</v>
      </c>
      <c r="E747" s="63" t="s">
        <v>1191</v>
      </c>
      <c r="F747" s="62" t="s">
        <v>365</v>
      </c>
      <c r="G747" s="62" t="s">
        <v>264</v>
      </c>
      <c r="H747" s="62" t="s">
        <v>11</v>
      </c>
      <c r="I747" s="62" t="s">
        <v>210</v>
      </c>
      <c r="J747" s="63" t="s">
        <v>265</v>
      </c>
      <c r="K747" s="62" t="s">
        <v>317</v>
      </c>
      <c r="L747" s="64">
        <v>21.55</v>
      </c>
      <c r="M747" s="64">
        <f t="shared" si="267"/>
        <v>21.55</v>
      </c>
      <c r="N747" s="65">
        <f>prodnorm38</f>
        <v>0</v>
      </c>
      <c r="O747" s="66">
        <f>dagwerk38</f>
        <v>0</v>
      </c>
      <c r="P747" s="62" t="s">
        <v>40</v>
      </c>
      <c r="Q747" s="67">
        <f>uurtarief38</f>
        <v>0</v>
      </c>
      <c r="R747" s="64" t="e">
        <f t="shared" si="268"/>
        <v>#DIV/0!</v>
      </c>
      <c r="S747" s="64" t="e">
        <f t="shared" si="269"/>
        <v>#DIV/0!</v>
      </c>
      <c r="T747" s="67" t="e">
        <f t="shared" si="270"/>
        <v>#DIV/0!</v>
      </c>
      <c r="U747" s="64" t="e">
        <f t="shared" si="271"/>
        <v>#DIV/0!</v>
      </c>
      <c r="V747" s="69" t="e">
        <f t="shared" si="272"/>
        <v>#DIV/0!</v>
      </c>
    </row>
    <row r="748" spans="1:22" x14ac:dyDescent="0.3">
      <c r="A748" s="61" t="s">
        <v>1133</v>
      </c>
      <c r="B748" s="62" t="s">
        <v>317</v>
      </c>
      <c r="C748" s="62" t="s">
        <v>318</v>
      </c>
      <c r="D748" s="62" t="s">
        <v>1192</v>
      </c>
      <c r="E748" s="63" t="s">
        <v>1193</v>
      </c>
      <c r="F748" s="62" t="s">
        <v>365</v>
      </c>
      <c r="G748" s="62" t="s">
        <v>264</v>
      </c>
      <c r="H748" s="62" t="s">
        <v>11</v>
      </c>
      <c r="I748" s="62" t="s">
        <v>210</v>
      </c>
      <c r="J748" s="63" t="s">
        <v>265</v>
      </c>
      <c r="K748" s="62" t="s">
        <v>317</v>
      </c>
      <c r="L748" s="64">
        <v>8.2799999999999994</v>
      </c>
      <c r="M748" s="64">
        <f t="shared" si="267"/>
        <v>8.2799999999999994</v>
      </c>
      <c r="N748" s="65">
        <f>prodnorm38</f>
        <v>0</v>
      </c>
      <c r="O748" s="66">
        <f>dagwerk38</f>
        <v>0</v>
      </c>
      <c r="P748" s="62" t="s">
        <v>40</v>
      </c>
      <c r="Q748" s="67">
        <f>uurtarief38</f>
        <v>0</v>
      </c>
      <c r="R748" s="64" t="e">
        <f t="shared" si="268"/>
        <v>#DIV/0!</v>
      </c>
      <c r="S748" s="64" t="e">
        <f t="shared" si="269"/>
        <v>#DIV/0!</v>
      </c>
      <c r="T748" s="67" t="e">
        <f t="shared" si="270"/>
        <v>#DIV/0!</v>
      </c>
      <c r="U748" s="64" t="e">
        <f t="shared" si="271"/>
        <v>#DIV/0!</v>
      </c>
      <c r="V748" s="69" t="e">
        <f t="shared" si="272"/>
        <v>#DIV/0!</v>
      </c>
    </row>
    <row r="749" spans="1:22" x14ac:dyDescent="0.3">
      <c r="A749" s="61" t="s">
        <v>1133</v>
      </c>
      <c r="B749" s="62" t="s">
        <v>317</v>
      </c>
      <c r="C749" s="62" t="s">
        <v>318</v>
      </c>
      <c r="D749" s="62" t="s">
        <v>1194</v>
      </c>
      <c r="E749" s="63" t="s">
        <v>1195</v>
      </c>
      <c r="F749" s="62" t="s">
        <v>365</v>
      </c>
      <c r="G749" s="62" t="s">
        <v>264</v>
      </c>
      <c r="H749" s="62" t="s">
        <v>11</v>
      </c>
      <c r="I749" s="62" t="s">
        <v>210</v>
      </c>
      <c r="J749" s="63" t="s">
        <v>265</v>
      </c>
      <c r="K749" s="62" t="s">
        <v>317</v>
      </c>
      <c r="L749" s="64">
        <v>12.360000000000001</v>
      </c>
      <c r="M749" s="64">
        <f t="shared" si="267"/>
        <v>12.360000000000001</v>
      </c>
      <c r="N749" s="65">
        <f>prodnorm38</f>
        <v>0</v>
      </c>
      <c r="O749" s="66">
        <f>dagwerk38</f>
        <v>0</v>
      </c>
      <c r="P749" s="62" t="s">
        <v>40</v>
      </c>
      <c r="Q749" s="67">
        <f>uurtarief38</f>
        <v>0</v>
      </c>
      <c r="R749" s="64" t="e">
        <f t="shared" si="268"/>
        <v>#DIV/0!</v>
      </c>
      <c r="S749" s="64" t="e">
        <f t="shared" si="269"/>
        <v>#DIV/0!</v>
      </c>
      <c r="T749" s="67" t="e">
        <f t="shared" si="270"/>
        <v>#DIV/0!</v>
      </c>
      <c r="U749" s="64" t="e">
        <f t="shared" si="271"/>
        <v>#DIV/0!</v>
      </c>
      <c r="V749" s="69" t="e">
        <f t="shared" si="272"/>
        <v>#DIV/0!</v>
      </c>
    </row>
    <row r="750" spans="1:22" x14ac:dyDescent="0.3">
      <c r="A750" s="61" t="s">
        <v>1133</v>
      </c>
      <c r="B750" s="62" t="s">
        <v>317</v>
      </c>
      <c r="C750" s="62" t="s">
        <v>318</v>
      </c>
      <c r="D750" s="62" t="s">
        <v>1196</v>
      </c>
      <c r="E750" s="63" t="s">
        <v>1169</v>
      </c>
      <c r="F750" s="62" t="s">
        <v>365</v>
      </c>
      <c r="G750" s="62" t="s">
        <v>266</v>
      </c>
      <c r="H750" s="62" t="s">
        <v>11</v>
      </c>
      <c r="I750" s="62" t="s">
        <v>210</v>
      </c>
      <c r="J750" s="63" t="s">
        <v>267</v>
      </c>
      <c r="K750" s="62" t="s">
        <v>317</v>
      </c>
      <c r="L750" s="64">
        <v>1.46</v>
      </c>
      <c r="M750" s="64">
        <f t="shared" si="267"/>
        <v>1.46</v>
      </c>
      <c r="N750" s="65">
        <f>prodnorm39</f>
        <v>0</v>
      </c>
      <c r="O750" s="66">
        <f>dagwerk39</f>
        <v>0</v>
      </c>
      <c r="P750" s="62" t="s">
        <v>40</v>
      </c>
      <c r="Q750" s="67">
        <f>uurtarief39</f>
        <v>0</v>
      </c>
      <c r="R750" s="64" t="e">
        <f t="shared" si="268"/>
        <v>#DIV/0!</v>
      </c>
      <c r="S750" s="64" t="e">
        <f t="shared" si="269"/>
        <v>#DIV/0!</v>
      </c>
      <c r="T750" s="67" t="e">
        <f t="shared" si="270"/>
        <v>#DIV/0!</v>
      </c>
      <c r="U750" s="64" t="e">
        <f t="shared" si="271"/>
        <v>#DIV/0!</v>
      </c>
      <c r="V750" s="69" t="e">
        <f t="shared" si="272"/>
        <v>#DIV/0!</v>
      </c>
    </row>
    <row r="751" spans="1:22" x14ac:dyDescent="0.3">
      <c r="A751" s="61" t="s">
        <v>1133</v>
      </c>
      <c r="B751" s="62" t="s">
        <v>317</v>
      </c>
      <c r="C751" s="62" t="s">
        <v>318</v>
      </c>
      <c r="D751" s="62" t="s">
        <v>1197</v>
      </c>
      <c r="E751" s="63" t="s">
        <v>1171</v>
      </c>
      <c r="F751" s="62" t="s">
        <v>365</v>
      </c>
      <c r="G751" s="62" t="s">
        <v>266</v>
      </c>
      <c r="H751" s="62" t="s">
        <v>11</v>
      </c>
      <c r="I751" s="62" t="s">
        <v>210</v>
      </c>
      <c r="J751" s="63" t="s">
        <v>267</v>
      </c>
      <c r="K751" s="62" t="s">
        <v>317</v>
      </c>
      <c r="L751" s="64">
        <v>1.46</v>
      </c>
      <c r="M751" s="64">
        <f t="shared" si="267"/>
        <v>1.46</v>
      </c>
      <c r="N751" s="65">
        <f>prodnorm39</f>
        <v>0</v>
      </c>
      <c r="O751" s="66">
        <f>dagwerk39</f>
        <v>0</v>
      </c>
      <c r="P751" s="62" t="s">
        <v>40</v>
      </c>
      <c r="Q751" s="67">
        <f>uurtarief39</f>
        <v>0</v>
      </c>
      <c r="R751" s="64" t="e">
        <f t="shared" si="268"/>
        <v>#DIV/0!</v>
      </c>
      <c r="S751" s="64" t="e">
        <f t="shared" si="269"/>
        <v>#DIV/0!</v>
      </c>
      <c r="T751" s="67" t="e">
        <f t="shared" si="270"/>
        <v>#DIV/0!</v>
      </c>
      <c r="U751" s="64" t="e">
        <f t="shared" si="271"/>
        <v>#DIV/0!</v>
      </c>
      <c r="V751" s="69" t="e">
        <f t="shared" si="272"/>
        <v>#DIV/0!</v>
      </c>
    </row>
    <row r="752" spans="1:22" x14ac:dyDescent="0.3">
      <c r="A752" s="61" t="s">
        <v>1133</v>
      </c>
      <c r="B752" s="62" t="s">
        <v>317</v>
      </c>
      <c r="C752" s="62" t="s">
        <v>318</v>
      </c>
      <c r="D752" s="62" t="s">
        <v>1198</v>
      </c>
      <c r="E752" s="63" t="s">
        <v>1199</v>
      </c>
      <c r="F752" s="62" t="s">
        <v>365</v>
      </c>
      <c r="G752" s="62" t="s">
        <v>323</v>
      </c>
      <c r="H752" s="62"/>
      <c r="I752" s="62"/>
      <c r="J752" s="62"/>
      <c r="K752" s="62" t="s">
        <v>317</v>
      </c>
      <c r="L752" s="64">
        <v>0.95000000000000007</v>
      </c>
      <c r="M752" s="64"/>
      <c r="N752" s="65"/>
      <c r="O752" s="66"/>
      <c r="P752" s="62"/>
      <c r="Q752" s="67"/>
      <c r="R752" s="64"/>
      <c r="S752" s="64"/>
      <c r="T752" s="67"/>
      <c r="U752" s="68"/>
      <c r="V752" s="69"/>
    </row>
    <row r="753" spans="1:22" x14ac:dyDescent="0.3">
      <c r="A753" s="61" t="s">
        <v>1133</v>
      </c>
      <c r="B753" s="62" t="s">
        <v>317</v>
      </c>
      <c r="C753" s="62" t="s">
        <v>629</v>
      </c>
      <c r="D753" s="62" t="s">
        <v>1127</v>
      </c>
      <c r="E753" s="63" t="s">
        <v>330</v>
      </c>
      <c r="F753" s="62" t="s">
        <v>365</v>
      </c>
      <c r="G753" s="62" t="s">
        <v>286</v>
      </c>
      <c r="H753" s="62" t="s">
        <v>11</v>
      </c>
      <c r="I753" s="62" t="s">
        <v>210</v>
      </c>
      <c r="J753" s="63" t="s">
        <v>287</v>
      </c>
      <c r="K753" s="62" t="s">
        <v>317</v>
      </c>
      <c r="L753" s="64">
        <v>11.02</v>
      </c>
      <c r="M753" s="64">
        <f>L753*VLOOKUP(H753,dagsoorttabel1,2,FALSE)</f>
        <v>11.02</v>
      </c>
      <c r="N753" s="65">
        <f>prodnorm49</f>
        <v>0</v>
      </c>
      <c r="O753" s="66">
        <f>dagwerk49</f>
        <v>0</v>
      </c>
      <c r="P753" s="62" t="s">
        <v>40</v>
      </c>
      <c r="Q753" s="67">
        <f>uurtarief49</f>
        <v>0</v>
      </c>
      <c r="R753" s="64" t="e">
        <f>IF(ISBLANK(N753),0,M753/ROUND(N753,4))</f>
        <v>#DIV/0!</v>
      </c>
      <c r="S753" s="64" t="e">
        <f>IF(ISBLANK(N753),0,R753*ROUND(O753,2))</f>
        <v>#DIV/0!</v>
      </c>
      <c r="T753" s="67" t="e">
        <f>ROUND(Q753,2)*R753</f>
        <v>#DIV/0!</v>
      </c>
      <c r="U753" s="64" t="e">
        <f>R753*dagenperjaar1</f>
        <v>#DIV/0!</v>
      </c>
      <c r="V753" s="69" t="e">
        <f>U753*ROUND(Q753,2)</f>
        <v>#DIV/0!</v>
      </c>
    </row>
    <row r="754" spans="1:22" x14ac:dyDescent="0.3">
      <c r="A754" s="61" t="s">
        <v>1133</v>
      </c>
      <c r="B754" s="62" t="s">
        <v>317</v>
      </c>
      <c r="C754" s="62" t="s">
        <v>629</v>
      </c>
      <c r="D754" s="62" t="s">
        <v>1128</v>
      </c>
      <c r="E754" s="63" t="s">
        <v>374</v>
      </c>
      <c r="F754" s="62" t="s">
        <v>365</v>
      </c>
      <c r="G754" s="62" t="s">
        <v>323</v>
      </c>
      <c r="H754" s="62"/>
      <c r="I754" s="62"/>
      <c r="J754" s="62"/>
      <c r="K754" s="62" t="s">
        <v>317</v>
      </c>
      <c r="L754" s="64">
        <v>1.58</v>
      </c>
      <c r="M754" s="64"/>
      <c r="N754" s="65"/>
      <c r="O754" s="66"/>
      <c r="P754" s="62"/>
      <c r="Q754" s="67"/>
      <c r="R754" s="64"/>
      <c r="S754" s="64"/>
      <c r="T754" s="67"/>
      <c r="U754" s="68"/>
      <c r="V754" s="69"/>
    </row>
    <row r="755" spans="1:22" x14ac:dyDescent="0.3">
      <c r="A755" s="61" t="s">
        <v>1133</v>
      </c>
      <c r="B755" s="62" t="s">
        <v>317</v>
      </c>
      <c r="C755" s="62" t="s">
        <v>629</v>
      </c>
      <c r="D755" s="62" t="s">
        <v>1129</v>
      </c>
      <c r="E755" s="63" t="s">
        <v>1200</v>
      </c>
      <c r="F755" s="62" t="s">
        <v>1118</v>
      </c>
      <c r="G755" s="62" t="s">
        <v>266</v>
      </c>
      <c r="H755" s="62" t="s">
        <v>11</v>
      </c>
      <c r="I755" s="62" t="s">
        <v>210</v>
      </c>
      <c r="J755" s="63" t="s">
        <v>267</v>
      </c>
      <c r="K755" s="62" t="s">
        <v>317</v>
      </c>
      <c r="L755" s="64">
        <v>1.1900000000000002</v>
      </c>
      <c r="M755" s="64">
        <f>L755*VLOOKUP(H755,dagsoorttabel1,2,FALSE)</f>
        <v>1.1900000000000002</v>
      </c>
      <c r="N755" s="65">
        <f>prodnorm39</f>
        <v>0</v>
      </c>
      <c r="O755" s="66">
        <f>dagwerk39</f>
        <v>0</v>
      </c>
      <c r="P755" s="62" t="s">
        <v>40</v>
      </c>
      <c r="Q755" s="67">
        <f>uurtarief39</f>
        <v>0</v>
      </c>
      <c r="R755" s="64" t="e">
        <f>IF(ISBLANK(N755),0,M755/ROUND(N755,4))</f>
        <v>#DIV/0!</v>
      </c>
      <c r="S755" s="64" t="e">
        <f>IF(ISBLANK(N755),0,R755*ROUND(O755,2))</f>
        <v>#DIV/0!</v>
      </c>
      <c r="T755" s="67" t="e">
        <f>ROUND(Q755,2)*R755</f>
        <v>#DIV/0!</v>
      </c>
      <c r="U755" s="64" t="e">
        <f>R755*dagenperjaar1</f>
        <v>#DIV/0!</v>
      </c>
      <c r="V755" s="69" t="e">
        <f>U755*ROUND(Q755,2)</f>
        <v>#DIV/0!</v>
      </c>
    </row>
    <row r="756" spans="1:22" x14ac:dyDescent="0.3">
      <c r="A756" s="61" t="s">
        <v>1133</v>
      </c>
      <c r="B756" s="62" t="s">
        <v>317</v>
      </c>
      <c r="C756" s="62" t="s">
        <v>629</v>
      </c>
      <c r="D756" s="62" t="s">
        <v>1130</v>
      </c>
      <c r="E756" s="63" t="s">
        <v>1201</v>
      </c>
      <c r="F756" s="62" t="s">
        <v>365</v>
      </c>
      <c r="G756" s="62" t="s">
        <v>248</v>
      </c>
      <c r="H756" s="62" t="s">
        <v>11</v>
      </c>
      <c r="I756" s="62" t="s">
        <v>210</v>
      </c>
      <c r="J756" s="63" t="s">
        <v>249</v>
      </c>
      <c r="K756" s="62" t="s">
        <v>317</v>
      </c>
      <c r="L756" s="64">
        <v>86.910000000000011</v>
      </c>
      <c r="M756" s="64">
        <f>L756*VLOOKUP(H756,dagsoorttabel1,2,FALSE)</f>
        <v>86.910000000000011</v>
      </c>
      <c r="N756" s="65">
        <f>prodnorm30</f>
        <v>0</v>
      </c>
      <c r="O756" s="66">
        <f>dagwerk30</f>
        <v>0</v>
      </c>
      <c r="P756" s="62" t="s">
        <v>40</v>
      </c>
      <c r="Q756" s="67">
        <f>uurtarief30</f>
        <v>0</v>
      </c>
      <c r="R756" s="64" t="e">
        <f>IF(ISBLANK(N756),0,M756/ROUND(N756,4))</f>
        <v>#DIV/0!</v>
      </c>
      <c r="S756" s="64" t="e">
        <f>IF(ISBLANK(N756),0,R756*ROUND(O756,2))</f>
        <v>#DIV/0!</v>
      </c>
      <c r="T756" s="67" t="e">
        <f>ROUND(Q756,2)*R756</f>
        <v>#DIV/0!</v>
      </c>
      <c r="U756" s="64" t="e">
        <f>R756*dagenperjaar1</f>
        <v>#DIV/0!</v>
      </c>
      <c r="V756" s="69" t="e">
        <f>U756*ROUND(Q756,2)</f>
        <v>#DIV/0!</v>
      </c>
    </row>
    <row r="757" spans="1:22" x14ac:dyDescent="0.3">
      <c r="A757" s="61" t="s">
        <v>1133</v>
      </c>
      <c r="B757" s="62" t="s">
        <v>317</v>
      </c>
      <c r="C757" s="62" t="s">
        <v>629</v>
      </c>
      <c r="D757" s="62" t="s">
        <v>1131</v>
      </c>
      <c r="E757" s="63" t="s">
        <v>321</v>
      </c>
      <c r="F757" s="62" t="s">
        <v>365</v>
      </c>
      <c r="G757" s="62" t="s">
        <v>323</v>
      </c>
      <c r="H757" s="62"/>
      <c r="I757" s="62"/>
      <c r="J757" s="62"/>
      <c r="K757" s="62" t="s">
        <v>317</v>
      </c>
      <c r="L757" s="64">
        <v>15.5</v>
      </c>
      <c r="M757" s="64"/>
      <c r="N757" s="65"/>
      <c r="O757" s="66"/>
      <c r="P757" s="62"/>
      <c r="Q757" s="67"/>
      <c r="R757" s="64"/>
      <c r="S757" s="64"/>
      <c r="T757" s="67"/>
      <c r="U757" s="68"/>
      <c r="V757" s="69"/>
    </row>
    <row r="758" spans="1:22" x14ac:dyDescent="0.3">
      <c r="A758" s="61" t="s">
        <v>1133</v>
      </c>
      <c r="B758" s="62" t="s">
        <v>317</v>
      </c>
      <c r="C758" s="62" t="s">
        <v>629</v>
      </c>
      <c r="D758" s="62" t="s">
        <v>1202</v>
      </c>
      <c r="E758" s="63" t="s">
        <v>553</v>
      </c>
      <c r="F758" s="62" t="s">
        <v>365</v>
      </c>
      <c r="G758" s="62" t="s">
        <v>323</v>
      </c>
      <c r="H758" s="62"/>
      <c r="I758" s="62"/>
      <c r="J758" s="62"/>
      <c r="K758" s="62" t="s">
        <v>317</v>
      </c>
      <c r="L758" s="64">
        <v>71.02</v>
      </c>
      <c r="M758" s="64"/>
      <c r="N758" s="65"/>
      <c r="O758" s="66"/>
      <c r="P758" s="62"/>
      <c r="Q758" s="67"/>
      <c r="R758" s="64"/>
      <c r="S758" s="64"/>
      <c r="T758" s="67"/>
      <c r="U758" s="68"/>
      <c r="V758" s="69"/>
    </row>
    <row r="759" spans="1:22" x14ac:dyDescent="0.3">
      <c r="A759" s="61" t="s">
        <v>1133</v>
      </c>
      <c r="B759" s="62" t="s">
        <v>317</v>
      </c>
      <c r="C759" s="62" t="s">
        <v>629</v>
      </c>
      <c r="D759" s="62" t="s">
        <v>1203</v>
      </c>
      <c r="E759" s="63" t="s">
        <v>394</v>
      </c>
      <c r="F759" s="62" t="s">
        <v>365</v>
      </c>
      <c r="G759" s="62" t="s">
        <v>272</v>
      </c>
      <c r="H759" s="62" t="s">
        <v>11</v>
      </c>
      <c r="I759" s="62" t="s">
        <v>210</v>
      </c>
      <c r="J759" s="63" t="s">
        <v>273</v>
      </c>
      <c r="K759" s="62" t="s">
        <v>317</v>
      </c>
      <c r="L759" s="64">
        <v>40.590000000000003</v>
      </c>
      <c r="M759" s="64">
        <f>L759*VLOOKUP(H759,dagsoorttabel1,2,FALSE)</f>
        <v>40.590000000000003</v>
      </c>
      <c r="N759" s="65">
        <f>prodnorm42</f>
        <v>0</v>
      </c>
      <c r="O759" s="66">
        <f>dagwerk42</f>
        <v>0</v>
      </c>
      <c r="P759" s="62" t="s">
        <v>40</v>
      </c>
      <c r="Q759" s="67">
        <f>uurtarief42</f>
        <v>0</v>
      </c>
      <c r="R759" s="64" t="e">
        <f>IF(ISBLANK(N759),0,M759/ROUND(N759,4))</f>
        <v>#DIV/0!</v>
      </c>
      <c r="S759" s="64" t="e">
        <f>IF(ISBLANK(N759),0,R759*ROUND(O759,2))</f>
        <v>#DIV/0!</v>
      </c>
      <c r="T759" s="67" t="e">
        <f>ROUND(Q759,2)*R759</f>
        <v>#DIV/0!</v>
      </c>
      <c r="U759" s="64" t="e">
        <f>R759*dagenperjaar1</f>
        <v>#DIV/0!</v>
      </c>
      <c r="V759" s="69" t="e">
        <f>U759*ROUND(Q759,2)</f>
        <v>#DIV/0!</v>
      </c>
    </row>
    <row r="760" spans="1:22" x14ac:dyDescent="0.3">
      <c r="A760" s="61" t="s">
        <v>1133</v>
      </c>
      <c r="B760" s="62" t="s">
        <v>317</v>
      </c>
      <c r="C760" s="62" t="s">
        <v>629</v>
      </c>
      <c r="D760" s="62" t="s">
        <v>1204</v>
      </c>
      <c r="E760" s="63" t="s">
        <v>1205</v>
      </c>
      <c r="F760" s="62" t="s">
        <v>365</v>
      </c>
      <c r="G760" s="62" t="s">
        <v>214</v>
      </c>
      <c r="H760" s="62" t="s">
        <v>14</v>
      </c>
      <c r="I760" s="62" t="s">
        <v>210</v>
      </c>
      <c r="J760" s="63" t="s">
        <v>215</v>
      </c>
      <c r="K760" s="62" t="s">
        <v>317</v>
      </c>
      <c r="L760" s="64">
        <v>17.739999999999998</v>
      </c>
      <c r="M760" s="64">
        <f>L760*VLOOKUP(H760,dagsoorttabel1,2,FALSE)</f>
        <v>10.643999999999998</v>
      </c>
      <c r="N760" s="65">
        <f>prodnorm12</f>
        <v>0</v>
      </c>
      <c r="O760" s="66">
        <f>dagwerk12</f>
        <v>0</v>
      </c>
      <c r="P760" s="62" t="s">
        <v>40</v>
      </c>
      <c r="Q760" s="67">
        <f>uurtarief12</f>
        <v>0</v>
      </c>
      <c r="R760" s="64" t="e">
        <f>IF(ISBLANK(N760),0,M760/ROUND(N760,4))</f>
        <v>#DIV/0!</v>
      </c>
      <c r="S760" s="64" t="e">
        <f>IF(ISBLANK(N760),0,R760*ROUND(O760,2))</f>
        <v>#DIV/0!</v>
      </c>
      <c r="T760" s="67" t="e">
        <f>ROUND(Q760,2)*R760</f>
        <v>#DIV/0!</v>
      </c>
      <c r="U760" s="64" t="e">
        <f>R760*dagenperjaar1</f>
        <v>#DIV/0!</v>
      </c>
      <c r="V760" s="69" t="e">
        <f>U760*ROUND(Q760,2)</f>
        <v>#DIV/0!</v>
      </c>
    </row>
    <row r="761" spans="1:22" x14ac:dyDescent="0.3">
      <c r="A761" s="61" t="s">
        <v>1133</v>
      </c>
      <c r="B761" s="62" t="s">
        <v>317</v>
      </c>
      <c r="C761" s="62" t="s">
        <v>629</v>
      </c>
      <c r="D761" s="62" t="s">
        <v>1206</v>
      </c>
      <c r="E761" s="63" t="s">
        <v>1207</v>
      </c>
      <c r="F761" s="62" t="s">
        <v>365</v>
      </c>
      <c r="G761" s="62" t="s">
        <v>238</v>
      </c>
      <c r="H761" s="62" t="s">
        <v>11</v>
      </c>
      <c r="I761" s="62" t="s">
        <v>210</v>
      </c>
      <c r="J761" s="63" t="s">
        <v>239</v>
      </c>
      <c r="K761" s="62" t="s">
        <v>317</v>
      </c>
      <c r="L761" s="64">
        <v>51.8</v>
      </c>
      <c r="M761" s="64">
        <f>L761*VLOOKUP(H761,dagsoorttabel1,2,FALSE)</f>
        <v>51.8</v>
      </c>
      <c r="N761" s="65">
        <f>prodnorm24</f>
        <v>0</v>
      </c>
      <c r="O761" s="66">
        <f>dagwerk24</f>
        <v>0</v>
      </c>
      <c r="P761" s="62" t="s">
        <v>40</v>
      </c>
      <c r="Q761" s="67">
        <f>uurtarief24</f>
        <v>0</v>
      </c>
      <c r="R761" s="64" t="e">
        <f>IF(ISBLANK(N761),0,M761/ROUND(N761,4))</f>
        <v>#DIV/0!</v>
      </c>
      <c r="S761" s="64" t="e">
        <f>IF(ISBLANK(N761),0,R761*ROUND(O761,2))</f>
        <v>#DIV/0!</v>
      </c>
      <c r="T761" s="67" t="e">
        <f>ROUND(Q761,2)*R761</f>
        <v>#DIV/0!</v>
      </c>
      <c r="U761" s="64" t="e">
        <f>R761*dagenperjaar1</f>
        <v>#DIV/0!</v>
      </c>
      <c r="V761" s="69" t="e">
        <f>U761*ROUND(Q761,2)</f>
        <v>#DIV/0!</v>
      </c>
    </row>
    <row r="762" spans="1:22" x14ac:dyDescent="0.3">
      <c r="A762" s="61" t="s">
        <v>1133</v>
      </c>
      <c r="B762" s="62" t="s">
        <v>317</v>
      </c>
      <c r="C762" s="62" t="s">
        <v>629</v>
      </c>
      <c r="D762" s="62" t="s">
        <v>1208</v>
      </c>
      <c r="E762" s="63" t="s">
        <v>1209</v>
      </c>
      <c r="F762" s="62" t="s">
        <v>365</v>
      </c>
      <c r="G762" s="62" t="s">
        <v>238</v>
      </c>
      <c r="H762" s="62" t="s">
        <v>11</v>
      </c>
      <c r="I762" s="62" t="s">
        <v>210</v>
      </c>
      <c r="J762" s="63" t="s">
        <v>239</v>
      </c>
      <c r="K762" s="62" t="s">
        <v>317</v>
      </c>
      <c r="L762" s="64">
        <v>54.8</v>
      </c>
      <c r="M762" s="64">
        <f>L762*VLOOKUP(H762,dagsoorttabel1,2,FALSE)</f>
        <v>54.8</v>
      </c>
      <c r="N762" s="65">
        <f>prodnorm24</f>
        <v>0</v>
      </c>
      <c r="O762" s="66">
        <f>dagwerk24</f>
        <v>0</v>
      </c>
      <c r="P762" s="62" t="s">
        <v>40</v>
      </c>
      <c r="Q762" s="67">
        <f>uurtarief24</f>
        <v>0</v>
      </c>
      <c r="R762" s="64" t="e">
        <f>IF(ISBLANK(N762),0,M762/ROUND(N762,4))</f>
        <v>#DIV/0!</v>
      </c>
      <c r="S762" s="64" t="e">
        <f>IF(ISBLANK(N762),0,R762*ROUND(O762,2))</f>
        <v>#DIV/0!</v>
      </c>
      <c r="T762" s="67" t="e">
        <f>ROUND(Q762,2)*R762</f>
        <v>#DIV/0!</v>
      </c>
      <c r="U762" s="64" t="e">
        <f>R762*dagenperjaar1</f>
        <v>#DIV/0!</v>
      </c>
      <c r="V762" s="69" t="e">
        <f>U762*ROUND(Q762,2)</f>
        <v>#DIV/0!</v>
      </c>
    </row>
    <row r="763" spans="1:22" x14ac:dyDescent="0.3">
      <c r="A763" s="61" t="s">
        <v>1133</v>
      </c>
      <c r="B763" s="62" t="s">
        <v>317</v>
      </c>
      <c r="C763" s="62" t="s">
        <v>629</v>
      </c>
      <c r="D763" s="62" t="s">
        <v>1210</v>
      </c>
      <c r="E763" s="63" t="s">
        <v>1211</v>
      </c>
      <c r="F763" s="62" t="s">
        <v>365</v>
      </c>
      <c r="G763" s="62" t="s">
        <v>234</v>
      </c>
      <c r="H763" s="62" t="s">
        <v>14</v>
      </c>
      <c r="I763" s="62" t="s">
        <v>210</v>
      </c>
      <c r="J763" s="63" t="s">
        <v>235</v>
      </c>
      <c r="K763" s="62" t="s">
        <v>317</v>
      </c>
      <c r="L763" s="64">
        <v>36.790000000000006</v>
      </c>
      <c r="M763" s="64">
        <f>L763*VLOOKUP(H763,dagsoorttabel1,2,FALSE)</f>
        <v>22.074000000000002</v>
      </c>
      <c r="N763" s="65">
        <f>prodnorm22</f>
        <v>0</v>
      </c>
      <c r="O763" s="66">
        <f>dagwerk22</f>
        <v>0</v>
      </c>
      <c r="P763" s="62" t="s">
        <v>40</v>
      </c>
      <c r="Q763" s="67">
        <f>uurtarief22</f>
        <v>0</v>
      </c>
      <c r="R763" s="64" t="e">
        <f>IF(ISBLANK(N763),0,M763/ROUND(N763,4))</f>
        <v>#DIV/0!</v>
      </c>
      <c r="S763" s="64" t="e">
        <f>IF(ISBLANK(N763),0,R763*ROUND(O763,2))</f>
        <v>#DIV/0!</v>
      </c>
      <c r="T763" s="67" t="e">
        <f>ROUND(Q763,2)*R763</f>
        <v>#DIV/0!</v>
      </c>
      <c r="U763" s="64" t="e">
        <f>R763*dagenperjaar1</f>
        <v>#DIV/0!</v>
      </c>
      <c r="V763" s="69" t="e">
        <f>U763*ROUND(Q763,2)</f>
        <v>#DIV/0!</v>
      </c>
    </row>
    <row r="764" spans="1:22" x14ac:dyDescent="0.3">
      <c r="A764" s="61" t="s">
        <v>1133</v>
      </c>
      <c r="B764" s="62" t="s">
        <v>317</v>
      </c>
      <c r="C764" s="62" t="s">
        <v>629</v>
      </c>
      <c r="D764" s="62" t="s">
        <v>1212</v>
      </c>
      <c r="E764" s="63" t="s">
        <v>1213</v>
      </c>
      <c r="F764" s="62" t="s">
        <v>365</v>
      </c>
      <c r="G764" s="62" t="s">
        <v>323</v>
      </c>
      <c r="H764" s="62"/>
      <c r="I764" s="62"/>
      <c r="J764" s="62"/>
      <c r="K764" s="62" t="s">
        <v>317</v>
      </c>
      <c r="L764" s="64">
        <v>17.68</v>
      </c>
      <c r="M764" s="64"/>
      <c r="N764" s="65"/>
      <c r="O764" s="66"/>
      <c r="P764" s="62"/>
      <c r="Q764" s="67"/>
      <c r="R764" s="64"/>
      <c r="S764" s="64"/>
      <c r="T764" s="67"/>
      <c r="U764" s="68"/>
      <c r="V764" s="69"/>
    </row>
    <row r="765" spans="1:22" x14ac:dyDescent="0.3">
      <c r="A765" s="61" t="s">
        <v>1133</v>
      </c>
      <c r="B765" s="62" t="s">
        <v>317</v>
      </c>
      <c r="C765" s="62" t="s">
        <v>629</v>
      </c>
      <c r="D765" s="62" t="s">
        <v>1214</v>
      </c>
      <c r="E765" s="63" t="s">
        <v>381</v>
      </c>
      <c r="F765" s="62" t="s">
        <v>365</v>
      </c>
      <c r="G765" s="62" t="s">
        <v>323</v>
      </c>
      <c r="H765" s="62"/>
      <c r="I765" s="62"/>
      <c r="J765" s="62"/>
      <c r="K765" s="62" t="s">
        <v>317</v>
      </c>
      <c r="L765" s="64">
        <v>0</v>
      </c>
      <c r="M765" s="64"/>
      <c r="N765" s="65"/>
      <c r="O765" s="66"/>
      <c r="P765" s="62"/>
      <c r="Q765" s="67"/>
      <c r="R765" s="64"/>
      <c r="S765" s="64"/>
      <c r="T765" s="67"/>
      <c r="U765" s="68"/>
      <c r="V765" s="69"/>
    </row>
    <row r="766" spans="1:22" x14ac:dyDescent="0.3">
      <c r="A766" s="61" t="s">
        <v>1133</v>
      </c>
      <c r="B766" s="62" t="s">
        <v>317</v>
      </c>
      <c r="C766" s="62" t="s">
        <v>629</v>
      </c>
      <c r="D766" s="62" t="s">
        <v>1215</v>
      </c>
      <c r="E766" s="63" t="s">
        <v>553</v>
      </c>
      <c r="F766" s="62" t="s">
        <v>365</v>
      </c>
      <c r="G766" s="62" t="s">
        <v>323</v>
      </c>
      <c r="H766" s="62"/>
      <c r="I766" s="62"/>
      <c r="J766" s="62"/>
      <c r="K766" s="62" t="s">
        <v>317</v>
      </c>
      <c r="L766" s="64">
        <v>2.77</v>
      </c>
      <c r="M766" s="64"/>
      <c r="N766" s="65"/>
      <c r="O766" s="66"/>
      <c r="P766" s="62"/>
      <c r="Q766" s="67"/>
      <c r="R766" s="64"/>
      <c r="S766" s="64"/>
      <c r="T766" s="67"/>
      <c r="U766" s="68"/>
      <c r="V766" s="69"/>
    </row>
    <row r="767" spans="1:22" x14ac:dyDescent="0.3">
      <c r="A767" s="61" t="s">
        <v>1133</v>
      </c>
      <c r="B767" s="62" t="s">
        <v>317</v>
      </c>
      <c r="C767" s="62" t="s">
        <v>629</v>
      </c>
      <c r="D767" s="62" t="s">
        <v>1216</v>
      </c>
      <c r="E767" s="63" t="s">
        <v>321</v>
      </c>
      <c r="F767" s="62" t="s">
        <v>365</v>
      </c>
      <c r="G767" s="62" t="s">
        <v>323</v>
      </c>
      <c r="H767" s="62"/>
      <c r="I767" s="62"/>
      <c r="J767" s="62"/>
      <c r="K767" s="62" t="s">
        <v>317</v>
      </c>
      <c r="L767" s="64">
        <v>14.65</v>
      </c>
      <c r="M767" s="64"/>
      <c r="N767" s="65"/>
      <c r="O767" s="66"/>
      <c r="P767" s="62"/>
      <c r="Q767" s="67"/>
      <c r="R767" s="64"/>
      <c r="S767" s="64"/>
      <c r="T767" s="67"/>
      <c r="U767" s="68"/>
      <c r="V767" s="69"/>
    </row>
    <row r="768" spans="1:22" x14ac:dyDescent="0.3">
      <c r="A768" s="61" t="s">
        <v>1133</v>
      </c>
      <c r="B768" s="62" t="s">
        <v>317</v>
      </c>
      <c r="C768" s="62" t="s">
        <v>629</v>
      </c>
      <c r="D768" s="62" t="s">
        <v>1217</v>
      </c>
      <c r="E768" s="63" t="s">
        <v>394</v>
      </c>
      <c r="F768" s="62" t="s">
        <v>365</v>
      </c>
      <c r="G768" s="62" t="s">
        <v>272</v>
      </c>
      <c r="H768" s="62" t="s">
        <v>11</v>
      </c>
      <c r="I768" s="62" t="s">
        <v>210</v>
      </c>
      <c r="J768" s="63" t="s">
        <v>273</v>
      </c>
      <c r="K768" s="62" t="s">
        <v>317</v>
      </c>
      <c r="L768" s="64">
        <v>55.57</v>
      </c>
      <c r="M768" s="64">
        <f t="shared" ref="M768:M785" si="273">L768*VLOOKUP(H768,dagsoorttabel1,2,FALSE)</f>
        <v>55.57</v>
      </c>
      <c r="N768" s="65">
        <f>prodnorm42</f>
        <v>0</v>
      </c>
      <c r="O768" s="66">
        <f>dagwerk42</f>
        <v>0</v>
      </c>
      <c r="P768" s="62" t="s">
        <v>40</v>
      </c>
      <c r="Q768" s="67">
        <f>uurtarief42</f>
        <v>0</v>
      </c>
      <c r="R768" s="64" t="e">
        <f t="shared" ref="R768:R785" si="274">IF(ISBLANK(N768),0,M768/ROUND(N768,4))</f>
        <v>#DIV/0!</v>
      </c>
      <c r="S768" s="64" t="e">
        <f t="shared" ref="S768:S785" si="275">IF(ISBLANK(N768),0,R768*ROUND(O768,2))</f>
        <v>#DIV/0!</v>
      </c>
      <c r="T768" s="67" t="e">
        <f t="shared" ref="T768:T785" si="276">ROUND(Q768,2)*R768</f>
        <v>#DIV/0!</v>
      </c>
      <c r="U768" s="64" t="e">
        <f t="shared" ref="U768:U785" si="277">R768*dagenperjaar1</f>
        <v>#DIV/0!</v>
      </c>
      <c r="V768" s="69" t="e">
        <f t="shared" ref="V768:V785" si="278">U768*ROUND(Q768,2)</f>
        <v>#DIV/0!</v>
      </c>
    </row>
    <row r="769" spans="1:22" x14ac:dyDescent="0.3">
      <c r="A769" s="61" t="s">
        <v>1133</v>
      </c>
      <c r="B769" s="62" t="s">
        <v>317</v>
      </c>
      <c r="C769" s="62" t="s">
        <v>629</v>
      </c>
      <c r="D769" s="62" t="s">
        <v>1218</v>
      </c>
      <c r="E769" s="63" t="s">
        <v>1219</v>
      </c>
      <c r="F769" s="62" t="s">
        <v>365</v>
      </c>
      <c r="G769" s="62" t="s">
        <v>234</v>
      </c>
      <c r="H769" s="62" t="s">
        <v>14</v>
      </c>
      <c r="I769" s="62" t="s">
        <v>210</v>
      </c>
      <c r="J769" s="63" t="s">
        <v>235</v>
      </c>
      <c r="K769" s="62" t="s">
        <v>317</v>
      </c>
      <c r="L769" s="64">
        <v>47.760000000000005</v>
      </c>
      <c r="M769" s="64">
        <f t="shared" si="273"/>
        <v>28.656000000000002</v>
      </c>
      <c r="N769" s="65">
        <f t="shared" ref="N769:N774" si="279">prodnorm22</f>
        <v>0</v>
      </c>
      <c r="O769" s="66">
        <f t="shared" ref="O769:O774" si="280">dagwerk22</f>
        <v>0</v>
      </c>
      <c r="P769" s="62" t="s">
        <v>40</v>
      </c>
      <c r="Q769" s="67">
        <f t="shared" ref="Q769:Q774" si="281">uurtarief22</f>
        <v>0</v>
      </c>
      <c r="R769" s="64" t="e">
        <f t="shared" si="274"/>
        <v>#DIV/0!</v>
      </c>
      <c r="S769" s="64" t="e">
        <f t="shared" si="275"/>
        <v>#DIV/0!</v>
      </c>
      <c r="T769" s="67" t="e">
        <f t="shared" si="276"/>
        <v>#DIV/0!</v>
      </c>
      <c r="U769" s="64" t="e">
        <f t="shared" si="277"/>
        <v>#DIV/0!</v>
      </c>
      <c r="V769" s="69" t="e">
        <f t="shared" si="278"/>
        <v>#DIV/0!</v>
      </c>
    </row>
    <row r="770" spans="1:22" x14ac:dyDescent="0.3">
      <c r="A770" s="61" t="s">
        <v>1133</v>
      </c>
      <c r="B770" s="62" t="s">
        <v>317</v>
      </c>
      <c r="C770" s="62" t="s">
        <v>629</v>
      </c>
      <c r="D770" s="62" t="s">
        <v>1220</v>
      </c>
      <c r="E770" s="63" t="s">
        <v>1221</v>
      </c>
      <c r="F770" s="62" t="s">
        <v>365</v>
      </c>
      <c r="G770" s="62" t="s">
        <v>234</v>
      </c>
      <c r="H770" s="62" t="s">
        <v>14</v>
      </c>
      <c r="I770" s="62" t="s">
        <v>210</v>
      </c>
      <c r="J770" s="63" t="s">
        <v>235</v>
      </c>
      <c r="K770" s="62" t="s">
        <v>317</v>
      </c>
      <c r="L770" s="64">
        <v>47.61</v>
      </c>
      <c r="M770" s="64">
        <f t="shared" si="273"/>
        <v>28.565999999999999</v>
      </c>
      <c r="N770" s="65">
        <f t="shared" si="279"/>
        <v>0</v>
      </c>
      <c r="O770" s="66">
        <f t="shared" si="280"/>
        <v>0</v>
      </c>
      <c r="P770" s="62" t="s">
        <v>40</v>
      </c>
      <c r="Q770" s="67">
        <f t="shared" si="281"/>
        <v>0</v>
      </c>
      <c r="R770" s="64" t="e">
        <f t="shared" si="274"/>
        <v>#DIV/0!</v>
      </c>
      <c r="S770" s="64" t="e">
        <f t="shared" si="275"/>
        <v>#DIV/0!</v>
      </c>
      <c r="T770" s="67" t="e">
        <f t="shared" si="276"/>
        <v>#DIV/0!</v>
      </c>
      <c r="U770" s="64" t="e">
        <f t="shared" si="277"/>
        <v>#DIV/0!</v>
      </c>
      <c r="V770" s="69" t="e">
        <f t="shared" si="278"/>
        <v>#DIV/0!</v>
      </c>
    </row>
    <row r="771" spans="1:22" x14ac:dyDescent="0.3">
      <c r="A771" s="61" t="s">
        <v>1133</v>
      </c>
      <c r="B771" s="62" t="s">
        <v>317</v>
      </c>
      <c r="C771" s="62" t="s">
        <v>629</v>
      </c>
      <c r="D771" s="62" t="s">
        <v>1222</v>
      </c>
      <c r="E771" s="63" t="s">
        <v>1223</v>
      </c>
      <c r="F771" s="62" t="s">
        <v>365</v>
      </c>
      <c r="G771" s="62" t="s">
        <v>234</v>
      </c>
      <c r="H771" s="62" t="s">
        <v>14</v>
      </c>
      <c r="I771" s="62" t="s">
        <v>210</v>
      </c>
      <c r="J771" s="63" t="s">
        <v>235</v>
      </c>
      <c r="K771" s="62" t="s">
        <v>317</v>
      </c>
      <c r="L771" s="64">
        <v>47.49</v>
      </c>
      <c r="M771" s="64">
        <f t="shared" si="273"/>
        <v>28.494</v>
      </c>
      <c r="N771" s="65">
        <f t="shared" si="279"/>
        <v>0</v>
      </c>
      <c r="O771" s="66">
        <f t="shared" si="280"/>
        <v>0</v>
      </c>
      <c r="P771" s="62" t="s">
        <v>40</v>
      </c>
      <c r="Q771" s="67">
        <f t="shared" si="281"/>
        <v>0</v>
      </c>
      <c r="R771" s="64" t="e">
        <f t="shared" si="274"/>
        <v>#DIV/0!</v>
      </c>
      <c r="S771" s="64" t="e">
        <f t="shared" si="275"/>
        <v>#DIV/0!</v>
      </c>
      <c r="T771" s="67" t="e">
        <f t="shared" si="276"/>
        <v>#DIV/0!</v>
      </c>
      <c r="U771" s="64" t="e">
        <f t="shared" si="277"/>
        <v>#DIV/0!</v>
      </c>
      <c r="V771" s="69" t="e">
        <f t="shared" si="278"/>
        <v>#DIV/0!</v>
      </c>
    </row>
    <row r="772" spans="1:22" x14ac:dyDescent="0.3">
      <c r="A772" s="61" t="s">
        <v>1133</v>
      </c>
      <c r="B772" s="62" t="s">
        <v>317</v>
      </c>
      <c r="C772" s="62" t="s">
        <v>629</v>
      </c>
      <c r="D772" s="62" t="s">
        <v>1224</v>
      </c>
      <c r="E772" s="63" t="s">
        <v>1225</v>
      </c>
      <c r="F772" s="62" t="s">
        <v>365</v>
      </c>
      <c r="G772" s="62" t="s">
        <v>234</v>
      </c>
      <c r="H772" s="62" t="s">
        <v>14</v>
      </c>
      <c r="I772" s="62" t="s">
        <v>210</v>
      </c>
      <c r="J772" s="63" t="s">
        <v>235</v>
      </c>
      <c r="K772" s="62" t="s">
        <v>317</v>
      </c>
      <c r="L772" s="64">
        <v>46.99</v>
      </c>
      <c r="M772" s="64">
        <f t="shared" si="273"/>
        <v>28.193999999999999</v>
      </c>
      <c r="N772" s="65">
        <f t="shared" si="279"/>
        <v>0</v>
      </c>
      <c r="O772" s="66">
        <f t="shared" si="280"/>
        <v>0</v>
      </c>
      <c r="P772" s="62" t="s">
        <v>40</v>
      </c>
      <c r="Q772" s="67">
        <f t="shared" si="281"/>
        <v>0</v>
      </c>
      <c r="R772" s="64" t="e">
        <f t="shared" si="274"/>
        <v>#DIV/0!</v>
      </c>
      <c r="S772" s="64" t="e">
        <f t="shared" si="275"/>
        <v>#DIV/0!</v>
      </c>
      <c r="T772" s="67" t="e">
        <f t="shared" si="276"/>
        <v>#DIV/0!</v>
      </c>
      <c r="U772" s="64" t="e">
        <f t="shared" si="277"/>
        <v>#DIV/0!</v>
      </c>
      <c r="V772" s="69" t="e">
        <f t="shared" si="278"/>
        <v>#DIV/0!</v>
      </c>
    </row>
    <row r="773" spans="1:22" x14ac:dyDescent="0.3">
      <c r="A773" s="61" t="s">
        <v>1133</v>
      </c>
      <c r="B773" s="62" t="s">
        <v>317</v>
      </c>
      <c r="C773" s="62" t="s">
        <v>629</v>
      </c>
      <c r="D773" s="62" t="s">
        <v>1226</v>
      </c>
      <c r="E773" s="63" t="s">
        <v>1227</v>
      </c>
      <c r="F773" s="62" t="s">
        <v>365</v>
      </c>
      <c r="G773" s="62" t="s">
        <v>234</v>
      </c>
      <c r="H773" s="62" t="s">
        <v>14</v>
      </c>
      <c r="I773" s="62" t="s">
        <v>210</v>
      </c>
      <c r="J773" s="63" t="s">
        <v>235</v>
      </c>
      <c r="K773" s="62" t="s">
        <v>317</v>
      </c>
      <c r="L773" s="64">
        <v>47.760000000000005</v>
      </c>
      <c r="M773" s="64">
        <f t="shared" si="273"/>
        <v>28.656000000000002</v>
      </c>
      <c r="N773" s="65">
        <f t="shared" si="279"/>
        <v>0</v>
      </c>
      <c r="O773" s="66">
        <f t="shared" si="280"/>
        <v>0</v>
      </c>
      <c r="P773" s="62" t="s">
        <v>40</v>
      </c>
      <c r="Q773" s="67">
        <f t="shared" si="281"/>
        <v>0</v>
      </c>
      <c r="R773" s="64" t="e">
        <f t="shared" si="274"/>
        <v>#DIV/0!</v>
      </c>
      <c r="S773" s="64" t="e">
        <f t="shared" si="275"/>
        <v>#DIV/0!</v>
      </c>
      <c r="T773" s="67" t="e">
        <f t="shared" si="276"/>
        <v>#DIV/0!</v>
      </c>
      <c r="U773" s="64" t="e">
        <f t="shared" si="277"/>
        <v>#DIV/0!</v>
      </c>
      <c r="V773" s="69" t="e">
        <f t="shared" si="278"/>
        <v>#DIV/0!</v>
      </c>
    </row>
    <row r="774" spans="1:22" x14ac:dyDescent="0.3">
      <c r="A774" s="61" t="s">
        <v>1133</v>
      </c>
      <c r="B774" s="62" t="s">
        <v>317</v>
      </c>
      <c r="C774" s="62" t="s">
        <v>629</v>
      </c>
      <c r="D774" s="62" t="s">
        <v>1228</v>
      </c>
      <c r="E774" s="63" t="s">
        <v>1229</v>
      </c>
      <c r="F774" s="62" t="s">
        <v>365</v>
      </c>
      <c r="G774" s="62" t="s">
        <v>234</v>
      </c>
      <c r="H774" s="62" t="s">
        <v>14</v>
      </c>
      <c r="I774" s="62" t="s">
        <v>210</v>
      </c>
      <c r="J774" s="63" t="s">
        <v>235</v>
      </c>
      <c r="K774" s="62" t="s">
        <v>317</v>
      </c>
      <c r="L774" s="64">
        <v>47.61</v>
      </c>
      <c r="M774" s="64">
        <f t="shared" si="273"/>
        <v>28.565999999999999</v>
      </c>
      <c r="N774" s="65">
        <f t="shared" si="279"/>
        <v>0</v>
      </c>
      <c r="O774" s="66">
        <f t="shared" si="280"/>
        <v>0</v>
      </c>
      <c r="P774" s="62" t="s">
        <v>40</v>
      </c>
      <c r="Q774" s="67">
        <f t="shared" si="281"/>
        <v>0</v>
      </c>
      <c r="R774" s="64" t="e">
        <f t="shared" si="274"/>
        <v>#DIV/0!</v>
      </c>
      <c r="S774" s="64" t="e">
        <f t="shared" si="275"/>
        <v>#DIV/0!</v>
      </c>
      <c r="T774" s="67" t="e">
        <f t="shared" si="276"/>
        <v>#DIV/0!</v>
      </c>
      <c r="U774" s="64" t="e">
        <f t="shared" si="277"/>
        <v>#DIV/0!</v>
      </c>
      <c r="V774" s="69" t="e">
        <f t="shared" si="278"/>
        <v>#DIV/0!</v>
      </c>
    </row>
    <row r="775" spans="1:22" x14ac:dyDescent="0.3">
      <c r="A775" s="61" t="s">
        <v>1133</v>
      </c>
      <c r="B775" s="62" t="s">
        <v>317</v>
      </c>
      <c r="C775" s="62" t="s">
        <v>629</v>
      </c>
      <c r="D775" s="62" t="s">
        <v>1230</v>
      </c>
      <c r="E775" s="63" t="s">
        <v>394</v>
      </c>
      <c r="F775" s="62" t="s">
        <v>365</v>
      </c>
      <c r="G775" s="62" t="s">
        <v>272</v>
      </c>
      <c r="H775" s="62" t="s">
        <v>11</v>
      </c>
      <c r="I775" s="62" t="s">
        <v>210</v>
      </c>
      <c r="J775" s="63" t="s">
        <v>273</v>
      </c>
      <c r="K775" s="62" t="s">
        <v>317</v>
      </c>
      <c r="L775" s="64">
        <v>46.02</v>
      </c>
      <c r="M775" s="64">
        <f t="shared" si="273"/>
        <v>46.02</v>
      </c>
      <c r="N775" s="65">
        <f>prodnorm42</f>
        <v>0</v>
      </c>
      <c r="O775" s="66">
        <f>dagwerk42</f>
        <v>0</v>
      </c>
      <c r="P775" s="62" t="s">
        <v>40</v>
      </c>
      <c r="Q775" s="67">
        <f>uurtarief42</f>
        <v>0</v>
      </c>
      <c r="R775" s="64" t="e">
        <f t="shared" si="274"/>
        <v>#DIV/0!</v>
      </c>
      <c r="S775" s="64" t="e">
        <f t="shared" si="275"/>
        <v>#DIV/0!</v>
      </c>
      <c r="T775" s="67" t="e">
        <f t="shared" si="276"/>
        <v>#DIV/0!</v>
      </c>
      <c r="U775" s="64" t="e">
        <f t="shared" si="277"/>
        <v>#DIV/0!</v>
      </c>
      <c r="V775" s="69" t="e">
        <f t="shared" si="278"/>
        <v>#DIV/0!</v>
      </c>
    </row>
    <row r="776" spans="1:22" x14ac:dyDescent="0.3">
      <c r="A776" s="61" t="s">
        <v>1133</v>
      </c>
      <c r="B776" s="62" t="s">
        <v>317</v>
      </c>
      <c r="C776" s="62" t="s">
        <v>629</v>
      </c>
      <c r="D776" s="62" t="s">
        <v>1231</v>
      </c>
      <c r="E776" s="63" t="s">
        <v>394</v>
      </c>
      <c r="F776" s="62" t="s">
        <v>365</v>
      </c>
      <c r="G776" s="62" t="s">
        <v>272</v>
      </c>
      <c r="H776" s="62" t="s">
        <v>11</v>
      </c>
      <c r="I776" s="62" t="s">
        <v>210</v>
      </c>
      <c r="J776" s="63" t="s">
        <v>273</v>
      </c>
      <c r="K776" s="62" t="s">
        <v>317</v>
      </c>
      <c r="L776" s="64">
        <v>23.89</v>
      </c>
      <c r="M776" s="64">
        <f t="shared" si="273"/>
        <v>23.89</v>
      </c>
      <c r="N776" s="65">
        <f>prodnorm42</f>
        <v>0</v>
      </c>
      <c r="O776" s="66">
        <f>dagwerk42</f>
        <v>0</v>
      </c>
      <c r="P776" s="62" t="s">
        <v>40</v>
      </c>
      <c r="Q776" s="67">
        <f>uurtarief42</f>
        <v>0</v>
      </c>
      <c r="R776" s="64" t="e">
        <f t="shared" si="274"/>
        <v>#DIV/0!</v>
      </c>
      <c r="S776" s="64" t="e">
        <f t="shared" si="275"/>
        <v>#DIV/0!</v>
      </c>
      <c r="T776" s="67" t="e">
        <f t="shared" si="276"/>
        <v>#DIV/0!</v>
      </c>
      <c r="U776" s="64" t="e">
        <f t="shared" si="277"/>
        <v>#DIV/0!</v>
      </c>
      <c r="V776" s="69" t="e">
        <f t="shared" si="278"/>
        <v>#DIV/0!</v>
      </c>
    </row>
    <row r="777" spans="1:22" x14ac:dyDescent="0.3">
      <c r="A777" s="61" t="s">
        <v>1133</v>
      </c>
      <c r="B777" s="62" t="s">
        <v>317</v>
      </c>
      <c r="C777" s="62" t="s">
        <v>629</v>
      </c>
      <c r="D777" s="62" t="s">
        <v>1232</v>
      </c>
      <c r="E777" s="63" t="s">
        <v>1169</v>
      </c>
      <c r="F777" s="62" t="s">
        <v>1118</v>
      </c>
      <c r="G777" s="62" t="s">
        <v>266</v>
      </c>
      <c r="H777" s="62" t="s">
        <v>11</v>
      </c>
      <c r="I777" s="62" t="s">
        <v>210</v>
      </c>
      <c r="J777" s="63" t="s">
        <v>267</v>
      </c>
      <c r="K777" s="62" t="s">
        <v>317</v>
      </c>
      <c r="L777" s="64">
        <v>11.67</v>
      </c>
      <c r="M777" s="64">
        <f t="shared" si="273"/>
        <v>11.67</v>
      </c>
      <c r="N777" s="65">
        <f>prodnorm39</f>
        <v>0</v>
      </c>
      <c r="O777" s="66">
        <f>dagwerk39</f>
        <v>0</v>
      </c>
      <c r="P777" s="62" t="s">
        <v>40</v>
      </c>
      <c r="Q777" s="67">
        <f>uurtarief39</f>
        <v>0</v>
      </c>
      <c r="R777" s="64" t="e">
        <f t="shared" si="274"/>
        <v>#DIV/0!</v>
      </c>
      <c r="S777" s="64" t="e">
        <f t="shared" si="275"/>
        <v>#DIV/0!</v>
      </c>
      <c r="T777" s="67" t="e">
        <f t="shared" si="276"/>
        <v>#DIV/0!</v>
      </c>
      <c r="U777" s="64" t="e">
        <f t="shared" si="277"/>
        <v>#DIV/0!</v>
      </c>
      <c r="V777" s="69" t="e">
        <f t="shared" si="278"/>
        <v>#DIV/0!</v>
      </c>
    </row>
    <row r="778" spans="1:22" x14ac:dyDescent="0.3">
      <c r="A778" s="61" t="s">
        <v>1133</v>
      </c>
      <c r="B778" s="62" t="s">
        <v>317</v>
      </c>
      <c r="C778" s="62" t="s">
        <v>629</v>
      </c>
      <c r="D778" s="62" t="s">
        <v>1233</v>
      </c>
      <c r="E778" s="63" t="s">
        <v>1142</v>
      </c>
      <c r="F778" s="62" t="s">
        <v>1118</v>
      </c>
      <c r="G778" s="62" t="s">
        <v>266</v>
      </c>
      <c r="H778" s="62" t="s">
        <v>11</v>
      </c>
      <c r="I778" s="62" t="s">
        <v>210</v>
      </c>
      <c r="J778" s="63" t="s">
        <v>267</v>
      </c>
      <c r="K778" s="62" t="s">
        <v>317</v>
      </c>
      <c r="L778" s="64">
        <v>3.73</v>
      </c>
      <c r="M778" s="64">
        <f t="shared" si="273"/>
        <v>3.73</v>
      </c>
      <c r="N778" s="65">
        <f>prodnorm39</f>
        <v>0</v>
      </c>
      <c r="O778" s="66">
        <f>dagwerk39</f>
        <v>0</v>
      </c>
      <c r="P778" s="62" t="s">
        <v>40</v>
      </c>
      <c r="Q778" s="67">
        <f>uurtarief39</f>
        <v>0</v>
      </c>
      <c r="R778" s="64" t="e">
        <f t="shared" si="274"/>
        <v>#DIV/0!</v>
      </c>
      <c r="S778" s="64" t="e">
        <f t="shared" si="275"/>
        <v>#DIV/0!</v>
      </c>
      <c r="T778" s="67" t="e">
        <f t="shared" si="276"/>
        <v>#DIV/0!</v>
      </c>
      <c r="U778" s="64" t="e">
        <f t="shared" si="277"/>
        <v>#DIV/0!</v>
      </c>
      <c r="V778" s="69" t="e">
        <f t="shared" si="278"/>
        <v>#DIV/0!</v>
      </c>
    </row>
    <row r="779" spans="1:22" x14ac:dyDescent="0.3">
      <c r="A779" s="61" t="s">
        <v>1133</v>
      </c>
      <c r="B779" s="62" t="s">
        <v>317</v>
      </c>
      <c r="C779" s="62" t="s">
        <v>629</v>
      </c>
      <c r="D779" s="62" t="s">
        <v>1234</v>
      </c>
      <c r="E779" s="63" t="s">
        <v>1235</v>
      </c>
      <c r="F779" s="62" t="s">
        <v>1118</v>
      </c>
      <c r="G779" s="62" t="s">
        <v>266</v>
      </c>
      <c r="H779" s="62" t="s">
        <v>11</v>
      </c>
      <c r="I779" s="62" t="s">
        <v>210</v>
      </c>
      <c r="J779" s="63" t="s">
        <v>267</v>
      </c>
      <c r="K779" s="62" t="s">
        <v>317</v>
      </c>
      <c r="L779" s="64">
        <v>1.07</v>
      </c>
      <c r="M779" s="64">
        <f t="shared" si="273"/>
        <v>1.07</v>
      </c>
      <c r="N779" s="65">
        <f>prodnorm39</f>
        <v>0</v>
      </c>
      <c r="O779" s="66">
        <f>dagwerk39</f>
        <v>0</v>
      </c>
      <c r="P779" s="62" t="s">
        <v>40</v>
      </c>
      <c r="Q779" s="67">
        <f>uurtarief39</f>
        <v>0</v>
      </c>
      <c r="R779" s="64" t="e">
        <f t="shared" si="274"/>
        <v>#DIV/0!</v>
      </c>
      <c r="S779" s="64" t="e">
        <f t="shared" si="275"/>
        <v>#DIV/0!</v>
      </c>
      <c r="T779" s="67" t="e">
        <f t="shared" si="276"/>
        <v>#DIV/0!</v>
      </c>
      <c r="U779" s="64" t="e">
        <f t="shared" si="277"/>
        <v>#DIV/0!</v>
      </c>
      <c r="V779" s="69" t="e">
        <f t="shared" si="278"/>
        <v>#DIV/0!</v>
      </c>
    </row>
    <row r="780" spans="1:22" x14ac:dyDescent="0.3">
      <c r="A780" s="61" t="s">
        <v>1133</v>
      </c>
      <c r="B780" s="62" t="s">
        <v>317</v>
      </c>
      <c r="C780" s="62" t="s">
        <v>629</v>
      </c>
      <c r="D780" s="62" t="s">
        <v>1236</v>
      </c>
      <c r="E780" s="63" t="s">
        <v>1237</v>
      </c>
      <c r="F780" s="62" t="s">
        <v>1118</v>
      </c>
      <c r="G780" s="62" t="s">
        <v>266</v>
      </c>
      <c r="H780" s="62" t="s">
        <v>11</v>
      </c>
      <c r="I780" s="62" t="s">
        <v>210</v>
      </c>
      <c r="J780" s="63" t="s">
        <v>267</v>
      </c>
      <c r="K780" s="62" t="s">
        <v>317</v>
      </c>
      <c r="L780" s="64">
        <v>14.78</v>
      </c>
      <c r="M780" s="64">
        <f t="shared" si="273"/>
        <v>14.78</v>
      </c>
      <c r="N780" s="65">
        <f>prodnorm39</f>
        <v>0</v>
      </c>
      <c r="O780" s="66">
        <f>dagwerk39</f>
        <v>0</v>
      </c>
      <c r="P780" s="62" t="s">
        <v>40</v>
      </c>
      <c r="Q780" s="67">
        <f>uurtarief39</f>
        <v>0</v>
      </c>
      <c r="R780" s="64" t="e">
        <f t="shared" si="274"/>
        <v>#DIV/0!</v>
      </c>
      <c r="S780" s="64" t="e">
        <f t="shared" si="275"/>
        <v>#DIV/0!</v>
      </c>
      <c r="T780" s="67" t="e">
        <f t="shared" si="276"/>
        <v>#DIV/0!</v>
      </c>
      <c r="U780" s="64" t="e">
        <f t="shared" si="277"/>
        <v>#DIV/0!</v>
      </c>
      <c r="V780" s="69" t="e">
        <f t="shared" si="278"/>
        <v>#DIV/0!</v>
      </c>
    </row>
    <row r="781" spans="1:22" x14ac:dyDescent="0.3">
      <c r="A781" s="61" t="s">
        <v>1133</v>
      </c>
      <c r="B781" s="62" t="s">
        <v>317</v>
      </c>
      <c r="C781" s="62" t="s">
        <v>629</v>
      </c>
      <c r="D781" s="62" t="s">
        <v>1238</v>
      </c>
      <c r="E781" s="63" t="s">
        <v>1239</v>
      </c>
      <c r="F781" s="62" t="s">
        <v>365</v>
      </c>
      <c r="G781" s="62" t="s">
        <v>234</v>
      </c>
      <c r="H781" s="62" t="s">
        <v>14</v>
      </c>
      <c r="I781" s="62" t="s">
        <v>210</v>
      </c>
      <c r="J781" s="63" t="s">
        <v>235</v>
      </c>
      <c r="K781" s="62" t="s">
        <v>317</v>
      </c>
      <c r="L781" s="64">
        <v>52.25</v>
      </c>
      <c r="M781" s="64">
        <f t="shared" si="273"/>
        <v>31.349999999999998</v>
      </c>
      <c r="N781" s="65">
        <f>prodnorm22</f>
        <v>0</v>
      </c>
      <c r="O781" s="66">
        <f>dagwerk22</f>
        <v>0</v>
      </c>
      <c r="P781" s="62" t="s">
        <v>40</v>
      </c>
      <c r="Q781" s="67">
        <f>uurtarief22</f>
        <v>0</v>
      </c>
      <c r="R781" s="64" t="e">
        <f t="shared" si="274"/>
        <v>#DIV/0!</v>
      </c>
      <c r="S781" s="64" t="e">
        <f t="shared" si="275"/>
        <v>#DIV/0!</v>
      </c>
      <c r="T781" s="67" t="e">
        <f t="shared" si="276"/>
        <v>#DIV/0!</v>
      </c>
      <c r="U781" s="64" t="e">
        <f t="shared" si="277"/>
        <v>#DIV/0!</v>
      </c>
      <c r="V781" s="69" t="e">
        <f t="shared" si="278"/>
        <v>#DIV/0!</v>
      </c>
    </row>
    <row r="782" spans="1:22" x14ac:dyDescent="0.3">
      <c r="A782" s="61" t="s">
        <v>1133</v>
      </c>
      <c r="B782" s="62" t="s">
        <v>317</v>
      </c>
      <c r="C782" s="62" t="s">
        <v>629</v>
      </c>
      <c r="D782" s="62" t="s">
        <v>1240</v>
      </c>
      <c r="E782" s="63" t="s">
        <v>1241</v>
      </c>
      <c r="F782" s="62" t="s">
        <v>365</v>
      </c>
      <c r="G782" s="62" t="s">
        <v>224</v>
      </c>
      <c r="H782" s="62" t="s">
        <v>14</v>
      </c>
      <c r="I782" s="62" t="s">
        <v>210</v>
      </c>
      <c r="J782" s="63" t="s">
        <v>225</v>
      </c>
      <c r="K782" s="62" t="s">
        <v>317</v>
      </c>
      <c r="L782" s="64">
        <v>38.949999999999996</v>
      </c>
      <c r="M782" s="64">
        <f t="shared" si="273"/>
        <v>23.369999999999997</v>
      </c>
      <c r="N782" s="65">
        <f>prodnorm17</f>
        <v>0</v>
      </c>
      <c r="O782" s="66">
        <f>dagwerk17</f>
        <v>0</v>
      </c>
      <c r="P782" s="62" t="s">
        <v>40</v>
      </c>
      <c r="Q782" s="67">
        <f>uurtarief17</f>
        <v>0</v>
      </c>
      <c r="R782" s="64" t="e">
        <f t="shared" si="274"/>
        <v>#DIV/0!</v>
      </c>
      <c r="S782" s="64" t="e">
        <f t="shared" si="275"/>
        <v>#DIV/0!</v>
      </c>
      <c r="T782" s="67" t="e">
        <f t="shared" si="276"/>
        <v>#DIV/0!</v>
      </c>
      <c r="U782" s="64" t="e">
        <f t="shared" si="277"/>
        <v>#DIV/0!</v>
      </c>
      <c r="V782" s="69" t="e">
        <f t="shared" si="278"/>
        <v>#DIV/0!</v>
      </c>
    </row>
    <row r="783" spans="1:22" x14ac:dyDescent="0.3">
      <c r="A783" s="61" t="s">
        <v>1133</v>
      </c>
      <c r="B783" s="62" t="s">
        <v>317</v>
      </c>
      <c r="C783" s="62" t="s">
        <v>629</v>
      </c>
      <c r="D783" s="62" t="s">
        <v>1242</v>
      </c>
      <c r="E783" s="63" t="s">
        <v>1243</v>
      </c>
      <c r="F783" s="62" t="s">
        <v>365</v>
      </c>
      <c r="G783" s="62" t="s">
        <v>214</v>
      </c>
      <c r="H783" s="62" t="s">
        <v>14</v>
      </c>
      <c r="I783" s="62" t="s">
        <v>210</v>
      </c>
      <c r="J783" s="63" t="s">
        <v>215</v>
      </c>
      <c r="K783" s="62" t="s">
        <v>317</v>
      </c>
      <c r="L783" s="64">
        <v>9.59</v>
      </c>
      <c r="M783" s="64">
        <f t="shared" si="273"/>
        <v>5.7539999999999996</v>
      </c>
      <c r="N783" s="65">
        <f>prodnorm12</f>
        <v>0</v>
      </c>
      <c r="O783" s="66">
        <f>dagwerk12</f>
        <v>0</v>
      </c>
      <c r="P783" s="62" t="s">
        <v>40</v>
      </c>
      <c r="Q783" s="67">
        <f>uurtarief12</f>
        <v>0</v>
      </c>
      <c r="R783" s="64" t="e">
        <f t="shared" si="274"/>
        <v>#DIV/0!</v>
      </c>
      <c r="S783" s="64" t="e">
        <f t="shared" si="275"/>
        <v>#DIV/0!</v>
      </c>
      <c r="T783" s="67" t="e">
        <f t="shared" si="276"/>
        <v>#DIV/0!</v>
      </c>
      <c r="U783" s="64" t="e">
        <f t="shared" si="277"/>
        <v>#DIV/0!</v>
      </c>
      <c r="V783" s="69" t="e">
        <f t="shared" si="278"/>
        <v>#DIV/0!</v>
      </c>
    </row>
    <row r="784" spans="1:22" x14ac:dyDescent="0.3">
      <c r="A784" s="61" t="s">
        <v>1133</v>
      </c>
      <c r="B784" s="62" t="s">
        <v>317</v>
      </c>
      <c r="C784" s="62" t="s">
        <v>629</v>
      </c>
      <c r="D784" s="62" t="s">
        <v>1244</v>
      </c>
      <c r="E784" s="63" t="s">
        <v>1241</v>
      </c>
      <c r="F784" s="62" t="s">
        <v>365</v>
      </c>
      <c r="G784" s="62" t="s">
        <v>224</v>
      </c>
      <c r="H784" s="62" t="s">
        <v>14</v>
      </c>
      <c r="I784" s="62" t="s">
        <v>210</v>
      </c>
      <c r="J784" s="63" t="s">
        <v>225</v>
      </c>
      <c r="K784" s="62" t="s">
        <v>317</v>
      </c>
      <c r="L784" s="64">
        <v>41.83</v>
      </c>
      <c r="M784" s="64">
        <f t="shared" si="273"/>
        <v>25.097999999999999</v>
      </c>
      <c r="N784" s="65">
        <f>prodnorm17</f>
        <v>0</v>
      </c>
      <c r="O784" s="66">
        <f>dagwerk17</f>
        <v>0</v>
      </c>
      <c r="P784" s="62" t="s">
        <v>40</v>
      </c>
      <c r="Q784" s="67">
        <f>uurtarief17</f>
        <v>0</v>
      </c>
      <c r="R784" s="64" t="e">
        <f t="shared" si="274"/>
        <v>#DIV/0!</v>
      </c>
      <c r="S784" s="64" t="e">
        <f t="shared" si="275"/>
        <v>#DIV/0!</v>
      </c>
      <c r="T784" s="67" t="e">
        <f t="shared" si="276"/>
        <v>#DIV/0!</v>
      </c>
      <c r="U784" s="64" t="e">
        <f t="shared" si="277"/>
        <v>#DIV/0!</v>
      </c>
      <c r="V784" s="69" t="e">
        <f t="shared" si="278"/>
        <v>#DIV/0!</v>
      </c>
    </row>
    <row r="785" spans="1:22" x14ac:dyDescent="0.3">
      <c r="A785" s="61" t="s">
        <v>1133</v>
      </c>
      <c r="B785" s="62" t="s">
        <v>317</v>
      </c>
      <c r="C785" s="62" t="s">
        <v>629</v>
      </c>
      <c r="D785" s="62" t="s">
        <v>1245</v>
      </c>
      <c r="E785" s="63" t="s">
        <v>1246</v>
      </c>
      <c r="F785" s="62" t="s">
        <v>365</v>
      </c>
      <c r="G785" s="62" t="s">
        <v>214</v>
      </c>
      <c r="H785" s="62" t="s">
        <v>14</v>
      </c>
      <c r="I785" s="62" t="s">
        <v>210</v>
      </c>
      <c r="J785" s="63" t="s">
        <v>215</v>
      </c>
      <c r="K785" s="62" t="s">
        <v>317</v>
      </c>
      <c r="L785" s="64">
        <v>9.59</v>
      </c>
      <c r="M785" s="64">
        <f t="shared" si="273"/>
        <v>5.7539999999999996</v>
      </c>
      <c r="N785" s="65">
        <f>prodnorm12</f>
        <v>0</v>
      </c>
      <c r="O785" s="66">
        <f>dagwerk12</f>
        <v>0</v>
      </c>
      <c r="P785" s="62" t="s">
        <v>40</v>
      </c>
      <c r="Q785" s="67">
        <f>uurtarief12</f>
        <v>0</v>
      </c>
      <c r="R785" s="64" t="e">
        <f t="shared" si="274"/>
        <v>#DIV/0!</v>
      </c>
      <c r="S785" s="64" t="e">
        <f t="shared" si="275"/>
        <v>#DIV/0!</v>
      </c>
      <c r="T785" s="67" t="e">
        <f t="shared" si="276"/>
        <v>#DIV/0!</v>
      </c>
      <c r="U785" s="64" t="e">
        <f t="shared" si="277"/>
        <v>#DIV/0!</v>
      </c>
      <c r="V785" s="69" t="e">
        <f t="shared" si="278"/>
        <v>#DIV/0!</v>
      </c>
    </row>
    <row r="786" spans="1:22" x14ac:dyDescent="0.3">
      <c r="A786" s="61" t="s">
        <v>1133</v>
      </c>
      <c r="B786" s="62" t="s">
        <v>317</v>
      </c>
      <c r="C786" s="62" t="s">
        <v>629</v>
      </c>
      <c r="D786" s="62" t="s">
        <v>1247</v>
      </c>
      <c r="E786" s="63" t="s">
        <v>321</v>
      </c>
      <c r="F786" s="62" t="s">
        <v>365</v>
      </c>
      <c r="G786" s="62" t="s">
        <v>323</v>
      </c>
      <c r="H786" s="62"/>
      <c r="I786" s="62"/>
      <c r="J786" s="62"/>
      <c r="K786" s="62" t="s">
        <v>317</v>
      </c>
      <c r="L786" s="64">
        <v>10.129999999999999</v>
      </c>
      <c r="M786" s="64"/>
      <c r="N786" s="65"/>
      <c r="O786" s="66"/>
      <c r="P786" s="62"/>
      <c r="Q786" s="67"/>
      <c r="R786" s="64"/>
      <c r="S786" s="64"/>
      <c r="T786" s="67"/>
      <c r="U786" s="68"/>
      <c r="V786" s="69"/>
    </row>
    <row r="787" spans="1:22" x14ac:dyDescent="0.3">
      <c r="A787" s="61" t="s">
        <v>1133</v>
      </c>
      <c r="B787" s="62" t="s">
        <v>317</v>
      </c>
      <c r="C787" s="62" t="s">
        <v>629</v>
      </c>
      <c r="D787" s="62" t="s">
        <v>1248</v>
      </c>
      <c r="E787" s="63" t="s">
        <v>1249</v>
      </c>
      <c r="F787" s="62" t="s">
        <v>365</v>
      </c>
      <c r="G787" s="62" t="s">
        <v>234</v>
      </c>
      <c r="H787" s="62" t="s">
        <v>14</v>
      </c>
      <c r="I787" s="62" t="s">
        <v>210</v>
      </c>
      <c r="J787" s="63" t="s">
        <v>235</v>
      </c>
      <c r="K787" s="62" t="s">
        <v>317</v>
      </c>
      <c r="L787" s="64">
        <v>49.309999999999995</v>
      </c>
      <c r="M787" s="64">
        <f>L787*VLOOKUP(H787,dagsoorttabel1,2,FALSE)</f>
        <v>29.585999999999995</v>
      </c>
      <c r="N787" s="65">
        <f>prodnorm22</f>
        <v>0</v>
      </c>
      <c r="O787" s="66">
        <f>dagwerk22</f>
        <v>0</v>
      </c>
      <c r="P787" s="62" t="s">
        <v>40</v>
      </c>
      <c r="Q787" s="67">
        <f>uurtarief22</f>
        <v>0</v>
      </c>
      <c r="R787" s="64" t="e">
        <f>IF(ISBLANK(N787),0,M787/ROUND(N787,4))</f>
        <v>#DIV/0!</v>
      </c>
      <c r="S787" s="64" t="e">
        <f>IF(ISBLANK(N787),0,R787*ROUND(O787,2))</f>
        <v>#DIV/0!</v>
      </c>
      <c r="T787" s="67" t="e">
        <f>ROUND(Q787,2)*R787</f>
        <v>#DIV/0!</v>
      </c>
      <c r="U787" s="64" t="e">
        <f>R787*dagenperjaar1</f>
        <v>#DIV/0!</v>
      </c>
      <c r="V787" s="69" t="e">
        <f>U787*ROUND(Q787,2)</f>
        <v>#DIV/0!</v>
      </c>
    </row>
    <row r="788" spans="1:22" x14ac:dyDescent="0.3">
      <c r="A788" s="61" t="s">
        <v>1133</v>
      </c>
      <c r="B788" s="62" t="s">
        <v>317</v>
      </c>
      <c r="C788" s="62" t="s">
        <v>629</v>
      </c>
      <c r="D788" s="62" t="s">
        <v>1250</v>
      </c>
      <c r="E788" s="63" t="s">
        <v>1251</v>
      </c>
      <c r="F788" s="62" t="s">
        <v>365</v>
      </c>
      <c r="G788" s="62" t="s">
        <v>234</v>
      </c>
      <c r="H788" s="62" t="s">
        <v>14</v>
      </c>
      <c r="I788" s="62" t="s">
        <v>210</v>
      </c>
      <c r="J788" s="63" t="s">
        <v>235</v>
      </c>
      <c r="K788" s="62" t="s">
        <v>317</v>
      </c>
      <c r="L788" s="64">
        <v>55.58</v>
      </c>
      <c r="M788" s="64">
        <f>L788*VLOOKUP(H788,dagsoorttabel1,2,FALSE)</f>
        <v>33.347999999999999</v>
      </c>
      <c r="N788" s="65">
        <f>prodnorm22</f>
        <v>0</v>
      </c>
      <c r="O788" s="66">
        <f>dagwerk22</f>
        <v>0</v>
      </c>
      <c r="P788" s="62" t="s">
        <v>40</v>
      </c>
      <c r="Q788" s="67">
        <f>uurtarief22</f>
        <v>0</v>
      </c>
      <c r="R788" s="64" t="e">
        <f>IF(ISBLANK(N788),0,M788/ROUND(N788,4))</f>
        <v>#DIV/0!</v>
      </c>
      <c r="S788" s="64" t="e">
        <f>IF(ISBLANK(N788),0,R788*ROUND(O788,2))</f>
        <v>#DIV/0!</v>
      </c>
      <c r="T788" s="67" t="e">
        <f>ROUND(Q788,2)*R788</f>
        <v>#DIV/0!</v>
      </c>
      <c r="U788" s="64" t="e">
        <f>R788*dagenperjaar1</f>
        <v>#DIV/0!</v>
      </c>
      <c r="V788" s="69" t="e">
        <f>U788*ROUND(Q788,2)</f>
        <v>#DIV/0!</v>
      </c>
    </row>
    <row r="789" spans="1:22" x14ac:dyDescent="0.3">
      <c r="A789" s="61" t="s">
        <v>1133</v>
      </c>
      <c r="B789" s="62" t="s">
        <v>317</v>
      </c>
      <c r="C789" s="62" t="s">
        <v>629</v>
      </c>
      <c r="D789" s="62" t="s">
        <v>1252</v>
      </c>
      <c r="E789" s="63" t="s">
        <v>1253</v>
      </c>
      <c r="F789" s="62" t="s">
        <v>365</v>
      </c>
      <c r="G789" s="62" t="s">
        <v>234</v>
      </c>
      <c r="H789" s="62" t="s">
        <v>14</v>
      </c>
      <c r="I789" s="62" t="s">
        <v>210</v>
      </c>
      <c r="J789" s="63" t="s">
        <v>235</v>
      </c>
      <c r="K789" s="62" t="s">
        <v>317</v>
      </c>
      <c r="L789" s="64">
        <v>25.89</v>
      </c>
      <c r="M789" s="64">
        <f>L789*VLOOKUP(H789,dagsoorttabel1,2,FALSE)</f>
        <v>15.533999999999999</v>
      </c>
      <c r="N789" s="65">
        <f>prodnorm22</f>
        <v>0</v>
      </c>
      <c r="O789" s="66">
        <f>dagwerk22</f>
        <v>0</v>
      </c>
      <c r="P789" s="62" t="s">
        <v>40</v>
      </c>
      <c r="Q789" s="67">
        <f>uurtarief22</f>
        <v>0</v>
      </c>
      <c r="R789" s="64" t="e">
        <f>IF(ISBLANK(N789),0,M789/ROUND(N789,4))</f>
        <v>#DIV/0!</v>
      </c>
      <c r="S789" s="64" t="e">
        <f>IF(ISBLANK(N789),0,R789*ROUND(O789,2))</f>
        <v>#DIV/0!</v>
      </c>
      <c r="T789" s="67" t="e">
        <f>ROUND(Q789,2)*R789</f>
        <v>#DIV/0!</v>
      </c>
      <c r="U789" s="64" t="e">
        <f>R789*dagenperjaar1</f>
        <v>#DIV/0!</v>
      </c>
      <c r="V789" s="69" t="e">
        <f>U789*ROUND(Q789,2)</f>
        <v>#DIV/0!</v>
      </c>
    </row>
    <row r="790" spans="1:22" x14ac:dyDescent="0.3">
      <c r="A790" s="70" t="s">
        <v>1133</v>
      </c>
      <c r="B790" s="71" t="s">
        <v>317</v>
      </c>
      <c r="C790" s="71" t="s">
        <v>629</v>
      </c>
      <c r="D790" s="71" t="s">
        <v>1254</v>
      </c>
      <c r="E790" s="72" t="s">
        <v>1255</v>
      </c>
      <c r="F790" s="71" t="s">
        <v>365</v>
      </c>
      <c r="G790" s="71" t="s">
        <v>250</v>
      </c>
      <c r="H790" s="71" t="s">
        <v>11</v>
      </c>
      <c r="I790" s="71" t="s">
        <v>210</v>
      </c>
      <c r="J790" s="72" t="s">
        <v>251</v>
      </c>
      <c r="K790" s="71" t="s">
        <v>317</v>
      </c>
      <c r="L790" s="73">
        <v>55.28</v>
      </c>
      <c r="M790" s="73">
        <f>L790*VLOOKUP(H790,dagsoorttabel1,2,FALSE)</f>
        <v>55.28</v>
      </c>
      <c r="N790" s="74">
        <f>prodnorm31</f>
        <v>0</v>
      </c>
      <c r="O790" s="75">
        <f>dagwerk31</f>
        <v>0</v>
      </c>
      <c r="P790" s="71" t="s">
        <v>40</v>
      </c>
      <c r="Q790" s="76">
        <f>uurtarief31</f>
        <v>0</v>
      </c>
      <c r="R790" s="73" t="e">
        <f>IF(ISBLANK(N790),0,M790/ROUND(N790,4))</f>
        <v>#DIV/0!</v>
      </c>
      <c r="S790" s="73" t="e">
        <f>IF(ISBLANK(N790),0,R790*ROUND(O790,2))</f>
        <v>#DIV/0!</v>
      </c>
      <c r="T790" s="76" t="e">
        <f>ROUND(Q790,2)*R790</f>
        <v>#DIV/0!</v>
      </c>
      <c r="U790" s="73" t="e">
        <f>R790*dagenperjaar1</f>
        <v>#DIV/0!</v>
      </c>
      <c r="V790" s="78" t="e">
        <f>U790*ROUND(Q790,2)</f>
        <v>#DIV/0!</v>
      </c>
    </row>
    <row r="791" spans="1:22" x14ac:dyDescent="0.3">
      <c r="A791" s="79" t="s">
        <v>1105</v>
      </c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5" t="e">
        <f>IF(_xlfn.SINGLE(object3_urenjaar1)&gt;0,_xlfn.SINGLE(object3_prijsjaar1)/_xlfn.SINGLE(object3_urenjaar1),0)</f>
        <v>#DIV/0!</v>
      </c>
      <c r="R791" s="44" t="e">
        <f>SUM(R702:R790)</f>
        <v>#DIV/0!</v>
      </c>
      <c r="S791" s="44" t="e">
        <f>SUM(S702:S790)</f>
        <v>#DIV/0!</v>
      </c>
      <c r="T791" s="45" t="e">
        <f>SUM(T702:T790)</f>
        <v>#DIV/0!</v>
      </c>
      <c r="U791" s="44" t="e">
        <f>SUM(U702:U790)</f>
        <v>#DIV/0!</v>
      </c>
      <c r="V791" s="46" t="e">
        <f>SUM(V702:V790)</f>
        <v>#DIV/0!</v>
      </c>
    </row>
    <row r="792" spans="1:22" x14ac:dyDescent="0.3">
      <c r="A792" s="52" t="s">
        <v>1256</v>
      </c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41"/>
    </row>
    <row r="793" spans="1:22" x14ac:dyDescent="0.3">
      <c r="A793" s="53" t="s">
        <v>1257</v>
      </c>
      <c r="B793" s="54" t="s">
        <v>317</v>
      </c>
      <c r="C793" s="54" t="s">
        <v>317</v>
      </c>
      <c r="D793" s="54" t="s">
        <v>317</v>
      </c>
      <c r="E793" s="55" t="s">
        <v>319</v>
      </c>
      <c r="F793" s="54" t="s">
        <v>317</v>
      </c>
      <c r="G793" s="54" t="s">
        <v>288</v>
      </c>
      <c r="H793" s="54" t="s">
        <v>11</v>
      </c>
      <c r="I793" s="54" t="s">
        <v>289</v>
      </c>
      <c r="J793" s="55" t="s">
        <v>290</v>
      </c>
      <c r="K793" s="54" t="s">
        <v>317</v>
      </c>
      <c r="L793" s="56">
        <v>0.25</v>
      </c>
      <c r="M793" s="56">
        <f>L793*VLOOKUP(H793,dagsoorttabel1,2,FALSE)</f>
        <v>0.25</v>
      </c>
      <c r="N793" s="57"/>
      <c r="O793" s="58">
        <f>dagwerk6</f>
        <v>0</v>
      </c>
      <c r="P793" s="54" t="s">
        <v>291</v>
      </c>
      <c r="Q793" s="59">
        <f>uurtarief6</f>
        <v>0</v>
      </c>
      <c r="R793" s="56">
        <f>M793</f>
        <v>0.25</v>
      </c>
      <c r="S793" s="56">
        <f>R793*ROUND(O793,2)</f>
        <v>0</v>
      </c>
      <c r="T793" s="59">
        <f>ROUND(Q793,2)*R793</f>
        <v>0</v>
      </c>
      <c r="U793" s="56">
        <f>R793*dagenperjaar1</f>
        <v>52.5</v>
      </c>
      <c r="V793" s="60">
        <f>U793*ROUND(Q793,2)</f>
        <v>0</v>
      </c>
    </row>
    <row r="794" spans="1:22" x14ac:dyDescent="0.3">
      <c r="A794" s="61" t="s">
        <v>1257</v>
      </c>
      <c r="B794" s="62" t="s">
        <v>317</v>
      </c>
      <c r="C794" s="62" t="s">
        <v>1258</v>
      </c>
      <c r="D794" s="62" t="s">
        <v>1259</v>
      </c>
      <c r="E794" s="63" t="s">
        <v>1260</v>
      </c>
      <c r="F794" s="62" t="s">
        <v>331</v>
      </c>
      <c r="G794" s="62" t="s">
        <v>286</v>
      </c>
      <c r="H794" s="62" t="s">
        <v>11</v>
      </c>
      <c r="I794" s="62" t="s">
        <v>210</v>
      </c>
      <c r="J794" s="63" t="s">
        <v>287</v>
      </c>
      <c r="K794" s="62" t="s">
        <v>317</v>
      </c>
      <c r="L794" s="64">
        <v>17</v>
      </c>
      <c r="M794" s="64">
        <f>L794*VLOOKUP(H794,dagsoorttabel1,2,FALSE)</f>
        <v>17</v>
      </c>
      <c r="N794" s="65">
        <f>prodnorm49</f>
        <v>0</v>
      </c>
      <c r="O794" s="66">
        <f>dagwerk49</f>
        <v>0</v>
      </c>
      <c r="P794" s="62" t="s">
        <v>40</v>
      </c>
      <c r="Q794" s="67">
        <f>uurtarief49</f>
        <v>0</v>
      </c>
      <c r="R794" s="64" t="e">
        <f>IF(ISBLANK(N794),0,M794/ROUND(N794,4))</f>
        <v>#DIV/0!</v>
      </c>
      <c r="S794" s="64" t="e">
        <f>IF(ISBLANK(N794),0,R794*ROUND(O794,2))</f>
        <v>#DIV/0!</v>
      </c>
      <c r="T794" s="67" t="e">
        <f>ROUND(Q794,2)*R794</f>
        <v>#DIV/0!</v>
      </c>
      <c r="U794" s="64" t="e">
        <f>R794*dagenperjaar1</f>
        <v>#DIV/0!</v>
      </c>
      <c r="V794" s="69" t="e">
        <f>U794*ROUND(Q794,2)</f>
        <v>#DIV/0!</v>
      </c>
    </row>
    <row r="795" spans="1:22" x14ac:dyDescent="0.3">
      <c r="A795" s="61" t="s">
        <v>1257</v>
      </c>
      <c r="B795" s="62" t="s">
        <v>317</v>
      </c>
      <c r="C795" s="62" t="s">
        <v>1258</v>
      </c>
      <c r="D795" s="62" t="s">
        <v>1261</v>
      </c>
      <c r="E795" s="63" t="s">
        <v>1262</v>
      </c>
      <c r="F795" s="62" t="s">
        <v>1263</v>
      </c>
      <c r="G795" s="62" t="s">
        <v>323</v>
      </c>
      <c r="H795" s="62"/>
      <c r="I795" s="62"/>
      <c r="J795" s="62"/>
      <c r="K795" s="62" t="s">
        <v>317</v>
      </c>
      <c r="L795" s="64">
        <v>1258.3</v>
      </c>
      <c r="M795" s="64"/>
      <c r="N795" s="65"/>
      <c r="O795" s="66"/>
      <c r="P795" s="62"/>
      <c r="Q795" s="67"/>
      <c r="R795" s="64"/>
      <c r="S795" s="64"/>
      <c r="T795" s="67"/>
      <c r="U795" s="68"/>
      <c r="V795" s="69"/>
    </row>
    <row r="796" spans="1:22" x14ac:dyDescent="0.3">
      <c r="A796" s="61" t="s">
        <v>1257</v>
      </c>
      <c r="B796" s="62" t="s">
        <v>317</v>
      </c>
      <c r="C796" s="62" t="s">
        <v>1258</v>
      </c>
      <c r="D796" s="62" t="s">
        <v>1264</v>
      </c>
      <c r="E796" s="63" t="s">
        <v>374</v>
      </c>
      <c r="F796" s="62" t="s">
        <v>331</v>
      </c>
      <c r="G796" s="62" t="s">
        <v>323</v>
      </c>
      <c r="H796" s="62"/>
      <c r="I796" s="62"/>
      <c r="J796" s="62"/>
      <c r="K796" s="62" t="s">
        <v>317</v>
      </c>
      <c r="L796" s="64">
        <v>6.1899999999999995</v>
      </c>
      <c r="M796" s="64"/>
      <c r="N796" s="65"/>
      <c r="O796" s="66"/>
      <c r="P796" s="62"/>
      <c r="Q796" s="67"/>
      <c r="R796" s="64"/>
      <c r="S796" s="64"/>
      <c r="T796" s="67"/>
      <c r="U796" s="68"/>
      <c r="V796" s="69"/>
    </row>
    <row r="797" spans="1:22" x14ac:dyDescent="0.3">
      <c r="A797" s="61" t="s">
        <v>1257</v>
      </c>
      <c r="B797" s="62" t="s">
        <v>317</v>
      </c>
      <c r="C797" s="62" t="s">
        <v>318</v>
      </c>
      <c r="D797" s="62" t="s">
        <v>1265</v>
      </c>
      <c r="E797" s="63" t="s">
        <v>350</v>
      </c>
      <c r="F797" s="62" t="s">
        <v>348</v>
      </c>
      <c r="G797" s="62" t="s">
        <v>274</v>
      </c>
      <c r="H797" s="62" t="s">
        <v>11</v>
      </c>
      <c r="I797" s="62" t="s">
        <v>210</v>
      </c>
      <c r="J797" s="63" t="s">
        <v>275</v>
      </c>
      <c r="K797" s="62" t="s">
        <v>317</v>
      </c>
      <c r="L797" s="64">
        <v>7</v>
      </c>
      <c r="M797" s="64">
        <f t="shared" ref="M797:M808" si="282">L797*VLOOKUP(H797,dagsoorttabel1,2,FALSE)</f>
        <v>7</v>
      </c>
      <c r="N797" s="65">
        <f>prodnorm43</f>
        <v>0</v>
      </c>
      <c r="O797" s="66">
        <f>dagwerk43</f>
        <v>0</v>
      </c>
      <c r="P797" s="62" t="s">
        <v>40</v>
      </c>
      <c r="Q797" s="67">
        <f>uurtarief43</f>
        <v>0</v>
      </c>
      <c r="R797" s="64" t="e">
        <f t="shared" ref="R797:R808" si="283">IF(ISBLANK(N797),0,M797/ROUND(N797,4))</f>
        <v>#DIV/0!</v>
      </c>
      <c r="S797" s="64" t="e">
        <f t="shared" ref="S797:S808" si="284">IF(ISBLANK(N797),0,R797*ROUND(O797,2))</f>
        <v>#DIV/0!</v>
      </c>
      <c r="T797" s="67" t="e">
        <f t="shared" ref="T797:T808" si="285">ROUND(Q797,2)*R797</f>
        <v>#DIV/0!</v>
      </c>
      <c r="U797" s="64" t="e">
        <f t="shared" ref="U797:U808" si="286">R797*dagenperjaar1</f>
        <v>#DIV/0!</v>
      </c>
      <c r="V797" s="69" t="e">
        <f t="shared" ref="V797:V808" si="287">U797*ROUND(Q797,2)</f>
        <v>#DIV/0!</v>
      </c>
    </row>
    <row r="798" spans="1:22" x14ac:dyDescent="0.3">
      <c r="A798" s="61" t="s">
        <v>1257</v>
      </c>
      <c r="B798" s="62" t="s">
        <v>317</v>
      </c>
      <c r="C798" s="62" t="s">
        <v>318</v>
      </c>
      <c r="D798" s="62" t="s">
        <v>1108</v>
      </c>
      <c r="E798" s="63" t="s">
        <v>624</v>
      </c>
      <c r="F798" s="62" t="s">
        <v>365</v>
      </c>
      <c r="G798" s="62" t="s">
        <v>276</v>
      </c>
      <c r="H798" s="62" t="s">
        <v>11</v>
      </c>
      <c r="I798" s="62" t="s">
        <v>210</v>
      </c>
      <c r="J798" s="63" t="s">
        <v>277</v>
      </c>
      <c r="K798" s="62" t="s">
        <v>317</v>
      </c>
      <c r="L798" s="64">
        <v>78</v>
      </c>
      <c r="M798" s="64">
        <f t="shared" si="282"/>
        <v>78</v>
      </c>
      <c r="N798" s="65">
        <f>prodnorm44</f>
        <v>0</v>
      </c>
      <c r="O798" s="66">
        <f>dagwerk44</f>
        <v>0</v>
      </c>
      <c r="P798" s="62" t="s">
        <v>40</v>
      </c>
      <c r="Q798" s="67">
        <f>uurtarief44</f>
        <v>0</v>
      </c>
      <c r="R798" s="64" t="e">
        <f t="shared" si="283"/>
        <v>#DIV/0!</v>
      </c>
      <c r="S798" s="64" t="e">
        <f t="shared" si="284"/>
        <v>#DIV/0!</v>
      </c>
      <c r="T798" s="67" t="e">
        <f t="shared" si="285"/>
        <v>#DIV/0!</v>
      </c>
      <c r="U798" s="64" t="e">
        <f t="shared" si="286"/>
        <v>#DIV/0!</v>
      </c>
      <c r="V798" s="69" t="e">
        <f t="shared" si="287"/>
        <v>#DIV/0!</v>
      </c>
    </row>
    <row r="799" spans="1:22" x14ac:dyDescent="0.3">
      <c r="A799" s="61" t="s">
        <v>1257</v>
      </c>
      <c r="B799" s="62" t="s">
        <v>317</v>
      </c>
      <c r="C799" s="62" t="s">
        <v>318</v>
      </c>
      <c r="D799" s="62" t="s">
        <v>1109</v>
      </c>
      <c r="E799" s="63" t="s">
        <v>613</v>
      </c>
      <c r="F799" s="62" t="s">
        <v>365</v>
      </c>
      <c r="G799" s="62" t="s">
        <v>272</v>
      </c>
      <c r="H799" s="62" t="s">
        <v>11</v>
      </c>
      <c r="I799" s="62" t="s">
        <v>210</v>
      </c>
      <c r="J799" s="63" t="s">
        <v>273</v>
      </c>
      <c r="K799" s="62" t="s">
        <v>317</v>
      </c>
      <c r="L799" s="64">
        <v>137</v>
      </c>
      <c r="M799" s="64">
        <f t="shared" si="282"/>
        <v>137</v>
      </c>
      <c r="N799" s="65">
        <f>prodnorm42</f>
        <v>0</v>
      </c>
      <c r="O799" s="66">
        <f>dagwerk42</f>
        <v>0</v>
      </c>
      <c r="P799" s="62" t="s">
        <v>40</v>
      </c>
      <c r="Q799" s="67">
        <f>uurtarief42</f>
        <v>0</v>
      </c>
      <c r="R799" s="64" t="e">
        <f t="shared" si="283"/>
        <v>#DIV/0!</v>
      </c>
      <c r="S799" s="64" t="e">
        <f t="shared" si="284"/>
        <v>#DIV/0!</v>
      </c>
      <c r="T799" s="67" t="e">
        <f t="shared" si="285"/>
        <v>#DIV/0!</v>
      </c>
      <c r="U799" s="64" t="e">
        <f t="shared" si="286"/>
        <v>#DIV/0!</v>
      </c>
      <c r="V799" s="69" t="e">
        <f t="shared" si="287"/>
        <v>#DIV/0!</v>
      </c>
    </row>
    <row r="800" spans="1:22" x14ac:dyDescent="0.3">
      <c r="A800" s="61" t="s">
        <v>1257</v>
      </c>
      <c r="B800" s="62" t="s">
        <v>317</v>
      </c>
      <c r="C800" s="62" t="s">
        <v>318</v>
      </c>
      <c r="D800" s="62" t="s">
        <v>1112</v>
      </c>
      <c r="E800" s="63" t="s">
        <v>613</v>
      </c>
      <c r="F800" s="62" t="s">
        <v>365</v>
      </c>
      <c r="G800" s="62" t="s">
        <v>272</v>
      </c>
      <c r="H800" s="62" t="s">
        <v>11</v>
      </c>
      <c r="I800" s="62" t="s">
        <v>210</v>
      </c>
      <c r="J800" s="63" t="s">
        <v>273</v>
      </c>
      <c r="K800" s="62" t="s">
        <v>317</v>
      </c>
      <c r="L800" s="64">
        <v>95</v>
      </c>
      <c r="M800" s="64">
        <f t="shared" si="282"/>
        <v>95</v>
      </c>
      <c r="N800" s="65">
        <f>prodnorm42</f>
        <v>0</v>
      </c>
      <c r="O800" s="66">
        <f>dagwerk42</f>
        <v>0</v>
      </c>
      <c r="P800" s="62" t="s">
        <v>40</v>
      </c>
      <c r="Q800" s="67">
        <f>uurtarief42</f>
        <v>0</v>
      </c>
      <c r="R800" s="64" t="e">
        <f t="shared" si="283"/>
        <v>#DIV/0!</v>
      </c>
      <c r="S800" s="64" t="e">
        <f t="shared" si="284"/>
        <v>#DIV/0!</v>
      </c>
      <c r="T800" s="67" t="e">
        <f t="shared" si="285"/>
        <v>#DIV/0!</v>
      </c>
      <c r="U800" s="64" t="e">
        <f t="shared" si="286"/>
        <v>#DIV/0!</v>
      </c>
      <c r="V800" s="69" t="e">
        <f t="shared" si="287"/>
        <v>#DIV/0!</v>
      </c>
    </row>
    <row r="801" spans="1:22" x14ac:dyDescent="0.3">
      <c r="A801" s="61" t="s">
        <v>1257</v>
      </c>
      <c r="B801" s="62" t="s">
        <v>317</v>
      </c>
      <c r="C801" s="62" t="s">
        <v>318</v>
      </c>
      <c r="D801" s="62" t="s">
        <v>1113</v>
      </c>
      <c r="E801" s="63" t="s">
        <v>613</v>
      </c>
      <c r="F801" s="62" t="s">
        <v>365</v>
      </c>
      <c r="G801" s="62" t="s">
        <v>272</v>
      </c>
      <c r="H801" s="62" t="s">
        <v>11</v>
      </c>
      <c r="I801" s="62" t="s">
        <v>210</v>
      </c>
      <c r="J801" s="63" t="s">
        <v>273</v>
      </c>
      <c r="K801" s="62" t="s">
        <v>317</v>
      </c>
      <c r="L801" s="64">
        <v>140</v>
      </c>
      <c r="M801" s="64">
        <f t="shared" si="282"/>
        <v>140</v>
      </c>
      <c r="N801" s="65">
        <f>prodnorm42</f>
        <v>0</v>
      </c>
      <c r="O801" s="66">
        <f>dagwerk42</f>
        <v>0</v>
      </c>
      <c r="P801" s="62" t="s">
        <v>40</v>
      </c>
      <c r="Q801" s="67">
        <f>uurtarief42</f>
        <v>0</v>
      </c>
      <c r="R801" s="64" t="e">
        <f t="shared" si="283"/>
        <v>#DIV/0!</v>
      </c>
      <c r="S801" s="64" t="e">
        <f t="shared" si="284"/>
        <v>#DIV/0!</v>
      </c>
      <c r="T801" s="67" t="e">
        <f t="shared" si="285"/>
        <v>#DIV/0!</v>
      </c>
      <c r="U801" s="64" t="e">
        <f t="shared" si="286"/>
        <v>#DIV/0!</v>
      </c>
      <c r="V801" s="69" t="e">
        <f t="shared" si="287"/>
        <v>#DIV/0!</v>
      </c>
    </row>
    <row r="802" spans="1:22" x14ac:dyDescent="0.3">
      <c r="A802" s="61" t="s">
        <v>1257</v>
      </c>
      <c r="B802" s="62" t="s">
        <v>317</v>
      </c>
      <c r="C802" s="62" t="s">
        <v>318</v>
      </c>
      <c r="D802" s="62" t="s">
        <v>1114</v>
      </c>
      <c r="E802" s="63" t="s">
        <v>1266</v>
      </c>
      <c r="F802" s="62" t="s">
        <v>365</v>
      </c>
      <c r="G802" s="62" t="s">
        <v>220</v>
      </c>
      <c r="H802" s="62" t="s">
        <v>11</v>
      </c>
      <c r="I802" s="62" t="s">
        <v>210</v>
      </c>
      <c r="J802" s="63" t="s">
        <v>221</v>
      </c>
      <c r="K802" s="62" t="s">
        <v>317</v>
      </c>
      <c r="L802" s="64">
        <v>207</v>
      </c>
      <c r="M802" s="64">
        <f t="shared" si="282"/>
        <v>207</v>
      </c>
      <c r="N802" s="65">
        <f>prodnorm15</f>
        <v>0</v>
      </c>
      <c r="O802" s="66">
        <f>dagwerk15</f>
        <v>0</v>
      </c>
      <c r="P802" s="62" t="s">
        <v>40</v>
      </c>
      <c r="Q802" s="67">
        <f>uurtarief15</f>
        <v>0</v>
      </c>
      <c r="R802" s="64" t="e">
        <f t="shared" si="283"/>
        <v>#DIV/0!</v>
      </c>
      <c r="S802" s="64" t="e">
        <f t="shared" si="284"/>
        <v>#DIV/0!</v>
      </c>
      <c r="T802" s="67" t="e">
        <f t="shared" si="285"/>
        <v>#DIV/0!</v>
      </c>
      <c r="U802" s="64" t="e">
        <f t="shared" si="286"/>
        <v>#DIV/0!</v>
      </c>
      <c r="V802" s="69" t="e">
        <f t="shared" si="287"/>
        <v>#DIV/0!</v>
      </c>
    </row>
    <row r="803" spans="1:22" x14ac:dyDescent="0.3">
      <c r="A803" s="61" t="s">
        <v>1257</v>
      </c>
      <c r="B803" s="62" t="s">
        <v>317</v>
      </c>
      <c r="C803" s="62" t="s">
        <v>318</v>
      </c>
      <c r="D803" s="62" t="s">
        <v>1116</v>
      </c>
      <c r="E803" s="63" t="s">
        <v>1267</v>
      </c>
      <c r="F803" s="62" t="s">
        <v>365</v>
      </c>
      <c r="G803" s="62" t="s">
        <v>220</v>
      </c>
      <c r="H803" s="62" t="s">
        <v>11</v>
      </c>
      <c r="I803" s="62" t="s">
        <v>210</v>
      </c>
      <c r="J803" s="63" t="s">
        <v>221</v>
      </c>
      <c r="K803" s="62" t="s">
        <v>317</v>
      </c>
      <c r="L803" s="64">
        <v>68</v>
      </c>
      <c r="M803" s="64">
        <f t="shared" si="282"/>
        <v>68</v>
      </c>
      <c r="N803" s="65">
        <f>prodnorm15</f>
        <v>0</v>
      </c>
      <c r="O803" s="66">
        <f>dagwerk15</f>
        <v>0</v>
      </c>
      <c r="P803" s="62" t="s">
        <v>40</v>
      </c>
      <c r="Q803" s="67">
        <f>uurtarief15</f>
        <v>0</v>
      </c>
      <c r="R803" s="64" t="e">
        <f t="shared" si="283"/>
        <v>#DIV/0!</v>
      </c>
      <c r="S803" s="64" t="e">
        <f t="shared" si="284"/>
        <v>#DIV/0!</v>
      </c>
      <c r="T803" s="67" t="e">
        <f t="shared" si="285"/>
        <v>#DIV/0!</v>
      </c>
      <c r="U803" s="64" t="e">
        <f t="shared" si="286"/>
        <v>#DIV/0!</v>
      </c>
      <c r="V803" s="69" t="e">
        <f t="shared" si="287"/>
        <v>#DIV/0!</v>
      </c>
    </row>
    <row r="804" spans="1:22" x14ac:dyDescent="0.3">
      <c r="A804" s="61" t="s">
        <v>1257</v>
      </c>
      <c r="B804" s="62" t="s">
        <v>317</v>
      </c>
      <c r="C804" s="62" t="s">
        <v>318</v>
      </c>
      <c r="D804" s="62" t="s">
        <v>1119</v>
      </c>
      <c r="E804" s="63" t="s">
        <v>613</v>
      </c>
      <c r="F804" s="62" t="s">
        <v>365</v>
      </c>
      <c r="G804" s="62" t="s">
        <v>272</v>
      </c>
      <c r="H804" s="62" t="s">
        <v>11</v>
      </c>
      <c r="I804" s="62" t="s">
        <v>210</v>
      </c>
      <c r="J804" s="63" t="s">
        <v>273</v>
      </c>
      <c r="K804" s="62" t="s">
        <v>317</v>
      </c>
      <c r="L804" s="64">
        <v>61</v>
      </c>
      <c r="M804" s="64">
        <f t="shared" si="282"/>
        <v>61</v>
      </c>
      <c r="N804" s="65">
        <f>prodnorm42</f>
        <v>0</v>
      </c>
      <c r="O804" s="66">
        <f>dagwerk42</f>
        <v>0</v>
      </c>
      <c r="P804" s="62" t="s">
        <v>40</v>
      </c>
      <c r="Q804" s="67">
        <f>uurtarief42</f>
        <v>0</v>
      </c>
      <c r="R804" s="64" t="e">
        <f t="shared" si="283"/>
        <v>#DIV/0!</v>
      </c>
      <c r="S804" s="64" t="e">
        <f t="shared" si="284"/>
        <v>#DIV/0!</v>
      </c>
      <c r="T804" s="67" t="e">
        <f t="shared" si="285"/>
        <v>#DIV/0!</v>
      </c>
      <c r="U804" s="64" t="e">
        <f t="shared" si="286"/>
        <v>#DIV/0!</v>
      </c>
      <c r="V804" s="69" t="e">
        <f t="shared" si="287"/>
        <v>#DIV/0!</v>
      </c>
    </row>
    <row r="805" spans="1:22" x14ac:dyDescent="0.3">
      <c r="A805" s="61" t="s">
        <v>1257</v>
      </c>
      <c r="B805" s="62" t="s">
        <v>317</v>
      </c>
      <c r="C805" s="62" t="s">
        <v>318</v>
      </c>
      <c r="D805" s="62" t="s">
        <v>1120</v>
      </c>
      <c r="E805" s="63" t="s">
        <v>1268</v>
      </c>
      <c r="F805" s="62" t="s">
        <v>331</v>
      </c>
      <c r="G805" s="62" t="s">
        <v>286</v>
      </c>
      <c r="H805" s="62" t="s">
        <v>11</v>
      </c>
      <c r="I805" s="62" t="s">
        <v>210</v>
      </c>
      <c r="J805" s="63" t="s">
        <v>287</v>
      </c>
      <c r="K805" s="62" t="s">
        <v>317</v>
      </c>
      <c r="L805" s="64">
        <v>38</v>
      </c>
      <c r="M805" s="64">
        <f t="shared" si="282"/>
        <v>38</v>
      </c>
      <c r="N805" s="65">
        <f>prodnorm49</f>
        <v>0</v>
      </c>
      <c r="O805" s="66">
        <f>dagwerk49</f>
        <v>0</v>
      </c>
      <c r="P805" s="62" t="s">
        <v>40</v>
      </c>
      <c r="Q805" s="67">
        <f>uurtarief49</f>
        <v>0</v>
      </c>
      <c r="R805" s="64" t="e">
        <f t="shared" si="283"/>
        <v>#DIV/0!</v>
      </c>
      <c r="S805" s="64" t="e">
        <f t="shared" si="284"/>
        <v>#DIV/0!</v>
      </c>
      <c r="T805" s="67" t="e">
        <f t="shared" si="285"/>
        <v>#DIV/0!</v>
      </c>
      <c r="U805" s="64" t="e">
        <f t="shared" si="286"/>
        <v>#DIV/0!</v>
      </c>
      <c r="V805" s="69" t="e">
        <f t="shared" si="287"/>
        <v>#DIV/0!</v>
      </c>
    </row>
    <row r="806" spans="1:22" ht="28.8" x14ac:dyDescent="0.3">
      <c r="A806" s="61" t="s">
        <v>1257</v>
      </c>
      <c r="B806" s="62" t="s">
        <v>317</v>
      </c>
      <c r="C806" s="62" t="s">
        <v>318</v>
      </c>
      <c r="D806" s="62" t="s">
        <v>1122</v>
      </c>
      <c r="E806" s="63" t="s">
        <v>1269</v>
      </c>
      <c r="F806" s="62" t="s">
        <v>331</v>
      </c>
      <c r="G806" s="62" t="s">
        <v>286</v>
      </c>
      <c r="H806" s="62" t="s">
        <v>11</v>
      </c>
      <c r="I806" s="62" t="s">
        <v>210</v>
      </c>
      <c r="J806" s="63" t="s">
        <v>287</v>
      </c>
      <c r="K806" s="62" t="s">
        <v>317</v>
      </c>
      <c r="L806" s="64">
        <v>19</v>
      </c>
      <c r="M806" s="64">
        <f t="shared" si="282"/>
        <v>19</v>
      </c>
      <c r="N806" s="65">
        <f>prodnorm49</f>
        <v>0</v>
      </c>
      <c r="O806" s="66">
        <f>dagwerk49</f>
        <v>0</v>
      </c>
      <c r="P806" s="62" t="s">
        <v>40</v>
      </c>
      <c r="Q806" s="67">
        <f>uurtarief49</f>
        <v>0</v>
      </c>
      <c r="R806" s="64" t="e">
        <f t="shared" si="283"/>
        <v>#DIV/0!</v>
      </c>
      <c r="S806" s="64" t="e">
        <f t="shared" si="284"/>
        <v>#DIV/0!</v>
      </c>
      <c r="T806" s="67" t="e">
        <f t="shared" si="285"/>
        <v>#DIV/0!</v>
      </c>
      <c r="U806" s="64" t="e">
        <f t="shared" si="286"/>
        <v>#DIV/0!</v>
      </c>
      <c r="V806" s="69" t="e">
        <f t="shared" si="287"/>
        <v>#DIV/0!</v>
      </c>
    </row>
    <row r="807" spans="1:22" x14ac:dyDescent="0.3">
      <c r="A807" s="61" t="s">
        <v>1257</v>
      </c>
      <c r="B807" s="62" t="s">
        <v>317</v>
      </c>
      <c r="C807" s="62" t="s">
        <v>318</v>
      </c>
      <c r="D807" s="62" t="s">
        <v>1124</v>
      </c>
      <c r="E807" s="63" t="s">
        <v>572</v>
      </c>
      <c r="F807" s="62" t="s">
        <v>322</v>
      </c>
      <c r="G807" s="62" t="s">
        <v>280</v>
      </c>
      <c r="H807" s="62" t="s">
        <v>11</v>
      </c>
      <c r="I807" s="62" t="s">
        <v>210</v>
      </c>
      <c r="J807" s="63" t="s">
        <v>281</v>
      </c>
      <c r="K807" s="62" t="s">
        <v>317</v>
      </c>
      <c r="L807" s="64">
        <v>3.12</v>
      </c>
      <c r="M807" s="64">
        <f t="shared" si="282"/>
        <v>3.12</v>
      </c>
      <c r="N807" s="65">
        <f>prodnorm46</f>
        <v>0</v>
      </c>
      <c r="O807" s="66">
        <f>dagwerk46</f>
        <v>0</v>
      </c>
      <c r="P807" s="62" t="s">
        <v>40</v>
      </c>
      <c r="Q807" s="67">
        <f>uurtarief46</f>
        <v>0</v>
      </c>
      <c r="R807" s="64" t="e">
        <f t="shared" si="283"/>
        <v>#DIV/0!</v>
      </c>
      <c r="S807" s="64" t="e">
        <f t="shared" si="284"/>
        <v>#DIV/0!</v>
      </c>
      <c r="T807" s="67" t="e">
        <f t="shared" si="285"/>
        <v>#DIV/0!</v>
      </c>
      <c r="U807" s="64" t="e">
        <f t="shared" si="286"/>
        <v>#DIV/0!</v>
      </c>
      <c r="V807" s="69" t="e">
        <f t="shared" si="287"/>
        <v>#DIV/0!</v>
      </c>
    </row>
    <row r="808" spans="1:22" x14ac:dyDescent="0.3">
      <c r="A808" s="61" t="s">
        <v>1257</v>
      </c>
      <c r="B808" s="62" t="s">
        <v>317</v>
      </c>
      <c r="C808" s="62" t="s">
        <v>318</v>
      </c>
      <c r="D808" s="62" t="s">
        <v>1125</v>
      </c>
      <c r="E808" s="63" t="s">
        <v>1270</v>
      </c>
      <c r="F808" s="62" t="s">
        <v>353</v>
      </c>
      <c r="G808" s="62" t="s">
        <v>264</v>
      </c>
      <c r="H808" s="62" t="s">
        <v>11</v>
      </c>
      <c r="I808" s="62" t="s">
        <v>210</v>
      </c>
      <c r="J808" s="63" t="s">
        <v>265</v>
      </c>
      <c r="K808" s="62" t="s">
        <v>317</v>
      </c>
      <c r="L808" s="64">
        <v>13</v>
      </c>
      <c r="M808" s="64">
        <f t="shared" si="282"/>
        <v>13</v>
      </c>
      <c r="N808" s="65">
        <f>prodnorm38</f>
        <v>0</v>
      </c>
      <c r="O808" s="66">
        <f>dagwerk38</f>
        <v>0</v>
      </c>
      <c r="P808" s="62" t="s">
        <v>40</v>
      </c>
      <c r="Q808" s="67">
        <f>uurtarief38</f>
        <v>0</v>
      </c>
      <c r="R808" s="64" t="e">
        <f t="shared" si="283"/>
        <v>#DIV/0!</v>
      </c>
      <c r="S808" s="64" t="e">
        <f t="shared" si="284"/>
        <v>#DIV/0!</v>
      </c>
      <c r="T808" s="67" t="e">
        <f t="shared" si="285"/>
        <v>#DIV/0!</v>
      </c>
      <c r="U808" s="64" t="e">
        <f t="shared" si="286"/>
        <v>#DIV/0!</v>
      </c>
      <c r="V808" s="69" t="e">
        <f t="shared" si="287"/>
        <v>#DIV/0!</v>
      </c>
    </row>
    <row r="809" spans="1:22" x14ac:dyDescent="0.3">
      <c r="A809" s="61" t="s">
        <v>1257</v>
      </c>
      <c r="B809" s="62" t="s">
        <v>317</v>
      </c>
      <c r="C809" s="62" t="s">
        <v>318</v>
      </c>
      <c r="D809" s="62" t="s">
        <v>1126</v>
      </c>
      <c r="E809" s="63" t="s">
        <v>321</v>
      </c>
      <c r="F809" s="62" t="s">
        <v>353</v>
      </c>
      <c r="G809" s="62" t="s">
        <v>323</v>
      </c>
      <c r="H809" s="62"/>
      <c r="I809" s="62"/>
      <c r="J809" s="62"/>
      <c r="K809" s="62" t="s">
        <v>317</v>
      </c>
      <c r="L809" s="64">
        <v>2</v>
      </c>
      <c r="M809" s="64"/>
      <c r="N809" s="65"/>
      <c r="O809" s="66"/>
      <c r="P809" s="62"/>
      <c r="Q809" s="67"/>
      <c r="R809" s="64"/>
      <c r="S809" s="64"/>
      <c r="T809" s="67"/>
      <c r="U809" s="68"/>
      <c r="V809" s="69"/>
    </row>
    <row r="810" spans="1:22" x14ac:dyDescent="0.3">
      <c r="A810" s="61" t="s">
        <v>1257</v>
      </c>
      <c r="B810" s="62" t="s">
        <v>317</v>
      </c>
      <c r="C810" s="62" t="s">
        <v>318</v>
      </c>
      <c r="D810" s="62" t="s">
        <v>1138</v>
      </c>
      <c r="E810" s="63" t="s">
        <v>1271</v>
      </c>
      <c r="F810" s="62" t="s">
        <v>353</v>
      </c>
      <c r="G810" s="62" t="s">
        <v>264</v>
      </c>
      <c r="H810" s="62" t="s">
        <v>11</v>
      </c>
      <c r="I810" s="62" t="s">
        <v>210</v>
      </c>
      <c r="J810" s="63" t="s">
        <v>265</v>
      </c>
      <c r="K810" s="62" t="s">
        <v>317</v>
      </c>
      <c r="L810" s="64">
        <v>13</v>
      </c>
      <c r="M810" s="64">
        <f>L810*VLOOKUP(H810,dagsoorttabel1,2,FALSE)</f>
        <v>13</v>
      </c>
      <c r="N810" s="65">
        <f>prodnorm38</f>
        <v>0</v>
      </c>
      <c r="O810" s="66">
        <f>dagwerk38</f>
        <v>0</v>
      </c>
      <c r="P810" s="62" t="s">
        <v>40</v>
      </c>
      <c r="Q810" s="67">
        <f>uurtarief38</f>
        <v>0</v>
      </c>
      <c r="R810" s="64" t="e">
        <f>IF(ISBLANK(N810),0,M810/ROUND(N810,4))</f>
        <v>#DIV/0!</v>
      </c>
      <c r="S810" s="64" t="e">
        <f>IF(ISBLANK(N810),0,R810*ROUND(O810,2))</f>
        <v>#DIV/0!</v>
      </c>
      <c r="T810" s="67" t="e">
        <f>ROUND(Q810,2)*R810</f>
        <v>#DIV/0!</v>
      </c>
      <c r="U810" s="64" t="e">
        <f>R810*dagenperjaar1</f>
        <v>#DIV/0!</v>
      </c>
      <c r="V810" s="69" t="e">
        <f>U810*ROUND(Q810,2)</f>
        <v>#DIV/0!</v>
      </c>
    </row>
    <row r="811" spans="1:22" x14ac:dyDescent="0.3">
      <c r="A811" s="61" t="s">
        <v>1257</v>
      </c>
      <c r="B811" s="62" t="s">
        <v>317</v>
      </c>
      <c r="C811" s="62" t="s">
        <v>318</v>
      </c>
      <c r="D811" s="62" t="s">
        <v>1139</v>
      </c>
      <c r="E811" s="63" t="s">
        <v>321</v>
      </c>
      <c r="F811" s="62" t="s">
        <v>353</v>
      </c>
      <c r="G811" s="62" t="s">
        <v>323</v>
      </c>
      <c r="H811" s="62"/>
      <c r="I811" s="62"/>
      <c r="J811" s="62"/>
      <c r="K811" s="62" t="s">
        <v>317</v>
      </c>
      <c r="L811" s="64">
        <v>2</v>
      </c>
      <c r="M811" s="64"/>
      <c r="N811" s="65"/>
      <c r="O811" s="66"/>
      <c r="P811" s="62"/>
      <c r="Q811" s="67"/>
      <c r="R811" s="64"/>
      <c r="S811" s="64"/>
      <c r="T811" s="67"/>
      <c r="U811" s="68"/>
      <c r="V811" s="69"/>
    </row>
    <row r="812" spans="1:22" x14ac:dyDescent="0.3">
      <c r="A812" s="61" t="s">
        <v>1257</v>
      </c>
      <c r="B812" s="62" t="s">
        <v>317</v>
      </c>
      <c r="C812" s="62" t="s">
        <v>318</v>
      </c>
      <c r="D812" s="62" t="s">
        <v>1272</v>
      </c>
      <c r="E812" s="63" t="s">
        <v>1273</v>
      </c>
      <c r="F812" s="62" t="s">
        <v>353</v>
      </c>
      <c r="G812" s="62" t="s">
        <v>266</v>
      </c>
      <c r="H812" s="62" t="s">
        <v>11</v>
      </c>
      <c r="I812" s="62" t="s">
        <v>210</v>
      </c>
      <c r="J812" s="63" t="s">
        <v>267</v>
      </c>
      <c r="K812" s="62" t="s">
        <v>317</v>
      </c>
      <c r="L812" s="64">
        <v>2</v>
      </c>
      <c r="M812" s="64">
        <f>L812*VLOOKUP(H812,dagsoorttabel1,2,FALSE)</f>
        <v>2</v>
      </c>
      <c r="N812" s="65">
        <f>prodnorm39</f>
        <v>0</v>
      </c>
      <c r="O812" s="66">
        <f>dagwerk39</f>
        <v>0</v>
      </c>
      <c r="P812" s="62" t="s">
        <v>40</v>
      </c>
      <c r="Q812" s="67">
        <f>uurtarief39</f>
        <v>0</v>
      </c>
      <c r="R812" s="64" t="e">
        <f>IF(ISBLANK(N812),0,M812/ROUND(N812,4))</f>
        <v>#DIV/0!</v>
      </c>
      <c r="S812" s="64" t="e">
        <f>IF(ISBLANK(N812),0,R812*ROUND(O812,2))</f>
        <v>#DIV/0!</v>
      </c>
      <c r="T812" s="67" t="e">
        <f>ROUND(Q812,2)*R812</f>
        <v>#DIV/0!</v>
      </c>
      <c r="U812" s="64" t="e">
        <f>R812*dagenperjaar1</f>
        <v>#DIV/0!</v>
      </c>
      <c r="V812" s="69" t="e">
        <f>U812*ROUND(Q812,2)</f>
        <v>#DIV/0!</v>
      </c>
    </row>
    <row r="813" spans="1:22" x14ac:dyDescent="0.3">
      <c r="A813" s="61" t="s">
        <v>1257</v>
      </c>
      <c r="B813" s="62" t="s">
        <v>317</v>
      </c>
      <c r="C813" s="62" t="s">
        <v>318</v>
      </c>
      <c r="D813" s="62" t="s">
        <v>1274</v>
      </c>
      <c r="E813" s="63" t="s">
        <v>1275</v>
      </c>
      <c r="F813" s="62" t="s">
        <v>353</v>
      </c>
      <c r="G813" s="62" t="s">
        <v>266</v>
      </c>
      <c r="H813" s="62" t="s">
        <v>11</v>
      </c>
      <c r="I813" s="62" t="s">
        <v>210</v>
      </c>
      <c r="J813" s="63" t="s">
        <v>267</v>
      </c>
      <c r="K813" s="62" t="s">
        <v>317</v>
      </c>
      <c r="L813" s="64">
        <v>2</v>
      </c>
      <c r="M813" s="64">
        <f>L813*VLOOKUP(H813,dagsoorttabel1,2,FALSE)</f>
        <v>2</v>
      </c>
      <c r="N813" s="65">
        <f>prodnorm39</f>
        <v>0</v>
      </c>
      <c r="O813" s="66">
        <f>dagwerk39</f>
        <v>0</v>
      </c>
      <c r="P813" s="62" t="s">
        <v>40</v>
      </c>
      <c r="Q813" s="67">
        <f>uurtarief39</f>
        <v>0</v>
      </c>
      <c r="R813" s="64" t="e">
        <f>IF(ISBLANK(N813),0,M813/ROUND(N813,4))</f>
        <v>#DIV/0!</v>
      </c>
      <c r="S813" s="64" t="e">
        <f>IF(ISBLANK(N813),0,R813*ROUND(O813,2))</f>
        <v>#DIV/0!</v>
      </c>
      <c r="T813" s="67" t="e">
        <f>ROUND(Q813,2)*R813</f>
        <v>#DIV/0!</v>
      </c>
      <c r="U813" s="64" t="e">
        <f>R813*dagenperjaar1</f>
        <v>#DIV/0!</v>
      </c>
      <c r="V813" s="69" t="e">
        <f>U813*ROUND(Q813,2)</f>
        <v>#DIV/0!</v>
      </c>
    </row>
    <row r="814" spans="1:22" x14ac:dyDescent="0.3">
      <c r="A814" s="61" t="s">
        <v>1257</v>
      </c>
      <c r="B814" s="62" t="s">
        <v>317</v>
      </c>
      <c r="C814" s="62" t="s">
        <v>318</v>
      </c>
      <c r="D814" s="62" t="s">
        <v>1276</v>
      </c>
      <c r="E814" s="63" t="s">
        <v>1273</v>
      </c>
      <c r="F814" s="62" t="s">
        <v>353</v>
      </c>
      <c r="G814" s="62" t="s">
        <v>266</v>
      </c>
      <c r="H814" s="62" t="s">
        <v>11</v>
      </c>
      <c r="I814" s="62" t="s">
        <v>210</v>
      </c>
      <c r="J814" s="63" t="s">
        <v>267</v>
      </c>
      <c r="K814" s="62" t="s">
        <v>317</v>
      </c>
      <c r="L814" s="64">
        <v>11</v>
      </c>
      <c r="M814" s="64">
        <f>L814*VLOOKUP(H814,dagsoorttabel1,2,FALSE)</f>
        <v>11</v>
      </c>
      <c r="N814" s="65">
        <f>prodnorm39</f>
        <v>0</v>
      </c>
      <c r="O814" s="66">
        <f>dagwerk39</f>
        <v>0</v>
      </c>
      <c r="P814" s="62" t="s">
        <v>40</v>
      </c>
      <c r="Q814" s="67">
        <f>uurtarief39</f>
        <v>0</v>
      </c>
      <c r="R814" s="64" t="e">
        <f>IF(ISBLANK(N814),0,M814/ROUND(N814,4))</f>
        <v>#DIV/0!</v>
      </c>
      <c r="S814" s="64" t="e">
        <f>IF(ISBLANK(N814),0,R814*ROUND(O814,2))</f>
        <v>#DIV/0!</v>
      </c>
      <c r="T814" s="67" t="e">
        <f>ROUND(Q814,2)*R814</f>
        <v>#DIV/0!</v>
      </c>
      <c r="U814" s="64" t="e">
        <f>R814*dagenperjaar1</f>
        <v>#DIV/0!</v>
      </c>
      <c r="V814" s="69" t="e">
        <f>U814*ROUND(Q814,2)</f>
        <v>#DIV/0!</v>
      </c>
    </row>
    <row r="815" spans="1:22" x14ac:dyDescent="0.3">
      <c r="A815" s="61" t="s">
        <v>1257</v>
      </c>
      <c r="B815" s="62" t="s">
        <v>317</v>
      </c>
      <c r="C815" s="62" t="s">
        <v>318</v>
      </c>
      <c r="D815" s="62" t="s">
        <v>1141</v>
      </c>
      <c r="E815" s="63" t="s">
        <v>1275</v>
      </c>
      <c r="F815" s="62" t="s">
        <v>353</v>
      </c>
      <c r="G815" s="62" t="s">
        <v>266</v>
      </c>
      <c r="H815" s="62" t="s">
        <v>11</v>
      </c>
      <c r="I815" s="62" t="s">
        <v>210</v>
      </c>
      <c r="J815" s="63" t="s">
        <v>267</v>
      </c>
      <c r="K815" s="62" t="s">
        <v>317</v>
      </c>
      <c r="L815" s="64">
        <v>11</v>
      </c>
      <c r="M815" s="64">
        <f>L815*VLOOKUP(H815,dagsoorttabel1,2,FALSE)</f>
        <v>11</v>
      </c>
      <c r="N815" s="65">
        <f>prodnorm39</f>
        <v>0</v>
      </c>
      <c r="O815" s="66">
        <f>dagwerk39</f>
        <v>0</v>
      </c>
      <c r="P815" s="62" t="s">
        <v>40</v>
      </c>
      <c r="Q815" s="67">
        <f>uurtarief39</f>
        <v>0</v>
      </c>
      <c r="R815" s="64" t="e">
        <f>IF(ISBLANK(N815),0,M815/ROUND(N815,4))</f>
        <v>#DIV/0!</v>
      </c>
      <c r="S815" s="64" t="e">
        <f>IF(ISBLANK(N815),0,R815*ROUND(O815,2))</f>
        <v>#DIV/0!</v>
      </c>
      <c r="T815" s="67" t="e">
        <f>ROUND(Q815,2)*R815</f>
        <v>#DIV/0!</v>
      </c>
      <c r="U815" s="64" t="e">
        <f>R815*dagenperjaar1</f>
        <v>#DIV/0!</v>
      </c>
      <c r="V815" s="69" t="e">
        <f>U815*ROUND(Q815,2)</f>
        <v>#DIV/0!</v>
      </c>
    </row>
    <row r="816" spans="1:22" x14ac:dyDescent="0.3">
      <c r="A816" s="61" t="s">
        <v>1257</v>
      </c>
      <c r="B816" s="62" t="s">
        <v>317</v>
      </c>
      <c r="C816" s="62" t="s">
        <v>318</v>
      </c>
      <c r="D816" s="62" t="s">
        <v>1143</v>
      </c>
      <c r="E816" s="63" t="s">
        <v>613</v>
      </c>
      <c r="F816" s="62" t="s">
        <v>335</v>
      </c>
      <c r="G816" s="62" t="s">
        <v>272</v>
      </c>
      <c r="H816" s="62" t="s">
        <v>11</v>
      </c>
      <c r="I816" s="62" t="s">
        <v>210</v>
      </c>
      <c r="J816" s="63" t="s">
        <v>273</v>
      </c>
      <c r="K816" s="62" t="s">
        <v>317</v>
      </c>
      <c r="L816" s="64">
        <v>26</v>
      </c>
      <c r="M816" s="64">
        <f>L816*VLOOKUP(H816,dagsoorttabel1,2,FALSE)</f>
        <v>26</v>
      </c>
      <c r="N816" s="65">
        <f>prodnorm42</f>
        <v>0</v>
      </c>
      <c r="O816" s="66">
        <f>dagwerk42</f>
        <v>0</v>
      </c>
      <c r="P816" s="62" t="s">
        <v>40</v>
      </c>
      <c r="Q816" s="67">
        <f>uurtarief42</f>
        <v>0</v>
      </c>
      <c r="R816" s="64" t="e">
        <f>IF(ISBLANK(N816),0,M816/ROUND(N816,4))</f>
        <v>#DIV/0!</v>
      </c>
      <c r="S816" s="64" t="e">
        <f>IF(ISBLANK(N816),0,R816*ROUND(O816,2))</f>
        <v>#DIV/0!</v>
      </c>
      <c r="T816" s="67" t="e">
        <f>ROUND(Q816,2)*R816</f>
        <v>#DIV/0!</v>
      </c>
      <c r="U816" s="64" t="e">
        <f>R816*dagenperjaar1</f>
        <v>#DIV/0!</v>
      </c>
      <c r="V816" s="69" t="e">
        <f>U816*ROUND(Q816,2)</f>
        <v>#DIV/0!</v>
      </c>
    </row>
    <row r="817" spans="1:22" x14ac:dyDescent="0.3">
      <c r="A817" s="61" t="s">
        <v>1257</v>
      </c>
      <c r="B817" s="62" t="s">
        <v>317</v>
      </c>
      <c r="C817" s="62" t="s">
        <v>318</v>
      </c>
      <c r="D817" s="62" t="s">
        <v>1146</v>
      </c>
      <c r="E817" s="63" t="s">
        <v>516</v>
      </c>
      <c r="F817" s="62" t="s">
        <v>335</v>
      </c>
      <c r="G817" s="62" t="s">
        <v>323</v>
      </c>
      <c r="H817" s="62"/>
      <c r="I817" s="62"/>
      <c r="J817" s="62"/>
      <c r="K817" s="62" t="s">
        <v>317</v>
      </c>
      <c r="L817" s="64">
        <v>18</v>
      </c>
      <c r="M817" s="64"/>
      <c r="N817" s="65"/>
      <c r="O817" s="66"/>
      <c r="P817" s="62"/>
      <c r="Q817" s="67"/>
      <c r="R817" s="64"/>
      <c r="S817" s="64"/>
      <c r="T817" s="67"/>
      <c r="U817" s="68"/>
      <c r="V817" s="69"/>
    </row>
    <row r="818" spans="1:22" x14ac:dyDescent="0.3">
      <c r="A818" s="61" t="s">
        <v>1257</v>
      </c>
      <c r="B818" s="62" t="s">
        <v>317</v>
      </c>
      <c r="C818" s="62" t="s">
        <v>318</v>
      </c>
      <c r="D818" s="62" t="s">
        <v>1147</v>
      </c>
      <c r="E818" s="63" t="s">
        <v>1277</v>
      </c>
      <c r="F818" s="62" t="s">
        <v>335</v>
      </c>
      <c r="G818" s="62" t="s">
        <v>323</v>
      </c>
      <c r="H818" s="62"/>
      <c r="I818" s="62"/>
      <c r="J818" s="62"/>
      <c r="K818" s="62" t="s">
        <v>317</v>
      </c>
      <c r="L818" s="64">
        <v>3</v>
      </c>
      <c r="M818" s="64"/>
      <c r="N818" s="65"/>
      <c r="O818" s="66"/>
      <c r="P818" s="62"/>
      <c r="Q818" s="67"/>
      <c r="R818" s="64"/>
      <c r="S818" s="64"/>
      <c r="T818" s="67"/>
      <c r="U818" s="68"/>
      <c r="V818" s="69"/>
    </row>
    <row r="819" spans="1:22" x14ac:dyDescent="0.3">
      <c r="A819" s="61" t="s">
        <v>1257</v>
      </c>
      <c r="B819" s="62" t="s">
        <v>317</v>
      </c>
      <c r="C819" s="62" t="s">
        <v>318</v>
      </c>
      <c r="D819" s="62" t="s">
        <v>1148</v>
      </c>
      <c r="E819" s="63" t="s">
        <v>1278</v>
      </c>
      <c r="F819" s="62" t="s">
        <v>335</v>
      </c>
      <c r="G819" s="62" t="s">
        <v>323</v>
      </c>
      <c r="H819" s="62"/>
      <c r="I819" s="62"/>
      <c r="J819" s="62"/>
      <c r="K819" s="62" t="s">
        <v>317</v>
      </c>
      <c r="L819" s="64">
        <v>1</v>
      </c>
      <c r="M819" s="64"/>
      <c r="N819" s="65"/>
      <c r="O819" s="66"/>
      <c r="P819" s="62"/>
      <c r="Q819" s="67"/>
      <c r="R819" s="64"/>
      <c r="S819" s="64"/>
      <c r="T819" s="67"/>
      <c r="U819" s="68"/>
      <c r="V819" s="69"/>
    </row>
    <row r="820" spans="1:22" x14ac:dyDescent="0.3">
      <c r="A820" s="61" t="s">
        <v>1257</v>
      </c>
      <c r="B820" s="62" t="s">
        <v>317</v>
      </c>
      <c r="C820" s="62" t="s">
        <v>318</v>
      </c>
      <c r="D820" s="62" t="s">
        <v>1149</v>
      </c>
      <c r="E820" s="63" t="s">
        <v>444</v>
      </c>
      <c r="F820" s="62" t="s">
        <v>335</v>
      </c>
      <c r="G820" s="62" t="s">
        <v>323</v>
      </c>
      <c r="H820" s="62"/>
      <c r="I820" s="62"/>
      <c r="J820" s="62"/>
      <c r="K820" s="62" t="s">
        <v>317</v>
      </c>
      <c r="L820" s="64">
        <v>10</v>
      </c>
      <c r="M820" s="64"/>
      <c r="N820" s="65"/>
      <c r="O820" s="66"/>
      <c r="P820" s="62"/>
      <c r="Q820" s="67"/>
      <c r="R820" s="64"/>
      <c r="S820" s="64"/>
      <c r="T820" s="67"/>
      <c r="U820" s="68"/>
      <c r="V820" s="69"/>
    </row>
    <row r="821" spans="1:22" x14ac:dyDescent="0.3">
      <c r="A821" s="61" t="s">
        <v>1257</v>
      </c>
      <c r="B821" s="62" t="s">
        <v>317</v>
      </c>
      <c r="C821" s="62" t="s">
        <v>318</v>
      </c>
      <c r="D821" s="62" t="s">
        <v>1150</v>
      </c>
      <c r="E821" s="63" t="s">
        <v>442</v>
      </c>
      <c r="F821" s="62" t="s">
        <v>335</v>
      </c>
      <c r="G821" s="62" t="s">
        <v>323</v>
      </c>
      <c r="H821" s="62"/>
      <c r="I821" s="62"/>
      <c r="J821" s="62"/>
      <c r="K821" s="62" t="s">
        <v>317</v>
      </c>
      <c r="L821" s="64">
        <v>5</v>
      </c>
      <c r="M821" s="64"/>
      <c r="N821" s="65"/>
      <c r="O821" s="66"/>
      <c r="P821" s="62"/>
      <c r="Q821" s="67"/>
      <c r="R821" s="64"/>
      <c r="S821" s="64"/>
      <c r="T821" s="67"/>
      <c r="U821" s="68"/>
      <c r="V821" s="69"/>
    </row>
    <row r="822" spans="1:22" x14ac:dyDescent="0.3">
      <c r="A822" s="61" t="s">
        <v>1257</v>
      </c>
      <c r="B822" s="62" t="s">
        <v>317</v>
      </c>
      <c r="C822" s="62" t="s">
        <v>318</v>
      </c>
      <c r="D822" s="62" t="s">
        <v>1151</v>
      </c>
      <c r="E822" s="63" t="s">
        <v>1279</v>
      </c>
      <c r="F822" s="62" t="s">
        <v>335</v>
      </c>
      <c r="G822" s="62" t="s">
        <v>250</v>
      </c>
      <c r="H822" s="62" t="s">
        <v>11</v>
      </c>
      <c r="I822" s="62" t="s">
        <v>210</v>
      </c>
      <c r="J822" s="63" t="s">
        <v>251</v>
      </c>
      <c r="K822" s="62" t="s">
        <v>317</v>
      </c>
      <c r="L822" s="64">
        <v>53</v>
      </c>
      <c r="M822" s="64">
        <f>L822*VLOOKUP(H822,dagsoorttabel1,2,FALSE)</f>
        <v>53</v>
      </c>
      <c r="N822" s="65">
        <f>prodnorm31</f>
        <v>0</v>
      </c>
      <c r="O822" s="66">
        <f>dagwerk31</f>
        <v>0</v>
      </c>
      <c r="P822" s="62" t="s">
        <v>40</v>
      </c>
      <c r="Q822" s="67">
        <f>uurtarief31</f>
        <v>0</v>
      </c>
      <c r="R822" s="64" t="e">
        <f>IF(ISBLANK(N822),0,M822/ROUND(N822,4))</f>
        <v>#DIV/0!</v>
      </c>
      <c r="S822" s="64" t="e">
        <f>IF(ISBLANK(N822),0,R822*ROUND(O822,2))</f>
        <v>#DIV/0!</v>
      </c>
      <c r="T822" s="67" t="e">
        <f>ROUND(Q822,2)*R822</f>
        <v>#DIV/0!</v>
      </c>
      <c r="U822" s="64" t="e">
        <f>R822*dagenperjaar1</f>
        <v>#DIV/0!</v>
      </c>
      <c r="V822" s="69" t="e">
        <f>U822*ROUND(Q822,2)</f>
        <v>#DIV/0!</v>
      </c>
    </row>
    <row r="823" spans="1:22" x14ac:dyDescent="0.3">
      <c r="A823" s="61" t="s">
        <v>1257</v>
      </c>
      <c r="B823" s="62" t="s">
        <v>317</v>
      </c>
      <c r="C823" s="62" t="s">
        <v>318</v>
      </c>
      <c r="D823" s="62" t="s">
        <v>1153</v>
      </c>
      <c r="E823" s="63" t="s">
        <v>1279</v>
      </c>
      <c r="F823" s="62" t="s">
        <v>335</v>
      </c>
      <c r="G823" s="62" t="s">
        <v>250</v>
      </c>
      <c r="H823" s="62" t="s">
        <v>11</v>
      </c>
      <c r="I823" s="62" t="s">
        <v>210</v>
      </c>
      <c r="J823" s="63" t="s">
        <v>251</v>
      </c>
      <c r="K823" s="62" t="s">
        <v>317</v>
      </c>
      <c r="L823" s="64">
        <v>236</v>
      </c>
      <c r="M823" s="64">
        <f>L823*VLOOKUP(H823,dagsoorttabel1,2,FALSE)</f>
        <v>236</v>
      </c>
      <c r="N823" s="65">
        <f>prodnorm31</f>
        <v>0</v>
      </c>
      <c r="O823" s="66">
        <f>dagwerk31</f>
        <v>0</v>
      </c>
      <c r="P823" s="62" t="s">
        <v>40</v>
      </c>
      <c r="Q823" s="67">
        <f>uurtarief31</f>
        <v>0</v>
      </c>
      <c r="R823" s="64" t="e">
        <f>IF(ISBLANK(N823),0,M823/ROUND(N823,4))</f>
        <v>#DIV/0!</v>
      </c>
      <c r="S823" s="64" t="e">
        <f>IF(ISBLANK(N823),0,R823*ROUND(O823,2))</f>
        <v>#DIV/0!</v>
      </c>
      <c r="T823" s="67" t="e">
        <f>ROUND(Q823,2)*R823</f>
        <v>#DIV/0!</v>
      </c>
      <c r="U823" s="64" t="e">
        <f>R823*dagenperjaar1</f>
        <v>#DIV/0!</v>
      </c>
      <c r="V823" s="69" t="e">
        <f>U823*ROUND(Q823,2)</f>
        <v>#DIV/0!</v>
      </c>
    </row>
    <row r="824" spans="1:22" x14ac:dyDescent="0.3">
      <c r="A824" s="61" t="s">
        <v>1257</v>
      </c>
      <c r="B824" s="62" t="s">
        <v>317</v>
      </c>
      <c r="C824" s="62" t="s">
        <v>318</v>
      </c>
      <c r="D824" s="62" t="s">
        <v>1154</v>
      </c>
      <c r="E824" s="63" t="s">
        <v>1280</v>
      </c>
      <c r="F824" s="62" t="s">
        <v>335</v>
      </c>
      <c r="G824" s="62" t="s">
        <v>209</v>
      </c>
      <c r="H824" s="62" t="s">
        <v>17</v>
      </c>
      <c r="I824" s="62" t="s">
        <v>210</v>
      </c>
      <c r="J824" s="63" t="s">
        <v>211</v>
      </c>
      <c r="K824" s="62" t="s">
        <v>317</v>
      </c>
      <c r="L824" s="64">
        <v>11</v>
      </c>
      <c r="M824" s="64">
        <f>L824*VLOOKUP(H824,dagsoorttabel1,2,FALSE)</f>
        <v>2.2000000000000002</v>
      </c>
      <c r="N824" s="65">
        <f>prodnorm10</f>
        <v>0</v>
      </c>
      <c r="O824" s="66">
        <f>dagwerk10</f>
        <v>0</v>
      </c>
      <c r="P824" s="62" t="s">
        <v>40</v>
      </c>
      <c r="Q824" s="67">
        <f>uurtarief10</f>
        <v>0</v>
      </c>
      <c r="R824" s="64" t="e">
        <f>IF(ISBLANK(N824),0,M824/ROUND(N824,4))</f>
        <v>#DIV/0!</v>
      </c>
      <c r="S824" s="64" t="e">
        <f>IF(ISBLANK(N824),0,R824*ROUND(O824,2))</f>
        <v>#DIV/0!</v>
      </c>
      <c r="T824" s="67" t="e">
        <f>ROUND(Q824,2)*R824</f>
        <v>#DIV/0!</v>
      </c>
      <c r="U824" s="64" t="e">
        <f>R824*dagenperjaar1</f>
        <v>#DIV/0!</v>
      </c>
      <c r="V824" s="69" t="e">
        <f>U824*ROUND(Q824,2)</f>
        <v>#DIV/0!</v>
      </c>
    </row>
    <row r="825" spans="1:22" x14ac:dyDescent="0.3">
      <c r="A825" s="61" t="s">
        <v>1257</v>
      </c>
      <c r="B825" s="62" t="s">
        <v>317</v>
      </c>
      <c r="C825" s="62" t="s">
        <v>318</v>
      </c>
      <c r="D825" s="62" t="s">
        <v>1155</v>
      </c>
      <c r="E825" s="63" t="s">
        <v>624</v>
      </c>
      <c r="F825" s="62" t="s">
        <v>348</v>
      </c>
      <c r="G825" s="62" t="s">
        <v>278</v>
      </c>
      <c r="H825" s="62" t="s">
        <v>11</v>
      </c>
      <c r="I825" s="62" t="s">
        <v>210</v>
      </c>
      <c r="J825" s="63" t="s">
        <v>279</v>
      </c>
      <c r="K825" s="62" t="s">
        <v>317</v>
      </c>
      <c r="L825" s="64">
        <v>6</v>
      </c>
      <c r="M825" s="64">
        <f>L825*VLOOKUP(H825,dagsoorttabel1,2,FALSE)</f>
        <v>6</v>
      </c>
      <c r="N825" s="65">
        <f>prodnorm45</f>
        <v>0</v>
      </c>
      <c r="O825" s="66">
        <f>dagwerk45</f>
        <v>0</v>
      </c>
      <c r="P825" s="62" t="s">
        <v>40</v>
      </c>
      <c r="Q825" s="67">
        <f>uurtarief45</f>
        <v>0</v>
      </c>
      <c r="R825" s="64" t="e">
        <f>IF(ISBLANK(N825),0,M825/ROUND(N825,4))</f>
        <v>#DIV/0!</v>
      </c>
      <c r="S825" s="64" t="e">
        <f>IF(ISBLANK(N825),0,R825*ROUND(O825,2))</f>
        <v>#DIV/0!</v>
      </c>
      <c r="T825" s="67" t="e">
        <f>ROUND(Q825,2)*R825</f>
        <v>#DIV/0!</v>
      </c>
      <c r="U825" s="64" t="e">
        <f>R825*dagenperjaar1</f>
        <v>#DIV/0!</v>
      </c>
      <c r="V825" s="69" t="e">
        <f>U825*ROUND(Q825,2)</f>
        <v>#DIV/0!</v>
      </c>
    </row>
    <row r="826" spans="1:22" x14ac:dyDescent="0.3">
      <c r="A826" s="61" t="s">
        <v>1257</v>
      </c>
      <c r="B826" s="62" t="s">
        <v>317</v>
      </c>
      <c r="C826" s="62" t="s">
        <v>318</v>
      </c>
      <c r="D826" s="62" t="s">
        <v>1157</v>
      </c>
      <c r="E826" s="63" t="s">
        <v>1281</v>
      </c>
      <c r="F826" s="62" t="s">
        <v>377</v>
      </c>
      <c r="G826" s="62" t="s">
        <v>220</v>
      </c>
      <c r="H826" s="62" t="s">
        <v>11</v>
      </c>
      <c r="I826" s="62" t="s">
        <v>210</v>
      </c>
      <c r="J826" s="63" t="s">
        <v>221</v>
      </c>
      <c r="K826" s="62" t="s">
        <v>317</v>
      </c>
      <c r="L826" s="64">
        <v>180</v>
      </c>
      <c r="M826" s="64">
        <f>L826*VLOOKUP(H826,dagsoorttabel1,2,FALSE)</f>
        <v>180</v>
      </c>
      <c r="N826" s="65">
        <f>prodnorm15</f>
        <v>0</v>
      </c>
      <c r="O826" s="66">
        <f>dagwerk15</f>
        <v>0</v>
      </c>
      <c r="P826" s="62" t="s">
        <v>40</v>
      </c>
      <c r="Q826" s="67">
        <f>uurtarief15</f>
        <v>0</v>
      </c>
      <c r="R826" s="64" t="e">
        <f>IF(ISBLANK(N826),0,M826/ROUND(N826,4))</f>
        <v>#DIV/0!</v>
      </c>
      <c r="S826" s="64" t="e">
        <f>IF(ISBLANK(N826),0,R826*ROUND(O826,2))</f>
        <v>#DIV/0!</v>
      </c>
      <c r="T826" s="67" t="e">
        <f>ROUND(Q826,2)*R826</f>
        <v>#DIV/0!</v>
      </c>
      <c r="U826" s="64" t="e">
        <f>R826*dagenperjaar1</f>
        <v>#DIV/0!</v>
      </c>
      <c r="V826" s="69" t="e">
        <f>U826*ROUND(Q826,2)</f>
        <v>#DIV/0!</v>
      </c>
    </row>
    <row r="827" spans="1:22" x14ac:dyDescent="0.3">
      <c r="A827" s="61" t="s">
        <v>1257</v>
      </c>
      <c r="B827" s="62" t="s">
        <v>317</v>
      </c>
      <c r="C827" s="62" t="s">
        <v>318</v>
      </c>
      <c r="D827" s="62" t="s">
        <v>1282</v>
      </c>
      <c r="E827" s="63" t="s">
        <v>374</v>
      </c>
      <c r="F827" s="62" t="s">
        <v>353</v>
      </c>
      <c r="G827" s="62" t="s">
        <v>323</v>
      </c>
      <c r="H827" s="62"/>
      <c r="I827" s="62"/>
      <c r="J827" s="62"/>
      <c r="K827" s="62" t="s">
        <v>317</v>
      </c>
      <c r="L827" s="64">
        <v>2.09</v>
      </c>
      <c r="M827" s="64"/>
      <c r="N827" s="65"/>
      <c r="O827" s="66"/>
      <c r="P827" s="62"/>
      <c r="Q827" s="67"/>
      <c r="R827" s="64"/>
      <c r="S827" s="64"/>
      <c r="T827" s="67"/>
      <c r="U827" s="68"/>
      <c r="V827" s="69"/>
    </row>
    <row r="828" spans="1:22" x14ac:dyDescent="0.3">
      <c r="A828" s="61" t="s">
        <v>1257</v>
      </c>
      <c r="B828" s="62" t="s">
        <v>317</v>
      </c>
      <c r="C828" s="62" t="s">
        <v>318</v>
      </c>
      <c r="D828" s="62" t="s">
        <v>1161</v>
      </c>
      <c r="E828" s="63" t="s">
        <v>516</v>
      </c>
      <c r="F828" s="62" t="s">
        <v>365</v>
      </c>
      <c r="G828" s="62" t="s">
        <v>323</v>
      </c>
      <c r="H828" s="62"/>
      <c r="I828" s="62"/>
      <c r="J828" s="62"/>
      <c r="K828" s="62" t="s">
        <v>317</v>
      </c>
      <c r="L828" s="64">
        <v>7.1599999999999993</v>
      </c>
      <c r="M828" s="64"/>
      <c r="N828" s="65"/>
      <c r="O828" s="66"/>
      <c r="P828" s="62"/>
      <c r="Q828" s="67"/>
      <c r="R828" s="64"/>
      <c r="S828" s="64"/>
      <c r="T828" s="67"/>
      <c r="U828" s="68"/>
      <c r="V828" s="69"/>
    </row>
    <row r="829" spans="1:22" x14ac:dyDescent="0.3">
      <c r="A829" s="61" t="s">
        <v>1257</v>
      </c>
      <c r="B829" s="62" t="s">
        <v>317</v>
      </c>
      <c r="C829" s="62" t="s">
        <v>318</v>
      </c>
      <c r="D829" s="62" t="s">
        <v>1163</v>
      </c>
      <c r="E829" s="63" t="s">
        <v>516</v>
      </c>
      <c r="F829" s="62" t="s">
        <v>365</v>
      </c>
      <c r="G829" s="62" t="s">
        <v>323</v>
      </c>
      <c r="H829" s="62"/>
      <c r="I829" s="62"/>
      <c r="J829" s="62"/>
      <c r="K829" s="62" t="s">
        <v>317</v>
      </c>
      <c r="L829" s="64">
        <v>6</v>
      </c>
      <c r="M829" s="64"/>
      <c r="N829" s="65"/>
      <c r="O829" s="66"/>
      <c r="P829" s="62"/>
      <c r="Q829" s="67"/>
      <c r="R829" s="64"/>
      <c r="S829" s="64"/>
      <c r="T829" s="67"/>
      <c r="U829" s="68"/>
      <c r="V829" s="69"/>
    </row>
    <row r="830" spans="1:22" x14ac:dyDescent="0.3">
      <c r="A830" s="61" t="s">
        <v>1257</v>
      </c>
      <c r="B830" s="62" t="s">
        <v>317</v>
      </c>
      <c r="C830" s="62" t="s">
        <v>318</v>
      </c>
      <c r="D830" s="62" t="s">
        <v>1164</v>
      </c>
      <c r="E830" s="63" t="s">
        <v>1278</v>
      </c>
      <c r="F830" s="62" t="s">
        <v>365</v>
      </c>
      <c r="G830" s="62" t="s">
        <v>323</v>
      </c>
      <c r="H830" s="62"/>
      <c r="I830" s="62"/>
      <c r="J830" s="62"/>
      <c r="K830" s="62" t="s">
        <v>317</v>
      </c>
      <c r="L830" s="64">
        <v>1</v>
      </c>
      <c r="M830" s="64"/>
      <c r="N830" s="65"/>
      <c r="O830" s="66"/>
      <c r="P830" s="62"/>
      <c r="Q830" s="67"/>
      <c r="R830" s="64"/>
      <c r="S830" s="64"/>
      <c r="T830" s="67"/>
      <c r="U830" s="68"/>
      <c r="V830" s="69"/>
    </row>
    <row r="831" spans="1:22" x14ac:dyDescent="0.3">
      <c r="A831" s="61" t="s">
        <v>1257</v>
      </c>
      <c r="B831" s="62" t="s">
        <v>317</v>
      </c>
      <c r="C831" s="62" t="s">
        <v>318</v>
      </c>
      <c r="D831" s="62" t="s">
        <v>1165</v>
      </c>
      <c r="E831" s="63" t="s">
        <v>1275</v>
      </c>
      <c r="F831" s="62" t="s">
        <v>353</v>
      </c>
      <c r="G831" s="62" t="s">
        <v>266</v>
      </c>
      <c r="H831" s="62" t="s">
        <v>11</v>
      </c>
      <c r="I831" s="62" t="s">
        <v>210</v>
      </c>
      <c r="J831" s="63" t="s">
        <v>267</v>
      </c>
      <c r="K831" s="62" t="s">
        <v>317</v>
      </c>
      <c r="L831" s="64">
        <v>10</v>
      </c>
      <c r="M831" s="64">
        <f>L831*VLOOKUP(H831,dagsoorttabel1,2,FALSE)</f>
        <v>10</v>
      </c>
      <c r="N831" s="65">
        <f>prodnorm39</f>
        <v>0</v>
      </c>
      <c r="O831" s="66">
        <f>dagwerk39</f>
        <v>0</v>
      </c>
      <c r="P831" s="62" t="s">
        <v>40</v>
      </c>
      <c r="Q831" s="67">
        <f>uurtarief39</f>
        <v>0</v>
      </c>
      <c r="R831" s="64" t="e">
        <f>IF(ISBLANK(N831),0,M831/ROUND(N831,4))</f>
        <v>#DIV/0!</v>
      </c>
      <c r="S831" s="64" t="e">
        <f>IF(ISBLANK(N831),0,R831*ROUND(O831,2))</f>
        <v>#DIV/0!</v>
      </c>
      <c r="T831" s="67" t="e">
        <f>ROUND(Q831,2)*R831</f>
        <v>#DIV/0!</v>
      </c>
      <c r="U831" s="64" t="e">
        <f>R831*dagenperjaar1</f>
        <v>#DIV/0!</v>
      </c>
      <c r="V831" s="69" t="e">
        <f>U831*ROUND(Q831,2)</f>
        <v>#DIV/0!</v>
      </c>
    </row>
    <row r="832" spans="1:22" x14ac:dyDescent="0.3">
      <c r="A832" s="61" t="s">
        <v>1257</v>
      </c>
      <c r="B832" s="62" t="s">
        <v>317</v>
      </c>
      <c r="C832" s="62" t="s">
        <v>318</v>
      </c>
      <c r="D832" s="62" t="s">
        <v>1167</v>
      </c>
      <c r="E832" s="63" t="s">
        <v>1273</v>
      </c>
      <c r="F832" s="62" t="s">
        <v>353</v>
      </c>
      <c r="G832" s="62" t="s">
        <v>266</v>
      </c>
      <c r="H832" s="62" t="s">
        <v>11</v>
      </c>
      <c r="I832" s="62" t="s">
        <v>210</v>
      </c>
      <c r="J832" s="63" t="s">
        <v>267</v>
      </c>
      <c r="K832" s="62" t="s">
        <v>317</v>
      </c>
      <c r="L832" s="64">
        <v>10</v>
      </c>
      <c r="M832" s="64">
        <f>L832*VLOOKUP(H832,dagsoorttabel1,2,FALSE)</f>
        <v>10</v>
      </c>
      <c r="N832" s="65">
        <f>prodnorm39</f>
        <v>0</v>
      </c>
      <c r="O832" s="66">
        <f>dagwerk39</f>
        <v>0</v>
      </c>
      <c r="P832" s="62" t="s">
        <v>40</v>
      </c>
      <c r="Q832" s="67">
        <f>uurtarief39</f>
        <v>0</v>
      </c>
      <c r="R832" s="64" t="e">
        <f>IF(ISBLANK(N832),0,M832/ROUND(N832,4))</f>
        <v>#DIV/0!</v>
      </c>
      <c r="S832" s="64" t="e">
        <f>IF(ISBLANK(N832),0,R832*ROUND(O832,2))</f>
        <v>#DIV/0!</v>
      </c>
      <c r="T832" s="67" t="e">
        <f>ROUND(Q832,2)*R832</f>
        <v>#DIV/0!</v>
      </c>
      <c r="U832" s="64" t="e">
        <f>R832*dagenperjaar1</f>
        <v>#DIV/0!</v>
      </c>
      <c r="V832" s="69" t="e">
        <f>U832*ROUND(Q832,2)</f>
        <v>#DIV/0!</v>
      </c>
    </row>
    <row r="833" spans="1:22" x14ac:dyDescent="0.3">
      <c r="A833" s="61" t="s">
        <v>1257</v>
      </c>
      <c r="B833" s="62" t="s">
        <v>317</v>
      </c>
      <c r="C833" s="62" t="s">
        <v>318</v>
      </c>
      <c r="D833" s="62" t="s">
        <v>1168</v>
      </c>
      <c r="E833" s="63" t="s">
        <v>536</v>
      </c>
      <c r="F833" s="62" t="s">
        <v>348</v>
      </c>
      <c r="G833" s="62" t="s">
        <v>216</v>
      </c>
      <c r="H833" s="62" t="s">
        <v>14</v>
      </c>
      <c r="I833" s="62" t="s">
        <v>210</v>
      </c>
      <c r="J833" s="63" t="s">
        <v>217</v>
      </c>
      <c r="K833" s="62" t="s">
        <v>317</v>
      </c>
      <c r="L833" s="64">
        <v>11</v>
      </c>
      <c r="M833" s="64">
        <f>L833*VLOOKUP(H833,dagsoorttabel1,2,FALSE)</f>
        <v>6.6</v>
      </c>
      <c r="N833" s="65">
        <f>prodnorm13</f>
        <v>0</v>
      </c>
      <c r="O833" s="66">
        <f>dagwerk13</f>
        <v>0</v>
      </c>
      <c r="P833" s="62" t="s">
        <v>40</v>
      </c>
      <c r="Q833" s="67">
        <f>uurtarief13</f>
        <v>0</v>
      </c>
      <c r="R833" s="64" t="e">
        <f>IF(ISBLANK(N833),0,M833/ROUND(N833,4))</f>
        <v>#DIV/0!</v>
      </c>
      <c r="S833" s="64" t="e">
        <f>IF(ISBLANK(N833),0,R833*ROUND(O833,2))</f>
        <v>#DIV/0!</v>
      </c>
      <c r="T833" s="67" t="e">
        <f>ROUND(Q833,2)*R833</f>
        <v>#DIV/0!</v>
      </c>
      <c r="U833" s="64" t="e">
        <f>R833*dagenperjaar1</f>
        <v>#DIV/0!</v>
      </c>
      <c r="V833" s="69" t="e">
        <f>U833*ROUND(Q833,2)</f>
        <v>#DIV/0!</v>
      </c>
    </row>
    <row r="834" spans="1:22" x14ac:dyDescent="0.3">
      <c r="A834" s="61" t="s">
        <v>1257</v>
      </c>
      <c r="B834" s="62" t="s">
        <v>317</v>
      </c>
      <c r="C834" s="62" t="s">
        <v>318</v>
      </c>
      <c r="D834" s="62" t="s">
        <v>1170</v>
      </c>
      <c r="E834" s="63" t="s">
        <v>1283</v>
      </c>
      <c r="F834" s="62" t="s">
        <v>365</v>
      </c>
      <c r="G834" s="62" t="s">
        <v>238</v>
      </c>
      <c r="H834" s="62" t="s">
        <v>11</v>
      </c>
      <c r="I834" s="62" t="s">
        <v>210</v>
      </c>
      <c r="J834" s="63" t="s">
        <v>239</v>
      </c>
      <c r="K834" s="62" t="s">
        <v>317</v>
      </c>
      <c r="L834" s="64">
        <v>53</v>
      </c>
      <c r="M834" s="64">
        <f>L834*VLOOKUP(H834,dagsoorttabel1,2,FALSE)</f>
        <v>53</v>
      </c>
      <c r="N834" s="65">
        <f>prodnorm24</f>
        <v>0</v>
      </c>
      <c r="O834" s="66">
        <f>dagwerk24</f>
        <v>0</v>
      </c>
      <c r="P834" s="62" t="s">
        <v>40</v>
      </c>
      <c r="Q834" s="67">
        <f>uurtarief24</f>
        <v>0</v>
      </c>
      <c r="R834" s="64" t="e">
        <f>IF(ISBLANK(N834),0,M834/ROUND(N834,4))</f>
        <v>#DIV/0!</v>
      </c>
      <c r="S834" s="64" t="e">
        <f>IF(ISBLANK(N834),0,R834*ROUND(O834,2))</f>
        <v>#DIV/0!</v>
      </c>
      <c r="T834" s="67" t="e">
        <f>ROUND(Q834,2)*R834</f>
        <v>#DIV/0!</v>
      </c>
      <c r="U834" s="64" t="e">
        <f>R834*dagenperjaar1</f>
        <v>#DIV/0!</v>
      </c>
      <c r="V834" s="69" t="e">
        <f>U834*ROUND(Q834,2)</f>
        <v>#DIV/0!</v>
      </c>
    </row>
    <row r="835" spans="1:22" x14ac:dyDescent="0.3">
      <c r="A835" s="61" t="s">
        <v>1257</v>
      </c>
      <c r="B835" s="62" t="s">
        <v>317</v>
      </c>
      <c r="C835" s="62" t="s">
        <v>318</v>
      </c>
      <c r="D835" s="62" t="s">
        <v>1172</v>
      </c>
      <c r="E835" s="63" t="s">
        <v>374</v>
      </c>
      <c r="F835" s="62" t="s">
        <v>365</v>
      </c>
      <c r="G835" s="62" t="s">
        <v>323</v>
      </c>
      <c r="H835" s="62"/>
      <c r="I835" s="62"/>
      <c r="J835" s="62"/>
      <c r="K835" s="62" t="s">
        <v>317</v>
      </c>
      <c r="L835" s="64">
        <v>0.82000000000000006</v>
      </c>
      <c r="M835" s="64"/>
      <c r="N835" s="65"/>
      <c r="O835" s="66"/>
      <c r="P835" s="62"/>
      <c r="Q835" s="67"/>
      <c r="R835" s="64"/>
      <c r="S835" s="64"/>
      <c r="T835" s="67"/>
      <c r="U835" s="68"/>
      <c r="V835" s="69"/>
    </row>
    <row r="836" spans="1:22" x14ac:dyDescent="0.3">
      <c r="A836" s="61" t="s">
        <v>1257</v>
      </c>
      <c r="B836" s="62" t="s">
        <v>317</v>
      </c>
      <c r="C836" s="62" t="s">
        <v>318</v>
      </c>
      <c r="D836" s="62" t="s">
        <v>1176</v>
      </c>
      <c r="E836" s="63" t="s">
        <v>391</v>
      </c>
      <c r="F836" s="62" t="s">
        <v>365</v>
      </c>
      <c r="G836" s="62" t="s">
        <v>234</v>
      </c>
      <c r="H836" s="62" t="s">
        <v>14</v>
      </c>
      <c r="I836" s="62" t="s">
        <v>210</v>
      </c>
      <c r="J836" s="63" t="s">
        <v>235</v>
      </c>
      <c r="K836" s="62" t="s">
        <v>317</v>
      </c>
      <c r="L836" s="64">
        <v>52</v>
      </c>
      <c r="M836" s="64">
        <f>L836*VLOOKUP(H836,dagsoorttabel1,2,FALSE)</f>
        <v>31.2</v>
      </c>
      <c r="N836" s="65">
        <f>prodnorm22</f>
        <v>0</v>
      </c>
      <c r="O836" s="66">
        <f>dagwerk22</f>
        <v>0</v>
      </c>
      <c r="P836" s="62" t="s">
        <v>40</v>
      </c>
      <c r="Q836" s="67">
        <f>uurtarief22</f>
        <v>0</v>
      </c>
      <c r="R836" s="64" t="e">
        <f>IF(ISBLANK(N836),0,M836/ROUND(N836,4))</f>
        <v>#DIV/0!</v>
      </c>
      <c r="S836" s="64" t="e">
        <f>IF(ISBLANK(N836),0,R836*ROUND(O836,2))</f>
        <v>#DIV/0!</v>
      </c>
      <c r="T836" s="67" t="e">
        <f>ROUND(Q836,2)*R836</f>
        <v>#DIV/0!</v>
      </c>
      <c r="U836" s="64" t="e">
        <f>R836*dagenperjaar1</f>
        <v>#DIV/0!</v>
      </c>
      <c r="V836" s="69" t="e">
        <f>U836*ROUND(Q836,2)</f>
        <v>#DIV/0!</v>
      </c>
    </row>
    <row r="837" spans="1:22" x14ac:dyDescent="0.3">
      <c r="A837" s="61" t="s">
        <v>1257</v>
      </c>
      <c r="B837" s="62" t="s">
        <v>317</v>
      </c>
      <c r="C837" s="62" t="s">
        <v>318</v>
      </c>
      <c r="D837" s="62" t="s">
        <v>1178</v>
      </c>
      <c r="E837" s="63" t="s">
        <v>1284</v>
      </c>
      <c r="F837" s="62" t="s">
        <v>365</v>
      </c>
      <c r="G837" s="62" t="s">
        <v>209</v>
      </c>
      <c r="H837" s="62" t="s">
        <v>17</v>
      </c>
      <c r="I837" s="62" t="s">
        <v>210</v>
      </c>
      <c r="J837" s="63" t="s">
        <v>211</v>
      </c>
      <c r="K837" s="62" t="s">
        <v>317</v>
      </c>
      <c r="L837" s="64">
        <v>23</v>
      </c>
      <c r="M837" s="64">
        <f>L837*VLOOKUP(H837,dagsoorttabel1,2,FALSE)</f>
        <v>4.6000000000000005</v>
      </c>
      <c r="N837" s="65">
        <f>prodnorm10</f>
        <v>0</v>
      </c>
      <c r="O837" s="66">
        <f>dagwerk10</f>
        <v>0</v>
      </c>
      <c r="P837" s="62" t="s">
        <v>40</v>
      </c>
      <c r="Q837" s="67">
        <f>uurtarief10</f>
        <v>0</v>
      </c>
      <c r="R837" s="64" t="e">
        <f>IF(ISBLANK(N837),0,M837/ROUND(N837,4))</f>
        <v>#DIV/0!</v>
      </c>
      <c r="S837" s="64" t="e">
        <f>IF(ISBLANK(N837),0,R837*ROUND(O837,2))</f>
        <v>#DIV/0!</v>
      </c>
      <c r="T837" s="67" t="e">
        <f>ROUND(Q837,2)*R837</f>
        <v>#DIV/0!</v>
      </c>
      <c r="U837" s="64" t="e">
        <f>R837*dagenperjaar1</f>
        <v>#DIV/0!</v>
      </c>
      <c r="V837" s="69" t="e">
        <f>U837*ROUND(Q837,2)</f>
        <v>#DIV/0!</v>
      </c>
    </row>
    <row r="838" spans="1:22" x14ac:dyDescent="0.3">
      <c r="A838" s="61" t="s">
        <v>1257</v>
      </c>
      <c r="B838" s="62" t="s">
        <v>317</v>
      </c>
      <c r="C838" s="62" t="s">
        <v>318</v>
      </c>
      <c r="D838" s="62" t="s">
        <v>1182</v>
      </c>
      <c r="E838" s="63" t="s">
        <v>391</v>
      </c>
      <c r="F838" s="62" t="s">
        <v>365</v>
      </c>
      <c r="G838" s="62" t="s">
        <v>234</v>
      </c>
      <c r="H838" s="62" t="s">
        <v>14</v>
      </c>
      <c r="I838" s="62" t="s">
        <v>210</v>
      </c>
      <c r="J838" s="63" t="s">
        <v>235</v>
      </c>
      <c r="K838" s="62" t="s">
        <v>317</v>
      </c>
      <c r="L838" s="64">
        <v>53</v>
      </c>
      <c r="M838" s="64">
        <f>L838*VLOOKUP(H838,dagsoorttabel1,2,FALSE)</f>
        <v>31.799999999999997</v>
      </c>
      <c r="N838" s="65">
        <f>prodnorm22</f>
        <v>0</v>
      </c>
      <c r="O838" s="66">
        <f>dagwerk22</f>
        <v>0</v>
      </c>
      <c r="P838" s="62" t="s">
        <v>40</v>
      </c>
      <c r="Q838" s="67">
        <f>uurtarief22</f>
        <v>0</v>
      </c>
      <c r="R838" s="64" t="e">
        <f>IF(ISBLANK(N838),0,M838/ROUND(N838,4))</f>
        <v>#DIV/0!</v>
      </c>
      <c r="S838" s="64" t="e">
        <f>IF(ISBLANK(N838),0,R838*ROUND(O838,2))</f>
        <v>#DIV/0!</v>
      </c>
      <c r="T838" s="67" t="e">
        <f>ROUND(Q838,2)*R838</f>
        <v>#DIV/0!</v>
      </c>
      <c r="U838" s="64" t="e">
        <f>R838*dagenperjaar1</f>
        <v>#DIV/0!</v>
      </c>
      <c r="V838" s="69" t="e">
        <f>U838*ROUND(Q838,2)</f>
        <v>#DIV/0!</v>
      </c>
    </row>
    <row r="839" spans="1:22" x14ac:dyDescent="0.3">
      <c r="A839" s="61" t="s">
        <v>1257</v>
      </c>
      <c r="B839" s="62" t="s">
        <v>317</v>
      </c>
      <c r="C839" s="62" t="s">
        <v>318</v>
      </c>
      <c r="D839" s="62" t="s">
        <v>1184</v>
      </c>
      <c r="E839" s="63" t="s">
        <v>391</v>
      </c>
      <c r="F839" s="62" t="s">
        <v>365</v>
      </c>
      <c r="G839" s="62" t="s">
        <v>234</v>
      </c>
      <c r="H839" s="62" t="s">
        <v>14</v>
      </c>
      <c r="I839" s="62" t="s">
        <v>210</v>
      </c>
      <c r="J839" s="63" t="s">
        <v>235</v>
      </c>
      <c r="K839" s="62" t="s">
        <v>317</v>
      </c>
      <c r="L839" s="64">
        <v>52</v>
      </c>
      <c r="M839" s="64">
        <f>L839*VLOOKUP(H839,dagsoorttabel1,2,FALSE)</f>
        <v>31.2</v>
      </c>
      <c r="N839" s="65">
        <f>prodnorm22</f>
        <v>0</v>
      </c>
      <c r="O839" s="66">
        <f>dagwerk22</f>
        <v>0</v>
      </c>
      <c r="P839" s="62" t="s">
        <v>40</v>
      </c>
      <c r="Q839" s="67">
        <f>uurtarief22</f>
        <v>0</v>
      </c>
      <c r="R839" s="64" t="e">
        <f>IF(ISBLANK(N839),0,M839/ROUND(N839,4))</f>
        <v>#DIV/0!</v>
      </c>
      <c r="S839" s="64" t="e">
        <f>IF(ISBLANK(N839),0,R839*ROUND(O839,2))</f>
        <v>#DIV/0!</v>
      </c>
      <c r="T839" s="67" t="e">
        <f>ROUND(Q839,2)*R839</f>
        <v>#DIV/0!</v>
      </c>
      <c r="U839" s="64" t="e">
        <f>R839*dagenperjaar1</f>
        <v>#DIV/0!</v>
      </c>
      <c r="V839" s="69" t="e">
        <f>U839*ROUND(Q839,2)</f>
        <v>#DIV/0!</v>
      </c>
    </row>
    <row r="840" spans="1:22" x14ac:dyDescent="0.3">
      <c r="A840" s="61" t="s">
        <v>1257</v>
      </c>
      <c r="B840" s="62" t="s">
        <v>317</v>
      </c>
      <c r="C840" s="62" t="s">
        <v>318</v>
      </c>
      <c r="D840" s="62" t="s">
        <v>1186</v>
      </c>
      <c r="E840" s="63" t="s">
        <v>374</v>
      </c>
      <c r="F840" s="62" t="s">
        <v>322</v>
      </c>
      <c r="G840" s="62" t="s">
        <v>323</v>
      </c>
      <c r="H840" s="62"/>
      <c r="I840" s="62"/>
      <c r="J840" s="62"/>
      <c r="K840" s="62" t="s">
        <v>317</v>
      </c>
      <c r="L840" s="64">
        <v>1</v>
      </c>
      <c r="M840" s="64"/>
      <c r="N840" s="65"/>
      <c r="O840" s="66"/>
      <c r="P840" s="62"/>
      <c r="Q840" s="67"/>
      <c r="R840" s="64"/>
      <c r="S840" s="64"/>
      <c r="T840" s="67"/>
      <c r="U840" s="68"/>
      <c r="V840" s="69"/>
    </row>
    <row r="841" spans="1:22" x14ac:dyDescent="0.3">
      <c r="A841" s="61" t="s">
        <v>1257</v>
      </c>
      <c r="B841" s="62" t="s">
        <v>317</v>
      </c>
      <c r="C841" s="62" t="s">
        <v>318</v>
      </c>
      <c r="D841" s="62" t="s">
        <v>1188</v>
      </c>
      <c r="E841" s="63" t="s">
        <v>374</v>
      </c>
      <c r="F841" s="62" t="s">
        <v>322</v>
      </c>
      <c r="G841" s="62" t="s">
        <v>323</v>
      </c>
      <c r="H841" s="62"/>
      <c r="I841" s="62"/>
      <c r="J841" s="62"/>
      <c r="K841" s="62" t="s">
        <v>317</v>
      </c>
      <c r="L841" s="64">
        <v>1</v>
      </c>
      <c r="M841" s="64"/>
      <c r="N841" s="65"/>
      <c r="O841" s="66"/>
      <c r="P841" s="62"/>
      <c r="Q841" s="67"/>
      <c r="R841" s="64"/>
      <c r="S841" s="64"/>
      <c r="T841" s="67"/>
      <c r="U841" s="68"/>
      <c r="V841" s="69"/>
    </row>
    <row r="842" spans="1:22" ht="28.8" x14ac:dyDescent="0.3">
      <c r="A842" s="61" t="s">
        <v>1257</v>
      </c>
      <c r="B842" s="62" t="s">
        <v>317</v>
      </c>
      <c r="C842" s="62" t="s">
        <v>318</v>
      </c>
      <c r="D842" s="62" t="s">
        <v>1285</v>
      </c>
      <c r="E842" s="63" t="s">
        <v>1286</v>
      </c>
      <c r="F842" s="62" t="s">
        <v>353</v>
      </c>
      <c r="G842" s="62" t="s">
        <v>323</v>
      </c>
      <c r="H842" s="62"/>
      <c r="I842" s="62"/>
      <c r="J842" s="62"/>
      <c r="K842" s="62" t="s">
        <v>317</v>
      </c>
      <c r="L842" s="64">
        <v>8</v>
      </c>
      <c r="M842" s="64"/>
      <c r="N842" s="65"/>
      <c r="O842" s="66"/>
      <c r="P842" s="62"/>
      <c r="Q842" s="67"/>
      <c r="R842" s="64"/>
      <c r="S842" s="64"/>
      <c r="T842" s="67"/>
      <c r="U842" s="68"/>
      <c r="V842" s="69"/>
    </row>
    <row r="843" spans="1:22" x14ac:dyDescent="0.3">
      <c r="A843" s="61" t="s">
        <v>1257</v>
      </c>
      <c r="B843" s="62" t="s">
        <v>317</v>
      </c>
      <c r="C843" s="62" t="s">
        <v>318</v>
      </c>
      <c r="D843" s="62" t="s">
        <v>1287</v>
      </c>
      <c r="E843" s="63" t="s">
        <v>1288</v>
      </c>
      <c r="F843" s="62" t="s">
        <v>353</v>
      </c>
      <c r="G843" s="62" t="s">
        <v>323</v>
      </c>
      <c r="H843" s="62"/>
      <c r="I843" s="62"/>
      <c r="J843" s="62"/>
      <c r="K843" s="62" t="s">
        <v>317</v>
      </c>
      <c r="L843" s="64">
        <v>10</v>
      </c>
      <c r="M843" s="64"/>
      <c r="N843" s="65"/>
      <c r="O843" s="66"/>
      <c r="P843" s="62"/>
      <c r="Q843" s="67"/>
      <c r="R843" s="64"/>
      <c r="S843" s="64"/>
      <c r="T843" s="67"/>
      <c r="U843" s="68"/>
      <c r="V843" s="69"/>
    </row>
    <row r="844" spans="1:22" x14ac:dyDescent="0.3">
      <c r="A844" s="61" t="s">
        <v>1257</v>
      </c>
      <c r="B844" s="62" t="s">
        <v>317</v>
      </c>
      <c r="C844" s="62" t="s">
        <v>318</v>
      </c>
      <c r="D844" s="62" t="s">
        <v>1289</v>
      </c>
      <c r="E844" s="63" t="s">
        <v>1290</v>
      </c>
      <c r="F844" s="62" t="s">
        <v>353</v>
      </c>
      <c r="G844" s="62" t="s">
        <v>323</v>
      </c>
      <c r="H844" s="62"/>
      <c r="I844" s="62"/>
      <c r="J844" s="62"/>
      <c r="K844" s="62" t="s">
        <v>317</v>
      </c>
      <c r="L844" s="64">
        <v>6</v>
      </c>
      <c r="M844" s="64"/>
      <c r="N844" s="65"/>
      <c r="O844" s="66"/>
      <c r="P844" s="62"/>
      <c r="Q844" s="67"/>
      <c r="R844" s="64"/>
      <c r="S844" s="64"/>
      <c r="T844" s="67"/>
      <c r="U844" s="68"/>
      <c r="V844" s="69"/>
    </row>
    <row r="845" spans="1:22" x14ac:dyDescent="0.3">
      <c r="A845" s="61" t="s">
        <v>1257</v>
      </c>
      <c r="B845" s="62" t="s">
        <v>317</v>
      </c>
      <c r="C845" s="62" t="s">
        <v>318</v>
      </c>
      <c r="D845" s="62" t="s">
        <v>1189</v>
      </c>
      <c r="E845" s="63" t="s">
        <v>1291</v>
      </c>
      <c r="F845" s="62" t="s">
        <v>365</v>
      </c>
      <c r="G845" s="62" t="s">
        <v>323</v>
      </c>
      <c r="H845" s="62"/>
      <c r="I845" s="62"/>
      <c r="J845" s="62"/>
      <c r="K845" s="62" t="s">
        <v>317</v>
      </c>
      <c r="L845" s="64">
        <v>9</v>
      </c>
      <c r="M845" s="64"/>
      <c r="N845" s="65"/>
      <c r="O845" s="66"/>
      <c r="P845" s="62"/>
      <c r="Q845" s="67"/>
      <c r="R845" s="64"/>
      <c r="S845" s="64"/>
      <c r="T845" s="67"/>
      <c r="U845" s="68"/>
      <c r="V845" s="69"/>
    </row>
    <row r="846" spans="1:22" x14ac:dyDescent="0.3">
      <c r="A846" s="61" t="s">
        <v>1257</v>
      </c>
      <c r="B846" s="62" t="s">
        <v>317</v>
      </c>
      <c r="C846" s="62" t="s">
        <v>318</v>
      </c>
      <c r="D846" s="62" t="s">
        <v>1190</v>
      </c>
      <c r="E846" s="63" t="s">
        <v>1292</v>
      </c>
      <c r="F846" s="62" t="s">
        <v>365</v>
      </c>
      <c r="G846" s="62" t="s">
        <v>209</v>
      </c>
      <c r="H846" s="62" t="s">
        <v>17</v>
      </c>
      <c r="I846" s="62" t="s">
        <v>210</v>
      </c>
      <c r="J846" s="63" t="s">
        <v>211</v>
      </c>
      <c r="K846" s="62" t="s">
        <v>317</v>
      </c>
      <c r="L846" s="64">
        <v>18.41</v>
      </c>
      <c r="M846" s="64">
        <f>L846*VLOOKUP(H846,dagsoorttabel1,2,FALSE)</f>
        <v>3.6820000000000004</v>
      </c>
      <c r="N846" s="65">
        <f>prodnorm10</f>
        <v>0</v>
      </c>
      <c r="O846" s="66">
        <f>dagwerk10</f>
        <v>0</v>
      </c>
      <c r="P846" s="62" t="s">
        <v>40</v>
      </c>
      <c r="Q846" s="67">
        <f>uurtarief10</f>
        <v>0</v>
      </c>
      <c r="R846" s="64" t="e">
        <f>IF(ISBLANK(N846),0,M846/ROUND(N846,4))</f>
        <v>#DIV/0!</v>
      </c>
      <c r="S846" s="64" t="e">
        <f>IF(ISBLANK(N846),0,R846*ROUND(O846,2))</f>
        <v>#DIV/0!</v>
      </c>
      <c r="T846" s="67" t="e">
        <f>ROUND(Q846,2)*R846</f>
        <v>#DIV/0!</v>
      </c>
      <c r="U846" s="64" t="e">
        <f>R846*dagenperjaar1</f>
        <v>#DIV/0!</v>
      </c>
      <c r="V846" s="69" t="e">
        <f>U846*ROUND(Q846,2)</f>
        <v>#DIV/0!</v>
      </c>
    </row>
    <row r="847" spans="1:22" x14ac:dyDescent="0.3">
      <c r="A847" s="61" t="s">
        <v>1257</v>
      </c>
      <c r="B847" s="62" t="s">
        <v>317</v>
      </c>
      <c r="C847" s="62" t="s">
        <v>318</v>
      </c>
      <c r="D847" s="62" t="s">
        <v>1192</v>
      </c>
      <c r="E847" s="63" t="s">
        <v>374</v>
      </c>
      <c r="F847" s="62" t="s">
        <v>365</v>
      </c>
      <c r="G847" s="62" t="s">
        <v>323</v>
      </c>
      <c r="H847" s="62"/>
      <c r="I847" s="62"/>
      <c r="J847" s="62"/>
      <c r="K847" s="62" t="s">
        <v>317</v>
      </c>
      <c r="L847" s="64">
        <v>1.02</v>
      </c>
      <c r="M847" s="64"/>
      <c r="N847" s="65"/>
      <c r="O847" s="66"/>
      <c r="P847" s="62"/>
      <c r="Q847" s="67"/>
      <c r="R847" s="64"/>
      <c r="S847" s="64"/>
      <c r="T847" s="67"/>
      <c r="U847" s="68"/>
      <c r="V847" s="69"/>
    </row>
    <row r="848" spans="1:22" x14ac:dyDescent="0.3">
      <c r="A848" s="61" t="s">
        <v>1257</v>
      </c>
      <c r="B848" s="62" t="s">
        <v>317</v>
      </c>
      <c r="C848" s="62" t="s">
        <v>318</v>
      </c>
      <c r="D848" s="62" t="s">
        <v>1194</v>
      </c>
      <c r="E848" s="63" t="s">
        <v>582</v>
      </c>
      <c r="F848" s="62" t="s">
        <v>365</v>
      </c>
      <c r="G848" s="62" t="s">
        <v>209</v>
      </c>
      <c r="H848" s="62" t="s">
        <v>17</v>
      </c>
      <c r="I848" s="62" t="s">
        <v>210</v>
      </c>
      <c r="J848" s="63" t="s">
        <v>211</v>
      </c>
      <c r="K848" s="62" t="s">
        <v>317</v>
      </c>
      <c r="L848" s="64">
        <v>24</v>
      </c>
      <c r="M848" s="64">
        <f>L848*VLOOKUP(H848,dagsoorttabel1,2,FALSE)</f>
        <v>4.8000000000000007</v>
      </c>
      <c r="N848" s="65">
        <f>prodnorm10</f>
        <v>0</v>
      </c>
      <c r="O848" s="66">
        <f>dagwerk10</f>
        <v>0</v>
      </c>
      <c r="P848" s="62" t="s">
        <v>40</v>
      </c>
      <c r="Q848" s="67">
        <f>uurtarief10</f>
        <v>0</v>
      </c>
      <c r="R848" s="64" t="e">
        <f>IF(ISBLANK(N848),0,M848/ROUND(N848,4))</f>
        <v>#DIV/0!</v>
      </c>
      <c r="S848" s="64" t="e">
        <f>IF(ISBLANK(N848),0,R848*ROUND(O848,2))</f>
        <v>#DIV/0!</v>
      </c>
      <c r="T848" s="67" t="e">
        <f>ROUND(Q848,2)*R848</f>
        <v>#DIV/0!</v>
      </c>
      <c r="U848" s="64" t="e">
        <f>R848*dagenperjaar1</f>
        <v>#DIV/0!</v>
      </c>
      <c r="V848" s="69" t="e">
        <f>U848*ROUND(Q848,2)</f>
        <v>#DIV/0!</v>
      </c>
    </row>
    <row r="849" spans="1:22" x14ac:dyDescent="0.3">
      <c r="A849" s="61" t="s">
        <v>1257</v>
      </c>
      <c r="B849" s="62" t="s">
        <v>317</v>
      </c>
      <c r="C849" s="62" t="s">
        <v>318</v>
      </c>
      <c r="D849" s="62" t="s">
        <v>1196</v>
      </c>
      <c r="E849" s="63" t="s">
        <v>1293</v>
      </c>
      <c r="F849" s="62" t="s">
        <v>365</v>
      </c>
      <c r="G849" s="62" t="s">
        <v>209</v>
      </c>
      <c r="H849" s="62" t="s">
        <v>17</v>
      </c>
      <c r="I849" s="62" t="s">
        <v>210</v>
      </c>
      <c r="J849" s="63" t="s">
        <v>211</v>
      </c>
      <c r="K849" s="62" t="s">
        <v>317</v>
      </c>
      <c r="L849" s="64">
        <v>21</v>
      </c>
      <c r="M849" s="64">
        <f>L849*VLOOKUP(H849,dagsoorttabel1,2,FALSE)</f>
        <v>4.2</v>
      </c>
      <c r="N849" s="65">
        <f>prodnorm10</f>
        <v>0</v>
      </c>
      <c r="O849" s="66">
        <f>dagwerk10</f>
        <v>0</v>
      </c>
      <c r="P849" s="62" t="s">
        <v>40</v>
      </c>
      <c r="Q849" s="67">
        <f>uurtarief10</f>
        <v>0</v>
      </c>
      <c r="R849" s="64" t="e">
        <f>IF(ISBLANK(N849),0,M849/ROUND(N849,4))</f>
        <v>#DIV/0!</v>
      </c>
      <c r="S849" s="64" t="e">
        <f>IF(ISBLANK(N849),0,R849*ROUND(O849,2))</f>
        <v>#DIV/0!</v>
      </c>
      <c r="T849" s="67" t="e">
        <f>ROUND(Q849,2)*R849</f>
        <v>#DIV/0!</v>
      </c>
      <c r="U849" s="64" t="e">
        <f>R849*dagenperjaar1</f>
        <v>#DIV/0!</v>
      </c>
      <c r="V849" s="69" t="e">
        <f>U849*ROUND(Q849,2)</f>
        <v>#DIV/0!</v>
      </c>
    </row>
    <row r="850" spans="1:22" x14ac:dyDescent="0.3">
      <c r="A850" s="61" t="s">
        <v>1257</v>
      </c>
      <c r="B850" s="62" t="s">
        <v>317</v>
      </c>
      <c r="C850" s="62" t="s">
        <v>318</v>
      </c>
      <c r="D850" s="62" t="s">
        <v>1197</v>
      </c>
      <c r="E850" s="63" t="s">
        <v>374</v>
      </c>
      <c r="F850" s="62" t="s">
        <v>322</v>
      </c>
      <c r="G850" s="62" t="s">
        <v>323</v>
      </c>
      <c r="H850" s="62"/>
      <c r="I850" s="62"/>
      <c r="J850" s="62"/>
      <c r="K850" s="62" t="s">
        <v>317</v>
      </c>
      <c r="L850" s="64">
        <v>1</v>
      </c>
      <c r="M850" s="64"/>
      <c r="N850" s="65"/>
      <c r="O850" s="66"/>
      <c r="P850" s="62"/>
      <c r="Q850" s="67"/>
      <c r="R850" s="64"/>
      <c r="S850" s="64"/>
      <c r="T850" s="67"/>
      <c r="U850" s="68"/>
      <c r="V850" s="69"/>
    </row>
    <row r="851" spans="1:22" ht="28.8" x14ac:dyDescent="0.3">
      <c r="A851" s="61" t="s">
        <v>1257</v>
      </c>
      <c r="B851" s="62" t="s">
        <v>317</v>
      </c>
      <c r="C851" s="62" t="s">
        <v>318</v>
      </c>
      <c r="D851" s="62" t="s">
        <v>1198</v>
      </c>
      <c r="E851" s="63" t="s">
        <v>1294</v>
      </c>
      <c r="F851" s="62" t="s">
        <v>348</v>
      </c>
      <c r="G851" s="62" t="s">
        <v>216</v>
      </c>
      <c r="H851" s="62" t="s">
        <v>14</v>
      </c>
      <c r="I851" s="62" t="s">
        <v>210</v>
      </c>
      <c r="J851" s="63" t="s">
        <v>217</v>
      </c>
      <c r="K851" s="62" t="s">
        <v>317</v>
      </c>
      <c r="L851" s="64">
        <v>11</v>
      </c>
      <c r="M851" s="64">
        <f>L851*VLOOKUP(H851,dagsoorttabel1,2,FALSE)</f>
        <v>6.6</v>
      </c>
      <c r="N851" s="65">
        <f>prodnorm13</f>
        <v>0</v>
      </c>
      <c r="O851" s="66">
        <f>dagwerk13</f>
        <v>0</v>
      </c>
      <c r="P851" s="62" t="s">
        <v>40</v>
      </c>
      <c r="Q851" s="67">
        <f>uurtarief13</f>
        <v>0</v>
      </c>
      <c r="R851" s="64" t="e">
        <f>IF(ISBLANK(N851),0,M851/ROUND(N851,4))</f>
        <v>#DIV/0!</v>
      </c>
      <c r="S851" s="64" t="e">
        <f>IF(ISBLANK(N851),0,R851*ROUND(O851,2))</f>
        <v>#DIV/0!</v>
      </c>
      <c r="T851" s="67" t="e">
        <f>ROUND(Q851,2)*R851</f>
        <v>#DIV/0!</v>
      </c>
      <c r="U851" s="64" t="e">
        <f>R851*dagenperjaar1</f>
        <v>#DIV/0!</v>
      </c>
      <c r="V851" s="69" t="e">
        <f>U851*ROUND(Q851,2)</f>
        <v>#DIV/0!</v>
      </c>
    </row>
    <row r="852" spans="1:22" x14ac:dyDescent="0.3">
      <c r="A852" s="61" t="s">
        <v>1257</v>
      </c>
      <c r="B852" s="62" t="s">
        <v>317</v>
      </c>
      <c r="C852" s="62" t="s">
        <v>318</v>
      </c>
      <c r="D852" s="62" t="s">
        <v>1295</v>
      </c>
      <c r="E852" s="63" t="s">
        <v>391</v>
      </c>
      <c r="F852" s="62" t="s">
        <v>365</v>
      </c>
      <c r="G852" s="62" t="s">
        <v>234</v>
      </c>
      <c r="H852" s="62" t="s">
        <v>14</v>
      </c>
      <c r="I852" s="62" t="s">
        <v>210</v>
      </c>
      <c r="J852" s="63" t="s">
        <v>235</v>
      </c>
      <c r="K852" s="62" t="s">
        <v>317</v>
      </c>
      <c r="L852" s="64">
        <v>53</v>
      </c>
      <c r="M852" s="64">
        <f>L852*VLOOKUP(H852,dagsoorttabel1,2,FALSE)</f>
        <v>31.799999999999997</v>
      </c>
      <c r="N852" s="65">
        <f>prodnorm22</f>
        <v>0</v>
      </c>
      <c r="O852" s="66">
        <f>dagwerk22</f>
        <v>0</v>
      </c>
      <c r="P852" s="62" t="s">
        <v>40</v>
      </c>
      <c r="Q852" s="67">
        <f>uurtarief22</f>
        <v>0</v>
      </c>
      <c r="R852" s="64" t="e">
        <f>IF(ISBLANK(N852),0,M852/ROUND(N852,4))</f>
        <v>#DIV/0!</v>
      </c>
      <c r="S852" s="64" t="e">
        <f>IF(ISBLANK(N852),0,R852*ROUND(O852,2))</f>
        <v>#DIV/0!</v>
      </c>
      <c r="T852" s="67" t="e">
        <f>ROUND(Q852,2)*R852</f>
        <v>#DIV/0!</v>
      </c>
      <c r="U852" s="64" t="e">
        <f>R852*dagenperjaar1</f>
        <v>#DIV/0!</v>
      </c>
      <c r="V852" s="69" t="e">
        <f>U852*ROUND(Q852,2)</f>
        <v>#DIV/0!</v>
      </c>
    </row>
    <row r="853" spans="1:22" x14ac:dyDescent="0.3">
      <c r="A853" s="61" t="s">
        <v>1257</v>
      </c>
      <c r="B853" s="62" t="s">
        <v>317</v>
      </c>
      <c r="C853" s="62" t="s">
        <v>318</v>
      </c>
      <c r="D853" s="62" t="s">
        <v>1296</v>
      </c>
      <c r="E853" s="63" t="s">
        <v>391</v>
      </c>
      <c r="F853" s="62" t="s">
        <v>365</v>
      </c>
      <c r="G853" s="62" t="s">
        <v>234</v>
      </c>
      <c r="H853" s="62" t="s">
        <v>14</v>
      </c>
      <c r="I853" s="62" t="s">
        <v>210</v>
      </c>
      <c r="J853" s="63" t="s">
        <v>235</v>
      </c>
      <c r="K853" s="62" t="s">
        <v>317</v>
      </c>
      <c r="L853" s="64">
        <v>52</v>
      </c>
      <c r="M853" s="64">
        <f>L853*VLOOKUP(H853,dagsoorttabel1,2,FALSE)</f>
        <v>31.2</v>
      </c>
      <c r="N853" s="65">
        <f>prodnorm22</f>
        <v>0</v>
      </c>
      <c r="O853" s="66">
        <f>dagwerk22</f>
        <v>0</v>
      </c>
      <c r="P853" s="62" t="s">
        <v>40</v>
      </c>
      <c r="Q853" s="67">
        <f>uurtarief22</f>
        <v>0</v>
      </c>
      <c r="R853" s="64" t="e">
        <f>IF(ISBLANK(N853),0,M853/ROUND(N853,4))</f>
        <v>#DIV/0!</v>
      </c>
      <c r="S853" s="64" t="e">
        <f>IF(ISBLANK(N853),0,R853*ROUND(O853,2))</f>
        <v>#DIV/0!</v>
      </c>
      <c r="T853" s="67" t="e">
        <f>ROUND(Q853,2)*R853</f>
        <v>#DIV/0!</v>
      </c>
      <c r="U853" s="64" t="e">
        <f>R853*dagenperjaar1</f>
        <v>#DIV/0!</v>
      </c>
      <c r="V853" s="69" t="e">
        <f>U853*ROUND(Q853,2)</f>
        <v>#DIV/0!</v>
      </c>
    </row>
    <row r="854" spans="1:22" x14ac:dyDescent="0.3">
      <c r="A854" s="61" t="s">
        <v>1257</v>
      </c>
      <c r="B854" s="62" t="s">
        <v>317</v>
      </c>
      <c r="C854" s="62" t="s">
        <v>318</v>
      </c>
      <c r="D854" s="62" t="s">
        <v>1297</v>
      </c>
      <c r="E854" s="63" t="s">
        <v>1284</v>
      </c>
      <c r="F854" s="62" t="s">
        <v>365</v>
      </c>
      <c r="G854" s="62" t="s">
        <v>209</v>
      </c>
      <c r="H854" s="62" t="s">
        <v>17</v>
      </c>
      <c r="I854" s="62" t="s">
        <v>210</v>
      </c>
      <c r="J854" s="63" t="s">
        <v>211</v>
      </c>
      <c r="K854" s="62" t="s">
        <v>317</v>
      </c>
      <c r="L854" s="64">
        <v>22</v>
      </c>
      <c r="M854" s="64">
        <f>L854*VLOOKUP(H854,dagsoorttabel1,2,FALSE)</f>
        <v>4.4000000000000004</v>
      </c>
      <c r="N854" s="65">
        <f>prodnorm10</f>
        <v>0</v>
      </c>
      <c r="O854" s="66">
        <f>dagwerk10</f>
        <v>0</v>
      </c>
      <c r="P854" s="62" t="s">
        <v>40</v>
      </c>
      <c r="Q854" s="67">
        <f>uurtarief10</f>
        <v>0</v>
      </c>
      <c r="R854" s="64" t="e">
        <f>IF(ISBLANK(N854),0,M854/ROUND(N854,4))</f>
        <v>#DIV/0!</v>
      </c>
      <c r="S854" s="64" t="e">
        <f>IF(ISBLANK(N854),0,R854*ROUND(O854,2))</f>
        <v>#DIV/0!</v>
      </c>
      <c r="T854" s="67" t="e">
        <f>ROUND(Q854,2)*R854</f>
        <v>#DIV/0!</v>
      </c>
      <c r="U854" s="64" t="e">
        <f>R854*dagenperjaar1</f>
        <v>#DIV/0!</v>
      </c>
      <c r="V854" s="69" t="e">
        <f>U854*ROUND(Q854,2)</f>
        <v>#DIV/0!</v>
      </c>
    </row>
    <row r="855" spans="1:22" x14ac:dyDescent="0.3">
      <c r="A855" s="61" t="s">
        <v>1257</v>
      </c>
      <c r="B855" s="62" t="s">
        <v>317</v>
      </c>
      <c r="C855" s="62" t="s">
        <v>318</v>
      </c>
      <c r="D855" s="62" t="s">
        <v>1298</v>
      </c>
      <c r="E855" s="63" t="s">
        <v>374</v>
      </c>
      <c r="F855" s="62" t="s">
        <v>365</v>
      </c>
      <c r="G855" s="62" t="s">
        <v>323</v>
      </c>
      <c r="H855" s="62"/>
      <c r="I855" s="62"/>
      <c r="J855" s="62"/>
      <c r="K855" s="62" t="s">
        <v>317</v>
      </c>
      <c r="L855" s="64">
        <v>1</v>
      </c>
      <c r="M855" s="64"/>
      <c r="N855" s="65"/>
      <c r="O855" s="66"/>
      <c r="P855" s="62"/>
      <c r="Q855" s="67"/>
      <c r="R855" s="64"/>
      <c r="S855" s="64"/>
      <c r="T855" s="67"/>
      <c r="U855" s="68"/>
      <c r="V855" s="69"/>
    </row>
    <row r="856" spans="1:22" x14ac:dyDescent="0.3">
      <c r="A856" s="61" t="s">
        <v>1257</v>
      </c>
      <c r="B856" s="62" t="s">
        <v>317</v>
      </c>
      <c r="C856" s="62" t="s">
        <v>318</v>
      </c>
      <c r="D856" s="62" t="s">
        <v>1299</v>
      </c>
      <c r="E856" s="63" t="s">
        <v>391</v>
      </c>
      <c r="F856" s="62" t="s">
        <v>365</v>
      </c>
      <c r="G856" s="62" t="s">
        <v>234</v>
      </c>
      <c r="H856" s="62" t="s">
        <v>14</v>
      </c>
      <c r="I856" s="62" t="s">
        <v>210</v>
      </c>
      <c r="J856" s="63" t="s">
        <v>235</v>
      </c>
      <c r="K856" s="62" t="s">
        <v>317</v>
      </c>
      <c r="L856" s="64">
        <v>52</v>
      </c>
      <c r="M856" s="64">
        <f>L856*VLOOKUP(H856,dagsoorttabel1,2,FALSE)</f>
        <v>31.2</v>
      </c>
      <c r="N856" s="65">
        <f>prodnorm22</f>
        <v>0</v>
      </c>
      <c r="O856" s="66">
        <f>dagwerk22</f>
        <v>0</v>
      </c>
      <c r="P856" s="62" t="s">
        <v>40</v>
      </c>
      <c r="Q856" s="67">
        <f>uurtarief22</f>
        <v>0</v>
      </c>
      <c r="R856" s="64" t="e">
        <f>IF(ISBLANK(N856),0,M856/ROUND(N856,4))</f>
        <v>#DIV/0!</v>
      </c>
      <c r="S856" s="64" t="e">
        <f>IF(ISBLANK(N856),0,R856*ROUND(O856,2))</f>
        <v>#DIV/0!</v>
      </c>
      <c r="T856" s="67" t="e">
        <f>ROUND(Q856,2)*R856</f>
        <v>#DIV/0!</v>
      </c>
      <c r="U856" s="64" t="e">
        <f>R856*dagenperjaar1</f>
        <v>#DIV/0!</v>
      </c>
      <c r="V856" s="69" t="e">
        <f>U856*ROUND(Q856,2)</f>
        <v>#DIV/0!</v>
      </c>
    </row>
    <row r="857" spans="1:22" x14ac:dyDescent="0.3">
      <c r="A857" s="61" t="s">
        <v>1257</v>
      </c>
      <c r="B857" s="62" t="s">
        <v>317</v>
      </c>
      <c r="C857" s="62" t="s">
        <v>318</v>
      </c>
      <c r="D857" s="62" t="s">
        <v>1300</v>
      </c>
      <c r="E857" s="63" t="s">
        <v>391</v>
      </c>
      <c r="F857" s="62" t="s">
        <v>365</v>
      </c>
      <c r="G857" s="62" t="s">
        <v>234</v>
      </c>
      <c r="H857" s="62" t="s">
        <v>14</v>
      </c>
      <c r="I857" s="62" t="s">
        <v>210</v>
      </c>
      <c r="J857" s="63" t="s">
        <v>235</v>
      </c>
      <c r="K857" s="62" t="s">
        <v>317</v>
      </c>
      <c r="L857" s="64">
        <v>53</v>
      </c>
      <c r="M857" s="64">
        <f>L857*VLOOKUP(H857,dagsoorttabel1,2,FALSE)</f>
        <v>31.799999999999997</v>
      </c>
      <c r="N857" s="65">
        <f>prodnorm22</f>
        <v>0</v>
      </c>
      <c r="O857" s="66">
        <f>dagwerk22</f>
        <v>0</v>
      </c>
      <c r="P857" s="62" t="s">
        <v>40</v>
      </c>
      <c r="Q857" s="67">
        <f>uurtarief22</f>
        <v>0</v>
      </c>
      <c r="R857" s="64" t="e">
        <f>IF(ISBLANK(N857),0,M857/ROUND(N857,4))</f>
        <v>#DIV/0!</v>
      </c>
      <c r="S857" s="64" t="e">
        <f>IF(ISBLANK(N857),0,R857*ROUND(O857,2))</f>
        <v>#DIV/0!</v>
      </c>
      <c r="T857" s="67" t="e">
        <f>ROUND(Q857,2)*R857</f>
        <v>#DIV/0!</v>
      </c>
      <c r="U857" s="64" t="e">
        <f>R857*dagenperjaar1</f>
        <v>#DIV/0!</v>
      </c>
      <c r="V857" s="69" t="e">
        <f>U857*ROUND(Q857,2)</f>
        <v>#DIV/0!</v>
      </c>
    </row>
    <row r="858" spans="1:22" ht="28.8" x14ac:dyDescent="0.3">
      <c r="A858" s="61" t="s">
        <v>1257</v>
      </c>
      <c r="B858" s="62" t="s">
        <v>317</v>
      </c>
      <c r="C858" s="62" t="s">
        <v>318</v>
      </c>
      <c r="D858" s="62" t="s">
        <v>1301</v>
      </c>
      <c r="E858" s="63" t="s">
        <v>1302</v>
      </c>
      <c r="F858" s="62" t="s">
        <v>353</v>
      </c>
      <c r="G858" s="62" t="s">
        <v>254</v>
      </c>
      <c r="H858" s="62" t="s">
        <v>11</v>
      </c>
      <c r="I858" s="62" t="s">
        <v>210</v>
      </c>
      <c r="J858" s="63" t="s">
        <v>255</v>
      </c>
      <c r="K858" s="62" t="s">
        <v>317</v>
      </c>
      <c r="L858" s="64">
        <v>274</v>
      </c>
      <c r="M858" s="64">
        <f>L858*VLOOKUP(H858,dagsoorttabel1,2,FALSE)</f>
        <v>274</v>
      </c>
      <c r="N858" s="65">
        <f>prodnorm33</f>
        <v>0</v>
      </c>
      <c r="O858" s="66">
        <f>dagwerk33</f>
        <v>0</v>
      </c>
      <c r="P858" s="62" t="s">
        <v>40</v>
      </c>
      <c r="Q858" s="67">
        <f>uurtarief33</f>
        <v>0</v>
      </c>
      <c r="R858" s="64" t="e">
        <f>IF(ISBLANK(N858),0,M858/ROUND(N858,4))</f>
        <v>#DIV/0!</v>
      </c>
      <c r="S858" s="64" t="e">
        <f>IF(ISBLANK(N858),0,R858*ROUND(O858,2))</f>
        <v>#DIV/0!</v>
      </c>
      <c r="T858" s="67" t="e">
        <f>ROUND(Q858,2)*R858</f>
        <v>#DIV/0!</v>
      </c>
      <c r="U858" s="64" t="e">
        <f>R858*dagenperjaar1</f>
        <v>#DIV/0!</v>
      </c>
      <c r="V858" s="69" t="e">
        <f>U858*ROUND(Q858,2)</f>
        <v>#DIV/0!</v>
      </c>
    </row>
    <row r="859" spans="1:22" x14ac:dyDescent="0.3">
      <c r="A859" s="61" t="s">
        <v>1257</v>
      </c>
      <c r="B859" s="62" t="s">
        <v>317</v>
      </c>
      <c r="C859" s="62" t="s">
        <v>318</v>
      </c>
      <c r="D859" s="62" t="s">
        <v>1303</v>
      </c>
      <c r="E859" s="63" t="s">
        <v>1304</v>
      </c>
      <c r="F859" s="62" t="s">
        <v>353</v>
      </c>
      <c r="G859" s="62" t="s">
        <v>323</v>
      </c>
      <c r="H859" s="62"/>
      <c r="I859" s="62"/>
      <c r="J859" s="62"/>
      <c r="K859" s="62" t="s">
        <v>317</v>
      </c>
      <c r="L859" s="64">
        <v>19</v>
      </c>
      <c r="M859" s="64"/>
      <c r="N859" s="65"/>
      <c r="O859" s="66"/>
      <c r="P859" s="62"/>
      <c r="Q859" s="67"/>
      <c r="R859" s="64"/>
      <c r="S859" s="64"/>
      <c r="T859" s="67"/>
      <c r="U859" s="68"/>
      <c r="V859" s="69"/>
    </row>
    <row r="860" spans="1:22" x14ac:dyDescent="0.3">
      <c r="A860" s="61" t="s">
        <v>1257</v>
      </c>
      <c r="B860" s="62" t="s">
        <v>317</v>
      </c>
      <c r="C860" s="62" t="s">
        <v>318</v>
      </c>
      <c r="D860" s="62" t="s">
        <v>1305</v>
      </c>
      <c r="E860" s="63" t="s">
        <v>1306</v>
      </c>
      <c r="F860" s="62" t="s">
        <v>353</v>
      </c>
      <c r="G860" s="62" t="s">
        <v>209</v>
      </c>
      <c r="H860" s="62" t="s">
        <v>17</v>
      </c>
      <c r="I860" s="62" t="s">
        <v>210</v>
      </c>
      <c r="J860" s="63" t="s">
        <v>211</v>
      </c>
      <c r="K860" s="62" t="s">
        <v>317</v>
      </c>
      <c r="L860" s="64">
        <v>7</v>
      </c>
      <c r="M860" s="64">
        <f>L860*VLOOKUP(H860,dagsoorttabel1,2,FALSE)</f>
        <v>1.4000000000000001</v>
      </c>
      <c r="N860" s="65">
        <f>prodnorm10</f>
        <v>0</v>
      </c>
      <c r="O860" s="66">
        <f>dagwerk10</f>
        <v>0</v>
      </c>
      <c r="P860" s="62" t="s">
        <v>40</v>
      </c>
      <c r="Q860" s="67">
        <f>uurtarief10</f>
        <v>0</v>
      </c>
      <c r="R860" s="64" t="e">
        <f>IF(ISBLANK(N860),0,M860/ROUND(N860,4))</f>
        <v>#DIV/0!</v>
      </c>
      <c r="S860" s="64" t="e">
        <f>IF(ISBLANK(N860),0,R860*ROUND(O860,2))</f>
        <v>#DIV/0!</v>
      </c>
      <c r="T860" s="67" t="e">
        <f>ROUND(Q860,2)*R860</f>
        <v>#DIV/0!</v>
      </c>
      <c r="U860" s="64" t="e">
        <f>R860*dagenperjaar1</f>
        <v>#DIV/0!</v>
      </c>
      <c r="V860" s="69" t="e">
        <f>U860*ROUND(Q860,2)</f>
        <v>#DIV/0!</v>
      </c>
    </row>
    <row r="861" spans="1:22" x14ac:dyDescent="0.3">
      <c r="A861" s="61" t="s">
        <v>1257</v>
      </c>
      <c r="B861" s="62" t="s">
        <v>317</v>
      </c>
      <c r="C861" s="62" t="s">
        <v>318</v>
      </c>
      <c r="D861" s="62" t="s">
        <v>1307</v>
      </c>
      <c r="E861" s="63" t="s">
        <v>1308</v>
      </c>
      <c r="F861" s="62" t="s">
        <v>353</v>
      </c>
      <c r="G861" s="62" t="s">
        <v>323</v>
      </c>
      <c r="H861" s="62"/>
      <c r="I861" s="62"/>
      <c r="J861" s="62"/>
      <c r="K861" s="62" t="s">
        <v>317</v>
      </c>
      <c r="L861" s="64">
        <v>23</v>
      </c>
      <c r="M861" s="64"/>
      <c r="N861" s="65"/>
      <c r="O861" s="66"/>
      <c r="P861" s="62"/>
      <c r="Q861" s="67"/>
      <c r="R861" s="64"/>
      <c r="S861" s="64"/>
      <c r="T861" s="67"/>
      <c r="U861" s="68"/>
      <c r="V861" s="69"/>
    </row>
    <row r="862" spans="1:22" x14ac:dyDescent="0.3">
      <c r="A862" s="61" t="s">
        <v>1257</v>
      </c>
      <c r="B862" s="62" t="s">
        <v>317</v>
      </c>
      <c r="C862" s="62" t="s">
        <v>318</v>
      </c>
      <c r="D862" s="62" t="s">
        <v>1309</v>
      </c>
      <c r="E862" s="63" t="s">
        <v>374</v>
      </c>
      <c r="F862" s="62" t="s">
        <v>353</v>
      </c>
      <c r="G862" s="62" t="s">
        <v>323</v>
      </c>
      <c r="H862" s="62"/>
      <c r="I862" s="62"/>
      <c r="J862" s="62"/>
      <c r="K862" s="62" t="s">
        <v>317</v>
      </c>
      <c r="L862" s="64">
        <v>2</v>
      </c>
      <c r="M862" s="64"/>
      <c r="N862" s="65"/>
      <c r="O862" s="66"/>
      <c r="P862" s="62"/>
      <c r="Q862" s="67"/>
      <c r="R862" s="64"/>
      <c r="S862" s="64"/>
      <c r="T862" s="67"/>
      <c r="U862" s="68"/>
      <c r="V862" s="69"/>
    </row>
    <row r="863" spans="1:22" x14ac:dyDescent="0.3">
      <c r="A863" s="61" t="s">
        <v>1257</v>
      </c>
      <c r="B863" s="62" t="s">
        <v>317</v>
      </c>
      <c r="C863" s="62" t="s">
        <v>318</v>
      </c>
      <c r="D863" s="62" t="s">
        <v>1310</v>
      </c>
      <c r="E863" s="63" t="s">
        <v>1142</v>
      </c>
      <c r="F863" s="62" t="s">
        <v>353</v>
      </c>
      <c r="G863" s="62" t="s">
        <v>266</v>
      </c>
      <c r="H863" s="62" t="s">
        <v>11</v>
      </c>
      <c r="I863" s="62" t="s">
        <v>210</v>
      </c>
      <c r="J863" s="63" t="s">
        <v>267</v>
      </c>
      <c r="K863" s="62" t="s">
        <v>317</v>
      </c>
      <c r="L863" s="64">
        <v>4</v>
      </c>
      <c r="M863" s="64">
        <f>L863*VLOOKUP(H863,dagsoorttabel1,2,FALSE)</f>
        <v>4</v>
      </c>
      <c r="N863" s="65">
        <f>prodnorm39</f>
        <v>0</v>
      </c>
      <c r="O863" s="66">
        <f>dagwerk39</f>
        <v>0</v>
      </c>
      <c r="P863" s="62" t="s">
        <v>40</v>
      </c>
      <c r="Q863" s="67">
        <f>uurtarief39</f>
        <v>0</v>
      </c>
      <c r="R863" s="64" t="e">
        <f>IF(ISBLANK(N863),0,M863/ROUND(N863,4))</f>
        <v>#DIV/0!</v>
      </c>
      <c r="S863" s="64" t="e">
        <f>IF(ISBLANK(N863),0,R863*ROUND(O863,2))</f>
        <v>#DIV/0!</v>
      </c>
      <c r="T863" s="67" t="e">
        <f>ROUND(Q863,2)*R863</f>
        <v>#DIV/0!</v>
      </c>
      <c r="U863" s="64" t="e">
        <f>R863*dagenperjaar1</f>
        <v>#DIV/0!</v>
      </c>
      <c r="V863" s="69" t="e">
        <f>U863*ROUND(Q863,2)</f>
        <v>#DIV/0!</v>
      </c>
    </row>
    <row r="864" spans="1:22" x14ac:dyDescent="0.3">
      <c r="A864" s="61" t="s">
        <v>1257</v>
      </c>
      <c r="B864" s="62" t="s">
        <v>317</v>
      </c>
      <c r="C864" s="62" t="s">
        <v>318</v>
      </c>
      <c r="D864" s="62" t="s">
        <v>1311</v>
      </c>
      <c r="E864" s="63" t="s">
        <v>1312</v>
      </c>
      <c r="F864" s="62" t="s">
        <v>365</v>
      </c>
      <c r="G864" s="62" t="s">
        <v>272</v>
      </c>
      <c r="H864" s="62" t="s">
        <v>11</v>
      </c>
      <c r="I864" s="62" t="s">
        <v>210</v>
      </c>
      <c r="J864" s="63" t="s">
        <v>273</v>
      </c>
      <c r="K864" s="62" t="s">
        <v>317</v>
      </c>
      <c r="L864" s="64">
        <v>10</v>
      </c>
      <c r="M864" s="64">
        <f>L864*VLOOKUP(H864,dagsoorttabel1,2,FALSE)</f>
        <v>10</v>
      </c>
      <c r="N864" s="65">
        <f>prodnorm42</f>
        <v>0</v>
      </c>
      <c r="O864" s="66">
        <f>dagwerk42</f>
        <v>0</v>
      </c>
      <c r="P864" s="62" t="s">
        <v>40</v>
      </c>
      <c r="Q864" s="67">
        <f>uurtarief42</f>
        <v>0</v>
      </c>
      <c r="R864" s="64" t="e">
        <f>IF(ISBLANK(N864),0,M864/ROUND(N864,4))</f>
        <v>#DIV/0!</v>
      </c>
      <c r="S864" s="64" t="e">
        <f>IF(ISBLANK(N864),0,R864*ROUND(O864,2))</f>
        <v>#DIV/0!</v>
      </c>
      <c r="T864" s="67" t="e">
        <f>ROUND(Q864,2)*R864</f>
        <v>#DIV/0!</v>
      </c>
      <c r="U864" s="64" t="e">
        <f>R864*dagenperjaar1</f>
        <v>#DIV/0!</v>
      </c>
      <c r="V864" s="69" t="e">
        <f>U864*ROUND(Q864,2)</f>
        <v>#DIV/0!</v>
      </c>
    </row>
    <row r="865" spans="1:22" ht="28.8" x14ac:dyDescent="0.3">
      <c r="A865" s="61" t="s">
        <v>1257</v>
      </c>
      <c r="B865" s="62" t="s">
        <v>317</v>
      </c>
      <c r="C865" s="62" t="s">
        <v>318</v>
      </c>
      <c r="D865" s="62" t="s">
        <v>1313</v>
      </c>
      <c r="E865" s="63" t="s">
        <v>1156</v>
      </c>
      <c r="F865" s="62" t="s">
        <v>365</v>
      </c>
      <c r="G865" s="62" t="s">
        <v>246</v>
      </c>
      <c r="H865" s="62" t="s">
        <v>20</v>
      </c>
      <c r="I865" s="62" t="s">
        <v>210</v>
      </c>
      <c r="J865" s="63" t="s">
        <v>247</v>
      </c>
      <c r="K865" s="62" t="s">
        <v>317</v>
      </c>
      <c r="L865" s="64">
        <v>8</v>
      </c>
      <c r="M865" s="64">
        <f>L865*VLOOKUP(H865,dagsoorttabel1,2,FALSE)</f>
        <v>0.38095238095238093</v>
      </c>
      <c r="N865" s="65">
        <f>prodnorm28</f>
        <v>0</v>
      </c>
      <c r="O865" s="66">
        <f>dagwerk28</f>
        <v>0</v>
      </c>
      <c r="P865" s="62" t="s">
        <v>40</v>
      </c>
      <c r="Q865" s="67">
        <f>uurtarief28</f>
        <v>0</v>
      </c>
      <c r="R865" s="64" t="e">
        <f>IF(ISBLANK(N865),0,M865/ROUND(N865,4))</f>
        <v>#DIV/0!</v>
      </c>
      <c r="S865" s="64" t="e">
        <f>IF(ISBLANK(N865),0,R865*ROUND(O865,2))</f>
        <v>#DIV/0!</v>
      </c>
      <c r="T865" s="67" t="e">
        <f>ROUND(Q865,2)*R865</f>
        <v>#DIV/0!</v>
      </c>
      <c r="U865" s="64" t="e">
        <f>R865*dagenperjaar1</f>
        <v>#DIV/0!</v>
      </c>
      <c r="V865" s="69" t="e">
        <f>U865*ROUND(Q865,2)</f>
        <v>#DIV/0!</v>
      </c>
    </row>
    <row r="866" spans="1:22" x14ac:dyDescent="0.3">
      <c r="A866" s="61" t="s">
        <v>1257</v>
      </c>
      <c r="B866" s="62" t="s">
        <v>317</v>
      </c>
      <c r="C866" s="62" t="s">
        <v>318</v>
      </c>
      <c r="D866" s="62" t="s">
        <v>1314</v>
      </c>
      <c r="E866" s="63" t="s">
        <v>1315</v>
      </c>
      <c r="F866" s="62" t="s">
        <v>365</v>
      </c>
      <c r="G866" s="62" t="s">
        <v>323</v>
      </c>
      <c r="H866" s="62"/>
      <c r="I866" s="62"/>
      <c r="J866" s="62"/>
      <c r="K866" s="62" t="s">
        <v>317</v>
      </c>
      <c r="L866" s="64">
        <v>26</v>
      </c>
      <c r="M866" s="64"/>
      <c r="N866" s="65"/>
      <c r="O866" s="66"/>
      <c r="P866" s="62"/>
      <c r="Q866" s="67"/>
      <c r="R866" s="64"/>
      <c r="S866" s="64"/>
      <c r="T866" s="67"/>
      <c r="U866" s="68"/>
      <c r="V866" s="69"/>
    </row>
    <row r="867" spans="1:22" x14ac:dyDescent="0.3">
      <c r="A867" s="61" t="s">
        <v>1257</v>
      </c>
      <c r="B867" s="62" t="s">
        <v>317</v>
      </c>
      <c r="C867" s="62" t="s">
        <v>318</v>
      </c>
      <c r="D867" s="62" t="s">
        <v>1316</v>
      </c>
      <c r="E867" s="63" t="s">
        <v>1317</v>
      </c>
      <c r="F867" s="62" t="s">
        <v>331</v>
      </c>
      <c r="G867" s="62" t="s">
        <v>323</v>
      </c>
      <c r="H867" s="62"/>
      <c r="I867" s="62"/>
      <c r="J867" s="62"/>
      <c r="K867" s="62" t="s">
        <v>317</v>
      </c>
      <c r="L867" s="64">
        <v>6</v>
      </c>
      <c r="M867" s="64"/>
      <c r="N867" s="65"/>
      <c r="O867" s="66"/>
      <c r="P867" s="62"/>
      <c r="Q867" s="67"/>
      <c r="R867" s="64"/>
      <c r="S867" s="64"/>
      <c r="T867" s="67"/>
      <c r="U867" s="68"/>
      <c r="V867" s="69"/>
    </row>
    <row r="868" spans="1:22" x14ac:dyDescent="0.3">
      <c r="A868" s="61" t="s">
        <v>1257</v>
      </c>
      <c r="B868" s="62" t="s">
        <v>317</v>
      </c>
      <c r="C868" s="62" t="s">
        <v>318</v>
      </c>
      <c r="D868" s="62" t="s">
        <v>1318</v>
      </c>
      <c r="E868" s="63" t="s">
        <v>1319</v>
      </c>
      <c r="F868" s="62" t="s">
        <v>322</v>
      </c>
      <c r="G868" s="62" t="s">
        <v>323</v>
      </c>
      <c r="H868" s="62"/>
      <c r="I868" s="62"/>
      <c r="J868" s="62"/>
      <c r="K868" s="62" t="s">
        <v>317</v>
      </c>
      <c r="L868" s="64">
        <v>21</v>
      </c>
      <c r="M868" s="64"/>
      <c r="N868" s="65"/>
      <c r="O868" s="66"/>
      <c r="P868" s="62"/>
      <c r="Q868" s="67"/>
      <c r="R868" s="64"/>
      <c r="S868" s="64"/>
      <c r="T868" s="67"/>
      <c r="U868" s="68"/>
      <c r="V868" s="69"/>
    </row>
    <row r="869" spans="1:22" x14ac:dyDescent="0.3">
      <c r="A869" s="61" t="s">
        <v>1257</v>
      </c>
      <c r="B869" s="62" t="s">
        <v>317</v>
      </c>
      <c r="C869" s="62" t="s">
        <v>318</v>
      </c>
      <c r="D869" s="62" t="s">
        <v>1320</v>
      </c>
      <c r="E869" s="63" t="s">
        <v>1321</v>
      </c>
      <c r="F869" s="62" t="s">
        <v>322</v>
      </c>
      <c r="G869" s="62" t="s">
        <v>323</v>
      </c>
      <c r="H869" s="62"/>
      <c r="I869" s="62"/>
      <c r="J869" s="62"/>
      <c r="K869" s="62" t="s">
        <v>317</v>
      </c>
      <c r="L869" s="64">
        <v>11</v>
      </c>
      <c r="M869" s="64"/>
      <c r="N869" s="65"/>
      <c r="O869" s="66"/>
      <c r="P869" s="62"/>
      <c r="Q869" s="67"/>
      <c r="R869" s="64"/>
      <c r="S869" s="64"/>
      <c r="T869" s="67"/>
      <c r="U869" s="68"/>
      <c r="V869" s="69"/>
    </row>
    <row r="870" spans="1:22" x14ac:dyDescent="0.3">
      <c r="A870" s="61" t="s">
        <v>1257</v>
      </c>
      <c r="B870" s="62" t="s">
        <v>317</v>
      </c>
      <c r="C870" s="62" t="s">
        <v>318</v>
      </c>
      <c r="D870" s="62" t="s">
        <v>1322</v>
      </c>
      <c r="E870" s="63" t="s">
        <v>352</v>
      </c>
      <c r="F870" s="62" t="s">
        <v>353</v>
      </c>
      <c r="G870" s="62" t="s">
        <v>266</v>
      </c>
      <c r="H870" s="62" t="s">
        <v>11</v>
      </c>
      <c r="I870" s="62" t="s">
        <v>210</v>
      </c>
      <c r="J870" s="63" t="s">
        <v>267</v>
      </c>
      <c r="K870" s="62" t="s">
        <v>317</v>
      </c>
      <c r="L870" s="64">
        <v>2</v>
      </c>
      <c r="M870" s="64">
        <f t="shared" ref="M870:M876" si="288">L870*VLOOKUP(H870,dagsoorttabel1,2,FALSE)</f>
        <v>2</v>
      </c>
      <c r="N870" s="65">
        <f>prodnorm39</f>
        <v>0</v>
      </c>
      <c r="O870" s="66">
        <f>dagwerk39</f>
        <v>0</v>
      </c>
      <c r="P870" s="62" t="s">
        <v>40</v>
      </c>
      <c r="Q870" s="67">
        <f>uurtarief39</f>
        <v>0</v>
      </c>
      <c r="R870" s="64" t="e">
        <f t="shared" ref="R870:R876" si="289">IF(ISBLANK(N870),0,M870/ROUND(N870,4))</f>
        <v>#DIV/0!</v>
      </c>
      <c r="S870" s="64" t="e">
        <f t="shared" ref="S870:S876" si="290">IF(ISBLANK(N870),0,R870*ROUND(O870,2))</f>
        <v>#DIV/0!</v>
      </c>
      <c r="T870" s="67" t="e">
        <f t="shared" ref="T870:T876" si="291">ROUND(Q870,2)*R870</f>
        <v>#DIV/0!</v>
      </c>
      <c r="U870" s="64" t="e">
        <f t="shared" ref="U870:U876" si="292">R870*dagenperjaar1</f>
        <v>#DIV/0!</v>
      </c>
      <c r="V870" s="69" t="e">
        <f t="shared" ref="V870:V876" si="293">U870*ROUND(Q870,2)</f>
        <v>#DIV/0!</v>
      </c>
    </row>
    <row r="871" spans="1:22" x14ac:dyDescent="0.3">
      <c r="A871" s="61" t="s">
        <v>1257</v>
      </c>
      <c r="B871" s="62" t="s">
        <v>317</v>
      </c>
      <c r="C871" s="62" t="s">
        <v>318</v>
      </c>
      <c r="D871" s="62" t="s">
        <v>1323</v>
      </c>
      <c r="E871" s="63" t="s">
        <v>352</v>
      </c>
      <c r="F871" s="62" t="s">
        <v>353</v>
      </c>
      <c r="G871" s="62" t="s">
        <v>266</v>
      </c>
      <c r="H871" s="62" t="s">
        <v>11</v>
      </c>
      <c r="I871" s="62" t="s">
        <v>210</v>
      </c>
      <c r="J871" s="63" t="s">
        <v>267</v>
      </c>
      <c r="K871" s="62" t="s">
        <v>317</v>
      </c>
      <c r="L871" s="64">
        <v>2</v>
      </c>
      <c r="M871" s="64">
        <f t="shared" si="288"/>
        <v>2</v>
      </c>
      <c r="N871" s="65">
        <f>prodnorm39</f>
        <v>0</v>
      </c>
      <c r="O871" s="66">
        <f>dagwerk39</f>
        <v>0</v>
      </c>
      <c r="P871" s="62" t="s">
        <v>40</v>
      </c>
      <c r="Q871" s="67">
        <f>uurtarief39</f>
        <v>0</v>
      </c>
      <c r="R871" s="64" t="e">
        <f t="shared" si="289"/>
        <v>#DIV/0!</v>
      </c>
      <c r="S871" s="64" t="e">
        <f t="shared" si="290"/>
        <v>#DIV/0!</v>
      </c>
      <c r="T871" s="67" t="e">
        <f t="shared" si="291"/>
        <v>#DIV/0!</v>
      </c>
      <c r="U871" s="64" t="e">
        <f t="shared" si="292"/>
        <v>#DIV/0!</v>
      </c>
      <c r="V871" s="69" t="e">
        <f t="shared" si="293"/>
        <v>#DIV/0!</v>
      </c>
    </row>
    <row r="872" spans="1:22" x14ac:dyDescent="0.3">
      <c r="A872" s="61" t="s">
        <v>1257</v>
      </c>
      <c r="B872" s="62" t="s">
        <v>317</v>
      </c>
      <c r="C872" s="62" t="s">
        <v>318</v>
      </c>
      <c r="D872" s="62" t="s">
        <v>1324</v>
      </c>
      <c r="E872" s="63" t="s">
        <v>1275</v>
      </c>
      <c r="F872" s="62" t="s">
        <v>353</v>
      </c>
      <c r="G872" s="62" t="s">
        <v>266</v>
      </c>
      <c r="H872" s="62" t="s">
        <v>11</v>
      </c>
      <c r="I872" s="62" t="s">
        <v>210</v>
      </c>
      <c r="J872" s="63" t="s">
        <v>267</v>
      </c>
      <c r="K872" s="62" t="s">
        <v>317</v>
      </c>
      <c r="L872" s="64">
        <v>11</v>
      </c>
      <c r="M872" s="64">
        <f t="shared" si="288"/>
        <v>11</v>
      </c>
      <c r="N872" s="65">
        <f>prodnorm39</f>
        <v>0</v>
      </c>
      <c r="O872" s="66">
        <f>dagwerk39</f>
        <v>0</v>
      </c>
      <c r="P872" s="62" t="s">
        <v>40</v>
      </c>
      <c r="Q872" s="67">
        <f>uurtarief39</f>
        <v>0</v>
      </c>
      <c r="R872" s="64" t="e">
        <f t="shared" si="289"/>
        <v>#DIV/0!</v>
      </c>
      <c r="S872" s="64" t="e">
        <f t="shared" si="290"/>
        <v>#DIV/0!</v>
      </c>
      <c r="T872" s="67" t="e">
        <f t="shared" si="291"/>
        <v>#DIV/0!</v>
      </c>
      <c r="U872" s="64" t="e">
        <f t="shared" si="292"/>
        <v>#DIV/0!</v>
      </c>
      <c r="V872" s="69" t="e">
        <f t="shared" si="293"/>
        <v>#DIV/0!</v>
      </c>
    </row>
    <row r="873" spans="1:22" x14ac:dyDescent="0.3">
      <c r="A873" s="61" t="s">
        <v>1257</v>
      </c>
      <c r="B873" s="62" t="s">
        <v>317</v>
      </c>
      <c r="C873" s="62" t="s">
        <v>318</v>
      </c>
      <c r="D873" s="62" t="s">
        <v>1325</v>
      </c>
      <c r="E873" s="63" t="s">
        <v>1273</v>
      </c>
      <c r="F873" s="62" t="s">
        <v>353</v>
      </c>
      <c r="G873" s="62" t="s">
        <v>266</v>
      </c>
      <c r="H873" s="62" t="s">
        <v>11</v>
      </c>
      <c r="I873" s="62" t="s">
        <v>210</v>
      </c>
      <c r="J873" s="63" t="s">
        <v>267</v>
      </c>
      <c r="K873" s="62" t="s">
        <v>317</v>
      </c>
      <c r="L873" s="64">
        <v>11</v>
      </c>
      <c r="M873" s="64">
        <f t="shared" si="288"/>
        <v>11</v>
      </c>
      <c r="N873" s="65">
        <f>prodnorm39</f>
        <v>0</v>
      </c>
      <c r="O873" s="66">
        <f>dagwerk39</f>
        <v>0</v>
      </c>
      <c r="P873" s="62" t="s">
        <v>40</v>
      </c>
      <c r="Q873" s="67">
        <f>uurtarief39</f>
        <v>0</v>
      </c>
      <c r="R873" s="64" t="e">
        <f t="shared" si="289"/>
        <v>#DIV/0!</v>
      </c>
      <c r="S873" s="64" t="e">
        <f t="shared" si="290"/>
        <v>#DIV/0!</v>
      </c>
      <c r="T873" s="67" t="e">
        <f t="shared" si="291"/>
        <v>#DIV/0!</v>
      </c>
      <c r="U873" s="64" t="e">
        <f t="shared" si="292"/>
        <v>#DIV/0!</v>
      </c>
      <c r="V873" s="69" t="e">
        <f t="shared" si="293"/>
        <v>#DIV/0!</v>
      </c>
    </row>
    <row r="874" spans="1:22" x14ac:dyDescent="0.3">
      <c r="A874" s="61" t="s">
        <v>1257</v>
      </c>
      <c r="B874" s="62" t="s">
        <v>317</v>
      </c>
      <c r="C874" s="62" t="s">
        <v>318</v>
      </c>
      <c r="D874" s="62" t="s">
        <v>1326</v>
      </c>
      <c r="E874" s="63" t="s">
        <v>1271</v>
      </c>
      <c r="F874" s="62" t="s">
        <v>353</v>
      </c>
      <c r="G874" s="62" t="s">
        <v>264</v>
      </c>
      <c r="H874" s="62" t="s">
        <v>11</v>
      </c>
      <c r="I874" s="62" t="s">
        <v>210</v>
      </c>
      <c r="J874" s="63" t="s">
        <v>265</v>
      </c>
      <c r="K874" s="62" t="s">
        <v>317</v>
      </c>
      <c r="L874" s="64">
        <v>14</v>
      </c>
      <c r="M874" s="64">
        <f t="shared" si="288"/>
        <v>14</v>
      </c>
      <c r="N874" s="65">
        <f>prodnorm38</f>
        <v>0</v>
      </c>
      <c r="O874" s="66">
        <f>dagwerk38</f>
        <v>0</v>
      </c>
      <c r="P874" s="62" t="s">
        <v>40</v>
      </c>
      <c r="Q874" s="67">
        <f>uurtarief38</f>
        <v>0</v>
      </c>
      <c r="R874" s="64" t="e">
        <f t="shared" si="289"/>
        <v>#DIV/0!</v>
      </c>
      <c r="S874" s="64" t="e">
        <f t="shared" si="290"/>
        <v>#DIV/0!</v>
      </c>
      <c r="T874" s="67" t="e">
        <f t="shared" si="291"/>
        <v>#DIV/0!</v>
      </c>
      <c r="U874" s="64" t="e">
        <f t="shared" si="292"/>
        <v>#DIV/0!</v>
      </c>
      <c r="V874" s="69" t="e">
        <f t="shared" si="293"/>
        <v>#DIV/0!</v>
      </c>
    </row>
    <row r="875" spans="1:22" x14ac:dyDescent="0.3">
      <c r="A875" s="61" t="s">
        <v>1257</v>
      </c>
      <c r="B875" s="62" t="s">
        <v>317</v>
      </c>
      <c r="C875" s="62" t="s">
        <v>318</v>
      </c>
      <c r="D875" s="62" t="s">
        <v>1327</v>
      </c>
      <c r="E875" s="63" t="s">
        <v>1328</v>
      </c>
      <c r="F875" s="62" t="s">
        <v>353</v>
      </c>
      <c r="G875" s="62" t="s">
        <v>264</v>
      </c>
      <c r="H875" s="62" t="s">
        <v>11</v>
      </c>
      <c r="I875" s="62" t="s">
        <v>210</v>
      </c>
      <c r="J875" s="63" t="s">
        <v>265</v>
      </c>
      <c r="K875" s="62" t="s">
        <v>317</v>
      </c>
      <c r="L875" s="64">
        <v>14</v>
      </c>
      <c r="M875" s="64">
        <f t="shared" si="288"/>
        <v>14</v>
      </c>
      <c r="N875" s="65">
        <f>prodnorm38</f>
        <v>0</v>
      </c>
      <c r="O875" s="66">
        <f>dagwerk38</f>
        <v>0</v>
      </c>
      <c r="P875" s="62" t="s">
        <v>40</v>
      </c>
      <c r="Q875" s="67">
        <f>uurtarief38</f>
        <v>0</v>
      </c>
      <c r="R875" s="64" t="e">
        <f t="shared" si="289"/>
        <v>#DIV/0!</v>
      </c>
      <c r="S875" s="64" t="e">
        <f t="shared" si="290"/>
        <v>#DIV/0!</v>
      </c>
      <c r="T875" s="67" t="e">
        <f t="shared" si="291"/>
        <v>#DIV/0!</v>
      </c>
      <c r="U875" s="64" t="e">
        <f t="shared" si="292"/>
        <v>#DIV/0!</v>
      </c>
      <c r="V875" s="69" t="e">
        <f t="shared" si="293"/>
        <v>#DIV/0!</v>
      </c>
    </row>
    <row r="876" spans="1:22" x14ac:dyDescent="0.3">
      <c r="A876" s="61" t="s">
        <v>1257</v>
      </c>
      <c r="B876" s="62" t="s">
        <v>317</v>
      </c>
      <c r="C876" s="62" t="s">
        <v>318</v>
      </c>
      <c r="D876" s="62" t="s">
        <v>1329</v>
      </c>
      <c r="E876" s="63" t="s">
        <v>394</v>
      </c>
      <c r="F876" s="62" t="s">
        <v>335</v>
      </c>
      <c r="G876" s="62" t="s">
        <v>272</v>
      </c>
      <c r="H876" s="62" t="s">
        <v>11</v>
      </c>
      <c r="I876" s="62" t="s">
        <v>210</v>
      </c>
      <c r="J876" s="63" t="s">
        <v>273</v>
      </c>
      <c r="K876" s="62" t="s">
        <v>317</v>
      </c>
      <c r="L876" s="64">
        <v>11</v>
      </c>
      <c r="M876" s="64">
        <f t="shared" si="288"/>
        <v>11</v>
      </c>
      <c r="N876" s="65">
        <f>prodnorm42</f>
        <v>0</v>
      </c>
      <c r="O876" s="66">
        <f>dagwerk42</f>
        <v>0</v>
      </c>
      <c r="P876" s="62" t="s">
        <v>40</v>
      </c>
      <c r="Q876" s="67">
        <f>uurtarief42</f>
        <v>0</v>
      </c>
      <c r="R876" s="64" t="e">
        <f t="shared" si="289"/>
        <v>#DIV/0!</v>
      </c>
      <c r="S876" s="64" t="e">
        <f t="shared" si="290"/>
        <v>#DIV/0!</v>
      </c>
      <c r="T876" s="67" t="e">
        <f t="shared" si="291"/>
        <v>#DIV/0!</v>
      </c>
      <c r="U876" s="64" t="e">
        <f t="shared" si="292"/>
        <v>#DIV/0!</v>
      </c>
      <c r="V876" s="69" t="e">
        <f t="shared" si="293"/>
        <v>#DIV/0!</v>
      </c>
    </row>
    <row r="877" spans="1:22" x14ac:dyDescent="0.3">
      <c r="A877" s="61" t="s">
        <v>1257</v>
      </c>
      <c r="B877" s="62" t="s">
        <v>317</v>
      </c>
      <c r="C877" s="62" t="s">
        <v>318</v>
      </c>
      <c r="D877" s="62" t="s">
        <v>1330</v>
      </c>
      <c r="E877" s="63" t="s">
        <v>374</v>
      </c>
      <c r="F877" s="62" t="s">
        <v>353</v>
      </c>
      <c r="G877" s="62" t="s">
        <v>323</v>
      </c>
      <c r="H877" s="62"/>
      <c r="I877" s="62"/>
      <c r="J877" s="62"/>
      <c r="K877" s="62" t="s">
        <v>317</v>
      </c>
      <c r="L877" s="64">
        <v>1</v>
      </c>
      <c r="M877" s="64"/>
      <c r="N877" s="65"/>
      <c r="O877" s="66"/>
      <c r="P877" s="62"/>
      <c r="Q877" s="67"/>
      <c r="R877" s="64"/>
      <c r="S877" s="64"/>
      <c r="T877" s="67"/>
      <c r="U877" s="68"/>
      <c r="V877" s="69"/>
    </row>
    <row r="878" spans="1:22" x14ac:dyDescent="0.3">
      <c r="A878" s="61" t="s">
        <v>1257</v>
      </c>
      <c r="B878" s="62" t="s">
        <v>317</v>
      </c>
      <c r="C878" s="62" t="s">
        <v>318</v>
      </c>
      <c r="D878" s="62" t="s">
        <v>1331</v>
      </c>
      <c r="E878" s="63" t="s">
        <v>516</v>
      </c>
      <c r="F878" s="62" t="s">
        <v>335</v>
      </c>
      <c r="G878" s="62" t="s">
        <v>323</v>
      </c>
      <c r="H878" s="62"/>
      <c r="I878" s="62"/>
      <c r="J878" s="62"/>
      <c r="K878" s="62" t="s">
        <v>317</v>
      </c>
      <c r="L878" s="64">
        <v>22</v>
      </c>
      <c r="M878" s="64"/>
      <c r="N878" s="65"/>
      <c r="O878" s="66"/>
      <c r="P878" s="62"/>
      <c r="Q878" s="67"/>
      <c r="R878" s="64"/>
      <c r="S878" s="64"/>
      <c r="T878" s="67"/>
      <c r="U878" s="68"/>
      <c r="V878" s="69"/>
    </row>
    <row r="879" spans="1:22" x14ac:dyDescent="0.3">
      <c r="A879" s="61" t="s">
        <v>1257</v>
      </c>
      <c r="B879" s="62" t="s">
        <v>317</v>
      </c>
      <c r="C879" s="62" t="s">
        <v>318</v>
      </c>
      <c r="D879" s="62" t="s">
        <v>1332</v>
      </c>
      <c r="E879" s="63" t="s">
        <v>444</v>
      </c>
      <c r="F879" s="62" t="s">
        <v>335</v>
      </c>
      <c r="G879" s="62" t="s">
        <v>323</v>
      </c>
      <c r="H879" s="62"/>
      <c r="I879" s="62"/>
      <c r="J879" s="62"/>
      <c r="K879" s="62" t="s">
        <v>317</v>
      </c>
      <c r="L879" s="64">
        <v>5</v>
      </c>
      <c r="M879" s="64"/>
      <c r="N879" s="65"/>
      <c r="O879" s="66"/>
      <c r="P879" s="62"/>
      <c r="Q879" s="67"/>
      <c r="R879" s="64"/>
      <c r="S879" s="64"/>
      <c r="T879" s="67"/>
      <c r="U879" s="68"/>
      <c r="V879" s="69"/>
    </row>
    <row r="880" spans="1:22" x14ac:dyDescent="0.3">
      <c r="A880" s="61" t="s">
        <v>1257</v>
      </c>
      <c r="B880" s="62" t="s">
        <v>317</v>
      </c>
      <c r="C880" s="62" t="s">
        <v>318</v>
      </c>
      <c r="D880" s="62" t="s">
        <v>1333</v>
      </c>
      <c r="E880" s="63" t="s">
        <v>442</v>
      </c>
      <c r="F880" s="62" t="s">
        <v>1334</v>
      </c>
      <c r="G880" s="62" t="s">
        <v>323</v>
      </c>
      <c r="H880" s="62"/>
      <c r="I880" s="62"/>
      <c r="J880" s="62"/>
      <c r="K880" s="62" t="s">
        <v>317</v>
      </c>
      <c r="L880" s="64">
        <v>5</v>
      </c>
      <c r="M880" s="64"/>
      <c r="N880" s="65"/>
      <c r="O880" s="66"/>
      <c r="P880" s="62"/>
      <c r="Q880" s="67"/>
      <c r="R880" s="64"/>
      <c r="S880" s="64"/>
      <c r="T880" s="67"/>
      <c r="U880" s="68"/>
      <c r="V880" s="69"/>
    </row>
    <row r="881" spans="1:22" x14ac:dyDescent="0.3">
      <c r="A881" s="61" t="s">
        <v>1257</v>
      </c>
      <c r="B881" s="62" t="s">
        <v>317</v>
      </c>
      <c r="C881" s="62" t="s">
        <v>318</v>
      </c>
      <c r="D881" s="62" t="s">
        <v>1335</v>
      </c>
      <c r="E881" s="63" t="s">
        <v>1336</v>
      </c>
      <c r="F881" s="62" t="s">
        <v>335</v>
      </c>
      <c r="G881" s="62" t="s">
        <v>250</v>
      </c>
      <c r="H881" s="62" t="s">
        <v>11</v>
      </c>
      <c r="I881" s="62" t="s">
        <v>210</v>
      </c>
      <c r="J881" s="63" t="s">
        <v>251</v>
      </c>
      <c r="K881" s="62" t="s">
        <v>317</v>
      </c>
      <c r="L881" s="64">
        <v>122</v>
      </c>
      <c r="M881" s="64">
        <f t="shared" ref="M881:M894" si="294">L881*VLOOKUP(H881,dagsoorttabel1,2,FALSE)</f>
        <v>122</v>
      </c>
      <c r="N881" s="65">
        <f>prodnorm31</f>
        <v>0</v>
      </c>
      <c r="O881" s="66">
        <f>dagwerk31</f>
        <v>0</v>
      </c>
      <c r="P881" s="62" t="s">
        <v>40</v>
      </c>
      <c r="Q881" s="67">
        <f>uurtarief31</f>
        <v>0</v>
      </c>
      <c r="R881" s="64" t="e">
        <f t="shared" ref="R881:R894" si="295">IF(ISBLANK(N881),0,M881/ROUND(N881,4))</f>
        <v>#DIV/0!</v>
      </c>
      <c r="S881" s="64" t="e">
        <f t="shared" ref="S881:S894" si="296">IF(ISBLANK(N881),0,R881*ROUND(O881,2))</f>
        <v>#DIV/0!</v>
      </c>
      <c r="T881" s="67" t="e">
        <f t="shared" ref="T881:T894" si="297">ROUND(Q881,2)*R881</f>
        <v>#DIV/0!</v>
      </c>
      <c r="U881" s="64" t="e">
        <f t="shared" ref="U881:U894" si="298">R881*dagenperjaar1</f>
        <v>#DIV/0!</v>
      </c>
      <c r="V881" s="69" t="e">
        <f t="shared" ref="V881:V894" si="299">U881*ROUND(Q881,2)</f>
        <v>#DIV/0!</v>
      </c>
    </row>
    <row r="882" spans="1:22" x14ac:dyDescent="0.3">
      <c r="A882" s="61" t="s">
        <v>1257</v>
      </c>
      <c r="B882" s="62" t="s">
        <v>317</v>
      </c>
      <c r="C882" s="62" t="s">
        <v>318</v>
      </c>
      <c r="D882" s="62" t="s">
        <v>1337</v>
      </c>
      <c r="E882" s="63" t="s">
        <v>1338</v>
      </c>
      <c r="F882" s="62" t="s">
        <v>335</v>
      </c>
      <c r="G882" s="62" t="s">
        <v>250</v>
      </c>
      <c r="H882" s="62" t="s">
        <v>11</v>
      </c>
      <c r="I882" s="62" t="s">
        <v>210</v>
      </c>
      <c r="J882" s="63" t="s">
        <v>251</v>
      </c>
      <c r="K882" s="62" t="s">
        <v>317</v>
      </c>
      <c r="L882" s="64">
        <v>42</v>
      </c>
      <c r="M882" s="64">
        <f t="shared" si="294"/>
        <v>42</v>
      </c>
      <c r="N882" s="65">
        <f>prodnorm31</f>
        <v>0</v>
      </c>
      <c r="O882" s="66">
        <f>dagwerk31</f>
        <v>0</v>
      </c>
      <c r="P882" s="62" t="s">
        <v>40</v>
      </c>
      <c r="Q882" s="67">
        <f>uurtarief31</f>
        <v>0</v>
      </c>
      <c r="R882" s="64" t="e">
        <f t="shared" si="295"/>
        <v>#DIV/0!</v>
      </c>
      <c r="S882" s="64" t="e">
        <f t="shared" si="296"/>
        <v>#DIV/0!</v>
      </c>
      <c r="T882" s="67" t="e">
        <f t="shared" si="297"/>
        <v>#DIV/0!</v>
      </c>
      <c r="U882" s="64" t="e">
        <f t="shared" si="298"/>
        <v>#DIV/0!</v>
      </c>
      <c r="V882" s="69" t="e">
        <f t="shared" si="299"/>
        <v>#DIV/0!</v>
      </c>
    </row>
    <row r="883" spans="1:22" x14ac:dyDescent="0.3">
      <c r="A883" s="61" t="s">
        <v>1257</v>
      </c>
      <c r="B883" s="62" t="s">
        <v>317</v>
      </c>
      <c r="C883" s="62" t="s">
        <v>318</v>
      </c>
      <c r="D883" s="62" t="s">
        <v>1339</v>
      </c>
      <c r="E883" s="63" t="s">
        <v>1340</v>
      </c>
      <c r="F883" s="62" t="s">
        <v>335</v>
      </c>
      <c r="G883" s="62" t="s">
        <v>209</v>
      </c>
      <c r="H883" s="62" t="s">
        <v>17</v>
      </c>
      <c r="I883" s="62" t="s">
        <v>210</v>
      </c>
      <c r="J883" s="63" t="s">
        <v>211</v>
      </c>
      <c r="K883" s="62" t="s">
        <v>317</v>
      </c>
      <c r="L883" s="64">
        <v>9</v>
      </c>
      <c r="M883" s="64">
        <f t="shared" si="294"/>
        <v>1.8</v>
      </c>
      <c r="N883" s="65">
        <f>prodnorm10</f>
        <v>0</v>
      </c>
      <c r="O883" s="66">
        <f>dagwerk10</f>
        <v>0</v>
      </c>
      <c r="P883" s="62" t="s">
        <v>40</v>
      </c>
      <c r="Q883" s="67">
        <f>uurtarief10</f>
        <v>0</v>
      </c>
      <c r="R883" s="64" t="e">
        <f t="shared" si="295"/>
        <v>#DIV/0!</v>
      </c>
      <c r="S883" s="64" t="e">
        <f t="shared" si="296"/>
        <v>#DIV/0!</v>
      </c>
      <c r="T883" s="67" t="e">
        <f t="shared" si="297"/>
        <v>#DIV/0!</v>
      </c>
      <c r="U883" s="64" t="e">
        <f t="shared" si="298"/>
        <v>#DIV/0!</v>
      </c>
      <c r="V883" s="69" t="e">
        <f t="shared" si="299"/>
        <v>#DIV/0!</v>
      </c>
    </row>
    <row r="884" spans="1:22" x14ac:dyDescent="0.3">
      <c r="A884" s="61" t="s">
        <v>1257</v>
      </c>
      <c r="B884" s="62" t="s">
        <v>317</v>
      </c>
      <c r="C884" s="62" t="s">
        <v>318</v>
      </c>
      <c r="D884" s="62" t="s">
        <v>1341</v>
      </c>
      <c r="E884" s="63" t="s">
        <v>1342</v>
      </c>
      <c r="F884" s="62" t="s">
        <v>335</v>
      </c>
      <c r="G884" s="62" t="s">
        <v>220</v>
      </c>
      <c r="H884" s="62" t="s">
        <v>11</v>
      </c>
      <c r="I884" s="62" t="s">
        <v>210</v>
      </c>
      <c r="J884" s="63" t="s">
        <v>221</v>
      </c>
      <c r="K884" s="62" t="s">
        <v>317</v>
      </c>
      <c r="L884" s="64">
        <v>19</v>
      </c>
      <c r="M884" s="64">
        <f t="shared" si="294"/>
        <v>19</v>
      </c>
      <c r="N884" s="65">
        <f>prodnorm15</f>
        <v>0</v>
      </c>
      <c r="O884" s="66">
        <f>dagwerk15</f>
        <v>0</v>
      </c>
      <c r="P884" s="62" t="s">
        <v>40</v>
      </c>
      <c r="Q884" s="67">
        <f>uurtarief15</f>
        <v>0</v>
      </c>
      <c r="R884" s="64" t="e">
        <f t="shared" si="295"/>
        <v>#DIV/0!</v>
      </c>
      <c r="S884" s="64" t="e">
        <f t="shared" si="296"/>
        <v>#DIV/0!</v>
      </c>
      <c r="T884" s="67" t="e">
        <f t="shared" si="297"/>
        <v>#DIV/0!</v>
      </c>
      <c r="U884" s="64" t="e">
        <f t="shared" si="298"/>
        <v>#DIV/0!</v>
      </c>
      <c r="V884" s="69" t="e">
        <f t="shared" si="299"/>
        <v>#DIV/0!</v>
      </c>
    </row>
    <row r="885" spans="1:22" x14ac:dyDescent="0.3">
      <c r="A885" s="61" t="s">
        <v>1257</v>
      </c>
      <c r="B885" s="62" t="s">
        <v>317</v>
      </c>
      <c r="C885" s="62" t="s">
        <v>318</v>
      </c>
      <c r="D885" s="62" t="s">
        <v>1343</v>
      </c>
      <c r="E885" s="63" t="s">
        <v>1344</v>
      </c>
      <c r="F885" s="62" t="s">
        <v>365</v>
      </c>
      <c r="G885" s="62" t="s">
        <v>209</v>
      </c>
      <c r="H885" s="62" t="s">
        <v>17</v>
      </c>
      <c r="I885" s="62" t="s">
        <v>210</v>
      </c>
      <c r="J885" s="63" t="s">
        <v>211</v>
      </c>
      <c r="K885" s="62" t="s">
        <v>317</v>
      </c>
      <c r="L885" s="64">
        <v>11.450000000000001</v>
      </c>
      <c r="M885" s="64">
        <f t="shared" si="294"/>
        <v>2.2900000000000005</v>
      </c>
      <c r="N885" s="65">
        <f>prodnorm10</f>
        <v>0</v>
      </c>
      <c r="O885" s="66">
        <f>dagwerk10</f>
        <v>0</v>
      </c>
      <c r="P885" s="62" t="s">
        <v>40</v>
      </c>
      <c r="Q885" s="67">
        <f>uurtarief10</f>
        <v>0</v>
      </c>
      <c r="R885" s="64" t="e">
        <f t="shared" si="295"/>
        <v>#DIV/0!</v>
      </c>
      <c r="S885" s="64" t="e">
        <f t="shared" si="296"/>
        <v>#DIV/0!</v>
      </c>
      <c r="T885" s="67" t="e">
        <f t="shared" si="297"/>
        <v>#DIV/0!</v>
      </c>
      <c r="U885" s="64" t="e">
        <f t="shared" si="298"/>
        <v>#DIV/0!</v>
      </c>
      <c r="V885" s="69" t="e">
        <f t="shared" si="299"/>
        <v>#DIV/0!</v>
      </c>
    </row>
    <row r="886" spans="1:22" x14ac:dyDescent="0.3">
      <c r="A886" s="61" t="s">
        <v>1257</v>
      </c>
      <c r="B886" s="62" t="s">
        <v>317</v>
      </c>
      <c r="C886" s="62" t="s">
        <v>318</v>
      </c>
      <c r="D886" s="62" t="s">
        <v>1345</v>
      </c>
      <c r="E886" s="63" t="s">
        <v>1346</v>
      </c>
      <c r="F886" s="62" t="s">
        <v>365</v>
      </c>
      <c r="G886" s="62" t="s">
        <v>209</v>
      </c>
      <c r="H886" s="62" t="s">
        <v>17</v>
      </c>
      <c r="I886" s="62" t="s">
        <v>210</v>
      </c>
      <c r="J886" s="63" t="s">
        <v>211</v>
      </c>
      <c r="K886" s="62" t="s">
        <v>317</v>
      </c>
      <c r="L886" s="64">
        <v>17</v>
      </c>
      <c r="M886" s="64">
        <f t="shared" si="294"/>
        <v>3.4000000000000004</v>
      </c>
      <c r="N886" s="65">
        <f>prodnorm10</f>
        <v>0</v>
      </c>
      <c r="O886" s="66">
        <f>dagwerk10</f>
        <v>0</v>
      </c>
      <c r="P886" s="62" t="s">
        <v>40</v>
      </c>
      <c r="Q886" s="67">
        <f>uurtarief10</f>
        <v>0</v>
      </c>
      <c r="R886" s="64" t="e">
        <f t="shared" si="295"/>
        <v>#DIV/0!</v>
      </c>
      <c r="S886" s="64" t="e">
        <f t="shared" si="296"/>
        <v>#DIV/0!</v>
      </c>
      <c r="T886" s="67" t="e">
        <f t="shared" si="297"/>
        <v>#DIV/0!</v>
      </c>
      <c r="U886" s="64" t="e">
        <f t="shared" si="298"/>
        <v>#DIV/0!</v>
      </c>
      <c r="V886" s="69" t="e">
        <f t="shared" si="299"/>
        <v>#DIV/0!</v>
      </c>
    </row>
    <row r="887" spans="1:22" x14ac:dyDescent="0.3">
      <c r="A887" s="61" t="s">
        <v>1257</v>
      </c>
      <c r="B887" s="62" t="s">
        <v>317</v>
      </c>
      <c r="C887" s="62" t="s">
        <v>629</v>
      </c>
      <c r="D887" s="62" t="s">
        <v>1127</v>
      </c>
      <c r="E887" s="63" t="s">
        <v>394</v>
      </c>
      <c r="F887" s="62" t="s">
        <v>365</v>
      </c>
      <c r="G887" s="62" t="s">
        <v>272</v>
      </c>
      <c r="H887" s="62" t="s">
        <v>11</v>
      </c>
      <c r="I887" s="62" t="s">
        <v>210</v>
      </c>
      <c r="J887" s="63" t="s">
        <v>273</v>
      </c>
      <c r="K887" s="62" t="s">
        <v>317</v>
      </c>
      <c r="L887" s="64">
        <v>23</v>
      </c>
      <c r="M887" s="64">
        <f t="shared" si="294"/>
        <v>23</v>
      </c>
      <c r="N887" s="65">
        <f>prodnorm42</f>
        <v>0</v>
      </c>
      <c r="O887" s="66">
        <f>dagwerk42</f>
        <v>0</v>
      </c>
      <c r="P887" s="62" t="s">
        <v>40</v>
      </c>
      <c r="Q887" s="67">
        <f>uurtarief42</f>
        <v>0</v>
      </c>
      <c r="R887" s="64" t="e">
        <f t="shared" si="295"/>
        <v>#DIV/0!</v>
      </c>
      <c r="S887" s="64" t="e">
        <f t="shared" si="296"/>
        <v>#DIV/0!</v>
      </c>
      <c r="T887" s="67" t="e">
        <f t="shared" si="297"/>
        <v>#DIV/0!</v>
      </c>
      <c r="U887" s="64" t="e">
        <f t="shared" si="298"/>
        <v>#DIV/0!</v>
      </c>
      <c r="V887" s="69" t="e">
        <f t="shared" si="299"/>
        <v>#DIV/0!</v>
      </c>
    </row>
    <row r="888" spans="1:22" x14ac:dyDescent="0.3">
      <c r="A888" s="61" t="s">
        <v>1257</v>
      </c>
      <c r="B888" s="62" t="s">
        <v>317</v>
      </c>
      <c r="C888" s="62" t="s">
        <v>629</v>
      </c>
      <c r="D888" s="62" t="s">
        <v>1128</v>
      </c>
      <c r="E888" s="63" t="s">
        <v>394</v>
      </c>
      <c r="F888" s="62" t="s">
        <v>365</v>
      </c>
      <c r="G888" s="62" t="s">
        <v>272</v>
      </c>
      <c r="H888" s="62" t="s">
        <v>11</v>
      </c>
      <c r="I888" s="62" t="s">
        <v>210</v>
      </c>
      <c r="J888" s="63" t="s">
        <v>273</v>
      </c>
      <c r="K888" s="62" t="s">
        <v>317</v>
      </c>
      <c r="L888" s="64">
        <v>98</v>
      </c>
      <c r="M888" s="64">
        <f t="shared" si="294"/>
        <v>98</v>
      </c>
      <c r="N888" s="65">
        <f>prodnorm42</f>
        <v>0</v>
      </c>
      <c r="O888" s="66">
        <f>dagwerk42</f>
        <v>0</v>
      </c>
      <c r="P888" s="62" t="s">
        <v>40</v>
      </c>
      <c r="Q888" s="67">
        <f>uurtarief42</f>
        <v>0</v>
      </c>
      <c r="R888" s="64" t="e">
        <f t="shared" si="295"/>
        <v>#DIV/0!</v>
      </c>
      <c r="S888" s="64" t="e">
        <f t="shared" si="296"/>
        <v>#DIV/0!</v>
      </c>
      <c r="T888" s="67" t="e">
        <f t="shared" si="297"/>
        <v>#DIV/0!</v>
      </c>
      <c r="U888" s="64" t="e">
        <f t="shared" si="298"/>
        <v>#DIV/0!</v>
      </c>
      <c r="V888" s="69" t="e">
        <f t="shared" si="299"/>
        <v>#DIV/0!</v>
      </c>
    </row>
    <row r="889" spans="1:22" x14ac:dyDescent="0.3">
      <c r="A889" s="61" t="s">
        <v>1257</v>
      </c>
      <c r="B889" s="62" t="s">
        <v>317</v>
      </c>
      <c r="C889" s="62" t="s">
        <v>629</v>
      </c>
      <c r="D889" s="62" t="s">
        <v>1129</v>
      </c>
      <c r="E889" s="63" t="s">
        <v>394</v>
      </c>
      <c r="F889" s="62" t="s">
        <v>365</v>
      </c>
      <c r="G889" s="62" t="s">
        <v>272</v>
      </c>
      <c r="H889" s="62" t="s">
        <v>11</v>
      </c>
      <c r="I889" s="62" t="s">
        <v>210</v>
      </c>
      <c r="J889" s="63" t="s">
        <v>273</v>
      </c>
      <c r="K889" s="62" t="s">
        <v>317</v>
      </c>
      <c r="L889" s="64">
        <v>112</v>
      </c>
      <c r="M889" s="64">
        <f t="shared" si="294"/>
        <v>112</v>
      </c>
      <c r="N889" s="65">
        <f>prodnorm42</f>
        <v>0</v>
      </c>
      <c r="O889" s="66">
        <f>dagwerk42</f>
        <v>0</v>
      </c>
      <c r="P889" s="62" t="s">
        <v>40</v>
      </c>
      <c r="Q889" s="67">
        <f>uurtarief42</f>
        <v>0</v>
      </c>
      <c r="R889" s="64" t="e">
        <f t="shared" si="295"/>
        <v>#DIV/0!</v>
      </c>
      <c r="S889" s="64" t="e">
        <f t="shared" si="296"/>
        <v>#DIV/0!</v>
      </c>
      <c r="T889" s="67" t="e">
        <f t="shared" si="297"/>
        <v>#DIV/0!</v>
      </c>
      <c r="U889" s="64" t="e">
        <f t="shared" si="298"/>
        <v>#DIV/0!</v>
      </c>
      <c r="V889" s="69" t="e">
        <f t="shared" si="299"/>
        <v>#DIV/0!</v>
      </c>
    </row>
    <row r="890" spans="1:22" x14ac:dyDescent="0.3">
      <c r="A890" s="61" t="s">
        <v>1257</v>
      </c>
      <c r="B890" s="62" t="s">
        <v>317</v>
      </c>
      <c r="C890" s="62" t="s">
        <v>629</v>
      </c>
      <c r="D890" s="62" t="s">
        <v>1130</v>
      </c>
      <c r="E890" s="63" t="s">
        <v>613</v>
      </c>
      <c r="F890" s="62" t="s">
        <v>365</v>
      </c>
      <c r="G890" s="62" t="s">
        <v>272</v>
      </c>
      <c r="H890" s="62" t="s">
        <v>11</v>
      </c>
      <c r="I890" s="62" t="s">
        <v>210</v>
      </c>
      <c r="J890" s="63" t="s">
        <v>273</v>
      </c>
      <c r="K890" s="62" t="s">
        <v>317</v>
      </c>
      <c r="L890" s="64">
        <v>162</v>
      </c>
      <c r="M890" s="64">
        <f t="shared" si="294"/>
        <v>162</v>
      </c>
      <c r="N890" s="65">
        <f>prodnorm42</f>
        <v>0</v>
      </c>
      <c r="O890" s="66">
        <f>dagwerk42</f>
        <v>0</v>
      </c>
      <c r="P890" s="62" t="s">
        <v>40</v>
      </c>
      <c r="Q890" s="67">
        <f>uurtarief42</f>
        <v>0</v>
      </c>
      <c r="R890" s="64" t="e">
        <f t="shared" si="295"/>
        <v>#DIV/0!</v>
      </c>
      <c r="S890" s="64" t="e">
        <f t="shared" si="296"/>
        <v>#DIV/0!</v>
      </c>
      <c r="T890" s="67" t="e">
        <f t="shared" si="297"/>
        <v>#DIV/0!</v>
      </c>
      <c r="U890" s="64" t="e">
        <f t="shared" si="298"/>
        <v>#DIV/0!</v>
      </c>
      <c r="V890" s="69" t="e">
        <f t="shared" si="299"/>
        <v>#DIV/0!</v>
      </c>
    </row>
    <row r="891" spans="1:22" x14ac:dyDescent="0.3">
      <c r="A891" s="61" t="s">
        <v>1257</v>
      </c>
      <c r="B891" s="62" t="s">
        <v>317</v>
      </c>
      <c r="C891" s="62" t="s">
        <v>629</v>
      </c>
      <c r="D891" s="62" t="s">
        <v>1202</v>
      </c>
      <c r="E891" s="63" t="s">
        <v>613</v>
      </c>
      <c r="F891" s="62" t="s">
        <v>365</v>
      </c>
      <c r="G891" s="62" t="s">
        <v>272</v>
      </c>
      <c r="H891" s="62" t="s">
        <v>11</v>
      </c>
      <c r="I891" s="62" t="s">
        <v>210</v>
      </c>
      <c r="J891" s="63" t="s">
        <v>273</v>
      </c>
      <c r="K891" s="62" t="s">
        <v>317</v>
      </c>
      <c r="L891" s="64">
        <v>26</v>
      </c>
      <c r="M891" s="64">
        <f t="shared" si="294"/>
        <v>26</v>
      </c>
      <c r="N891" s="65">
        <f>prodnorm42</f>
        <v>0</v>
      </c>
      <c r="O891" s="66">
        <f>dagwerk42</f>
        <v>0</v>
      </c>
      <c r="P891" s="62" t="s">
        <v>40</v>
      </c>
      <c r="Q891" s="67">
        <f>uurtarief42</f>
        <v>0</v>
      </c>
      <c r="R891" s="64" t="e">
        <f t="shared" si="295"/>
        <v>#DIV/0!</v>
      </c>
      <c r="S891" s="64" t="e">
        <f t="shared" si="296"/>
        <v>#DIV/0!</v>
      </c>
      <c r="T891" s="67" t="e">
        <f t="shared" si="297"/>
        <v>#DIV/0!</v>
      </c>
      <c r="U891" s="64" t="e">
        <f t="shared" si="298"/>
        <v>#DIV/0!</v>
      </c>
      <c r="V891" s="69" t="e">
        <f t="shared" si="299"/>
        <v>#DIV/0!</v>
      </c>
    </row>
    <row r="892" spans="1:22" x14ac:dyDescent="0.3">
      <c r="A892" s="61" t="s">
        <v>1257</v>
      </c>
      <c r="B892" s="62" t="s">
        <v>317</v>
      </c>
      <c r="C892" s="62" t="s">
        <v>629</v>
      </c>
      <c r="D892" s="62" t="s">
        <v>1204</v>
      </c>
      <c r="E892" s="63" t="s">
        <v>330</v>
      </c>
      <c r="F892" s="62" t="s">
        <v>331</v>
      </c>
      <c r="G892" s="62" t="s">
        <v>286</v>
      </c>
      <c r="H892" s="62" t="s">
        <v>11</v>
      </c>
      <c r="I892" s="62" t="s">
        <v>210</v>
      </c>
      <c r="J892" s="63" t="s">
        <v>287</v>
      </c>
      <c r="K892" s="62" t="s">
        <v>317</v>
      </c>
      <c r="L892" s="64">
        <v>39</v>
      </c>
      <c r="M892" s="64">
        <f t="shared" si="294"/>
        <v>39</v>
      </c>
      <c r="N892" s="65">
        <f>prodnorm49</f>
        <v>0</v>
      </c>
      <c r="O892" s="66">
        <f>dagwerk49</f>
        <v>0</v>
      </c>
      <c r="P892" s="62" t="s">
        <v>40</v>
      </c>
      <c r="Q892" s="67">
        <f>uurtarief49</f>
        <v>0</v>
      </c>
      <c r="R892" s="64" t="e">
        <f t="shared" si="295"/>
        <v>#DIV/0!</v>
      </c>
      <c r="S892" s="64" t="e">
        <f t="shared" si="296"/>
        <v>#DIV/0!</v>
      </c>
      <c r="T892" s="67" t="e">
        <f t="shared" si="297"/>
        <v>#DIV/0!</v>
      </c>
      <c r="U892" s="64" t="e">
        <f t="shared" si="298"/>
        <v>#DIV/0!</v>
      </c>
      <c r="V892" s="69" t="e">
        <f t="shared" si="299"/>
        <v>#DIV/0!</v>
      </c>
    </row>
    <row r="893" spans="1:22" x14ac:dyDescent="0.3">
      <c r="A893" s="61" t="s">
        <v>1257</v>
      </c>
      <c r="B893" s="62" t="s">
        <v>317</v>
      </c>
      <c r="C893" s="62" t="s">
        <v>629</v>
      </c>
      <c r="D893" s="62" t="s">
        <v>1206</v>
      </c>
      <c r="E893" s="63" t="s">
        <v>330</v>
      </c>
      <c r="F893" s="62" t="s">
        <v>331</v>
      </c>
      <c r="G893" s="62" t="s">
        <v>286</v>
      </c>
      <c r="H893" s="62" t="s">
        <v>11</v>
      </c>
      <c r="I893" s="62" t="s">
        <v>210</v>
      </c>
      <c r="J893" s="63" t="s">
        <v>287</v>
      </c>
      <c r="K893" s="62" t="s">
        <v>317</v>
      </c>
      <c r="L893" s="64">
        <v>17</v>
      </c>
      <c r="M893" s="64">
        <f t="shared" si="294"/>
        <v>17</v>
      </c>
      <c r="N893" s="65">
        <f>prodnorm49</f>
        <v>0</v>
      </c>
      <c r="O893" s="66">
        <f>dagwerk49</f>
        <v>0</v>
      </c>
      <c r="P893" s="62" t="s">
        <v>40</v>
      </c>
      <c r="Q893" s="67">
        <f>uurtarief49</f>
        <v>0</v>
      </c>
      <c r="R893" s="64" t="e">
        <f t="shared" si="295"/>
        <v>#DIV/0!</v>
      </c>
      <c r="S893" s="64" t="e">
        <f t="shared" si="296"/>
        <v>#DIV/0!</v>
      </c>
      <c r="T893" s="67" t="e">
        <f t="shared" si="297"/>
        <v>#DIV/0!</v>
      </c>
      <c r="U893" s="64" t="e">
        <f t="shared" si="298"/>
        <v>#DIV/0!</v>
      </c>
      <c r="V893" s="69" t="e">
        <f t="shared" si="299"/>
        <v>#DIV/0!</v>
      </c>
    </row>
    <row r="894" spans="1:22" x14ac:dyDescent="0.3">
      <c r="A894" s="61" t="s">
        <v>1257</v>
      </c>
      <c r="B894" s="62" t="s">
        <v>317</v>
      </c>
      <c r="C894" s="62" t="s">
        <v>629</v>
      </c>
      <c r="D894" s="62" t="s">
        <v>1347</v>
      </c>
      <c r="E894" s="63" t="s">
        <v>394</v>
      </c>
      <c r="F894" s="62" t="s">
        <v>365</v>
      </c>
      <c r="G894" s="62" t="s">
        <v>272</v>
      </c>
      <c r="H894" s="62" t="s">
        <v>11</v>
      </c>
      <c r="I894" s="62" t="s">
        <v>210</v>
      </c>
      <c r="J894" s="63" t="s">
        <v>273</v>
      </c>
      <c r="K894" s="62" t="s">
        <v>317</v>
      </c>
      <c r="L894" s="64">
        <v>8</v>
      </c>
      <c r="M894" s="64">
        <f t="shared" si="294"/>
        <v>8</v>
      </c>
      <c r="N894" s="65">
        <f>prodnorm42</f>
        <v>0</v>
      </c>
      <c r="O894" s="66">
        <f>dagwerk42</f>
        <v>0</v>
      </c>
      <c r="P894" s="62" t="s">
        <v>40</v>
      </c>
      <c r="Q894" s="67">
        <f>uurtarief42</f>
        <v>0</v>
      </c>
      <c r="R894" s="64" t="e">
        <f t="shared" si="295"/>
        <v>#DIV/0!</v>
      </c>
      <c r="S894" s="64" t="e">
        <f t="shared" si="296"/>
        <v>#DIV/0!</v>
      </c>
      <c r="T894" s="67" t="e">
        <f t="shared" si="297"/>
        <v>#DIV/0!</v>
      </c>
      <c r="U894" s="64" t="e">
        <f t="shared" si="298"/>
        <v>#DIV/0!</v>
      </c>
      <c r="V894" s="69" t="e">
        <f t="shared" si="299"/>
        <v>#DIV/0!</v>
      </c>
    </row>
    <row r="895" spans="1:22" x14ac:dyDescent="0.3">
      <c r="A895" s="61" t="s">
        <v>1257</v>
      </c>
      <c r="B895" s="62" t="s">
        <v>317</v>
      </c>
      <c r="C895" s="62" t="s">
        <v>629</v>
      </c>
      <c r="D895" s="62" t="s">
        <v>1208</v>
      </c>
      <c r="E895" s="63" t="s">
        <v>572</v>
      </c>
      <c r="F895" s="62" t="s">
        <v>365</v>
      </c>
      <c r="G895" s="62" t="s">
        <v>323</v>
      </c>
      <c r="H895" s="62"/>
      <c r="I895" s="62"/>
      <c r="J895" s="62"/>
      <c r="K895" s="62" t="s">
        <v>317</v>
      </c>
      <c r="L895" s="64">
        <v>3</v>
      </c>
      <c r="M895" s="64"/>
      <c r="N895" s="65"/>
      <c r="O895" s="66"/>
      <c r="P895" s="62"/>
      <c r="Q895" s="67"/>
      <c r="R895" s="64"/>
      <c r="S895" s="64"/>
      <c r="T895" s="67"/>
      <c r="U895" s="68"/>
      <c r="V895" s="69"/>
    </row>
    <row r="896" spans="1:22" x14ac:dyDescent="0.3">
      <c r="A896" s="61" t="s">
        <v>1257</v>
      </c>
      <c r="B896" s="62" t="s">
        <v>317</v>
      </c>
      <c r="C896" s="62" t="s">
        <v>629</v>
      </c>
      <c r="D896" s="62" t="s">
        <v>1210</v>
      </c>
      <c r="E896" s="63" t="s">
        <v>1348</v>
      </c>
      <c r="F896" s="62" t="s">
        <v>365</v>
      </c>
      <c r="G896" s="62" t="s">
        <v>224</v>
      </c>
      <c r="H896" s="62" t="s">
        <v>14</v>
      </c>
      <c r="I896" s="62" t="s">
        <v>210</v>
      </c>
      <c r="J896" s="63" t="s">
        <v>225</v>
      </c>
      <c r="K896" s="62" t="s">
        <v>317</v>
      </c>
      <c r="L896" s="64">
        <v>51</v>
      </c>
      <c r="M896" s="64">
        <f t="shared" ref="M896:M901" si="300">L896*VLOOKUP(H896,dagsoorttabel1,2,FALSE)</f>
        <v>30.599999999999998</v>
      </c>
      <c r="N896" s="65">
        <f>prodnorm17</f>
        <v>0</v>
      </c>
      <c r="O896" s="66">
        <f>dagwerk17</f>
        <v>0</v>
      </c>
      <c r="P896" s="62" t="s">
        <v>40</v>
      </c>
      <c r="Q896" s="67">
        <f>uurtarief17</f>
        <v>0</v>
      </c>
      <c r="R896" s="64" t="e">
        <f t="shared" ref="R896:R901" si="301">IF(ISBLANK(N896),0,M896/ROUND(N896,4))</f>
        <v>#DIV/0!</v>
      </c>
      <c r="S896" s="64" t="e">
        <f t="shared" ref="S896:S901" si="302">IF(ISBLANK(N896),0,R896*ROUND(O896,2))</f>
        <v>#DIV/0!</v>
      </c>
      <c r="T896" s="67" t="e">
        <f t="shared" ref="T896:T901" si="303">ROUND(Q896,2)*R896</f>
        <v>#DIV/0!</v>
      </c>
      <c r="U896" s="64" t="e">
        <f t="shared" ref="U896:U901" si="304">R896*dagenperjaar1</f>
        <v>#DIV/0!</v>
      </c>
      <c r="V896" s="69" t="e">
        <f t="shared" ref="V896:V901" si="305">U896*ROUND(Q896,2)</f>
        <v>#DIV/0!</v>
      </c>
    </row>
    <row r="897" spans="1:22" x14ac:dyDescent="0.3">
      <c r="A897" s="61" t="s">
        <v>1257</v>
      </c>
      <c r="B897" s="62" t="s">
        <v>317</v>
      </c>
      <c r="C897" s="62" t="s">
        <v>629</v>
      </c>
      <c r="D897" s="62" t="s">
        <v>1212</v>
      </c>
      <c r="E897" s="63" t="s">
        <v>1349</v>
      </c>
      <c r="F897" s="62" t="s">
        <v>353</v>
      </c>
      <c r="G897" s="62" t="s">
        <v>264</v>
      </c>
      <c r="H897" s="62" t="s">
        <v>11</v>
      </c>
      <c r="I897" s="62" t="s">
        <v>210</v>
      </c>
      <c r="J897" s="63" t="s">
        <v>265</v>
      </c>
      <c r="K897" s="62" t="s">
        <v>317</v>
      </c>
      <c r="L897" s="64">
        <v>7</v>
      </c>
      <c r="M897" s="64">
        <f t="shared" si="300"/>
        <v>7</v>
      </c>
      <c r="N897" s="65">
        <f>prodnorm38</f>
        <v>0</v>
      </c>
      <c r="O897" s="66">
        <f>dagwerk38</f>
        <v>0</v>
      </c>
      <c r="P897" s="62" t="s">
        <v>40</v>
      </c>
      <c r="Q897" s="67">
        <f>uurtarief38</f>
        <v>0</v>
      </c>
      <c r="R897" s="64" t="e">
        <f t="shared" si="301"/>
        <v>#DIV/0!</v>
      </c>
      <c r="S897" s="64" t="e">
        <f t="shared" si="302"/>
        <v>#DIV/0!</v>
      </c>
      <c r="T897" s="67" t="e">
        <f t="shared" si="303"/>
        <v>#DIV/0!</v>
      </c>
      <c r="U897" s="64" t="e">
        <f t="shared" si="304"/>
        <v>#DIV/0!</v>
      </c>
      <c r="V897" s="69" t="e">
        <f t="shared" si="305"/>
        <v>#DIV/0!</v>
      </c>
    </row>
    <row r="898" spans="1:22" x14ac:dyDescent="0.3">
      <c r="A898" s="61" t="s">
        <v>1257</v>
      </c>
      <c r="B898" s="62" t="s">
        <v>317</v>
      </c>
      <c r="C898" s="62" t="s">
        <v>629</v>
      </c>
      <c r="D898" s="62" t="s">
        <v>1350</v>
      </c>
      <c r="E898" s="63" t="s">
        <v>1273</v>
      </c>
      <c r="F898" s="62" t="s">
        <v>353</v>
      </c>
      <c r="G898" s="62" t="s">
        <v>266</v>
      </c>
      <c r="H898" s="62" t="s">
        <v>11</v>
      </c>
      <c r="I898" s="62" t="s">
        <v>210</v>
      </c>
      <c r="J898" s="63" t="s">
        <v>267</v>
      </c>
      <c r="K898" s="62" t="s">
        <v>317</v>
      </c>
      <c r="L898" s="64">
        <v>2</v>
      </c>
      <c r="M898" s="64">
        <f t="shared" si="300"/>
        <v>2</v>
      </c>
      <c r="N898" s="65">
        <f>prodnorm39</f>
        <v>0</v>
      </c>
      <c r="O898" s="66">
        <f>dagwerk39</f>
        <v>0</v>
      </c>
      <c r="P898" s="62" t="s">
        <v>40</v>
      </c>
      <c r="Q898" s="67">
        <f>uurtarief39</f>
        <v>0</v>
      </c>
      <c r="R898" s="64" t="e">
        <f t="shared" si="301"/>
        <v>#DIV/0!</v>
      </c>
      <c r="S898" s="64" t="e">
        <f t="shared" si="302"/>
        <v>#DIV/0!</v>
      </c>
      <c r="T898" s="67" t="e">
        <f t="shared" si="303"/>
        <v>#DIV/0!</v>
      </c>
      <c r="U898" s="64" t="e">
        <f t="shared" si="304"/>
        <v>#DIV/0!</v>
      </c>
      <c r="V898" s="69" t="e">
        <f t="shared" si="305"/>
        <v>#DIV/0!</v>
      </c>
    </row>
    <row r="899" spans="1:22" x14ac:dyDescent="0.3">
      <c r="A899" s="61" t="s">
        <v>1257</v>
      </c>
      <c r="B899" s="62" t="s">
        <v>317</v>
      </c>
      <c r="C899" s="62" t="s">
        <v>629</v>
      </c>
      <c r="D899" s="62" t="s">
        <v>1351</v>
      </c>
      <c r="E899" s="63" t="s">
        <v>1275</v>
      </c>
      <c r="F899" s="62" t="s">
        <v>353</v>
      </c>
      <c r="G899" s="62" t="s">
        <v>266</v>
      </c>
      <c r="H899" s="62" t="s">
        <v>11</v>
      </c>
      <c r="I899" s="62" t="s">
        <v>210</v>
      </c>
      <c r="J899" s="63" t="s">
        <v>267</v>
      </c>
      <c r="K899" s="62" t="s">
        <v>317</v>
      </c>
      <c r="L899" s="64">
        <v>2</v>
      </c>
      <c r="M899" s="64">
        <f t="shared" si="300"/>
        <v>2</v>
      </c>
      <c r="N899" s="65">
        <f>prodnorm39</f>
        <v>0</v>
      </c>
      <c r="O899" s="66">
        <f>dagwerk39</f>
        <v>0</v>
      </c>
      <c r="P899" s="62" t="s">
        <v>40</v>
      </c>
      <c r="Q899" s="67">
        <f>uurtarief39</f>
        <v>0</v>
      </c>
      <c r="R899" s="64" t="e">
        <f t="shared" si="301"/>
        <v>#DIV/0!</v>
      </c>
      <c r="S899" s="64" t="e">
        <f t="shared" si="302"/>
        <v>#DIV/0!</v>
      </c>
      <c r="T899" s="67" t="e">
        <f t="shared" si="303"/>
        <v>#DIV/0!</v>
      </c>
      <c r="U899" s="64" t="e">
        <f t="shared" si="304"/>
        <v>#DIV/0!</v>
      </c>
      <c r="V899" s="69" t="e">
        <f t="shared" si="305"/>
        <v>#DIV/0!</v>
      </c>
    </row>
    <row r="900" spans="1:22" x14ac:dyDescent="0.3">
      <c r="A900" s="61" t="s">
        <v>1257</v>
      </c>
      <c r="B900" s="62" t="s">
        <v>317</v>
      </c>
      <c r="C900" s="62" t="s">
        <v>629</v>
      </c>
      <c r="D900" s="62" t="s">
        <v>1217</v>
      </c>
      <c r="E900" s="63" t="s">
        <v>1273</v>
      </c>
      <c r="F900" s="62" t="s">
        <v>353</v>
      </c>
      <c r="G900" s="62" t="s">
        <v>266</v>
      </c>
      <c r="H900" s="62" t="s">
        <v>11</v>
      </c>
      <c r="I900" s="62" t="s">
        <v>210</v>
      </c>
      <c r="J900" s="63" t="s">
        <v>267</v>
      </c>
      <c r="K900" s="62" t="s">
        <v>317</v>
      </c>
      <c r="L900" s="64">
        <v>7</v>
      </c>
      <c r="M900" s="64">
        <f t="shared" si="300"/>
        <v>7</v>
      </c>
      <c r="N900" s="65">
        <f>prodnorm39</f>
        <v>0</v>
      </c>
      <c r="O900" s="66">
        <f>dagwerk39</f>
        <v>0</v>
      </c>
      <c r="P900" s="62" t="s">
        <v>40</v>
      </c>
      <c r="Q900" s="67">
        <f>uurtarief39</f>
        <v>0</v>
      </c>
      <c r="R900" s="64" t="e">
        <f t="shared" si="301"/>
        <v>#DIV/0!</v>
      </c>
      <c r="S900" s="64" t="e">
        <f t="shared" si="302"/>
        <v>#DIV/0!</v>
      </c>
      <c r="T900" s="67" t="e">
        <f t="shared" si="303"/>
        <v>#DIV/0!</v>
      </c>
      <c r="U900" s="64" t="e">
        <f t="shared" si="304"/>
        <v>#DIV/0!</v>
      </c>
      <c r="V900" s="69" t="e">
        <f t="shared" si="305"/>
        <v>#DIV/0!</v>
      </c>
    </row>
    <row r="901" spans="1:22" x14ac:dyDescent="0.3">
      <c r="A901" s="61" t="s">
        <v>1257</v>
      </c>
      <c r="B901" s="62" t="s">
        <v>317</v>
      </c>
      <c r="C901" s="62" t="s">
        <v>629</v>
      </c>
      <c r="D901" s="62" t="s">
        <v>1218</v>
      </c>
      <c r="E901" s="63" t="s">
        <v>1275</v>
      </c>
      <c r="F901" s="62" t="s">
        <v>353</v>
      </c>
      <c r="G901" s="62" t="s">
        <v>266</v>
      </c>
      <c r="H901" s="62" t="s">
        <v>11</v>
      </c>
      <c r="I901" s="62" t="s">
        <v>210</v>
      </c>
      <c r="J901" s="63" t="s">
        <v>267</v>
      </c>
      <c r="K901" s="62" t="s">
        <v>317</v>
      </c>
      <c r="L901" s="64">
        <v>7</v>
      </c>
      <c r="M901" s="64">
        <f t="shared" si="300"/>
        <v>7</v>
      </c>
      <c r="N901" s="65">
        <f>prodnorm39</f>
        <v>0</v>
      </c>
      <c r="O901" s="66">
        <f>dagwerk39</f>
        <v>0</v>
      </c>
      <c r="P901" s="62" t="s">
        <v>40</v>
      </c>
      <c r="Q901" s="67">
        <f>uurtarief39</f>
        <v>0</v>
      </c>
      <c r="R901" s="64" t="e">
        <f t="shared" si="301"/>
        <v>#DIV/0!</v>
      </c>
      <c r="S901" s="64" t="e">
        <f t="shared" si="302"/>
        <v>#DIV/0!</v>
      </c>
      <c r="T901" s="67" t="e">
        <f t="shared" si="303"/>
        <v>#DIV/0!</v>
      </c>
      <c r="U901" s="64" t="e">
        <f t="shared" si="304"/>
        <v>#DIV/0!</v>
      </c>
      <c r="V901" s="69" t="e">
        <f t="shared" si="305"/>
        <v>#DIV/0!</v>
      </c>
    </row>
    <row r="902" spans="1:22" x14ac:dyDescent="0.3">
      <c r="A902" s="61" t="s">
        <v>1257</v>
      </c>
      <c r="B902" s="62" t="s">
        <v>317</v>
      </c>
      <c r="C902" s="62" t="s">
        <v>629</v>
      </c>
      <c r="D902" s="62" t="s">
        <v>1220</v>
      </c>
      <c r="E902" s="63" t="s">
        <v>374</v>
      </c>
      <c r="F902" s="62" t="s">
        <v>331</v>
      </c>
      <c r="G902" s="62" t="s">
        <v>323</v>
      </c>
      <c r="H902" s="62"/>
      <c r="I902" s="62"/>
      <c r="J902" s="62"/>
      <c r="K902" s="62" t="s">
        <v>317</v>
      </c>
      <c r="L902" s="64">
        <v>33</v>
      </c>
      <c r="M902" s="64"/>
      <c r="N902" s="65"/>
      <c r="O902" s="66"/>
      <c r="P902" s="62"/>
      <c r="Q902" s="67"/>
      <c r="R902" s="64"/>
      <c r="S902" s="64"/>
      <c r="T902" s="67"/>
      <c r="U902" s="68"/>
      <c r="V902" s="69"/>
    </row>
    <row r="903" spans="1:22" x14ac:dyDescent="0.3">
      <c r="A903" s="61" t="s">
        <v>1257</v>
      </c>
      <c r="B903" s="62" t="s">
        <v>317</v>
      </c>
      <c r="C903" s="62" t="s">
        <v>629</v>
      </c>
      <c r="D903" s="62" t="s">
        <v>1222</v>
      </c>
      <c r="E903" s="63" t="s">
        <v>1352</v>
      </c>
      <c r="F903" s="62" t="s">
        <v>365</v>
      </c>
      <c r="G903" s="62" t="s">
        <v>323</v>
      </c>
      <c r="H903" s="62"/>
      <c r="I903" s="62"/>
      <c r="J903" s="62"/>
      <c r="K903" s="62" t="s">
        <v>317</v>
      </c>
      <c r="L903" s="64">
        <v>13</v>
      </c>
      <c r="M903" s="64"/>
      <c r="N903" s="65"/>
      <c r="O903" s="66"/>
      <c r="P903" s="62"/>
      <c r="Q903" s="67"/>
      <c r="R903" s="64"/>
      <c r="S903" s="64"/>
      <c r="T903" s="67"/>
      <c r="U903" s="68"/>
      <c r="V903" s="69"/>
    </row>
    <row r="904" spans="1:22" x14ac:dyDescent="0.3">
      <c r="A904" s="61" t="s">
        <v>1257</v>
      </c>
      <c r="B904" s="62" t="s">
        <v>317</v>
      </c>
      <c r="C904" s="62" t="s">
        <v>629</v>
      </c>
      <c r="D904" s="62" t="s">
        <v>1224</v>
      </c>
      <c r="E904" s="63" t="s">
        <v>374</v>
      </c>
      <c r="F904" s="62" t="s">
        <v>331</v>
      </c>
      <c r="G904" s="62" t="s">
        <v>323</v>
      </c>
      <c r="H904" s="62"/>
      <c r="I904" s="62"/>
      <c r="J904" s="62"/>
      <c r="K904" s="62" t="s">
        <v>317</v>
      </c>
      <c r="L904" s="64">
        <v>1.87</v>
      </c>
      <c r="M904" s="64"/>
      <c r="N904" s="65"/>
      <c r="O904" s="66"/>
      <c r="P904" s="62"/>
      <c r="Q904" s="67"/>
      <c r="R904" s="64"/>
      <c r="S904" s="64"/>
      <c r="T904" s="67"/>
      <c r="U904" s="68"/>
      <c r="V904" s="69"/>
    </row>
    <row r="905" spans="1:22" x14ac:dyDescent="0.3">
      <c r="A905" s="61" t="s">
        <v>1257</v>
      </c>
      <c r="B905" s="62" t="s">
        <v>317</v>
      </c>
      <c r="C905" s="62" t="s">
        <v>629</v>
      </c>
      <c r="D905" s="62" t="s">
        <v>1226</v>
      </c>
      <c r="E905" s="63" t="s">
        <v>1142</v>
      </c>
      <c r="F905" s="62" t="s">
        <v>353</v>
      </c>
      <c r="G905" s="62" t="s">
        <v>266</v>
      </c>
      <c r="H905" s="62" t="s">
        <v>11</v>
      </c>
      <c r="I905" s="62" t="s">
        <v>210</v>
      </c>
      <c r="J905" s="63" t="s">
        <v>267</v>
      </c>
      <c r="K905" s="62" t="s">
        <v>317</v>
      </c>
      <c r="L905" s="64">
        <v>5</v>
      </c>
      <c r="M905" s="64">
        <f>L905*VLOOKUP(H905,dagsoorttabel1,2,FALSE)</f>
        <v>5</v>
      </c>
      <c r="N905" s="65">
        <f>prodnorm39</f>
        <v>0</v>
      </c>
      <c r="O905" s="66">
        <f>dagwerk39</f>
        <v>0</v>
      </c>
      <c r="P905" s="62" t="s">
        <v>40</v>
      </c>
      <c r="Q905" s="67">
        <f>uurtarief39</f>
        <v>0</v>
      </c>
      <c r="R905" s="64" t="e">
        <f>IF(ISBLANK(N905),0,M905/ROUND(N905,4))</f>
        <v>#DIV/0!</v>
      </c>
      <c r="S905" s="64" t="e">
        <f>IF(ISBLANK(N905),0,R905*ROUND(O905,2))</f>
        <v>#DIV/0!</v>
      </c>
      <c r="T905" s="67" t="e">
        <f>ROUND(Q905,2)*R905</f>
        <v>#DIV/0!</v>
      </c>
      <c r="U905" s="64" t="e">
        <f>R905*dagenperjaar1</f>
        <v>#DIV/0!</v>
      </c>
      <c r="V905" s="69" t="e">
        <f>U905*ROUND(Q905,2)</f>
        <v>#DIV/0!</v>
      </c>
    </row>
    <row r="906" spans="1:22" x14ac:dyDescent="0.3">
      <c r="A906" s="61" t="s">
        <v>1257</v>
      </c>
      <c r="B906" s="62" t="s">
        <v>317</v>
      </c>
      <c r="C906" s="62" t="s">
        <v>629</v>
      </c>
      <c r="D906" s="62" t="s">
        <v>1228</v>
      </c>
      <c r="E906" s="63" t="s">
        <v>1353</v>
      </c>
      <c r="F906" s="62" t="s">
        <v>365</v>
      </c>
      <c r="G906" s="62" t="s">
        <v>323</v>
      </c>
      <c r="H906" s="62"/>
      <c r="I906" s="62"/>
      <c r="J906" s="62"/>
      <c r="K906" s="62" t="s">
        <v>317</v>
      </c>
      <c r="L906" s="64">
        <v>5</v>
      </c>
      <c r="M906" s="64"/>
      <c r="N906" s="65"/>
      <c r="O906" s="66"/>
      <c r="P906" s="62"/>
      <c r="Q906" s="67"/>
      <c r="R906" s="64"/>
      <c r="S906" s="64"/>
      <c r="T906" s="67"/>
      <c r="U906" s="68"/>
      <c r="V906" s="69"/>
    </row>
    <row r="907" spans="1:22" x14ac:dyDescent="0.3">
      <c r="A907" s="61" t="s">
        <v>1257</v>
      </c>
      <c r="B907" s="62" t="s">
        <v>317</v>
      </c>
      <c r="C907" s="62" t="s">
        <v>629</v>
      </c>
      <c r="D907" s="62" t="s">
        <v>1230</v>
      </c>
      <c r="E907" s="63" t="s">
        <v>391</v>
      </c>
      <c r="F907" s="62" t="s">
        <v>365</v>
      </c>
      <c r="G907" s="62" t="s">
        <v>234</v>
      </c>
      <c r="H907" s="62" t="s">
        <v>14</v>
      </c>
      <c r="I907" s="62" t="s">
        <v>210</v>
      </c>
      <c r="J907" s="63" t="s">
        <v>235</v>
      </c>
      <c r="K907" s="62" t="s">
        <v>317</v>
      </c>
      <c r="L907" s="64">
        <v>40</v>
      </c>
      <c r="M907" s="64">
        <f>L907*VLOOKUP(H907,dagsoorttabel1,2,FALSE)</f>
        <v>24</v>
      </c>
      <c r="N907" s="65">
        <f>prodnorm22</f>
        <v>0</v>
      </c>
      <c r="O907" s="66">
        <f>dagwerk22</f>
        <v>0</v>
      </c>
      <c r="P907" s="62" t="s">
        <v>40</v>
      </c>
      <c r="Q907" s="67">
        <f>uurtarief22</f>
        <v>0</v>
      </c>
      <c r="R907" s="64" t="e">
        <f>IF(ISBLANK(N907),0,M907/ROUND(N907,4))</f>
        <v>#DIV/0!</v>
      </c>
      <c r="S907" s="64" t="e">
        <f>IF(ISBLANK(N907),0,R907*ROUND(O907,2))</f>
        <v>#DIV/0!</v>
      </c>
      <c r="T907" s="67" t="e">
        <f>ROUND(Q907,2)*R907</f>
        <v>#DIV/0!</v>
      </c>
      <c r="U907" s="64" t="e">
        <f>R907*dagenperjaar1</f>
        <v>#DIV/0!</v>
      </c>
      <c r="V907" s="69" t="e">
        <f>U907*ROUND(Q907,2)</f>
        <v>#DIV/0!</v>
      </c>
    </row>
    <row r="908" spans="1:22" ht="28.8" x14ac:dyDescent="0.3">
      <c r="A908" s="61" t="s">
        <v>1257</v>
      </c>
      <c r="B908" s="62" t="s">
        <v>317</v>
      </c>
      <c r="C908" s="62" t="s">
        <v>629</v>
      </c>
      <c r="D908" s="62" t="s">
        <v>1231</v>
      </c>
      <c r="E908" s="63" t="s">
        <v>1354</v>
      </c>
      <c r="F908" s="62" t="s">
        <v>365</v>
      </c>
      <c r="G908" s="62" t="s">
        <v>224</v>
      </c>
      <c r="H908" s="62" t="s">
        <v>14</v>
      </c>
      <c r="I908" s="62" t="s">
        <v>210</v>
      </c>
      <c r="J908" s="63" t="s">
        <v>225</v>
      </c>
      <c r="K908" s="62" t="s">
        <v>317</v>
      </c>
      <c r="L908" s="64">
        <v>47</v>
      </c>
      <c r="M908" s="64">
        <f>L908*VLOOKUP(H908,dagsoorttabel1,2,FALSE)</f>
        <v>28.2</v>
      </c>
      <c r="N908" s="65">
        <f>prodnorm17</f>
        <v>0</v>
      </c>
      <c r="O908" s="66">
        <f>dagwerk17</f>
        <v>0</v>
      </c>
      <c r="P908" s="62" t="s">
        <v>40</v>
      </c>
      <c r="Q908" s="67">
        <f>uurtarief17</f>
        <v>0</v>
      </c>
      <c r="R908" s="64" t="e">
        <f>IF(ISBLANK(N908),0,M908/ROUND(N908,4))</f>
        <v>#DIV/0!</v>
      </c>
      <c r="S908" s="64" t="e">
        <f>IF(ISBLANK(N908),0,R908*ROUND(O908,2))</f>
        <v>#DIV/0!</v>
      </c>
      <c r="T908" s="67" t="e">
        <f>ROUND(Q908,2)*R908</f>
        <v>#DIV/0!</v>
      </c>
      <c r="U908" s="64" t="e">
        <f>R908*dagenperjaar1</f>
        <v>#DIV/0!</v>
      </c>
      <c r="V908" s="69" t="e">
        <f>U908*ROUND(Q908,2)</f>
        <v>#DIV/0!</v>
      </c>
    </row>
    <row r="909" spans="1:22" ht="28.8" x14ac:dyDescent="0.3">
      <c r="A909" s="61" t="s">
        <v>1257</v>
      </c>
      <c r="B909" s="62" t="s">
        <v>317</v>
      </c>
      <c r="C909" s="62" t="s">
        <v>629</v>
      </c>
      <c r="D909" s="62" t="s">
        <v>1232</v>
      </c>
      <c r="E909" s="63" t="s">
        <v>1355</v>
      </c>
      <c r="F909" s="62" t="s">
        <v>365</v>
      </c>
      <c r="G909" s="62" t="s">
        <v>254</v>
      </c>
      <c r="H909" s="62" t="s">
        <v>11</v>
      </c>
      <c r="I909" s="62" t="s">
        <v>210</v>
      </c>
      <c r="J909" s="63" t="s">
        <v>255</v>
      </c>
      <c r="K909" s="62" t="s">
        <v>317</v>
      </c>
      <c r="L909" s="64">
        <v>25</v>
      </c>
      <c r="M909" s="64">
        <f>L909*VLOOKUP(H909,dagsoorttabel1,2,FALSE)</f>
        <v>25</v>
      </c>
      <c r="N909" s="65">
        <f>prodnorm33</f>
        <v>0</v>
      </c>
      <c r="O909" s="66">
        <f>dagwerk33</f>
        <v>0</v>
      </c>
      <c r="P909" s="62" t="s">
        <v>40</v>
      </c>
      <c r="Q909" s="67">
        <f>uurtarief33</f>
        <v>0</v>
      </c>
      <c r="R909" s="64" t="e">
        <f>IF(ISBLANK(N909),0,M909/ROUND(N909,4))</f>
        <v>#DIV/0!</v>
      </c>
      <c r="S909" s="64" t="e">
        <f>IF(ISBLANK(N909),0,R909*ROUND(O909,2))</f>
        <v>#DIV/0!</v>
      </c>
      <c r="T909" s="67" t="e">
        <f>ROUND(Q909,2)*R909</f>
        <v>#DIV/0!</v>
      </c>
      <c r="U909" s="64" t="e">
        <f>R909*dagenperjaar1</f>
        <v>#DIV/0!</v>
      </c>
      <c r="V909" s="69" t="e">
        <f>U909*ROUND(Q909,2)</f>
        <v>#DIV/0!</v>
      </c>
    </row>
    <row r="910" spans="1:22" x14ac:dyDescent="0.3">
      <c r="A910" s="61" t="s">
        <v>1257</v>
      </c>
      <c r="B910" s="62" t="s">
        <v>317</v>
      </c>
      <c r="C910" s="62" t="s">
        <v>629</v>
      </c>
      <c r="D910" s="62" t="s">
        <v>1233</v>
      </c>
      <c r="E910" s="63" t="s">
        <v>391</v>
      </c>
      <c r="F910" s="62" t="s">
        <v>365</v>
      </c>
      <c r="G910" s="62" t="s">
        <v>234</v>
      </c>
      <c r="H910" s="62" t="s">
        <v>14</v>
      </c>
      <c r="I910" s="62" t="s">
        <v>210</v>
      </c>
      <c r="J910" s="63" t="s">
        <v>235</v>
      </c>
      <c r="K910" s="62" t="s">
        <v>317</v>
      </c>
      <c r="L910" s="64">
        <v>58</v>
      </c>
      <c r="M910" s="64">
        <f>L910*VLOOKUP(H910,dagsoorttabel1,2,FALSE)</f>
        <v>34.799999999999997</v>
      </c>
      <c r="N910" s="65">
        <f>prodnorm22</f>
        <v>0</v>
      </c>
      <c r="O910" s="66">
        <f>dagwerk22</f>
        <v>0</v>
      </c>
      <c r="P910" s="62" t="s">
        <v>40</v>
      </c>
      <c r="Q910" s="67">
        <f>uurtarief22</f>
        <v>0</v>
      </c>
      <c r="R910" s="64" t="e">
        <f>IF(ISBLANK(N910),0,M910/ROUND(N910,4))</f>
        <v>#DIV/0!</v>
      </c>
      <c r="S910" s="64" t="e">
        <f>IF(ISBLANK(N910),0,R910*ROUND(O910,2))</f>
        <v>#DIV/0!</v>
      </c>
      <c r="T910" s="67" t="e">
        <f>ROUND(Q910,2)*R910</f>
        <v>#DIV/0!</v>
      </c>
      <c r="U910" s="64" t="e">
        <f>R910*dagenperjaar1</f>
        <v>#DIV/0!</v>
      </c>
      <c r="V910" s="69" t="e">
        <f>U910*ROUND(Q910,2)</f>
        <v>#DIV/0!</v>
      </c>
    </row>
    <row r="911" spans="1:22" x14ac:dyDescent="0.3">
      <c r="A911" s="61" t="s">
        <v>1257</v>
      </c>
      <c r="B911" s="62" t="s">
        <v>317</v>
      </c>
      <c r="C911" s="62" t="s">
        <v>629</v>
      </c>
      <c r="D911" s="62" t="s">
        <v>1234</v>
      </c>
      <c r="E911" s="63" t="s">
        <v>381</v>
      </c>
      <c r="F911" s="62" t="s">
        <v>365</v>
      </c>
      <c r="G911" s="62" t="s">
        <v>280</v>
      </c>
      <c r="H911" s="62" t="s">
        <v>11</v>
      </c>
      <c r="I911" s="62" t="s">
        <v>210</v>
      </c>
      <c r="J911" s="63" t="s">
        <v>281</v>
      </c>
      <c r="K911" s="62" t="s">
        <v>317</v>
      </c>
      <c r="L911" s="64">
        <v>2</v>
      </c>
      <c r="M911" s="64">
        <f>L911*VLOOKUP(H911,dagsoorttabel1,2,FALSE)</f>
        <v>2</v>
      </c>
      <c r="N911" s="65">
        <f>prodnorm46</f>
        <v>0</v>
      </c>
      <c r="O911" s="66">
        <f>dagwerk46</f>
        <v>0</v>
      </c>
      <c r="P911" s="62" t="s">
        <v>40</v>
      </c>
      <c r="Q911" s="67">
        <f>uurtarief46</f>
        <v>0</v>
      </c>
      <c r="R911" s="64" t="e">
        <f>IF(ISBLANK(N911),0,M911/ROUND(N911,4))</f>
        <v>#DIV/0!</v>
      </c>
      <c r="S911" s="64" t="e">
        <f>IF(ISBLANK(N911),0,R911*ROUND(O911,2))</f>
        <v>#DIV/0!</v>
      </c>
      <c r="T911" s="67" t="e">
        <f>ROUND(Q911,2)*R911</f>
        <v>#DIV/0!</v>
      </c>
      <c r="U911" s="64" t="e">
        <f>R911*dagenperjaar1</f>
        <v>#DIV/0!</v>
      </c>
      <c r="V911" s="69" t="e">
        <f>U911*ROUND(Q911,2)</f>
        <v>#DIV/0!</v>
      </c>
    </row>
    <row r="912" spans="1:22" x14ac:dyDescent="0.3">
      <c r="A912" s="61" t="s">
        <v>1257</v>
      </c>
      <c r="B912" s="62" t="s">
        <v>317</v>
      </c>
      <c r="C912" s="62" t="s">
        <v>629</v>
      </c>
      <c r="D912" s="62" t="s">
        <v>1236</v>
      </c>
      <c r="E912" s="63" t="s">
        <v>321</v>
      </c>
      <c r="F912" s="62" t="s">
        <v>353</v>
      </c>
      <c r="G912" s="62" t="s">
        <v>323</v>
      </c>
      <c r="H912" s="62"/>
      <c r="I912" s="62"/>
      <c r="J912" s="62"/>
      <c r="K912" s="62" t="s">
        <v>317</v>
      </c>
      <c r="L912" s="64">
        <v>14</v>
      </c>
      <c r="M912" s="64"/>
      <c r="N912" s="65"/>
      <c r="O912" s="66"/>
      <c r="P912" s="62"/>
      <c r="Q912" s="67"/>
      <c r="R912" s="64"/>
      <c r="S912" s="64"/>
      <c r="T912" s="67"/>
      <c r="U912" s="68"/>
      <c r="V912" s="69"/>
    </row>
    <row r="913" spans="1:22" x14ac:dyDescent="0.3">
      <c r="A913" s="61" t="s">
        <v>1257</v>
      </c>
      <c r="B913" s="62" t="s">
        <v>317</v>
      </c>
      <c r="C913" s="62" t="s">
        <v>629</v>
      </c>
      <c r="D913" s="62" t="s">
        <v>1356</v>
      </c>
      <c r="E913" s="63" t="s">
        <v>321</v>
      </c>
      <c r="F913" s="62" t="s">
        <v>353</v>
      </c>
      <c r="G913" s="62" t="s">
        <v>323</v>
      </c>
      <c r="H913" s="62"/>
      <c r="I913" s="62"/>
      <c r="J913" s="62"/>
      <c r="K913" s="62" t="s">
        <v>317</v>
      </c>
      <c r="L913" s="64">
        <v>5</v>
      </c>
      <c r="M913" s="64"/>
      <c r="N913" s="65"/>
      <c r="O913" s="66"/>
      <c r="P913" s="62"/>
      <c r="Q913" s="67"/>
      <c r="R913" s="64"/>
      <c r="S913" s="64"/>
      <c r="T913" s="67"/>
      <c r="U913" s="68"/>
      <c r="V913" s="69"/>
    </row>
    <row r="914" spans="1:22" x14ac:dyDescent="0.3">
      <c r="A914" s="61" t="s">
        <v>1257</v>
      </c>
      <c r="B914" s="62" t="s">
        <v>317</v>
      </c>
      <c r="C914" s="62" t="s">
        <v>629</v>
      </c>
      <c r="D914" s="62" t="s">
        <v>1357</v>
      </c>
      <c r="E914" s="63" t="s">
        <v>352</v>
      </c>
      <c r="F914" s="62" t="s">
        <v>353</v>
      </c>
      <c r="G914" s="62" t="s">
        <v>266</v>
      </c>
      <c r="H914" s="62" t="s">
        <v>11</v>
      </c>
      <c r="I914" s="62" t="s">
        <v>210</v>
      </c>
      <c r="J914" s="63" t="s">
        <v>267</v>
      </c>
      <c r="K914" s="62" t="s">
        <v>317</v>
      </c>
      <c r="L914" s="64">
        <v>2</v>
      </c>
      <c r="M914" s="64">
        <f>L914*VLOOKUP(H914,dagsoorttabel1,2,FALSE)</f>
        <v>2</v>
      </c>
      <c r="N914" s="65">
        <f>prodnorm39</f>
        <v>0</v>
      </c>
      <c r="O914" s="66">
        <f>dagwerk39</f>
        <v>0</v>
      </c>
      <c r="P914" s="62" t="s">
        <v>40</v>
      </c>
      <c r="Q914" s="67">
        <f>uurtarief39</f>
        <v>0</v>
      </c>
      <c r="R914" s="64" t="e">
        <f>IF(ISBLANK(N914),0,M914/ROUND(N914,4))</f>
        <v>#DIV/0!</v>
      </c>
      <c r="S914" s="64" t="e">
        <f>IF(ISBLANK(N914),0,R914*ROUND(O914,2))</f>
        <v>#DIV/0!</v>
      </c>
      <c r="T914" s="67" t="e">
        <f>ROUND(Q914,2)*R914</f>
        <v>#DIV/0!</v>
      </c>
      <c r="U914" s="64" t="e">
        <f>R914*dagenperjaar1</f>
        <v>#DIV/0!</v>
      </c>
      <c r="V914" s="69" t="e">
        <f>U914*ROUND(Q914,2)</f>
        <v>#DIV/0!</v>
      </c>
    </row>
    <row r="915" spans="1:22" x14ac:dyDescent="0.3">
      <c r="A915" s="61" t="s">
        <v>1257</v>
      </c>
      <c r="B915" s="62" t="s">
        <v>317</v>
      </c>
      <c r="C915" s="62" t="s">
        <v>629</v>
      </c>
      <c r="D915" s="62" t="s">
        <v>1238</v>
      </c>
      <c r="E915" s="63" t="s">
        <v>321</v>
      </c>
      <c r="F915" s="62" t="s">
        <v>353</v>
      </c>
      <c r="G915" s="62" t="s">
        <v>323</v>
      </c>
      <c r="H915" s="62"/>
      <c r="I915" s="62"/>
      <c r="J915" s="62"/>
      <c r="K915" s="62" t="s">
        <v>317</v>
      </c>
      <c r="L915" s="64">
        <v>19</v>
      </c>
      <c r="M915" s="64"/>
      <c r="N915" s="65"/>
      <c r="O915" s="66"/>
      <c r="P915" s="62"/>
      <c r="Q915" s="67"/>
      <c r="R915" s="64"/>
      <c r="S915" s="64"/>
      <c r="T915" s="67"/>
      <c r="U915" s="68"/>
      <c r="V915" s="69"/>
    </row>
    <row r="916" spans="1:22" x14ac:dyDescent="0.3">
      <c r="A916" s="61" t="s">
        <v>1257</v>
      </c>
      <c r="B916" s="62" t="s">
        <v>317</v>
      </c>
      <c r="C916" s="62" t="s">
        <v>629</v>
      </c>
      <c r="D916" s="62" t="s">
        <v>1358</v>
      </c>
      <c r="E916" s="63" t="s">
        <v>321</v>
      </c>
      <c r="F916" s="62" t="s">
        <v>353</v>
      </c>
      <c r="G916" s="62" t="s">
        <v>323</v>
      </c>
      <c r="H916" s="62"/>
      <c r="I916" s="62"/>
      <c r="J916" s="62"/>
      <c r="K916" s="62" t="s">
        <v>317</v>
      </c>
      <c r="L916" s="64">
        <v>2</v>
      </c>
      <c r="M916" s="64"/>
      <c r="N916" s="65"/>
      <c r="O916" s="66"/>
      <c r="P916" s="62"/>
      <c r="Q916" s="67"/>
      <c r="R916" s="64"/>
      <c r="S916" s="64"/>
      <c r="T916" s="67"/>
      <c r="U916" s="68"/>
      <c r="V916" s="69"/>
    </row>
    <row r="917" spans="1:22" x14ac:dyDescent="0.3">
      <c r="A917" s="61" t="s">
        <v>1257</v>
      </c>
      <c r="B917" s="62" t="s">
        <v>317</v>
      </c>
      <c r="C917" s="62" t="s">
        <v>629</v>
      </c>
      <c r="D917" s="62" t="s">
        <v>1359</v>
      </c>
      <c r="E917" s="63" t="s">
        <v>352</v>
      </c>
      <c r="F917" s="62" t="s">
        <v>353</v>
      </c>
      <c r="G917" s="62" t="s">
        <v>266</v>
      </c>
      <c r="H917" s="62" t="s">
        <v>11</v>
      </c>
      <c r="I917" s="62" t="s">
        <v>210</v>
      </c>
      <c r="J917" s="63" t="s">
        <v>267</v>
      </c>
      <c r="K917" s="62" t="s">
        <v>317</v>
      </c>
      <c r="L917" s="64">
        <v>5</v>
      </c>
      <c r="M917" s="64">
        <f>L917*VLOOKUP(H917,dagsoorttabel1,2,FALSE)</f>
        <v>5</v>
      </c>
      <c r="N917" s="65">
        <f>prodnorm39</f>
        <v>0</v>
      </c>
      <c r="O917" s="66">
        <f>dagwerk39</f>
        <v>0</v>
      </c>
      <c r="P917" s="62" t="s">
        <v>40</v>
      </c>
      <c r="Q917" s="67">
        <f>uurtarief39</f>
        <v>0</v>
      </c>
      <c r="R917" s="64" t="e">
        <f>IF(ISBLANK(N917),0,M917/ROUND(N917,4))</f>
        <v>#DIV/0!</v>
      </c>
      <c r="S917" s="64" t="e">
        <f>IF(ISBLANK(N917),0,R917*ROUND(O917,2))</f>
        <v>#DIV/0!</v>
      </c>
      <c r="T917" s="67" t="e">
        <f>ROUND(Q917,2)*R917</f>
        <v>#DIV/0!</v>
      </c>
      <c r="U917" s="64" t="e">
        <f>R917*dagenperjaar1</f>
        <v>#DIV/0!</v>
      </c>
      <c r="V917" s="69" t="e">
        <f>U917*ROUND(Q917,2)</f>
        <v>#DIV/0!</v>
      </c>
    </row>
    <row r="918" spans="1:22" x14ac:dyDescent="0.3">
      <c r="A918" s="61" t="s">
        <v>1257</v>
      </c>
      <c r="B918" s="62" t="s">
        <v>317</v>
      </c>
      <c r="C918" s="62" t="s">
        <v>629</v>
      </c>
      <c r="D918" s="62" t="s">
        <v>1240</v>
      </c>
      <c r="E918" s="63" t="s">
        <v>394</v>
      </c>
      <c r="F918" s="62" t="s">
        <v>365</v>
      </c>
      <c r="G918" s="62" t="s">
        <v>272</v>
      </c>
      <c r="H918" s="62" t="s">
        <v>11</v>
      </c>
      <c r="I918" s="62" t="s">
        <v>210</v>
      </c>
      <c r="J918" s="63" t="s">
        <v>273</v>
      </c>
      <c r="K918" s="62" t="s">
        <v>317</v>
      </c>
      <c r="L918" s="64">
        <v>14</v>
      </c>
      <c r="M918" s="64">
        <f>L918*VLOOKUP(H918,dagsoorttabel1,2,FALSE)</f>
        <v>14</v>
      </c>
      <c r="N918" s="65">
        <f>prodnorm42</f>
        <v>0</v>
      </c>
      <c r="O918" s="66">
        <f>dagwerk42</f>
        <v>0</v>
      </c>
      <c r="P918" s="62" t="s">
        <v>40</v>
      </c>
      <c r="Q918" s="67">
        <f>uurtarief42</f>
        <v>0</v>
      </c>
      <c r="R918" s="64" t="e">
        <f>IF(ISBLANK(N918),0,M918/ROUND(N918,4))</f>
        <v>#DIV/0!</v>
      </c>
      <c r="S918" s="64" t="e">
        <f>IF(ISBLANK(N918),0,R918*ROUND(O918,2))</f>
        <v>#DIV/0!</v>
      </c>
      <c r="T918" s="67" t="e">
        <f>ROUND(Q918,2)*R918</f>
        <v>#DIV/0!</v>
      </c>
      <c r="U918" s="64" t="e">
        <f>R918*dagenperjaar1</f>
        <v>#DIV/0!</v>
      </c>
      <c r="V918" s="69" t="e">
        <f>U918*ROUND(Q918,2)</f>
        <v>#DIV/0!</v>
      </c>
    </row>
    <row r="919" spans="1:22" x14ac:dyDescent="0.3">
      <c r="A919" s="61" t="s">
        <v>1257</v>
      </c>
      <c r="B919" s="62" t="s">
        <v>317</v>
      </c>
      <c r="C919" s="62" t="s">
        <v>629</v>
      </c>
      <c r="D919" s="62" t="s">
        <v>1244</v>
      </c>
      <c r="E919" s="63" t="s">
        <v>453</v>
      </c>
      <c r="F919" s="62" t="s">
        <v>353</v>
      </c>
      <c r="G919" s="62" t="s">
        <v>262</v>
      </c>
      <c r="H919" s="62" t="s">
        <v>11</v>
      </c>
      <c r="I919" s="62" t="s">
        <v>210</v>
      </c>
      <c r="J919" s="63" t="s">
        <v>263</v>
      </c>
      <c r="K919" s="62" t="s">
        <v>317</v>
      </c>
      <c r="L919" s="64">
        <v>5</v>
      </c>
      <c r="M919" s="64">
        <f>L919*VLOOKUP(H919,dagsoorttabel1,2,FALSE)</f>
        <v>5</v>
      </c>
      <c r="N919" s="65">
        <f>prodnorm37</f>
        <v>0</v>
      </c>
      <c r="O919" s="66">
        <f>dagwerk37</f>
        <v>0</v>
      </c>
      <c r="P919" s="62" t="s">
        <v>40</v>
      </c>
      <c r="Q919" s="67">
        <f>uurtarief37</f>
        <v>0</v>
      </c>
      <c r="R919" s="64" t="e">
        <f>IF(ISBLANK(N919),0,M919/ROUND(N919,4))</f>
        <v>#DIV/0!</v>
      </c>
      <c r="S919" s="64" t="e">
        <f>IF(ISBLANK(N919),0,R919*ROUND(O919,2))</f>
        <v>#DIV/0!</v>
      </c>
      <c r="T919" s="67" t="e">
        <f>ROUND(Q919,2)*R919</f>
        <v>#DIV/0!</v>
      </c>
      <c r="U919" s="64" t="e">
        <f>R919*dagenperjaar1</f>
        <v>#DIV/0!</v>
      </c>
      <c r="V919" s="69" t="e">
        <f>U919*ROUND(Q919,2)</f>
        <v>#DIV/0!</v>
      </c>
    </row>
    <row r="920" spans="1:22" x14ac:dyDescent="0.3">
      <c r="A920" s="61" t="s">
        <v>1257</v>
      </c>
      <c r="B920" s="62" t="s">
        <v>317</v>
      </c>
      <c r="C920" s="62" t="s">
        <v>629</v>
      </c>
      <c r="D920" s="62" t="s">
        <v>1247</v>
      </c>
      <c r="E920" s="63" t="s">
        <v>1360</v>
      </c>
      <c r="F920" s="62" t="s">
        <v>365</v>
      </c>
      <c r="G920" s="62" t="s">
        <v>234</v>
      </c>
      <c r="H920" s="62" t="s">
        <v>14</v>
      </c>
      <c r="I920" s="62" t="s">
        <v>210</v>
      </c>
      <c r="J920" s="63" t="s">
        <v>235</v>
      </c>
      <c r="K920" s="62" t="s">
        <v>317</v>
      </c>
      <c r="L920" s="64">
        <v>116</v>
      </c>
      <c r="M920" s="64">
        <f>L920*VLOOKUP(H920,dagsoorttabel1,2,FALSE)</f>
        <v>69.599999999999994</v>
      </c>
      <c r="N920" s="65">
        <f>prodnorm22</f>
        <v>0</v>
      </c>
      <c r="O920" s="66">
        <f>dagwerk22</f>
        <v>0</v>
      </c>
      <c r="P920" s="62" t="s">
        <v>40</v>
      </c>
      <c r="Q920" s="67">
        <f>uurtarief22</f>
        <v>0</v>
      </c>
      <c r="R920" s="64" t="e">
        <f>IF(ISBLANK(N920),0,M920/ROUND(N920,4))</f>
        <v>#DIV/0!</v>
      </c>
      <c r="S920" s="64" t="e">
        <f>IF(ISBLANK(N920),0,R920*ROUND(O920,2))</f>
        <v>#DIV/0!</v>
      </c>
      <c r="T920" s="67" t="e">
        <f>ROUND(Q920,2)*R920</f>
        <v>#DIV/0!</v>
      </c>
      <c r="U920" s="64" t="e">
        <f>R920*dagenperjaar1</f>
        <v>#DIV/0!</v>
      </c>
      <c r="V920" s="69" t="e">
        <f>U920*ROUND(Q920,2)</f>
        <v>#DIV/0!</v>
      </c>
    </row>
    <row r="921" spans="1:22" x14ac:dyDescent="0.3">
      <c r="A921" s="61" t="s">
        <v>1257</v>
      </c>
      <c r="B921" s="62" t="s">
        <v>317</v>
      </c>
      <c r="C921" s="62" t="s">
        <v>629</v>
      </c>
      <c r="D921" s="62" t="s">
        <v>1248</v>
      </c>
      <c r="E921" s="63" t="s">
        <v>321</v>
      </c>
      <c r="F921" s="62" t="s">
        <v>365</v>
      </c>
      <c r="G921" s="62" t="s">
        <v>323</v>
      </c>
      <c r="H921" s="62"/>
      <c r="I921" s="62"/>
      <c r="J921" s="62"/>
      <c r="K921" s="62" t="s">
        <v>317</v>
      </c>
      <c r="L921" s="64">
        <v>8</v>
      </c>
      <c r="M921" s="64"/>
      <c r="N921" s="65"/>
      <c r="O921" s="66"/>
      <c r="P921" s="62"/>
      <c r="Q921" s="67"/>
      <c r="R921" s="64"/>
      <c r="S921" s="64"/>
      <c r="T921" s="67"/>
      <c r="U921" s="68"/>
      <c r="V921" s="69"/>
    </row>
    <row r="922" spans="1:22" x14ac:dyDescent="0.3">
      <c r="A922" s="61" t="s">
        <v>1257</v>
      </c>
      <c r="B922" s="62" t="s">
        <v>317</v>
      </c>
      <c r="C922" s="62" t="s">
        <v>629</v>
      </c>
      <c r="D922" s="62" t="s">
        <v>1250</v>
      </c>
      <c r="E922" s="63" t="s">
        <v>391</v>
      </c>
      <c r="F922" s="62" t="s">
        <v>365</v>
      </c>
      <c r="G922" s="62" t="s">
        <v>234</v>
      </c>
      <c r="H922" s="62" t="s">
        <v>14</v>
      </c>
      <c r="I922" s="62" t="s">
        <v>210</v>
      </c>
      <c r="J922" s="63" t="s">
        <v>235</v>
      </c>
      <c r="K922" s="62" t="s">
        <v>317</v>
      </c>
      <c r="L922" s="64">
        <v>52</v>
      </c>
      <c r="M922" s="64">
        <f t="shared" ref="M922:M948" si="306">L922*VLOOKUP(H922,dagsoorttabel1,2,FALSE)</f>
        <v>31.2</v>
      </c>
      <c r="N922" s="65">
        <f>prodnorm22</f>
        <v>0</v>
      </c>
      <c r="O922" s="66">
        <f>dagwerk22</f>
        <v>0</v>
      </c>
      <c r="P922" s="62" t="s">
        <v>40</v>
      </c>
      <c r="Q922" s="67">
        <f>uurtarief22</f>
        <v>0</v>
      </c>
      <c r="R922" s="64" t="e">
        <f t="shared" ref="R922:R948" si="307">IF(ISBLANK(N922),0,M922/ROUND(N922,4))</f>
        <v>#DIV/0!</v>
      </c>
      <c r="S922" s="64" t="e">
        <f t="shared" ref="S922:S948" si="308">IF(ISBLANK(N922),0,R922*ROUND(O922,2))</f>
        <v>#DIV/0!</v>
      </c>
      <c r="T922" s="67" t="e">
        <f t="shared" ref="T922:T948" si="309">ROUND(Q922,2)*R922</f>
        <v>#DIV/0!</v>
      </c>
      <c r="U922" s="64" t="e">
        <f t="shared" ref="U922:U948" si="310">R922*dagenperjaar1</f>
        <v>#DIV/0!</v>
      </c>
      <c r="V922" s="69" t="e">
        <f t="shared" ref="V922:V948" si="311">U922*ROUND(Q922,2)</f>
        <v>#DIV/0!</v>
      </c>
    </row>
    <row r="923" spans="1:22" x14ac:dyDescent="0.3">
      <c r="A923" s="61" t="s">
        <v>1257</v>
      </c>
      <c r="B923" s="62" t="s">
        <v>317</v>
      </c>
      <c r="C923" s="62" t="s">
        <v>629</v>
      </c>
      <c r="D923" s="62" t="s">
        <v>1252</v>
      </c>
      <c r="E923" s="63" t="s">
        <v>400</v>
      </c>
      <c r="F923" s="62" t="s">
        <v>348</v>
      </c>
      <c r="G923" s="62" t="s">
        <v>236</v>
      </c>
      <c r="H923" s="62" t="s">
        <v>14</v>
      </c>
      <c r="I923" s="62" t="s">
        <v>210</v>
      </c>
      <c r="J923" s="63" t="s">
        <v>237</v>
      </c>
      <c r="K923" s="62" t="s">
        <v>317</v>
      </c>
      <c r="L923" s="64">
        <v>11</v>
      </c>
      <c r="M923" s="64">
        <f t="shared" si="306"/>
        <v>6.6</v>
      </c>
      <c r="N923" s="65">
        <f>prodnorm23</f>
        <v>0</v>
      </c>
      <c r="O923" s="66">
        <f>dagwerk23</f>
        <v>0</v>
      </c>
      <c r="P923" s="62" t="s">
        <v>40</v>
      </c>
      <c r="Q923" s="67">
        <f>uurtarief23</f>
        <v>0</v>
      </c>
      <c r="R923" s="64" t="e">
        <f t="shared" si="307"/>
        <v>#DIV/0!</v>
      </c>
      <c r="S923" s="64" t="e">
        <f t="shared" si="308"/>
        <v>#DIV/0!</v>
      </c>
      <c r="T923" s="67" t="e">
        <f t="shared" si="309"/>
        <v>#DIV/0!</v>
      </c>
      <c r="U923" s="64" t="e">
        <f t="shared" si="310"/>
        <v>#DIV/0!</v>
      </c>
      <c r="V923" s="69" t="e">
        <f t="shared" si="311"/>
        <v>#DIV/0!</v>
      </c>
    </row>
    <row r="924" spans="1:22" x14ac:dyDescent="0.3">
      <c r="A924" s="61" t="s">
        <v>1257</v>
      </c>
      <c r="B924" s="62" t="s">
        <v>317</v>
      </c>
      <c r="C924" s="62" t="s">
        <v>629</v>
      </c>
      <c r="D924" s="62" t="s">
        <v>1254</v>
      </c>
      <c r="E924" s="63" t="s">
        <v>391</v>
      </c>
      <c r="F924" s="62" t="s">
        <v>365</v>
      </c>
      <c r="G924" s="62" t="s">
        <v>234</v>
      </c>
      <c r="H924" s="62" t="s">
        <v>14</v>
      </c>
      <c r="I924" s="62" t="s">
        <v>210</v>
      </c>
      <c r="J924" s="63" t="s">
        <v>235</v>
      </c>
      <c r="K924" s="62" t="s">
        <v>317</v>
      </c>
      <c r="L924" s="64">
        <v>50</v>
      </c>
      <c r="M924" s="64">
        <f t="shared" si="306"/>
        <v>30</v>
      </c>
      <c r="N924" s="65">
        <f t="shared" ref="N924:N932" si="312">prodnorm22</f>
        <v>0</v>
      </c>
      <c r="O924" s="66">
        <f t="shared" ref="O924:O932" si="313">dagwerk22</f>
        <v>0</v>
      </c>
      <c r="P924" s="62" t="s">
        <v>40</v>
      </c>
      <c r="Q924" s="67">
        <f t="shared" ref="Q924:Q932" si="314">uurtarief22</f>
        <v>0</v>
      </c>
      <c r="R924" s="64" t="e">
        <f t="shared" si="307"/>
        <v>#DIV/0!</v>
      </c>
      <c r="S924" s="64" t="e">
        <f t="shared" si="308"/>
        <v>#DIV/0!</v>
      </c>
      <c r="T924" s="67" t="e">
        <f t="shared" si="309"/>
        <v>#DIV/0!</v>
      </c>
      <c r="U924" s="64" t="e">
        <f t="shared" si="310"/>
        <v>#DIV/0!</v>
      </c>
      <c r="V924" s="69" t="e">
        <f t="shared" si="311"/>
        <v>#DIV/0!</v>
      </c>
    </row>
    <row r="925" spans="1:22" x14ac:dyDescent="0.3">
      <c r="A925" s="61" t="s">
        <v>1257</v>
      </c>
      <c r="B925" s="62" t="s">
        <v>317</v>
      </c>
      <c r="C925" s="62" t="s">
        <v>629</v>
      </c>
      <c r="D925" s="62" t="s">
        <v>1361</v>
      </c>
      <c r="E925" s="63" t="s">
        <v>374</v>
      </c>
      <c r="F925" s="62" t="s">
        <v>365</v>
      </c>
      <c r="G925" s="62" t="s">
        <v>234</v>
      </c>
      <c r="H925" s="62" t="s">
        <v>14</v>
      </c>
      <c r="I925" s="62" t="s">
        <v>210</v>
      </c>
      <c r="J925" s="63" t="s">
        <v>235</v>
      </c>
      <c r="K925" s="62" t="s">
        <v>317</v>
      </c>
      <c r="L925" s="64">
        <v>0.5</v>
      </c>
      <c r="M925" s="64">
        <f t="shared" si="306"/>
        <v>0.3</v>
      </c>
      <c r="N925" s="65">
        <f t="shared" si="312"/>
        <v>0</v>
      </c>
      <c r="O925" s="66">
        <f t="shared" si="313"/>
        <v>0</v>
      </c>
      <c r="P925" s="62" t="s">
        <v>40</v>
      </c>
      <c r="Q925" s="67">
        <f t="shared" si="314"/>
        <v>0</v>
      </c>
      <c r="R925" s="64" t="e">
        <f t="shared" si="307"/>
        <v>#DIV/0!</v>
      </c>
      <c r="S925" s="64" t="e">
        <f t="shared" si="308"/>
        <v>#DIV/0!</v>
      </c>
      <c r="T925" s="67" t="e">
        <f t="shared" si="309"/>
        <v>#DIV/0!</v>
      </c>
      <c r="U925" s="64" t="e">
        <f t="shared" si="310"/>
        <v>#DIV/0!</v>
      </c>
      <c r="V925" s="69" t="e">
        <f t="shared" si="311"/>
        <v>#DIV/0!</v>
      </c>
    </row>
    <row r="926" spans="1:22" x14ac:dyDescent="0.3">
      <c r="A926" s="61" t="s">
        <v>1257</v>
      </c>
      <c r="B926" s="62" t="s">
        <v>317</v>
      </c>
      <c r="C926" s="62" t="s">
        <v>629</v>
      </c>
      <c r="D926" s="62" t="s">
        <v>1362</v>
      </c>
      <c r="E926" s="63" t="s">
        <v>374</v>
      </c>
      <c r="F926" s="62" t="s">
        <v>365</v>
      </c>
      <c r="G926" s="62" t="s">
        <v>234</v>
      </c>
      <c r="H926" s="62" t="s">
        <v>14</v>
      </c>
      <c r="I926" s="62" t="s">
        <v>210</v>
      </c>
      <c r="J926" s="63" t="s">
        <v>235</v>
      </c>
      <c r="K926" s="62" t="s">
        <v>317</v>
      </c>
      <c r="L926" s="64">
        <v>1</v>
      </c>
      <c r="M926" s="64">
        <f t="shared" si="306"/>
        <v>0.6</v>
      </c>
      <c r="N926" s="65">
        <f t="shared" si="312"/>
        <v>0</v>
      </c>
      <c r="O926" s="66">
        <f t="shared" si="313"/>
        <v>0</v>
      </c>
      <c r="P926" s="62" t="s">
        <v>40</v>
      </c>
      <c r="Q926" s="67">
        <f t="shared" si="314"/>
        <v>0</v>
      </c>
      <c r="R926" s="64" t="e">
        <f t="shared" si="307"/>
        <v>#DIV/0!</v>
      </c>
      <c r="S926" s="64" t="e">
        <f t="shared" si="308"/>
        <v>#DIV/0!</v>
      </c>
      <c r="T926" s="67" t="e">
        <f t="shared" si="309"/>
        <v>#DIV/0!</v>
      </c>
      <c r="U926" s="64" t="e">
        <f t="shared" si="310"/>
        <v>#DIV/0!</v>
      </c>
      <c r="V926" s="69" t="e">
        <f t="shared" si="311"/>
        <v>#DIV/0!</v>
      </c>
    </row>
    <row r="927" spans="1:22" x14ac:dyDescent="0.3">
      <c r="A927" s="61" t="s">
        <v>1257</v>
      </c>
      <c r="B927" s="62" t="s">
        <v>317</v>
      </c>
      <c r="C927" s="62" t="s">
        <v>629</v>
      </c>
      <c r="D927" s="62" t="s">
        <v>1363</v>
      </c>
      <c r="E927" s="63" t="s">
        <v>374</v>
      </c>
      <c r="F927" s="62" t="s">
        <v>331</v>
      </c>
      <c r="G927" s="62" t="s">
        <v>234</v>
      </c>
      <c r="H927" s="62" t="s">
        <v>14</v>
      </c>
      <c r="I927" s="62" t="s">
        <v>210</v>
      </c>
      <c r="J927" s="63" t="s">
        <v>235</v>
      </c>
      <c r="K927" s="62" t="s">
        <v>317</v>
      </c>
      <c r="L927" s="64">
        <v>2</v>
      </c>
      <c r="M927" s="64">
        <f t="shared" si="306"/>
        <v>1.2</v>
      </c>
      <c r="N927" s="65">
        <f t="shared" si="312"/>
        <v>0</v>
      </c>
      <c r="O927" s="66">
        <f t="shared" si="313"/>
        <v>0</v>
      </c>
      <c r="P927" s="62" t="s">
        <v>40</v>
      </c>
      <c r="Q927" s="67">
        <f t="shared" si="314"/>
        <v>0</v>
      </c>
      <c r="R927" s="64" t="e">
        <f t="shared" si="307"/>
        <v>#DIV/0!</v>
      </c>
      <c r="S927" s="64" t="e">
        <f t="shared" si="308"/>
        <v>#DIV/0!</v>
      </c>
      <c r="T927" s="67" t="e">
        <f t="shared" si="309"/>
        <v>#DIV/0!</v>
      </c>
      <c r="U927" s="64" t="e">
        <f t="shared" si="310"/>
        <v>#DIV/0!</v>
      </c>
      <c r="V927" s="69" t="e">
        <f t="shared" si="311"/>
        <v>#DIV/0!</v>
      </c>
    </row>
    <row r="928" spans="1:22" x14ac:dyDescent="0.3">
      <c r="A928" s="61" t="s">
        <v>1257</v>
      </c>
      <c r="B928" s="62" t="s">
        <v>317</v>
      </c>
      <c r="C928" s="62" t="s">
        <v>629</v>
      </c>
      <c r="D928" s="62" t="s">
        <v>1364</v>
      </c>
      <c r="E928" s="63" t="s">
        <v>619</v>
      </c>
      <c r="F928" s="62" t="s">
        <v>365</v>
      </c>
      <c r="G928" s="62" t="s">
        <v>234</v>
      </c>
      <c r="H928" s="62" t="s">
        <v>14</v>
      </c>
      <c r="I928" s="62" t="s">
        <v>210</v>
      </c>
      <c r="J928" s="63" t="s">
        <v>235</v>
      </c>
      <c r="K928" s="62" t="s">
        <v>317</v>
      </c>
      <c r="L928" s="64">
        <v>226</v>
      </c>
      <c r="M928" s="64">
        <f t="shared" si="306"/>
        <v>135.6</v>
      </c>
      <c r="N928" s="65">
        <f t="shared" si="312"/>
        <v>0</v>
      </c>
      <c r="O928" s="66">
        <f t="shared" si="313"/>
        <v>0</v>
      </c>
      <c r="P928" s="62" t="s">
        <v>40</v>
      </c>
      <c r="Q928" s="67">
        <f t="shared" si="314"/>
        <v>0</v>
      </c>
      <c r="R928" s="64" t="e">
        <f t="shared" si="307"/>
        <v>#DIV/0!</v>
      </c>
      <c r="S928" s="64" t="e">
        <f t="shared" si="308"/>
        <v>#DIV/0!</v>
      </c>
      <c r="T928" s="67" t="e">
        <f t="shared" si="309"/>
        <v>#DIV/0!</v>
      </c>
      <c r="U928" s="64" t="e">
        <f t="shared" si="310"/>
        <v>#DIV/0!</v>
      </c>
      <c r="V928" s="69" t="e">
        <f t="shared" si="311"/>
        <v>#DIV/0!</v>
      </c>
    </row>
    <row r="929" spans="1:22" x14ac:dyDescent="0.3">
      <c r="A929" s="61" t="s">
        <v>1257</v>
      </c>
      <c r="B929" s="62" t="s">
        <v>317</v>
      </c>
      <c r="C929" s="62" t="s">
        <v>629</v>
      </c>
      <c r="D929" s="62" t="s">
        <v>1365</v>
      </c>
      <c r="E929" s="63" t="s">
        <v>1366</v>
      </c>
      <c r="F929" s="62" t="s">
        <v>365</v>
      </c>
      <c r="G929" s="62" t="s">
        <v>234</v>
      </c>
      <c r="H929" s="62" t="s">
        <v>14</v>
      </c>
      <c r="I929" s="62" t="s">
        <v>210</v>
      </c>
      <c r="J929" s="63" t="s">
        <v>235</v>
      </c>
      <c r="K929" s="62" t="s">
        <v>317</v>
      </c>
      <c r="L929" s="64">
        <v>23</v>
      </c>
      <c r="M929" s="64">
        <f t="shared" si="306"/>
        <v>13.799999999999999</v>
      </c>
      <c r="N929" s="65">
        <f t="shared" si="312"/>
        <v>0</v>
      </c>
      <c r="O929" s="66">
        <f t="shared" si="313"/>
        <v>0</v>
      </c>
      <c r="P929" s="62" t="s">
        <v>40</v>
      </c>
      <c r="Q929" s="67">
        <f t="shared" si="314"/>
        <v>0</v>
      </c>
      <c r="R929" s="64" t="e">
        <f t="shared" si="307"/>
        <v>#DIV/0!</v>
      </c>
      <c r="S929" s="64" t="e">
        <f t="shared" si="308"/>
        <v>#DIV/0!</v>
      </c>
      <c r="T929" s="67" t="e">
        <f t="shared" si="309"/>
        <v>#DIV/0!</v>
      </c>
      <c r="U929" s="64" t="e">
        <f t="shared" si="310"/>
        <v>#DIV/0!</v>
      </c>
      <c r="V929" s="69" t="e">
        <f t="shared" si="311"/>
        <v>#DIV/0!</v>
      </c>
    </row>
    <row r="930" spans="1:22" ht="28.8" x14ac:dyDescent="0.3">
      <c r="A930" s="61" t="s">
        <v>1257</v>
      </c>
      <c r="B930" s="62" t="s">
        <v>317</v>
      </c>
      <c r="C930" s="62" t="s">
        <v>629</v>
      </c>
      <c r="D930" s="62" t="s">
        <v>1367</v>
      </c>
      <c r="E930" s="63" t="s">
        <v>1368</v>
      </c>
      <c r="F930" s="62" t="s">
        <v>365</v>
      </c>
      <c r="G930" s="62" t="s">
        <v>234</v>
      </c>
      <c r="H930" s="62" t="s">
        <v>14</v>
      </c>
      <c r="I930" s="62" t="s">
        <v>210</v>
      </c>
      <c r="J930" s="63" t="s">
        <v>235</v>
      </c>
      <c r="K930" s="62" t="s">
        <v>317</v>
      </c>
      <c r="L930" s="64">
        <v>24</v>
      </c>
      <c r="M930" s="64">
        <f t="shared" si="306"/>
        <v>14.399999999999999</v>
      </c>
      <c r="N930" s="65">
        <f t="shared" si="312"/>
        <v>0</v>
      </c>
      <c r="O930" s="66">
        <f t="shared" si="313"/>
        <v>0</v>
      </c>
      <c r="P930" s="62" t="s">
        <v>40</v>
      </c>
      <c r="Q930" s="67">
        <f t="shared" si="314"/>
        <v>0</v>
      </c>
      <c r="R930" s="64" t="e">
        <f t="shared" si="307"/>
        <v>#DIV/0!</v>
      </c>
      <c r="S930" s="64" t="e">
        <f t="shared" si="308"/>
        <v>#DIV/0!</v>
      </c>
      <c r="T930" s="67" t="e">
        <f t="shared" si="309"/>
        <v>#DIV/0!</v>
      </c>
      <c r="U930" s="64" t="e">
        <f t="shared" si="310"/>
        <v>#DIV/0!</v>
      </c>
      <c r="V930" s="69" t="e">
        <f t="shared" si="311"/>
        <v>#DIV/0!</v>
      </c>
    </row>
    <row r="931" spans="1:22" x14ac:dyDescent="0.3">
      <c r="A931" s="61" t="s">
        <v>1257</v>
      </c>
      <c r="B931" s="62" t="s">
        <v>317</v>
      </c>
      <c r="C931" s="62" t="s">
        <v>629</v>
      </c>
      <c r="D931" s="62" t="s">
        <v>1369</v>
      </c>
      <c r="E931" s="63" t="s">
        <v>509</v>
      </c>
      <c r="F931" s="62" t="s">
        <v>331</v>
      </c>
      <c r="G931" s="62" t="s">
        <v>234</v>
      </c>
      <c r="H931" s="62" t="s">
        <v>14</v>
      </c>
      <c r="I931" s="62" t="s">
        <v>210</v>
      </c>
      <c r="J931" s="63" t="s">
        <v>235</v>
      </c>
      <c r="K931" s="62" t="s">
        <v>317</v>
      </c>
      <c r="L931" s="64">
        <v>10.65</v>
      </c>
      <c r="M931" s="64">
        <f t="shared" si="306"/>
        <v>6.39</v>
      </c>
      <c r="N931" s="65">
        <f t="shared" si="312"/>
        <v>0</v>
      </c>
      <c r="O931" s="66">
        <f t="shared" si="313"/>
        <v>0</v>
      </c>
      <c r="P931" s="62" t="s">
        <v>40</v>
      </c>
      <c r="Q931" s="67">
        <f t="shared" si="314"/>
        <v>0</v>
      </c>
      <c r="R931" s="64" t="e">
        <f t="shared" si="307"/>
        <v>#DIV/0!</v>
      </c>
      <c r="S931" s="64" t="e">
        <f t="shared" si="308"/>
        <v>#DIV/0!</v>
      </c>
      <c r="T931" s="67" t="e">
        <f t="shared" si="309"/>
        <v>#DIV/0!</v>
      </c>
      <c r="U931" s="64" t="e">
        <f t="shared" si="310"/>
        <v>#DIV/0!</v>
      </c>
      <c r="V931" s="69" t="e">
        <f t="shared" si="311"/>
        <v>#DIV/0!</v>
      </c>
    </row>
    <row r="932" spans="1:22" x14ac:dyDescent="0.3">
      <c r="A932" s="61" t="s">
        <v>1257</v>
      </c>
      <c r="B932" s="62" t="s">
        <v>317</v>
      </c>
      <c r="C932" s="62" t="s">
        <v>629</v>
      </c>
      <c r="D932" s="62" t="s">
        <v>1370</v>
      </c>
      <c r="E932" s="63" t="s">
        <v>391</v>
      </c>
      <c r="F932" s="62" t="s">
        <v>365</v>
      </c>
      <c r="G932" s="62" t="s">
        <v>234</v>
      </c>
      <c r="H932" s="62" t="s">
        <v>14</v>
      </c>
      <c r="I932" s="62" t="s">
        <v>210</v>
      </c>
      <c r="J932" s="63" t="s">
        <v>235</v>
      </c>
      <c r="K932" s="62" t="s">
        <v>317</v>
      </c>
      <c r="L932" s="64">
        <v>51</v>
      </c>
      <c r="M932" s="64">
        <f t="shared" si="306"/>
        <v>30.599999999999998</v>
      </c>
      <c r="N932" s="65">
        <f t="shared" si="312"/>
        <v>0</v>
      </c>
      <c r="O932" s="66">
        <f t="shared" si="313"/>
        <v>0</v>
      </c>
      <c r="P932" s="62" t="s">
        <v>40</v>
      </c>
      <c r="Q932" s="67">
        <f t="shared" si="314"/>
        <v>0</v>
      </c>
      <c r="R932" s="64" t="e">
        <f t="shared" si="307"/>
        <v>#DIV/0!</v>
      </c>
      <c r="S932" s="64" t="e">
        <f t="shared" si="308"/>
        <v>#DIV/0!</v>
      </c>
      <c r="T932" s="67" t="e">
        <f t="shared" si="309"/>
        <v>#DIV/0!</v>
      </c>
      <c r="U932" s="64" t="e">
        <f t="shared" si="310"/>
        <v>#DIV/0!</v>
      </c>
      <c r="V932" s="69" t="e">
        <f t="shared" si="311"/>
        <v>#DIV/0!</v>
      </c>
    </row>
    <row r="933" spans="1:22" x14ac:dyDescent="0.3">
      <c r="A933" s="61" t="s">
        <v>1257</v>
      </c>
      <c r="B933" s="62" t="s">
        <v>317</v>
      </c>
      <c r="C933" s="62" t="s">
        <v>629</v>
      </c>
      <c r="D933" s="62" t="s">
        <v>1371</v>
      </c>
      <c r="E933" s="63" t="s">
        <v>400</v>
      </c>
      <c r="F933" s="62" t="s">
        <v>348</v>
      </c>
      <c r="G933" s="62" t="s">
        <v>236</v>
      </c>
      <c r="H933" s="62" t="s">
        <v>14</v>
      </c>
      <c r="I933" s="62" t="s">
        <v>210</v>
      </c>
      <c r="J933" s="63" t="s">
        <v>237</v>
      </c>
      <c r="K933" s="62" t="s">
        <v>317</v>
      </c>
      <c r="L933" s="64">
        <v>13</v>
      </c>
      <c r="M933" s="64">
        <f t="shared" si="306"/>
        <v>7.8</v>
      </c>
      <c r="N933" s="65">
        <f>prodnorm23</f>
        <v>0</v>
      </c>
      <c r="O933" s="66">
        <f>dagwerk23</f>
        <v>0</v>
      </c>
      <c r="P933" s="62" t="s">
        <v>40</v>
      </c>
      <c r="Q933" s="67">
        <f>uurtarief23</f>
        <v>0</v>
      </c>
      <c r="R933" s="64" t="e">
        <f t="shared" si="307"/>
        <v>#DIV/0!</v>
      </c>
      <c r="S933" s="64" t="e">
        <f t="shared" si="308"/>
        <v>#DIV/0!</v>
      </c>
      <c r="T933" s="67" t="e">
        <f t="shared" si="309"/>
        <v>#DIV/0!</v>
      </c>
      <c r="U933" s="64" t="e">
        <f t="shared" si="310"/>
        <v>#DIV/0!</v>
      </c>
      <c r="V933" s="69" t="e">
        <f t="shared" si="311"/>
        <v>#DIV/0!</v>
      </c>
    </row>
    <row r="934" spans="1:22" x14ac:dyDescent="0.3">
      <c r="A934" s="61" t="s">
        <v>1257</v>
      </c>
      <c r="B934" s="62" t="s">
        <v>317</v>
      </c>
      <c r="C934" s="62" t="s">
        <v>629</v>
      </c>
      <c r="D934" s="62" t="s">
        <v>1372</v>
      </c>
      <c r="E934" s="63" t="s">
        <v>391</v>
      </c>
      <c r="F934" s="62" t="s">
        <v>365</v>
      </c>
      <c r="G934" s="62" t="s">
        <v>234</v>
      </c>
      <c r="H934" s="62" t="s">
        <v>14</v>
      </c>
      <c r="I934" s="62" t="s">
        <v>210</v>
      </c>
      <c r="J934" s="63" t="s">
        <v>235</v>
      </c>
      <c r="K934" s="62" t="s">
        <v>317</v>
      </c>
      <c r="L934" s="64">
        <v>53</v>
      </c>
      <c r="M934" s="64">
        <f t="shared" si="306"/>
        <v>31.799999999999997</v>
      </c>
      <c r="N934" s="65">
        <f>prodnorm22</f>
        <v>0</v>
      </c>
      <c r="O934" s="66">
        <f>dagwerk22</f>
        <v>0</v>
      </c>
      <c r="P934" s="62" t="s">
        <v>40</v>
      </c>
      <c r="Q934" s="67">
        <f>uurtarief22</f>
        <v>0</v>
      </c>
      <c r="R934" s="64" t="e">
        <f t="shared" si="307"/>
        <v>#DIV/0!</v>
      </c>
      <c r="S934" s="64" t="e">
        <f t="shared" si="308"/>
        <v>#DIV/0!</v>
      </c>
      <c r="T934" s="67" t="e">
        <f t="shared" si="309"/>
        <v>#DIV/0!</v>
      </c>
      <c r="U934" s="64" t="e">
        <f t="shared" si="310"/>
        <v>#DIV/0!</v>
      </c>
      <c r="V934" s="69" t="e">
        <f t="shared" si="311"/>
        <v>#DIV/0!</v>
      </c>
    </row>
    <row r="935" spans="1:22" ht="28.8" x14ac:dyDescent="0.3">
      <c r="A935" s="61" t="s">
        <v>1257</v>
      </c>
      <c r="B935" s="62" t="s">
        <v>317</v>
      </c>
      <c r="C935" s="62" t="s">
        <v>629</v>
      </c>
      <c r="D935" s="62" t="s">
        <v>1373</v>
      </c>
      <c r="E935" s="63" t="s">
        <v>1374</v>
      </c>
      <c r="F935" s="62" t="s">
        <v>365</v>
      </c>
      <c r="G935" s="62" t="s">
        <v>224</v>
      </c>
      <c r="H935" s="62" t="s">
        <v>14</v>
      </c>
      <c r="I935" s="62" t="s">
        <v>210</v>
      </c>
      <c r="J935" s="63" t="s">
        <v>225</v>
      </c>
      <c r="K935" s="62" t="s">
        <v>317</v>
      </c>
      <c r="L935" s="64">
        <v>28</v>
      </c>
      <c r="M935" s="64">
        <f t="shared" si="306"/>
        <v>16.8</v>
      </c>
      <c r="N935" s="65">
        <f>prodnorm17</f>
        <v>0</v>
      </c>
      <c r="O935" s="66">
        <f>dagwerk17</f>
        <v>0</v>
      </c>
      <c r="P935" s="62" t="s">
        <v>40</v>
      </c>
      <c r="Q935" s="67">
        <f>uurtarief17</f>
        <v>0</v>
      </c>
      <c r="R935" s="64" t="e">
        <f t="shared" si="307"/>
        <v>#DIV/0!</v>
      </c>
      <c r="S935" s="64" t="e">
        <f t="shared" si="308"/>
        <v>#DIV/0!</v>
      </c>
      <c r="T935" s="67" t="e">
        <f t="shared" si="309"/>
        <v>#DIV/0!</v>
      </c>
      <c r="U935" s="64" t="e">
        <f t="shared" si="310"/>
        <v>#DIV/0!</v>
      </c>
      <c r="V935" s="69" t="e">
        <f t="shared" si="311"/>
        <v>#DIV/0!</v>
      </c>
    </row>
    <row r="936" spans="1:22" x14ac:dyDescent="0.3">
      <c r="A936" s="61" t="s">
        <v>1257</v>
      </c>
      <c r="B936" s="62" t="s">
        <v>317</v>
      </c>
      <c r="C936" s="62" t="s">
        <v>629</v>
      </c>
      <c r="D936" s="62" t="s">
        <v>1375</v>
      </c>
      <c r="E936" s="63" t="s">
        <v>1376</v>
      </c>
      <c r="F936" s="62" t="s">
        <v>365</v>
      </c>
      <c r="G936" s="62" t="s">
        <v>234</v>
      </c>
      <c r="H936" s="62" t="s">
        <v>14</v>
      </c>
      <c r="I936" s="62" t="s">
        <v>210</v>
      </c>
      <c r="J936" s="63" t="s">
        <v>235</v>
      </c>
      <c r="K936" s="62" t="s">
        <v>317</v>
      </c>
      <c r="L936" s="64">
        <v>24</v>
      </c>
      <c r="M936" s="64">
        <f t="shared" si="306"/>
        <v>14.399999999999999</v>
      </c>
      <c r="N936" s="65">
        <f>prodnorm22</f>
        <v>0</v>
      </c>
      <c r="O936" s="66">
        <f>dagwerk22</f>
        <v>0</v>
      </c>
      <c r="P936" s="62" t="s">
        <v>40</v>
      </c>
      <c r="Q936" s="67">
        <f>uurtarief22</f>
        <v>0</v>
      </c>
      <c r="R936" s="64" t="e">
        <f t="shared" si="307"/>
        <v>#DIV/0!</v>
      </c>
      <c r="S936" s="64" t="e">
        <f t="shared" si="308"/>
        <v>#DIV/0!</v>
      </c>
      <c r="T936" s="67" t="e">
        <f t="shared" si="309"/>
        <v>#DIV/0!</v>
      </c>
      <c r="U936" s="64" t="e">
        <f t="shared" si="310"/>
        <v>#DIV/0!</v>
      </c>
      <c r="V936" s="69" t="e">
        <f t="shared" si="311"/>
        <v>#DIV/0!</v>
      </c>
    </row>
    <row r="937" spans="1:22" x14ac:dyDescent="0.3">
      <c r="A937" s="61" t="s">
        <v>1257</v>
      </c>
      <c r="B937" s="62" t="s">
        <v>317</v>
      </c>
      <c r="C937" s="62" t="s">
        <v>629</v>
      </c>
      <c r="D937" s="62" t="s">
        <v>1377</v>
      </c>
      <c r="E937" s="63" t="s">
        <v>321</v>
      </c>
      <c r="F937" s="62" t="s">
        <v>353</v>
      </c>
      <c r="G937" s="62" t="s">
        <v>234</v>
      </c>
      <c r="H937" s="62" t="s">
        <v>14</v>
      </c>
      <c r="I937" s="62" t="s">
        <v>210</v>
      </c>
      <c r="J937" s="63" t="s">
        <v>235</v>
      </c>
      <c r="K937" s="62" t="s">
        <v>317</v>
      </c>
      <c r="L937" s="64">
        <v>5</v>
      </c>
      <c r="M937" s="64">
        <f t="shared" si="306"/>
        <v>3</v>
      </c>
      <c r="N937" s="65">
        <f>prodnorm22</f>
        <v>0</v>
      </c>
      <c r="O937" s="66">
        <f>dagwerk22</f>
        <v>0</v>
      </c>
      <c r="P937" s="62" t="s">
        <v>40</v>
      </c>
      <c r="Q937" s="67">
        <f>uurtarief22</f>
        <v>0</v>
      </c>
      <c r="R937" s="64" t="e">
        <f t="shared" si="307"/>
        <v>#DIV/0!</v>
      </c>
      <c r="S937" s="64" t="e">
        <f t="shared" si="308"/>
        <v>#DIV/0!</v>
      </c>
      <c r="T937" s="67" t="e">
        <f t="shared" si="309"/>
        <v>#DIV/0!</v>
      </c>
      <c r="U937" s="64" t="e">
        <f t="shared" si="310"/>
        <v>#DIV/0!</v>
      </c>
      <c r="V937" s="69" t="e">
        <f t="shared" si="311"/>
        <v>#DIV/0!</v>
      </c>
    </row>
    <row r="938" spans="1:22" x14ac:dyDescent="0.3">
      <c r="A938" s="61" t="s">
        <v>1257</v>
      </c>
      <c r="B938" s="62" t="s">
        <v>317</v>
      </c>
      <c r="C938" s="62" t="s">
        <v>629</v>
      </c>
      <c r="D938" s="62" t="s">
        <v>1378</v>
      </c>
      <c r="E938" s="63" t="s">
        <v>1379</v>
      </c>
      <c r="F938" s="62" t="s">
        <v>353</v>
      </c>
      <c r="G938" s="62" t="s">
        <v>234</v>
      </c>
      <c r="H938" s="62" t="s">
        <v>14</v>
      </c>
      <c r="I938" s="62" t="s">
        <v>210</v>
      </c>
      <c r="J938" s="63" t="s">
        <v>235</v>
      </c>
      <c r="K938" s="62" t="s">
        <v>317</v>
      </c>
      <c r="L938" s="64">
        <v>4</v>
      </c>
      <c r="M938" s="64">
        <f t="shared" si="306"/>
        <v>2.4</v>
      </c>
      <c r="N938" s="65">
        <f>prodnorm22</f>
        <v>0</v>
      </c>
      <c r="O938" s="66">
        <f>dagwerk22</f>
        <v>0</v>
      </c>
      <c r="P938" s="62" t="s">
        <v>40</v>
      </c>
      <c r="Q938" s="67">
        <f>uurtarief22</f>
        <v>0</v>
      </c>
      <c r="R938" s="64" t="e">
        <f t="shared" si="307"/>
        <v>#DIV/0!</v>
      </c>
      <c r="S938" s="64" t="e">
        <f t="shared" si="308"/>
        <v>#DIV/0!</v>
      </c>
      <c r="T938" s="67" t="e">
        <f t="shared" si="309"/>
        <v>#DIV/0!</v>
      </c>
      <c r="U938" s="64" t="e">
        <f t="shared" si="310"/>
        <v>#DIV/0!</v>
      </c>
      <c r="V938" s="69" t="e">
        <f t="shared" si="311"/>
        <v>#DIV/0!</v>
      </c>
    </row>
    <row r="939" spans="1:22" x14ac:dyDescent="0.3">
      <c r="A939" s="61" t="s">
        <v>1257</v>
      </c>
      <c r="B939" s="62" t="s">
        <v>317</v>
      </c>
      <c r="C939" s="62" t="s">
        <v>629</v>
      </c>
      <c r="D939" s="62" t="s">
        <v>1380</v>
      </c>
      <c r="E939" s="63" t="s">
        <v>1381</v>
      </c>
      <c r="F939" s="62" t="s">
        <v>365</v>
      </c>
      <c r="G939" s="62" t="s">
        <v>234</v>
      </c>
      <c r="H939" s="62" t="s">
        <v>14</v>
      </c>
      <c r="I939" s="62" t="s">
        <v>210</v>
      </c>
      <c r="J939" s="63" t="s">
        <v>235</v>
      </c>
      <c r="K939" s="62" t="s">
        <v>317</v>
      </c>
      <c r="L939" s="64">
        <v>9</v>
      </c>
      <c r="M939" s="64">
        <f t="shared" si="306"/>
        <v>5.3999999999999995</v>
      </c>
      <c r="N939" s="65">
        <f>prodnorm22</f>
        <v>0</v>
      </c>
      <c r="O939" s="66">
        <f>dagwerk22</f>
        <v>0</v>
      </c>
      <c r="P939" s="62" t="s">
        <v>40</v>
      </c>
      <c r="Q939" s="67">
        <f>uurtarief22</f>
        <v>0</v>
      </c>
      <c r="R939" s="64" t="e">
        <f t="shared" si="307"/>
        <v>#DIV/0!</v>
      </c>
      <c r="S939" s="64" t="e">
        <f t="shared" si="308"/>
        <v>#DIV/0!</v>
      </c>
      <c r="T939" s="67" t="e">
        <f t="shared" si="309"/>
        <v>#DIV/0!</v>
      </c>
      <c r="U939" s="64" t="e">
        <f t="shared" si="310"/>
        <v>#DIV/0!</v>
      </c>
      <c r="V939" s="69" t="e">
        <f t="shared" si="311"/>
        <v>#DIV/0!</v>
      </c>
    </row>
    <row r="940" spans="1:22" x14ac:dyDescent="0.3">
      <c r="A940" s="61" t="s">
        <v>1257</v>
      </c>
      <c r="B940" s="62" t="s">
        <v>317</v>
      </c>
      <c r="C940" s="62" t="s">
        <v>629</v>
      </c>
      <c r="D940" s="62" t="s">
        <v>1382</v>
      </c>
      <c r="E940" s="63" t="s">
        <v>1381</v>
      </c>
      <c r="F940" s="62" t="s">
        <v>365</v>
      </c>
      <c r="G940" s="62" t="s">
        <v>252</v>
      </c>
      <c r="H940" s="62" t="s">
        <v>11</v>
      </c>
      <c r="I940" s="62" t="s">
        <v>210</v>
      </c>
      <c r="J940" s="63" t="s">
        <v>253</v>
      </c>
      <c r="K940" s="62" t="s">
        <v>317</v>
      </c>
      <c r="L940" s="64">
        <v>7</v>
      </c>
      <c r="M940" s="64">
        <f t="shared" si="306"/>
        <v>7</v>
      </c>
      <c r="N940" s="65">
        <f>prodnorm32</f>
        <v>0</v>
      </c>
      <c r="O940" s="66">
        <f>dagwerk32</f>
        <v>0</v>
      </c>
      <c r="P940" s="62" t="s">
        <v>40</v>
      </c>
      <c r="Q940" s="67">
        <f>uurtarief32</f>
        <v>0</v>
      </c>
      <c r="R940" s="64" t="e">
        <f t="shared" si="307"/>
        <v>#DIV/0!</v>
      </c>
      <c r="S940" s="64" t="e">
        <f t="shared" si="308"/>
        <v>#DIV/0!</v>
      </c>
      <c r="T940" s="67" t="e">
        <f t="shared" si="309"/>
        <v>#DIV/0!</v>
      </c>
      <c r="U940" s="64" t="e">
        <f t="shared" si="310"/>
        <v>#DIV/0!</v>
      </c>
      <c r="V940" s="69" t="e">
        <f t="shared" si="311"/>
        <v>#DIV/0!</v>
      </c>
    </row>
    <row r="941" spans="1:22" x14ac:dyDescent="0.3">
      <c r="A941" s="61" t="s">
        <v>1257</v>
      </c>
      <c r="B941" s="62" t="s">
        <v>317</v>
      </c>
      <c r="C941" s="62" t="s">
        <v>629</v>
      </c>
      <c r="D941" s="62" t="s">
        <v>1383</v>
      </c>
      <c r="E941" s="63" t="s">
        <v>1381</v>
      </c>
      <c r="F941" s="62" t="s">
        <v>365</v>
      </c>
      <c r="G941" s="62" t="s">
        <v>252</v>
      </c>
      <c r="H941" s="62" t="s">
        <v>11</v>
      </c>
      <c r="I941" s="62" t="s">
        <v>210</v>
      </c>
      <c r="J941" s="63" t="s">
        <v>253</v>
      </c>
      <c r="K941" s="62" t="s">
        <v>317</v>
      </c>
      <c r="L941" s="64">
        <v>8</v>
      </c>
      <c r="M941" s="64">
        <f t="shared" si="306"/>
        <v>8</v>
      </c>
      <c r="N941" s="65">
        <f>prodnorm32</f>
        <v>0</v>
      </c>
      <c r="O941" s="66">
        <f>dagwerk32</f>
        <v>0</v>
      </c>
      <c r="P941" s="62" t="s">
        <v>40</v>
      </c>
      <c r="Q941" s="67">
        <f>uurtarief32</f>
        <v>0</v>
      </c>
      <c r="R941" s="64" t="e">
        <f t="shared" si="307"/>
        <v>#DIV/0!</v>
      </c>
      <c r="S941" s="64" t="e">
        <f t="shared" si="308"/>
        <v>#DIV/0!</v>
      </c>
      <c r="T941" s="67" t="e">
        <f t="shared" si="309"/>
        <v>#DIV/0!</v>
      </c>
      <c r="U941" s="64" t="e">
        <f t="shared" si="310"/>
        <v>#DIV/0!</v>
      </c>
      <c r="V941" s="69" t="e">
        <f t="shared" si="311"/>
        <v>#DIV/0!</v>
      </c>
    </row>
    <row r="942" spans="1:22" x14ac:dyDescent="0.3">
      <c r="A942" s="61" t="s">
        <v>1257</v>
      </c>
      <c r="B942" s="62" t="s">
        <v>317</v>
      </c>
      <c r="C942" s="62" t="s">
        <v>629</v>
      </c>
      <c r="D942" s="62" t="s">
        <v>1384</v>
      </c>
      <c r="E942" s="63" t="s">
        <v>578</v>
      </c>
      <c r="F942" s="62" t="s">
        <v>353</v>
      </c>
      <c r="G942" s="62" t="s">
        <v>266</v>
      </c>
      <c r="H942" s="62" t="s">
        <v>11</v>
      </c>
      <c r="I942" s="62" t="s">
        <v>210</v>
      </c>
      <c r="J942" s="63" t="s">
        <v>267</v>
      </c>
      <c r="K942" s="62" t="s">
        <v>317</v>
      </c>
      <c r="L942" s="64">
        <v>2</v>
      </c>
      <c r="M942" s="64">
        <f t="shared" si="306"/>
        <v>2</v>
      </c>
      <c r="N942" s="65">
        <f>prodnorm39</f>
        <v>0</v>
      </c>
      <c r="O942" s="66">
        <f>dagwerk39</f>
        <v>0</v>
      </c>
      <c r="P942" s="62" t="s">
        <v>40</v>
      </c>
      <c r="Q942" s="67">
        <f>uurtarief39</f>
        <v>0</v>
      </c>
      <c r="R942" s="64" t="e">
        <f t="shared" si="307"/>
        <v>#DIV/0!</v>
      </c>
      <c r="S942" s="64" t="e">
        <f t="shared" si="308"/>
        <v>#DIV/0!</v>
      </c>
      <c r="T942" s="67" t="e">
        <f t="shared" si="309"/>
        <v>#DIV/0!</v>
      </c>
      <c r="U942" s="64" t="e">
        <f t="shared" si="310"/>
        <v>#DIV/0!</v>
      </c>
      <c r="V942" s="69" t="e">
        <f t="shared" si="311"/>
        <v>#DIV/0!</v>
      </c>
    </row>
    <row r="943" spans="1:22" x14ac:dyDescent="0.3">
      <c r="A943" s="61" t="s">
        <v>1257</v>
      </c>
      <c r="B943" s="62" t="s">
        <v>317</v>
      </c>
      <c r="C943" s="62" t="s">
        <v>629</v>
      </c>
      <c r="D943" s="62" t="s">
        <v>1385</v>
      </c>
      <c r="E943" s="63" t="s">
        <v>453</v>
      </c>
      <c r="F943" s="62" t="s">
        <v>353</v>
      </c>
      <c r="G943" s="62" t="s">
        <v>262</v>
      </c>
      <c r="H943" s="62" t="s">
        <v>11</v>
      </c>
      <c r="I943" s="62" t="s">
        <v>210</v>
      </c>
      <c r="J943" s="63" t="s">
        <v>263</v>
      </c>
      <c r="K943" s="62" t="s">
        <v>317</v>
      </c>
      <c r="L943" s="64">
        <v>3</v>
      </c>
      <c r="M943" s="64">
        <f t="shared" si="306"/>
        <v>3</v>
      </c>
      <c r="N943" s="65">
        <f>prodnorm37</f>
        <v>0</v>
      </c>
      <c r="O943" s="66">
        <f>dagwerk37</f>
        <v>0</v>
      </c>
      <c r="P943" s="62" t="s">
        <v>40</v>
      </c>
      <c r="Q943" s="67">
        <f>uurtarief37</f>
        <v>0</v>
      </c>
      <c r="R943" s="64" t="e">
        <f t="shared" si="307"/>
        <v>#DIV/0!</v>
      </c>
      <c r="S943" s="64" t="e">
        <f t="shared" si="308"/>
        <v>#DIV/0!</v>
      </c>
      <c r="T943" s="67" t="e">
        <f t="shared" si="309"/>
        <v>#DIV/0!</v>
      </c>
      <c r="U943" s="64" t="e">
        <f t="shared" si="310"/>
        <v>#DIV/0!</v>
      </c>
      <c r="V943" s="69" t="e">
        <f t="shared" si="311"/>
        <v>#DIV/0!</v>
      </c>
    </row>
    <row r="944" spans="1:22" ht="28.8" x14ac:dyDescent="0.3">
      <c r="A944" s="61" t="s">
        <v>1257</v>
      </c>
      <c r="B944" s="62" t="s">
        <v>317</v>
      </c>
      <c r="C944" s="62" t="s">
        <v>629</v>
      </c>
      <c r="D944" s="62" t="s">
        <v>1386</v>
      </c>
      <c r="E944" s="63" t="s">
        <v>1387</v>
      </c>
      <c r="F944" s="62" t="s">
        <v>365</v>
      </c>
      <c r="G944" s="62" t="s">
        <v>254</v>
      </c>
      <c r="H944" s="62" t="s">
        <v>11</v>
      </c>
      <c r="I944" s="62" t="s">
        <v>210</v>
      </c>
      <c r="J944" s="63" t="s">
        <v>255</v>
      </c>
      <c r="K944" s="62" t="s">
        <v>317</v>
      </c>
      <c r="L944" s="64">
        <v>98</v>
      </c>
      <c r="M944" s="64">
        <f t="shared" si="306"/>
        <v>98</v>
      </c>
      <c r="N944" s="65">
        <f>prodnorm33</f>
        <v>0</v>
      </c>
      <c r="O944" s="66">
        <f>dagwerk33</f>
        <v>0</v>
      </c>
      <c r="P944" s="62" t="s">
        <v>40</v>
      </c>
      <c r="Q944" s="67">
        <f>uurtarief33</f>
        <v>0</v>
      </c>
      <c r="R944" s="64" t="e">
        <f t="shared" si="307"/>
        <v>#DIV/0!</v>
      </c>
      <c r="S944" s="64" t="e">
        <f t="shared" si="308"/>
        <v>#DIV/0!</v>
      </c>
      <c r="T944" s="67" t="e">
        <f t="shared" si="309"/>
        <v>#DIV/0!</v>
      </c>
      <c r="U944" s="64" t="e">
        <f t="shared" si="310"/>
        <v>#DIV/0!</v>
      </c>
      <c r="V944" s="69" t="e">
        <f t="shared" si="311"/>
        <v>#DIV/0!</v>
      </c>
    </row>
    <row r="945" spans="1:22" ht="28.8" x14ac:dyDescent="0.3">
      <c r="A945" s="61" t="s">
        <v>1257</v>
      </c>
      <c r="B945" s="62" t="s">
        <v>317</v>
      </c>
      <c r="C945" s="62" t="s">
        <v>629</v>
      </c>
      <c r="D945" s="62" t="s">
        <v>1388</v>
      </c>
      <c r="E945" s="63" t="s">
        <v>1389</v>
      </c>
      <c r="F945" s="62" t="s">
        <v>365</v>
      </c>
      <c r="G945" s="62" t="s">
        <v>254</v>
      </c>
      <c r="H945" s="62" t="s">
        <v>11</v>
      </c>
      <c r="I945" s="62" t="s">
        <v>210</v>
      </c>
      <c r="J945" s="63" t="s">
        <v>255</v>
      </c>
      <c r="K945" s="62" t="s">
        <v>317</v>
      </c>
      <c r="L945" s="64">
        <v>3</v>
      </c>
      <c r="M945" s="64">
        <f t="shared" si="306"/>
        <v>3</v>
      </c>
      <c r="N945" s="65">
        <f>prodnorm33</f>
        <v>0</v>
      </c>
      <c r="O945" s="66">
        <f>dagwerk33</f>
        <v>0</v>
      </c>
      <c r="P945" s="62" t="s">
        <v>40</v>
      </c>
      <c r="Q945" s="67">
        <f>uurtarief33</f>
        <v>0</v>
      </c>
      <c r="R945" s="64" t="e">
        <f t="shared" si="307"/>
        <v>#DIV/0!</v>
      </c>
      <c r="S945" s="64" t="e">
        <f t="shared" si="308"/>
        <v>#DIV/0!</v>
      </c>
      <c r="T945" s="67" t="e">
        <f t="shared" si="309"/>
        <v>#DIV/0!</v>
      </c>
      <c r="U945" s="64" t="e">
        <f t="shared" si="310"/>
        <v>#DIV/0!</v>
      </c>
      <c r="V945" s="69" t="e">
        <f t="shared" si="311"/>
        <v>#DIV/0!</v>
      </c>
    </row>
    <row r="946" spans="1:22" ht="28.8" x14ac:dyDescent="0.3">
      <c r="A946" s="61" t="s">
        <v>1257</v>
      </c>
      <c r="B946" s="62" t="s">
        <v>317</v>
      </c>
      <c r="C946" s="62" t="s">
        <v>629</v>
      </c>
      <c r="D946" s="62" t="s">
        <v>1390</v>
      </c>
      <c r="E946" s="63" t="s">
        <v>1387</v>
      </c>
      <c r="F946" s="62" t="s">
        <v>365</v>
      </c>
      <c r="G946" s="62" t="s">
        <v>254</v>
      </c>
      <c r="H946" s="62" t="s">
        <v>11</v>
      </c>
      <c r="I946" s="62" t="s">
        <v>210</v>
      </c>
      <c r="J946" s="63" t="s">
        <v>255</v>
      </c>
      <c r="K946" s="62" t="s">
        <v>317</v>
      </c>
      <c r="L946" s="64">
        <v>64</v>
      </c>
      <c r="M946" s="64">
        <f t="shared" si="306"/>
        <v>64</v>
      </c>
      <c r="N946" s="65">
        <f>prodnorm33</f>
        <v>0</v>
      </c>
      <c r="O946" s="66">
        <f>dagwerk33</f>
        <v>0</v>
      </c>
      <c r="P946" s="62" t="s">
        <v>40</v>
      </c>
      <c r="Q946" s="67">
        <f>uurtarief33</f>
        <v>0</v>
      </c>
      <c r="R946" s="64" t="e">
        <f t="shared" si="307"/>
        <v>#DIV/0!</v>
      </c>
      <c r="S946" s="64" t="e">
        <f t="shared" si="308"/>
        <v>#DIV/0!</v>
      </c>
      <c r="T946" s="67" t="e">
        <f t="shared" si="309"/>
        <v>#DIV/0!</v>
      </c>
      <c r="U946" s="64" t="e">
        <f t="shared" si="310"/>
        <v>#DIV/0!</v>
      </c>
      <c r="V946" s="69" t="e">
        <f t="shared" si="311"/>
        <v>#DIV/0!</v>
      </c>
    </row>
    <row r="947" spans="1:22" ht="28.8" x14ac:dyDescent="0.3">
      <c r="A947" s="61" t="s">
        <v>1257</v>
      </c>
      <c r="B947" s="62" t="s">
        <v>317</v>
      </c>
      <c r="C947" s="62" t="s">
        <v>629</v>
      </c>
      <c r="D947" s="62" t="s">
        <v>1391</v>
      </c>
      <c r="E947" s="63" t="s">
        <v>1392</v>
      </c>
      <c r="F947" s="62" t="s">
        <v>353</v>
      </c>
      <c r="G947" s="62" t="s">
        <v>264</v>
      </c>
      <c r="H947" s="62" t="s">
        <v>11</v>
      </c>
      <c r="I947" s="62" t="s">
        <v>210</v>
      </c>
      <c r="J947" s="63" t="s">
        <v>265</v>
      </c>
      <c r="K947" s="62" t="s">
        <v>317</v>
      </c>
      <c r="L947" s="64">
        <v>5</v>
      </c>
      <c r="M947" s="64">
        <f t="shared" si="306"/>
        <v>5</v>
      </c>
      <c r="N947" s="65">
        <f>prodnorm38</f>
        <v>0</v>
      </c>
      <c r="O947" s="66">
        <f>dagwerk38</f>
        <v>0</v>
      </c>
      <c r="P947" s="62" t="s">
        <v>40</v>
      </c>
      <c r="Q947" s="67">
        <f>uurtarief38</f>
        <v>0</v>
      </c>
      <c r="R947" s="64" t="e">
        <f t="shared" si="307"/>
        <v>#DIV/0!</v>
      </c>
      <c r="S947" s="64" t="e">
        <f t="shared" si="308"/>
        <v>#DIV/0!</v>
      </c>
      <c r="T947" s="67" t="e">
        <f t="shared" si="309"/>
        <v>#DIV/0!</v>
      </c>
      <c r="U947" s="64" t="e">
        <f t="shared" si="310"/>
        <v>#DIV/0!</v>
      </c>
      <c r="V947" s="69" t="e">
        <f t="shared" si="311"/>
        <v>#DIV/0!</v>
      </c>
    </row>
    <row r="948" spans="1:22" ht="28.8" x14ac:dyDescent="0.3">
      <c r="A948" s="61" t="s">
        <v>1257</v>
      </c>
      <c r="B948" s="62" t="s">
        <v>317</v>
      </c>
      <c r="C948" s="62" t="s">
        <v>629</v>
      </c>
      <c r="D948" s="62" t="s">
        <v>1393</v>
      </c>
      <c r="E948" s="63" t="s">
        <v>1392</v>
      </c>
      <c r="F948" s="62" t="s">
        <v>365</v>
      </c>
      <c r="G948" s="62" t="s">
        <v>264</v>
      </c>
      <c r="H948" s="62" t="s">
        <v>11</v>
      </c>
      <c r="I948" s="62" t="s">
        <v>210</v>
      </c>
      <c r="J948" s="63" t="s">
        <v>265</v>
      </c>
      <c r="K948" s="62" t="s">
        <v>317</v>
      </c>
      <c r="L948" s="64">
        <v>16</v>
      </c>
      <c r="M948" s="64">
        <f t="shared" si="306"/>
        <v>16</v>
      </c>
      <c r="N948" s="65">
        <f>prodnorm38</f>
        <v>0</v>
      </c>
      <c r="O948" s="66">
        <f>dagwerk38</f>
        <v>0</v>
      </c>
      <c r="P948" s="62" t="s">
        <v>40</v>
      </c>
      <c r="Q948" s="67">
        <f>uurtarief38</f>
        <v>0</v>
      </c>
      <c r="R948" s="64" t="e">
        <f t="shared" si="307"/>
        <v>#DIV/0!</v>
      </c>
      <c r="S948" s="64" t="e">
        <f t="shared" si="308"/>
        <v>#DIV/0!</v>
      </c>
      <c r="T948" s="67" t="e">
        <f t="shared" si="309"/>
        <v>#DIV/0!</v>
      </c>
      <c r="U948" s="64" t="e">
        <f t="shared" si="310"/>
        <v>#DIV/0!</v>
      </c>
      <c r="V948" s="69" t="e">
        <f t="shared" si="311"/>
        <v>#DIV/0!</v>
      </c>
    </row>
    <row r="949" spans="1:22" x14ac:dyDescent="0.3">
      <c r="A949" s="61" t="s">
        <v>1257</v>
      </c>
      <c r="B949" s="62" t="s">
        <v>317</v>
      </c>
      <c r="C949" s="62" t="s">
        <v>629</v>
      </c>
      <c r="D949" s="62" t="s">
        <v>1394</v>
      </c>
      <c r="E949" s="63" t="s">
        <v>374</v>
      </c>
      <c r="F949" s="62" t="s">
        <v>365</v>
      </c>
      <c r="G949" s="62" t="s">
        <v>323</v>
      </c>
      <c r="H949" s="62"/>
      <c r="I949" s="62"/>
      <c r="J949" s="62"/>
      <c r="K949" s="62" t="s">
        <v>317</v>
      </c>
      <c r="L949" s="64">
        <v>1</v>
      </c>
      <c r="M949" s="64"/>
      <c r="N949" s="65"/>
      <c r="O949" s="66"/>
      <c r="P949" s="62"/>
      <c r="Q949" s="67"/>
      <c r="R949" s="64"/>
      <c r="S949" s="64"/>
      <c r="T949" s="67"/>
      <c r="U949" s="68"/>
      <c r="V949" s="69"/>
    </row>
    <row r="950" spans="1:22" ht="28.8" x14ac:dyDescent="0.3">
      <c r="A950" s="61" t="s">
        <v>1257</v>
      </c>
      <c r="B950" s="62" t="s">
        <v>317</v>
      </c>
      <c r="C950" s="62" t="s">
        <v>629</v>
      </c>
      <c r="D950" s="62" t="s">
        <v>1395</v>
      </c>
      <c r="E950" s="63" t="s">
        <v>1396</v>
      </c>
      <c r="F950" s="62" t="s">
        <v>365</v>
      </c>
      <c r="G950" s="62" t="s">
        <v>224</v>
      </c>
      <c r="H950" s="62" t="s">
        <v>14</v>
      </c>
      <c r="I950" s="62" t="s">
        <v>210</v>
      </c>
      <c r="J950" s="63" t="s">
        <v>225</v>
      </c>
      <c r="K950" s="62" t="s">
        <v>317</v>
      </c>
      <c r="L950" s="64">
        <v>50</v>
      </c>
      <c r="M950" s="64">
        <f>L950*VLOOKUP(H950,dagsoorttabel1,2,FALSE)</f>
        <v>30</v>
      </c>
      <c r="N950" s="65">
        <f>prodnorm17</f>
        <v>0</v>
      </c>
      <c r="O950" s="66">
        <f>dagwerk17</f>
        <v>0</v>
      </c>
      <c r="P950" s="62" t="s">
        <v>40</v>
      </c>
      <c r="Q950" s="67">
        <f>uurtarief17</f>
        <v>0</v>
      </c>
      <c r="R950" s="64" t="e">
        <f>IF(ISBLANK(N950),0,M950/ROUND(N950,4))</f>
        <v>#DIV/0!</v>
      </c>
      <c r="S950" s="64" t="e">
        <f>IF(ISBLANK(N950),0,R950*ROUND(O950,2))</f>
        <v>#DIV/0!</v>
      </c>
      <c r="T950" s="67" t="e">
        <f>ROUND(Q950,2)*R950</f>
        <v>#DIV/0!</v>
      </c>
      <c r="U950" s="64" t="e">
        <f>R950*dagenperjaar1</f>
        <v>#DIV/0!</v>
      </c>
      <c r="V950" s="69" t="e">
        <f>U950*ROUND(Q950,2)</f>
        <v>#DIV/0!</v>
      </c>
    </row>
    <row r="951" spans="1:22" x14ac:dyDescent="0.3">
      <c r="A951" s="61" t="s">
        <v>1257</v>
      </c>
      <c r="B951" s="62" t="s">
        <v>317</v>
      </c>
      <c r="C951" s="62" t="s">
        <v>629</v>
      </c>
      <c r="D951" s="62" t="s">
        <v>1397</v>
      </c>
      <c r="E951" s="63" t="s">
        <v>1398</v>
      </c>
      <c r="F951" s="62" t="s">
        <v>331</v>
      </c>
      <c r="G951" s="62" t="s">
        <v>323</v>
      </c>
      <c r="H951" s="62"/>
      <c r="I951" s="62"/>
      <c r="J951" s="62"/>
      <c r="K951" s="62" t="s">
        <v>317</v>
      </c>
      <c r="L951" s="64">
        <v>30</v>
      </c>
      <c r="M951" s="64"/>
      <c r="N951" s="65"/>
      <c r="O951" s="66"/>
      <c r="P951" s="62"/>
      <c r="Q951" s="67"/>
      <c r="R951" s="64"/>
      <c r="S951" s="64"/>
      <c r="T951" s="67"/>
      <c r="U951" s="68"/>
      <c r="V951" s="69"/>
    </row>
    <row r="952" spans="1:22" x14ac:dyDescent="0.3">
      <c r="A952" s="61" t="s">
        <v>1257</v>
      </c>
      <c r="B952" s="62" t="s">
        <v>317</v>
      </c>
      <c r="C952" s="62" t="s">
        <v>629</v>
      </c>
      <c r="D952" s="62" t="s">
        <v>1399</v>
      </c>
      <c r="E952" s="63" t="s">
        <v>1273</v>
      </c>
      <c r="F952" s="62" t="s">
        <v>353</v>
      </c>
      <c r="G952" s="62" t="s">
        <v>266</v>
      </c>
      <c r="H952" s="62" t="s">
        <v>11</v>
      </c>
      <c r="I952" s="62" t="s">
        <v>210</v>
      </c>
      <c r="J952" s="63" t="s">
        <v>267</v>
      </c>
      <c r="K952" s="62" t="s">
        <v>317</v>
      </c>
      <c r="L952" s="64">
        <v>2</v>
      </c>
      <c r="M952" s="64">
        <f>L952*VLOOKUP(H952,dagsoorttabel1,2,FALSE)</f>
        <v>2</v>
      </c>
      <c r="N952" s="65">
        <f>prodnorm39</f>
        <v>0</v>
      </c>
      <c r="O952" s="66">
        <f>dagwerk39</f>
        <v>0</v>
      </c>
      <c r="P952" s="62" t="s">
        <v>40</v>
      </c>
      <c r="Q952" s="67">
        <f>uurtarief39</f>
        <v>0</v>
      </c>
      <c r="R952" s="64" t="e">
        <f>IF(ISBLANK(N952),0,M952/ROUND(N952,4))</f>
        <v>#DIV/0!</v>
      </c>
      <c r="S952" s="64" t="e">
        <f>IF(ISBLANK(N952),0,R952*ROUND(O952,2))</f>
        <v>#DIV/0!</v>
      </c>
      <c r="T952" s="67" t="e">
        <f>ROUND(Q952,2)*R952</f>
        <v>#DIV/0!</v>
      </c>
      <c r="U952" s="64" t="e">
        <f>R952*dagenperjaar1</f>
        <v>#DIV/0!</v>
      </c>
      <c r="V952" s="69" t="e">
        <f>U952*ROUND(Q952,2)</f>
        <v>#DIV/0!</v>
      </c>
    </row>
    <row r="953" spans="1:22" x14ac:dyDescent="0.3">
      <c r="A953" s="61" t="s">
        <v>1257</v>
      </c>
      <c r="B953" s="62" t="s">
        <v>317</v>
      </c>
      <c r="C953" s="62" t="s">
        <v>629</v>
      </c>
      <c r="D953" s="62" t="s">
        <v>1400</v>
      </c>
      <c r="E953" s="63" t="s">
        <v>1275</v>
      </c>
      <c r="F953" s="62" t="s">
        <v>353</v>
      </c>
      <c r="G953" s="62" t="s">
        <v>266</v>
      </c>
      <c r="H953" s="62" t="s">
        <v>11</v>
      </c>
      <c r="I953" s="62" t="s">
        <v>210</v>
      </c>
      <c r="J953" s="63" t="s">
        <v>267</v>
      </c>
      <c r="K953" s="62" t="s">
        <v>317</v>
      </c>
      <c r="L953" s="64">
        <v>2</v>
      </c>
      <c r="M953" s="64">
        <f>L953*VLOOKUP(H953,dagsoorttabel1,2,FALSE)</f>
        <v>2</v>
      </c>
      <c r="N953" s="65">
        <f>prodnorm39</f>
        <v>0</v>
      </c>
      <c r="O953" s="66">
        <f>dagwerk39</f>
        <v>0</v>
      </c>
      <c r="P953" s="62" t="s">
        <v>40</v>
      </c>
      <c r="Q953" s="67">
        <f>uurtarief39</f>
        <v>0</v>
      </c>
      <c r="R953" s="64" t="e">
        <f>IF(ISBLANK(N953),0,M953/ROUND(N953,4))</f>
        <v>#DIV/0!</v>
      </c>
      <c r="S953" s="64" t="e">
        <f>IF(ISBLANK(N953),0,R953*ROUND(O953,2))</f>
        <v>#DIV/0!</v>
      </c>
      <c r="T953" s="67" t="e">
        <f>ROUND(Q953,2)*R953</f>
        <v>#DIV/0!</v>
      </c>
      <c r="U953" s="64" t="e">
        <f>R953*dagenperjaar1</f>
        <v>#DIV/0!</v>
      </c>
      <c r="V953" s="69" t="e">
        <f>U953*ROUND(Q953,2)</f>
        <v>#DIV/0!</v>
      </c>
    </row>
    <row r="954" spans="1:22" x14ac:dyDescent="0.3">
      <c r="A954" s="61" t="s">
        <v>1257</v>
      </c>
      <c r="B954" s="62" t="s">
        <v>317</v>
      </c>
      <c r="C954" s="62" t="s">
        <v>629</v>
      </c>
      <c r="D954" s="62" t="s">
        <v>1401</v>
      </c>
      <c r="E954" s="63" t="s">
        <v>1273</v>
      </c>
      <c r="F954" s="62" t="s">
        <v>353</v>
      </c>
      <c r="G954" s="62" t="s">
        <v>266</v>
      </c>
      <c r="H954" s="62" t="s">
        <v>11</v>
      </c>
      <c r="I954" s="62" t="s">
        <v>210</v>
      </c>
      <c r="J954" s="63" t="s">
        <v>267</v>
      </c>
      <c r="K954" s="62" t="s">
        <v>317</v>
      </c>
      <c r="L954" s="64">
        <v>7</v>
      </c>
      <c r="M954" s="64">
        <f>L954*VLOOKUP(H954,dagsoorttabel1,2,FALSE)</f>
        <v>7</v>
      </c>
      <c r="N954" s="65">
        <f>prodnorm39</f>
        <v>0</v>
      </c>
      <c r="O954" s="66">
        <f>dagwerk39</f>
        <v>0</v>
      </c>
      <c r="P954" s="62" t="s">
        <v>40</v>
      </c>
      <c r="Q954" s="67">
        <f>uurtarief39</f>
        <v>0</v>
      </c>
      <c r="R954" s="64" t="e">
        <f>IF(ISBLANK(N954),0,M954/ROUND(N954,4))</f>
        <v>#DIV/0!</v>
      </c>
      <c r="S954" s="64" t="e">
        <f>IF(ISBLANK(N954),0,R954*ROUND(O954,2))</f>
        <v>#DIV/0!</v>
      </c>
      <c r="T954" s="67" t="e">
        <f>ROUND(Q954,2)*R954</f>
        <v>#DIV/0!</v>
      </c>
      <c r="U954" s="64" t="e">
        <f>R954*dagenperjaar1</f>
        <v>#DIV/0!</v>
      </c>
      <c r="V954" s="69" t="e">
        <f>U954*ROUND(Q954,2)</f>
        <v>#DIV/0!</v>
      </c>
    </row>
    <row r="955" spans="1:22" x14ac:dyDescent="0.3">
      <c r="A955" s="61" t="s">
        <v>1257</v>
      </c>
      <c r="B955" s="62" t="s">
        <v>317</v>
      </c>
      <c r="C955" s="62" t="s">
        <v>629</v>
      </c>
      <c r="D955" s="62" t="s">
        <v>1402</v>
      </c>
      <c r="E955" s="63" t="s">
        <v>1275</v>
      </c>
      <c r="F955" s="62" t="s">
        <v>353</v>
      </c>
      <c r="G955" s="62" t="s">
        <v>266</v>
      </c>
      <c r="H955" s="62" t="s">
        <v>11</v>
      </c>
      <c r="I955" s="62" t="s">
        <v>210</v>
      </c>
      <c r="J955" s="63" t="s">
        <v>267</v>
      </c>
      <c r="K955" s="62" t="s">
        <v>317</v>
      </c>
      <c r="L955" s="64">
        <v>7</v>
      </c>
      <c r="M955" s="64">
        <f>L955*VLOOKUP(H955,dagsoorttabel1,2,FALSE)</f>
        <v>7</v>
      </c>
      <c r="N955" s="65">
        <f>prodnorm39</f>
        <v>0</v>
      </c>
      <c r="O955" s="66">
        <f>dagwerk39</f>
        <v>0</v>
      </c>
      <c r="P955" s="62" t="s">
        <v>40</v>
      </c>
      <c r="Q955" s="67">
        <f>uurtarief39</f>
        <v>0</v>
      </c>
      <c r="R955" s="64" t="e">
        <f>IF(ISBLANK(N955),0,M955/ROUND(N955,4))</f>
        <v>#DIV/0!</v>
      </c>
      <c r="S955" s="64" t="e">
        <f>IF(ISBLANK(N955),0,R955*ROUND(O955,2))</f>
        <v>#DIV/0!</v>
      </c>
      <c r="T955" s="67" t="e">
        <f>ROUND(Q955,2)*R955</f>
        <v>#DIV/0!</v>
      </c>
      <c r="U955" s="64" t="e">
        <f>R955*dagenperjaar1</f>
        <v>#DIV/0!</v>
      </c>
      <c r="V955" s="69" t="e">
        <f>U955*ROUND(Q955,2)</f>
        <v>#DIV/0!</v>
      </c>
    </row>
    <row r="956" spans="1:22" x14ac:dyDescent="0.3">
      <c r="A956" s="61" t="s">
        <v>1257</v>
      </c>
      <c r="B956" s="62" t="s">
        <v>317</v>
      </c>
      <c r="C956" s="62" t="s">
        <v>629</v>
      </c>
      <c r="D956" s="62" t="s">
        <v>1403</v>
      </c>
      <c r="E956" s="63" t="s">
        <v>1404</v>
      </c>
      <c r="F956" s="62" t="s">
        <v>365</v>
      </c>
      <c r="G956" s="62" t="s">
        <v>224</v>
      </c>
      <c r="H956" s="62" t="s">
        <v>14</v>
      </c>
      <c r="I956" s="62" t="s">
        <v>210</v>
      </c>
      <c r="J956" s="63" t="s">
        <v>225</v>
      </c>
      <c r="K956" s="62" t="s">
        <v>317</v>
      </c>
      <c r="L956" s="64">
        <v>100</v>
      </c>
      <c r="M956" s="64">
        <f>L956*VLOOKUP(H956,dagsoorttabel1,2,FALSE)</f>
        <v>60</v>
      </c>
      <c r="N956" s="65">
        <f>prodnorm17</f>
        <v>0</v>
      </c>
      <c r="O956" s="66">
        <f>dagwerk17</f>
        <v>0</v>
      </c>
      <c r="P956" s="62" t="s">
        <v>40</v>
      </c>
      <c r="Q956" s="67">
        <f>uurtarief17</f>
        <v>0</v>
      </c>
      <c r="R956" s="64" t="e">
        <f>IF(ISBLANK(N956),0,M956/ROUND(N956,4))</f>
        <v>#DIV/0!</v>
      </c>
      <c r="S956" s="64" t="e">
        <f>IF(ISBLANK(N956),0,R956*ROUND(O956,2))</f>
        <v>#DIV/0!</v>
      </c>
      <c r="T956" s="67" t="e">
        <f>ROUND(Q956,2)*R956</f>
        <v>#DIV/0!</v>
      </c>
      <c r="U956" s="64" t="e">
        <f>R956*dagenperjaar1</f>
        <v>#DIV/0!</v>
      </c>
      <c r="V956" s="69" t="e">
        <f>U956*ROUND(Q956,2)</f>
        <v>#DIV/0!</v>
      </c>
    </row>
    <row r="957" spans="1:22" x14ac:dyDescent="0.3">
      <c r="A957" s="61" t="s">
        <v>1257</v>
      </c>
      <c r="B957" s="62" t="s">
        <v>317</v>
      </c>
      <c r="C957" s="62" t="s">
        <v>629</v>
      </c>
      <c r="D957" s="62" t="s">
        <v>1405</v>
      </c>
      <c r="E957" s="63" t="s">
        <v>374</v>
      </c>
      <c r="F957" s="62" t="s">
        <v>365</v>
      </c>
      <c r="G957" s="62" t="s">
        <v>323</v>
      </c>
      <c r="H957" s="62"/>
      <c r="I957" s="62"/>
      <c r="J957" s="62"/>
      <c r="K957" s="62" t="s">
        <v>317</v>
      </c>
      <c r="L957" s="64">
        <v>1.2</v>
      </c>
      <c r="M957" s="64"/>
      <c r="N957" s="65"/>
      <c r="O957" s="66"/>
      <c r="P957" s="62"/>
      <c r="Q957" s="67"/>
      <c r="R957" s="64"/>
      <c r="S957" s="64"/>
      <c r="T957" s="67"/>
      <c r="U957" s="68"/>
      <c r="V957" s="69"/>
    </row>
    <row r="958" spans="1:22" x14ac:dyDescent="0.3">
      <c r="A958" s="61" t="s">
        <v>1257</v>
      </c>
      <c r="B958" s="62" t="s">
        <v>317</v>
      </c>
      <c r="C958" s="62" t="s">
        <v>629</v>
      </c>
      <c r="D958" s="62" t="s">
        <v>1406</v>
      </c>
      <c r="E958" s="63" t="s">
        <v>374</v>
      </c>
      <c r="F958" s="62" t="s">
        <v>331</v>
      </c>
      <c r="G958" s="62" t="s">
        <v>323</v>
      </c>
      <c r="H958" s="62"/>
      <c r="I958" s="62"/>
      <c r="J958" s="62"/>
      <c r="K958" s="62" t="s">
        <v>317</v>
      </c>
      <c r="L958" s="64">
        <v>82</v>
      </c>
      <c r="M958" s="64"/>
      <c r="N958" s="65"/>
      <c r="O958" s="66"/>
      <c r="P958" s="62"/>
      <c r="Q958" s="67"/>
      <c r="R958" s="64"/>
      <c r="S958" s="64"/>
      <c r="T958" s="67"/>
      <c r="U958" s="68"/>
      <c r="V958" s="69"/>
    </row>
    <row r="959" spans="1:22" x14ac:dyDescent="0.3">
      <c r="A959" s="61" t="s">
        <v>1257</v>
      </c>
      <c r="B959" s="62" t="s">
        <v>317</v>
      </c>
      <c r="C959" s="62" t="s">
        <v>629</v>
      </c>
      <c r="D959" s="62" t="s">
        <v>1407</v>
      </c>
      <c r="E959" s="63" t="s">
        <v>394</v>
      </c>
      <c r="F959" s="62" t="s">
        <v>365</v>
      </c>
      <c r="G959" s="62" t="s">
        <v>272</v>
      </c>
      <c r="H959" s="62" t="s">
        <v>11</v>
      </c>
      <c r="I959" s="62" t="s">
        <v>210</v>
      </c>
      <c r="J959" s="63" t="s">
        <v>273</v>
      </c>
      <c r="K959" s="62" t="s">
        <v>317</v>
      </c>
      <c r="L959" s="64">
        <v>7</v>
      </c>
      <c r="M959" s="64">
        <f t="shared" ref="M959:M967" si="315">L959*VLOOKUP(H959,dagsoorttabel1,2,FALSE)</f>
        <v>7</v>
      </c>
      <c r="N959" s="65">
        <f>prodnorm42</f>
        <v>0</v>
      </c>
      <c r="O959" s="66">
        <f>dagwerk42</f>
        <v>0</v>
      </c>
      <c r="P959" s="62" t="s">
        <v>40</v>
      </c>
      <c r="Q959" s="67">
        <f>uurtarief42</f>
        <v>0</v>
      </c>
      <c r="R959" s="64" t="e">
        <f t="shared" ref="R959:R967" si="316">IF(ISBLANK(N959),0,M959/ROUND(N959,4))</f>
        <v>#DIV/0!</v>
      </c>
      <c r="S959" s="64" t="e">
        <f t="shared" ref="S959:S967" si="317">IF(ISBLANK(N959),0,R959*ROUND(O959,2))</f>
        <v>#DIV/0!</v>
      </c>
      <c r="T959" s="67" t="e">
        <f t="shared" ref="T959:T967" si="318">ROUND(Q959,2)*R959</f>
        <v>#DIV/0!</v>
      </c>
      <c r="U959" s="64" t="e">
        <f t="shared" ref="U959:U967" si="319">R959*dagenperjaar1</f>
        <v>#DIV/0!</v>
      </c>
      <c r="V959" s="69" t="e">
        <f t="shared" ref="V959:V967" si="320">U959*ROUND(Q959,2)</f>
        <v>#DIV/0!</v>
      </c>
    </row>
    <row r="960" spans="1:22" x14ac:dyDescent="0.3">
      <c r="A960" s="61" t="s">
        <v>1257</v>
      </c>
      <c r="B960" s="62" t="s">
        <v>317</v>
      </c>
      <c r="C960" s="62" t="s">
        <v>629</v>
      </c>
      <c r="D960" s="62" t="s">
        <v>1408</v>
      </c>
      <c r="E960" s="63" t="s">
        <v>1409</v>
      </c>
      <c r="F960" s="62" t="s">
        <v>365</v>
      </c>
      <c r="G960" s="62" t="s">
        <v>224</v>
      </c>
      <c r="H960" s="62" t="s">
        <v>14</v>
      </c>
      <c r="I960" s="62" t="s">
        <v>210</v>
      </c>
      <c r="J960" s="63" t="s">
        <v>225</v>
      </c>
      <c r="K960" s="62" t="s">
        <v>317</v>
      </c>
      <c r="L960" s="64">
        <v>17</v>
      </c>
      <c r="M960" s="64">
        <f t="shared" si="315"/>
        <v>10.199999999999999</v>
      </c>
      <c r="N960" s="65">
        <f>prodnorm17</f>
        <v>0</v>
      </c>
      <c r="O960" s="66">
        <f>dagwerk17</f>
        <v>0</v>
      </c>
      <c r="P960" s="62" t="s">
        <v>40</v>
      </c>
      <c r="Q960" s="67">
        <f>uurtarief17</f>
        <v>0</v>
      </c>
      <c r="R960" s="64" t="e">
        <f t="shared" si="316"/>
        <v>#DIV/0!</v>
      </c>
      <c r="S960" s="64" t="e">
        <f t="shared" si="317"/>
        <v>#DIV/0!</v>
      </c>
      <c r="T960" s="67" t="e">
        <f t="shared" si="318"/>
        <v>#DIV/0!</v>
      </c>
      <c r="U960" s="64" t="e">
        <f t="shared" si="319"/>
        <v>#DIV/0!</v>
      </c>
      <c r="V960" s="69" t="e">
        <f t="shared" si="320"/>
        <v>#DIV/0!</v>
      </c>
    </row>
    <row r="961" spans="1:22" x14ac:dyDescent="0.3">
      <c r="A961" s="61" t="s">
        <v>1257</v>
      </c>
      <c r="B961" s="62" t="s">
        <v>317</v>
      </c>
      <c r="C961" s="62" t="s">
        <v>629</v>
      </c>
      <c r="D961" s="62" t="s">
        <v>1410</v>
      </c>
      <c r="E961" s="63" t="s">
        <v>1411</v>
      </c>
      <c r="F961" s="62" t="s">
        <v>365</v>
      </c>
      <c r="G961" s="62" t="s">
        <v>209</v>
      </c>
      <c r="H961" s="62" t="s">
        <v>17</v>
      </c>
      <c r="I961" s="62" t="s">
        <v>210</v>
      </c>
      <c r="J961" s="63" t="s">
        <v>211</v>
      </c>
      <c r="K961" s="62" t="s">
        <v>317</v>
      </c>
      <c r="L961" s="64">
        <v>17</v>
      </c>
      <c r="M961" s="64">
        <f t="shared" si="315"/>
        <v>3.4000000000000004</v>
      </c>
      <c r="N961" s="65">
        <f>prodnorm10</f>
        <v>0</v>
      </c>
      <c r="O961" s="66">
        <f>dagwerk10</f>
        <v>0</v>
      </c>
      <c r="P961" s="62" t="s">
        <v>40</v>
      </c>
      <c r="Q961" s="67">
        <f>uurtarief10</f>
        <v>0</v>
      </c>
      <c r="R961" s="64" t="e">
        <f t="shared" si="316"/>
        <v>#DIV/0!</v>
      </c>
      <c r="S961" s="64" t="e">
        <f t="shared" si="317"/>
        <v>#DIV/0!</v>
      </c>
      <c r="T961" s="67" t="e">
        <f t="shared" si="318"/>
        <v>#DIV/0!</v>
      </c>
      <c r="U961" s="64" t="e">
        <f t="shared" si="319"/>
        <v>#DIV/0!</v>
      </c>
      <c r="V961" s="69" t="e">
        <f t="shared" si="320"/>
        <v>#DIV/0!</v>
      </c>
    </row>
    <row r="962" spans="1:22" ht="28.8" x14ac:dyDescent="0.3">
      <c r="A962" s="61" t="s">
        <v>1257</v>
      </c>
      <c r="B962" s="62" t="s">
        <v>317</v>
      </c>
      <c r="C962" s="62" t="s">
        <v>629</v>
      </c>
      <c r="D962" s="62" t="s">
        <v>1412</v>
      </c>
      <c r="E962" s="63" t="s">
        <v>1413</v>
      </c>
      <c r="F962" s="62" t="s">
        <v>365</v>
      </c>
      <c r="G962" s="62" t="s">
        <v>224</v>
      </c>
      <c r="H962" s="62" t="s">
        <v>14</v>
      </c>
      <c r="I962" s="62" t="s">
        <v>210</v>
      </c>
      <c r="J962" s="63" t="s">
        <v>225</v>
      </c>
      <c r="K962" s="62" t="s">
        <v>317</v>
      </c>
      <c r="L962" s="64">
        <v>21</v>
      </c>
      <c r="M962" s="64">
        <f t="shared" si="315"/>
        <v>12.6</v>
      </c>
      <c r="N962" s="65">
        <f>prodnorm17</f>
        <v>0</v>
      </c>
      <c r="O962" s="66">
        <f>dagwerk17</f>
        <v>0</v>
      </c>
      <c r="P962" s="62" t="s">
        <v>40</v>
      </c>
      <c r="Q962" s="67">
        <f>uurtarief17</f>
        <v>0</v>
      </c>
      <c r="R962" s="64" t="e">
        <f t="shared" si="316"/>
        <v>#DIV/0!</v>
      </c>
      <c r="S962" s="64" t="e">
        <f t="shared" si="317"/>
        <v>#DIV/0!</v>
      </c>
      <c r="T962" s="67" t="e">
        <f t="shared" si="318"/>
        <v>#DIV/0!</v>
      </c>
      <c r="U962" s="64" t="e">
        <f t="shared" si="319"/>
        <v>#DIV/0!</v>
      </c>
      <c r="V962" s="69" t="e">
        <f t="shared" si="320"/>
        <v>#DIV/0!</v>
      </c>
    </row>
    <row r="963" spans="1:22" x14ac:dyDescent="0.3">
      <c r="A963" s="61" t="s">
        <v>1257</v>
      </c>
      <c r="B963" s="62" t="s">
        <v>317</v>
      </c>
      <c r="C963" s="62" t="s">
        <v>841</v>
      </c>
      <c r="D963" s="62" t="s">
        <v>1414</v>
      </c>
      <c r="E963" s="63" t="s">
        <v>1415</v>
      </c>
      <c r="F963" s="62" t="s">
        <v>331</v>
      </c>
      <c r="G963" s="62" t="s">
        <v>286</v>
      </c>
      <c r="H963" s="62" t="s">
        <v>11</v>
      </c>
      <c r="I963" s="62" t="s">
        <v>210</v>
      </c>
      <c r="J963" s="63" t="s">
        <v>287</v>
      </c>
      <c r="K963" s="62" t="s">
        <v>317</v>
      </c>
      <c r="L963" s="64">
        <v>8</v>
      </c>
      <c r="M963" s="64">
        <f t="shared" si="315"/>
        <v>8</v>
      </c>
      <c r="N963" s="65">
        <f>prodnorm49</f>
        <v>0</v>
      </c>
      <c r="O963" s="66">
        <f>dagwerk49</f>
        <v>0</v>
      </c>
      <c r="P963" s="62" t="s">
        <v>40</v>
      </c>
      <c r="Q963" s="67">
        <f>uurtarief49</f>
        <v>0</v>
      </c>
      <c r="R963" s="64" t="e">
        <f t="shared" si="316"/>
        <v>#DIV/0!</v>
      </c>
      <c r="S963" s="64" t="e">
        <f t="shared" si="317"/>
        <v>#DIV/0!</v>
      </c>
      <c r="T963" s="67" t="e">
        <f t="shared" si="318"/>
        <v>#DIV/0!</v>
      </c>
      <c r="U963" s="64" t="e">
        <f t="shared" si="319"/>
        <v>#DIV/0!</v>
      </c>
      <c r="V963" s="69" t="e">
        <f t="shared" si="320"/>
        <v>#DIV/0!</v>
      </c>
    </row>
    <row r="964" spans="1:22" x14ac:dyDescent="0.3">
      <c r="A964" s="61" t="s">
        <v>1257</v>
      </c>
      <c r="B964" s="62" t="s">
        <v>317</v>
      </c>
      <c r="C964" s="62" t="s">
        <v>841</v>
      </c>
      <c r="D964" s="62" t="s">
        <v>1416</v>
      </c>
      <c r="E964" s="63" t="s">
        <v>1415</v>
      </c>
      <c r="F964" s="62" t="s">
        <v>331</v>
      </c>
      <c r="G964" s="62" t="s">
        <v>286</v>
      </c>
      <c r="H964" s="62" t="s">
        <v>11</v>
      </c>
      <c r="I964" s="62" t="s">
        <v>210</v>
      </c>
      <c r="J964" s="63" t="s">
        <v>287</v>
      </c>
      <c r="K964" s="62" t="s">
        <v>317</v>
      </c>
      <c r="L964" s="64">
        <v>10</v>
      </c>
      <c r="M964" s="64">
        <f t="shared" si="315"/>
        <v>10</v>
      </c>
      <c r="N964" s="65">
        <f>prodnorm49</f>
        <v>0</v>
      </c>
      <c r="O964" s="66">
        <f>dagwerk49</f>
        <v>0</v>
      </c>
      <c r="P964" s="62" t="s">
        <v>40</v>
      </c>
      <c r="Q964" s="67">
        <f>uurtarief49</f>
        <v>0</v>
      </c>
      <c r="R964" s="64" t="e">
        <f t="shared" si="316"/>
        <v>#DIV/0!</v>
      </c>
      <c r="S964" s="64" t="e">
        <f t="shared" si="317"/>
        <v>#DIV/0!</v>
      </c>
      <c r="T964" s="67" t="e">
        <f t="shared" si="318"/>
        <v>#DIV/0!</v>
      </c>
      <c r="U964" s="64" t="e">
        <f t="shared" si="319"/>
        <v>#DIV/0!</v>
      </c>
      <c r="V964" s="69" t="e">
        <f t="shared" si="320"/>
        <v>#DIV/0!</v>
      </c>
    </row>
    <row r="965" spans="1:22" x14ac:dyDescent="0.3">
      <c r="A965" s="61" t="s">
        <v>1257</v>
      </c>
      <c r="B965" s="62" t="s">
        <v>317</v>
      </c>
      <c r="C965" s="62" t="s">
        <v>841</v>
      </c>
      <c r="D965" s="62" t="s">
        <v>1417</v>
      </c>
      <c r="E965" s="63" t="s">
        <v>1415</v>
      </c>
      <c r="F965" s="62" t="s">
        <v>331</v>
      </c>
      <c r="G965" s="62" t="s">
        <v>286</v>
      </c>
      <c r="H965" s="62" t="s">
        <v>11</v>
      </c>
      <c r="I965" s="62" t="s">
        <v>210</v>
      </c>
      <c r="J965" s="63" t="s">
        <v>287</v>
      </c>
      <c r="K965" s="62" t="s">
        <v>317</v>
      </c>
      <c r="L965" s="64">
        <v>2</v>
      </c>
      <c r="M965" s="64">
        <f t="shared" si="315"/>
        <v>2</v>
      </c>
      <c r="N965" s="65">
        <f>prodnorm49</f>
        <v>0</v>
      </c>
      <c r="O965" s="66">
        <f>dagwerk49</f>
        <v>0</v>
      </c>
      <c r="P965" s="62" t="s">
        <v>40</v>
      </c>
      <c r="Q965" s="67">
        <f>uurtarief49</f>
        <v>0</v>
      </c>
      <c r="R965" s="64" t="e">
        <f t="shared" si="316"/>
        <v>#DIV/0!</v>
      </c>
      <c r="S965" s="64" t="e">
        <f t="shared" si="317"/>
        <v>#DIV/0!</v>
      </c>
      <c r="T965" s="67" t="e">
        <f t="shared" si="318"/>
        <v>#DIV/0!</v>
      </c>
      <c r="U965" s="64" t="e">
        <f t="shared" si="319"/>
        <v>#DIV/0!</v>
      </c>
      <c r="V965" s="69" t="e">
        <f t="shared" si="320"/>
        <v>#DIV/0!</v>
      </c>
    </row>
    <row r="966" spans="1:22" x14ac:dyDescent="0.3">
      <c r="A966" s="61" t="s">
        <v>1257</v>
      </c>
      <c r="B966" s="62" t="s">
        <v>317</v>
      </c>
      <c r="C966" s="62" t="s">
        <v>841</v>
      </c>
      <c r="D966" s="62" t="s">
        <v>1418</v>
      </c>
      <c r="E966" s="63" t="s">
        <v>613</v>
      </c>
      <c r="F966" s="62" t="s">
        <v>365</v>
      </c>
      <c r="G966" s="62" t="s">
        <v>272</v>
      </c>
      <c r="H966" s="62" t="s">
        <v>11</v>
      </c>
      <c r="I966" s="62" t="s">
        <v>210</v>
      </c>
      <c r="J966" s="63" t="s">
        <v>273</v>
      </c>
      <c r="K966" s="62" t="s">
        <v>317</v>
      </c>
      <c r="L966" s="64">
        <v>10</v>
      </c>
      <c r="M966" s="64">
        <f t="shared" si="315"/>
        <v>10</v>
      </c>
      <c r="N966" s="65">
        <f>prodnorm42</f>
        <v>0</v>
      </c>
      <c r="O966" s="66">
        <f>dagwerk42</f>
        <v>0</v>
      </c>
      <c r="P966" s="62" t="s">
        <v>40</v>
      </c>
      <c r="Q966" s="67">
        <f>uurtarief42</f>
        <v>0</v>
      </c>
      <c r="R966" s="64" t="e">
        <f t="shared" si="316"/>
        <v>#DIV/0!</v>
      </c>
      <c r="S966" s="64" t="e">
        <f t="shared" si="317"/>
        <v>#DIV/0!</v>
      </c>
      <c r="T966" s="67" t="e">
        <f t="shared" si="318"/>
        <v>#DIV/0!</v>
      </c>
      <c r="U966" s="64" t="e">
        <f t="shared" si="319"/>
        <v>#DIV/0!</v>
      </c>
      <c r="V966" s="69" t="e">
        <f t="shared" si="320"/>
        <v>#DIV/0!</v>
      </c>
    </row>
    <row r="967" spans="1:22" x14ac:dyDescent="0.3">
      <c r="A967" s="61" t="s">
        <v>1257</v>
      </c>
      <c r="B967" s="62" t="s">
        <v>317</v>
      </c>
      <c r="C967" s="62" t="s">
        <v>841</v>
      </c>
      <c r="D967" s="62" t="s">
        <v>1419</v>
      </c>
      <c r="E967" s="63" t="s">
        <v>613</v>
      </c>
      <c r="F967" s="62" t="s">
        <v>365</v>
      </c>
      <c r="G967" s="62" t="s">
        <v>272</v>
      </c>
      <c r="H967" s="62" t="s">
        <v>11</v>
      </c>
      <c r="I967" s="62" t="s">
        <v>210</v>
      </c>
      <c r="J967" s="63" t="s">
        <v>273</v>
      </c>
      <c r="K967" s="62" t="s">
        <v>317</v>
      </c>
      <c r="L967" s="64">
        <v>5</v>
      </c>
      <c r="M967" s="64">
        <f t="shared" si="315"/>
        <v>5</v>
      </c>
      <c r="N967" s="65">
        <f>prodnorm42</f>
        <v>0</v>
      </c>
      <c r="O967" s="66">
        <f>dagwerk42</f>
        <v>0</v>
      </c>
      <c r="P967" s="62" t="s">
        <v>40</v>
      </c>
      <c r="Q967" s="67">
        <f>uurtarief42</f>
        <v>0</v>
      </c>
      <c r="R967" s="64" t="e">
        <f t="shared" si="316"/>
        <v>#DIV/0!</v>
      </c>
      <c r="S967" s="64" t="e">
        <f t="shared" si="317"/>
        <v>#DIV/0!</v>
      </c>
      <c r="T967" s="67" t="e">
        <f t="shared" si="318"/>
        <v>#DIV/0!</v>
      </c>
      <c r="U967" s="64" t="e">
        <f t="shared" si="319"/>
        <v>#DIV/0!</v>
      </c>
      <c r="V967" s="69" t="e">
        <f t="shared" si="320"/>
        <v>#DIV/0!</v>
      </c>
    </row>
    <row r="968" spans="1:22" x14ac:dyDescent="0.3">
      <c r="A968" s="61" t="s">
        <v>1257</v>
      </c>
      <c r="B968" s="62" t="s">
        <v>317</v>
      </c>
      <c r="C968" s="62" t="s">
        <v>841</v>
      </c>
      <c r="D968" s="62" t="s">
        <v>1420</v>
      </c>
      <c r="E968" s="63" t="s">
        <v>1421</v>
      </c>
      <c r="F968" s="62" t="s">
        <v>365</v>
      </c>
      <c r="G968" s="62" t="s">
        <v>323</v>
      </c>
      <c r="H968" s="62"/>
      <c r="I968" s="62"/>
      <c r="J968" s="62"/>
      <c r="K968" s="62" t="s">
        <v>317</v>
      </c>
      <c r="L968" s="64">
        <v>1</v>
      </c>
      <c r="M968" s="64"/>
      <c r="N968" s="65"/>
      <c r="O968" s="66"/>
      <c r="P968" s="62"/>
      <c r="Q968" s="67"/>
      <c r="R968" s="64"/>
      <c r="S968" s="64"/>
      <c r="T968" s="67"/>
      <c r="U968" s="68"/>
      <c r="V968" s="69"/>
    </row>
    <row r="969" spans="1:22" x14ac:dyDescent="0.3">
      <c r="A969" s="61" t="s">
        <v>1257</v>
      </c>
      <c r="B969" s="62" t="s">
        <v>317</v>
      </c>
      <c r="C969" s="62" t="s">
        <v>841</v>
      </c>
      <c r="D969" s="62" t="s">
        <v>1422</v>
      </c>
      <c r="E969" s="63" t="s">
        <v>553</v>
      </c>
      <c r="F969" s="62" t="s">
        <v>348</v>
      </c>
      <c r="G969" s="62" t="s">
        <v>323</v>
      </c>
      <c r="H969" s="62"/>
      <c r="I969" s="62"/>
      <c r="J969" s="62"/>
      <c r="K969" s="62" t="s">
        <v>317</v>
      </c>
      <c r="L969" s="64">
        <v>26</v>
      </c>
      <c r="M969" s="64"/>
      <c r="N969" s="65"/>
      <c r="O969" s="66"/>
      <c r="P969" s="62"/>
      <c r="Q969" s="67"/>
      <c r="R969" s="64"/>
      <c r="S969" s="64"/>
      <c r="T969" s="67"/>
      <c r="U969" s="68"/>
      <c r="V969" s="69"/>
    </row>
    <row r="970" spans="1:22" x14ac:dyDescent="0.3">
      <c r="A970" s="61" t="s">
        <v>1257</v>
      </c>
      <c r="B970" s="62" t="s">
        <v>317</v>
      </c>
      <c r="C970" s="62" t="s">
        <v>841</v>
      </c>
      <c r="D970" s="62" t="s">
        <v>1423</v>
      </c>
      <c r="E970" s="63" t="s">
        <v>1424</v>
      </c>
      <c r="F970" s="62" t="s">
        <v>348</v>
      </c>
      <c r="G970" s="62" t="s">
        <v>236</v>
      </c>
      <c r="H970" s="62" t="s">
        <v>14</v>
      </c>
      <c r="I970" s="62" t="s">
        <v>210</v>
      </c>
      <c r="J970" s="63" t="s">
        <v>237</v>
      </c>
      <c r="K970" s="62" t="s">
        <v>317</v>
      </c>
      <c r="L970" s="64">
        <v>128</v>
      </c>
      <c r="M970" s="64">
        <f>L970*VLOOKUP(H970,dagsoorttabel1,2,FALSE)</f>
        <v>76.8</v>
      </c>
      <c r="N970" s="65">
        <f>prodnorm23</f>
        <v>0</v>
      </c>
      <c r="O970" s="66">
        <f>dagwerk23</f>
        <v>0</v>
      </c>
      <c r="P970" s="62" t="s">
        <v>40</v>
      </c>
      <c r="Q970" s="67">
        <f>uurtarief23</f>
        <v>0</v>
      </c>
      <c r="R970" s="64" t="e">
        <f>IF(ISBLANK(N970),0,M970/ROUND(N970,4))</f>
        <v>#DIV/0!</v>
      </c>
      <c r="S970" s="64" t="e">
        <f>IF(ISBLANK(N970),0,R970*ROUND(O970,2))</f>
        <v>#DIV/0!</v>
      </c>
      <c r="T970" s="67" t="e">
        <f>ROUND(Q970,2)*R970</f>
        <v>#DIV/0!</v>
      </c>
      <c r="U970" s="64" t="e">
        <f>R970*dagenperjaar1</f>
        <v>#DIV/0!</v>
      </c>
      <c r="V970" s="69" t="e">
        <f>U970*ROUND(Q970,2)</f>
        <v>#DIV/0!</v>
      </c>
    </row>
    <row r="971" spans="1:22" x14ac:dyDescent="0.3">
      <c r="A971" s="61" t="s">
        <v>1257</v>
      </c>
      <c r="B971" s="62" t="s">
        <v>317</v>
      </c>
      <c r="C971" s="62" t="s">
        <v>841</v>
      </c>
      <c r="D971" s="62" t="s">
        <v>1425</v>
      </c>
      <c r="E971" s="63" t="s">
        <v>1426</v>
      </c>
      <c r="F971" s="62" t="s">
        <v>348</v>
      </c>
      <c r="G971" s="62" t="s">
        <v>254</v>
      </c>
      <c r="H971" s="62" t="s">
        <v>11</v>
      </c>
      <c r="I971" s="62" t="s">
        <v>210</v>
      </c>
      <c r="J971" s="63" t="s">
        <v>255</v>
      </c>
      <c r="K971" s="62" t="s">
        <v>317</v>
      </c>
      <c r="L971" s="64">
        <v>128</v>
      </c>
      <c r="M971" s="64">
        <f>L971*VLOOKUP(H971,dagsoorttabel1,2,FALSE)</f>
        <v>128</v>
      </c>
      <c r="N971" s="65">
        <f>prodnorm33</f>
        <v>0</v>
      </c>
      <c r="O971" s="66">
        <f>dagwerk33</f>
        <v>0</v>
      </c>
      <c r="P971" s="62" t="s">
        <v>40</v>
      </c>
      <c r="Q971" s="67">
        <f>uurtarief33</f>
        <v>0</v>
      </c>
      <c r="R971" s="64" t="e">
        <f>IF(ISBLANK(N971),0,M971/ROUND(N971,4))</f>
        <v>#DIV/0!</v>
      </c>
      <c r="S971" s="64" t="e">
        <f>IF(ISBLANK(N971),0,R971*ROUND(O971,2))</f>
        <v>#DIV/0!</v>
      </c>
      <c r="T971" s="67" t="e">
        <f>ROUND(Q971,2)*R971</f>
        <v>#DIV/0!</v>
      </c>
      <c r="U971" s="64" t="e">
        <f>R971*dagenperjaar1</f>
        <v>#DIV/0!</v>
      </c>
      <c r="V971" s="69" t="e">
        <f>U971*ROUND(Q971,2)</f>
        <v>#DIV/0!</v>
      </c>
    </row>
    <row r="972" spans="1:22" x14ac:dyDescent="0.3">
      <c r="A972" s="61" t="s">
        <v>1257</v>
      </c>
      <c r="B972" s="62" t="s">
        <v>317</v>
      </c>
      <c r="C972" s="62" t="s">
        <v>841</v>
      </c>
      <c r="D972" s="62" t="s">
        <v>1427</v>
      </c>
      <c r="E972" s="63" t="s">
        <v>381</v>
      </c>
      <c r="F972" s="62" t="s">
        <v>365</v>
      </c>
      <c r="G972" s="62" t="s">
        <v>323</v>
      </c>
      <c r="H972" s="62"/>
      <c r="I972" s="62"/>
      <c r="J972" s="62"/>
      <c r="K972" s="62" t="s">
        <v>317</v>
      </c>
      <c r="L972" s="64">
        <v>2</v>
      </c>
      <c r="M972" s="64"/>
      <c r="N972" s="65"/>
      <c r="O972" s="66"/>
      <c r="P972" s="62"/>
      <c r="Q972" s="67"/>
      <c r="R972" s="64"/>
      <c r="S972" s="64"/>
      <c r="T972" s="67"/>
      <c r="U972" s="68"/>
      <c r="V972" s="69"/>
    </row>
    <row r="973" spans="1:22" x14ac:dyDescent="0.3">
      <c r="A973" s="61" t="s">
        <v>1257</v>
      </c>
      <c r="B973" s="62" t="s">
        <v>317</v>
      </c>
      <c r="C973" s="62" t="s">
        <v>988</v>
      </c>
      <c r="D973" s="62" t="s">
        <v>1428</v>
      </c>
      <c r="E973" s="63" t="s">
        <v>1415</v>
      </c>
      <c r="F973" s="62" t="s">
        <v>331</v>
      </c>
      <c r="G973" s="62" t="s">
        <v>286</v>
      </c>
      <c r="H973" s="62" t="s">
        <v>11</v>
      </c>
      <c r="I973" s="62" t="s">
        <v>210</v>
      </c>
      <c r="J973" s="63" t="s">
        <v>287</v>
      </c>
      <c r="K973" s="62" t="s">
        <v>317</v>
      </c>
      <c r="L973" s="64">
        <v>3</v>
      </c>
      <c r="M973" s="64">
        <f>L973*VLOOKUP(H973,dagsoorttabel1,2,FALSE)</f>
        <v>3</v>
      </c>
      <c r="N973" s="65">
        <f>prodnorm49</f>
        <v>0</v>
      </c>
      <c r="O973" s="66">
        <f>dagwerk49</f>
        <v>0</v>
      </c>
      <c r="P973" s="62" t="s">
        <v>40</v>
      </c>
      <c r="Q973" s="67">
        <f>uurtarief49</f>
        <v>0</v>
      </c>
      <c r="R973" s="64" t="e">
        <f>IF(ISBLANK(N973),0,M973/ROUND(N973,4))</f>
        <v>#DIV/0!</v>
      </c>
      <c r="S973" s="64" t="e">
        <f>IF(ISBLANK(N973),0,R973*ROUND(O973,2))</f>
        <v>#DIV/0!</v>
      </c>
      <c r="T973" s="67" t="e">
        <f>ROUND(Q973,2)*R973</f>
        <v>#DIV/0!</v>
      </c>
      <c r="U973" s="64" t="e">
        <f>R973*dagenperjaar1</f>
        <v>#DIV/0!</v>
      </c>
      <c r="V973" s="69" t="e">
        <f>U973*ROUND(Q973,2)</f>
        <v>#DIV/0!</v>
      </c>
    </row>
    <row r="974" spans="1:22" x14ac:dyDescent="0.3">
      <c r="A974" s="61" t="s">
        <v>1257</v>
      </c>
      <c r="B974" s="62" t="s">
        <v>317</v>
      </c>
      <c r="C974" s="62" t="s">
        <v>988</v>
      </c>
      <c r="D974" s="62" t="s">
        <v>1429</v>
      </c>
      <c r="E974" s="63" t="s">
        <v>1430</v>
      </c>
      <c r="F974" s="62" t="s">
        <v>331</v>
      </c>
      <c r="G974" s="62" t="s">
        <v>323</v>
      </c>
      <c r="H974" s="62"/>
      <c r="I974" s="62"/>
      <c r="J974" s="62"/>
      <c r="K974" s="62" t="s">
        <v>317</v>
      </c>
      <c r="L974" s="64">
        <v>76</v>
      </c>
      <c r="M974" s="64"/>
      <c r="N974" s="65"/>
      <c r="O974" s="66"/>
      <c r="P974" s="62"/>
      <c r="Q974" s="67"/>
      <c r="R974" s="64"/>
      <c r="S974" s="64"/>
      <c r="T974" s="67"/>
      <c r="U974" s="68"/>
      <c r="V974" s="69"/>
    </row>
    <row r="975" spans="1:22" x14ac:dyDescent="0.3">
      <c r="A975" s="61" t="s">
        <v>1257</v>
      </c>
      <c r="B975" s="62" t="s">
        <v>317</v>
      </c>
      <c r="C975" s="62" t="s">
        <v>1431</v>
      </c>
      <c r="D975" s="62" t="s">
        <v>1432</v>
      </c>
      <c r="E975" s="63" t="s">
        <v>509</v>
      </c>
      <c r="F975" s="62" t="s">
        <v>331</v>
      </c>
      <c r="G975" s="62" t="s">
        <v>286</v>
      </c>
      <c r="H975" s="62" t="s">
        <v>11</v>
      </c>
      <c r="I975" s="62" t="s">
        <v>210</v>
      </c>
      <c r="J975" s="63" t="s">
        <v>287</v>
      </c>
      <c r="K975" s="62" t="s">
        <v>317</v>
      </c>
      <c r="L975" s="64">
        <v>3.44</v>
      </c>
      <c r="M975" s="64">
        <f>L975*VLOOKUP(H975,dagsoorttabel1,2,FALSE)</f>
        <v>3.44</v>
      </c>
      <c r="N975" s="65">
        <f>prodnorm49</f>
        <v>0</v>
      </c>
      <c r="O975" s="66">
        <f>dagwerk49</f>
        <v>0</v>
      </c>
      <c r="P975" s="62" t="s">
        <v>40</v>
      </c>
      <c r="Q975" s="67">
        <f>uurtarief49</f>
        <v>0</v>
      </c>
      <c r="R975" s="64" t="e">
        <f>IF(ISBLANK(N975),0,M975/ROUND(N975,4))</f>
        <v>#DIV/0!</v>
      </c>
      <c r="S975" s="64" t="e">
        <f>IF(ISBLANK(N975),0,R975*ROUND(O975,2))</f>
        <v>#DIV/0!</v>
      </c>
      <c r="T975" s="67" t="e">
        <f>ROUND(Q975,2)*R975</f>
        <v>#DIV/0!</v>
      </c>
      <c r="U975" s="64" t="e">
        <f>R975*dagenperjaar1</f>
        <v>#DIV/0!</v>
      </c>
      <c r="V975" s="69" t="e">
        <f>U975*ROUND(Q975,2)</f>
        <v>#DIV/0!</v>
      </c>
    </row>
    <row r="976" spans="1:22" x14ac:dyDescent="0.3">
      <c r="A976" s="61" t="s">
        <v>1257</v>
      </c>
      <c r="B976" s="62" t="s">
        <v>317</v>
      </c>
      <c r="C976" s="62" t="s">
        <v>1431</v>
      </c>
      <c r="D976" s="62" t="s">
        <v>1433</v>
      </c>
      <c r="E976" s="63" t="s">
        <v>1434</v>
      </c>
      <c r="F976" s="62" t="s">
        <v>331</v>
      </c>
      <c r="G976" s="62" t="s">
        <v>272</v>
      </c>
      <c r="H976" s="62" t="s">
        <v>11</v>
      </c>
      <c r="I976" s="62" t="s">
        <v>210</v>
      </c>
      <c r="J976" s="63" t="s">
        <v>273</v>
      </c>
      <c r="K976" s="62" t="s">
        <v>317</v>
      </c>
      <c r="L976" s="64">
        <v>16</v>
      </c>
      <c r="M976" s="64">
        <f>L976*VLOOKUP(H976,dagsoorttabel1,2,FALSE)</f>
        <v>16</v>
      </c>
      <c r="N976" s="65">
        <f>prodnorm42</f>
        <v>0</v>
      </c>
      <c r="O976" s="66">
        <f>dagwerk42</f>
        <v>0</v>
      </c>
      <c r="P976" s="62" t="s">
        <v>40</v>
      </c>
      <c r="Q976" s="67">
        <f>uurtarief42</f>
        <v>0</v>
      </c>
      <c r="R976" s="64" t="e">
        <f>IF(ISBLANK(N976),0,M976/ROUND(N976,4))</f>
        <v>#DIV/0!</v>
      </c>
      <c r="S976" s="64" t="e">
        <f>IF(ISBLANK(N976),0,R976*ROUND(O976,2))</f>
        <v>#DIV/0!</v>
      </c>
      <c r="T976" s="67" t="e">
        <f>ROUND(Q976,2)*R976</f>
        <v>#DIV/0!</v>
      </c>
      <c r="U976" s="64" t="e">
        <f>R976*dagenperjaar1</f>
        <v>#DIV/0!</v>
      </c>
      <c r="V976" s="69" t="e">
        <f>U976*ROUND(Q976,2)</f>
        <v>#DIV/0!</v>
      </c>
    </row>
    <row r="977" spans="1:22" x14ac:dyDescent="0.3">
      <c r="A977" s="61" t="s">
        <v>1257</v>
      </c>
      <c r="B977" s="62" t="s">
        <v>317</v>
      </c>
      <c r="C977" s="62" t="s">
        <v>1431</v>
      </c>
      <c r="D977" s="62" t="s">
        <v>1435</v>
      </c>
      <c r="E977" s="63" t="s">
        <v>1430</v>
      </c>
      <c r="F977" s="62" t="s">
        <v>331</v>
      </c>
      <c r="G977" s="62" t="s">
        <v>323</v>
      </c>
      <c r="H977" s="62"/>
      <c r="I977" s="62"/>
      <c r="J977" s="62"/>
      <c r="K977" s="62" t="s">
        <v>317</v>
      </c>
      <c r="L977" s="64">
        <v>40</v>
      </c>
      <c r="M977" s="64"/>
      <c r="N977" s="65"/>
      <c r="O977" s="66"/>
      <c r="P977" s="62"/>
      <c r="Q977" s="67"/>
      <c r="R977" s="64"/>
      <c r="S977" s="64"/>
      <c r="T977" s="67"/>
      <c r="U977" s="68"/>
      <c r="V977" s="69"/>
    </row>
    <row r="978" spans="1:22" x14ac:dyDescent="0.3">
      <c r="A978" s="70" t="s">
        <v>1257</v>
      </c>
      <c r="B978" s="71" t="s">
        <v>317</v>
      </c>
      <c r="C978" s="71" t="s">
        <v>1431</v>
      </c>
      <c r="D978" s="71" t="s">
        <v>1436</v>
      </c>
      <c r="E978" s="72" t="s">
        <v>1437</v>
      </c>
      <c r="F978" s="71" t="s">
        <v>1438</v>
      </c>
      <c r="G978" s="71" t="s">
        <v>323</v>
      </c>
      <c r="H978" s="71"/>
      <c r="I978" s="71"/>
      <c r="J978" s="71"/>
      <c r="K978" s="71" t="s">
        <v>317</v>
      </c>
      <c r="L978" s="73">
        <v>292</v>
      </c>
      <c r="M978" s="73"/>
      <c r="N978" s="74"/>
      <c r="O978" s="75"/>
      <c r="P978" s="71"/>
      <c r="Q978" s="76"/>
      <c r="R978" s="73"/>
      <c r="S978" s="73"/>
      <c r="T978" s="76"/>
      <c r="U978" s="77"/>
      <c r="V978" s="78"/>
    </row>
    <row r="979" spans="1:22" x14ac:dyDescent="0.3">
      <c r="A979" s="79" t="s">
        <v>1105</v>
      </c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5" t="e">
        <f>IF(_xlfn.SINGLE(object4_urenjaar1)&gt;0,_xlfn.SINGLE(object4_prijsjaar1)/_xlfn.SINGLE(object4_urenjaar1),0)</f>
        <v>#DIV/0!</v>
      </c>
      <c r="R979" s="44" t="e">
        <f>SUM(R793:R978)</f>
        <v>#DIV/0!</v>
      </c>
      <c r="S979" s="44" t="e">
        <f>SUM(S793:S978)</f>
        <v>#DIV/0!</v>
      </c>
      <c r="T979" s="45" t="e">
        <f>SUM(T793:T978)</f>
        <v>#DIV/0!</v>
      </c>
      <c r="U979" s="44" t="e">
        <f>SUM(U793:U978)</f>
        <v>#DIV/0!</v>
      </c>
      <c r="V979" s="46" t="e">
        <f>SUM(V793:V978)</f>
        <v>#DIV/0!</v>
      </c>
    </row>
    <row r="980" spans="1:22" x14ac:dyDescent="0.3">
      <c r="A980" s="52" t="s">
        <v>1439</v>
      </c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41"/>
    </row>
    <row r="981" spans="1:22" x14ac:dyDescent="0.3">
      <c r="A981" s="53" t="s">
        <v>1440</v>
      </c>
      <c r="B981" s="54" t="s">
        <v>1441</v>
      </c>
      <c r="C981" s="54" t="s">
        <v>318</v>
      </c>
      <c r="D981" s="54" t="s">
        <v>1442</v>
      </c>
      <c r="E981" s="55" t="s">
        <v>391</v>
      </c>
      <c r="F981" s="54" t="s">
        <v>348</v>
      </c>
      <c r="G981" s="54" t="s">
        <v>236</v>
      </c>
      <c r="H981" s="54" t="s">
        <v>14</v>
      </c>
      <c r="I981" s="54" t="s">
        <v>210</v>
      </c>
      <c r="J981" s="55" t="s">
        <v>237</v>
      </c>
      <c r="K981" s="54" t="s">
        <v>317</v>
      </c>
      <c r="L981" s="56">
        <v>37.4</v>
      </c>
      <c r="M981" s="56">
        <f t="shared" ref="M981:M987" si="321">L981*VLOOKUP(H981,dagsoorttabel1,2,FALSE)</f>
        <v>22.439999999999998</v>
      </c>
      <c r="N981" s="57">
        <f>prodnorm23</f>
        <v>0</v>
      </c>
      <c r="O981" s="58">
        <f>dagwerk23</f>
        <v>0</v>
      </c>
      <c r="P981" s="54" t="s">
        <v>40</v>
      </c>
      <c r="Q981" s="59">
        <f>uurtarief23</f>
        <v>0</v>
      </c>
      <c r="R981" s="56" t="e">
        <f t="shared" ref="R981:R987" si="322">IF(ISBLANK(N981),0,M981/ROUND(N981,4))</f>
        <v>#DIV/0!</v>
      </c>
      <c r="S981" s="56" t="e">
        <f t="shared" ref="S981:S987" si="323">IF(ISBLANK(N981),0,R981*ROUND(O981,2))</f>
        <v>#DIV/0!</v>
      </c>
      <c r="T981" s="59" t="e">
        <f t="shared" ref="T981:T987" si="324">ROUND(Q981,2)*R981</f>
        <v>#DIV/0!</v>
      </c>
      <c r="U981" s="56" t="e">
        <f t="shared" ref="U981:U987" si="325">R981*dagenperjaar1</f>
        <v>#DIV/0!</v>
      </c>
      <c r="V981" s="60" t="e">
        <f t="shared" ref="V981:V987" si="326">U981*ROUND(Q981,2)</f>
        <v>#DIV/0!</v>
      </c>
    </row>
    <row r="982" spans="1:22" x14ac:dyDescent="0.3">
      <c r="A982" s="61" t="s">
        <v>1440</v>
      </c>
      <c r="B982" s="62" t="s">
        <v>1441</v>
      </c>
      <c r="C982" s="62" t="s">
        <v>318</v>
      </c>
      <c r="D982" s="62" t="s">
        <v>1443</v>
      </c>
      <c r="E982" s="63" t="s">
        <v>428</v>
      </c>
      <c r="F982" s="62" t="s">
        <v>365</v>
      </c>
      <c r="G982" s="62" t="s">
        <v>272</v>
      </c>
      <c r="H982" s="62" t="s">
        <v>11</v>
      </c>
      <c r="I982" s="62" t="s">
        <v>210</v>
      </c>
      <c r="J982" s="63" t="s">
        <v>273</v>
      </c>
      <c r="K982" s="62" t="s">
        <v>317</v>
      </c>
      <c r="L982" s="64">
        <v>7.1</v>
      </c>
      <c r="M982" s="64">
        <f t="shared" si="321"/>
        <v>7.1</v>
      </c>
      <c r="N982" s="65">
        <f>prodnorm42</f>
        <v>0</v>
      </c>
      <c r="O982" s="66">
        <f>dagwerk42</f>
        <v>0</v>
      </c>
      <c r="P982" s="62" t="s">
        <v>40</v>
      </c>
      <c r="Q982" s="67">
        <f>uurtarief42</f>
        <v>0</v>
      </c>
      <c r="R982" s="64" t="e">
        <f t="shared" si="322"/>
        <v>#DIV/0!</v>
      </c>
      <c r="S982" s="64" t="e">
        <f t="shared" si="323"/>
        <v>#DIV/0!</v>
      </c>
      <c r="T982" s="67" t="e">
        <f t="shared" si="324"/>
        <v>#DIV/0!</v>
      </c>
      <c r="U982" s="64" t="e">
        <f t="shared" si="325"/>
        <v>#DIV/0!</v>
      </c>
      <c r="V982" s="69" t="e">
        <f t="shared" si="326"/>
        <v>#DIV/0!</v>
      </c>
    </row>
    <row r="983" spans="1:22" x14ac:dyDescent="0.3">
      <c r="A983" s="61" t="s">
        <v>1440</v>
      </c>
      <c r="B983" s="62" t="s">
        <v>1441</v>
      </c>
      <c r="C983" s="62" t="s">
        <v>318</v>
      </c>
      <c r="D983" s="62" t="s">
        <v>1444</v>
      </c>
      <c r="E983" s="63" t="s">
        <v>1445</v>
      </c>
      <c r="F983" s="62" t="s">
        <v>331</v>
      </c>
      <c r="G983" s="62" t="s">
        <v>250</v>
      </c>
      <c r="H983" s="62" t="s">
        <v>11</v>
      </c>
      <c r="I983" s="62" t="s">
        <v>210</v>
      </c>
      <c r="J983" s="63" t="s">
        <v>251</v>
      </c>
      <c r="K983" s="62" t="s">
        <v>317</v>
      </c>
      <c r="L983" s="64">
        <v>26.3</v>
      </c>
      <c r="M983" s="64">
        <f t="shared" si="321"/>
        <v>26.3</v>
      </c>
      <c r="N983" s="65">
        <f>prodnorm31</f>
        <v>0</v>
      </c>
      <c r="O983" s="66">
        <f>dagwerk31</f>
        <v>0</v>
      </c>
      <c r="P983" s="62" t="s">
        <v>40</v>
      </c>
      <c r="Q983" s="67">
        <f>uurtarief31</f>
        <v>0</v>
      </c>
      <c r="R983" s="64" t="e">
        <f t="shared" si="322"/>
        <v>#DIV/0!</v>
      </c>
      <c r="S983" s="64" t="e">
        <f t="shared" si="323"/>
        <v>#DIV/0!</v>
      </c>
      <c r="T983" s="67" t="e">
        <f t="shared" si="324"/>
        <v>#DIV/0!</v>
      </c>
      <c r="U983" s="64" t="e">
        <f t="shared" si="325"/>
        <v>#DIV/0!</v>
      </c>
      <c r="V983" s="69" t="e">
        <f t="shared" si="326"/>
        <v>#DIV/0!</v>
      </c>
    </row>
    <row r="984" spans="1:22" x14ac:dyDescent="0.3">
      <c r="A984" s="61" t="s">
        <v>1440</v>
      </c>
      <c r="B984" s="62" t="s">
        <v>1441</v>
      </c>
      <c r="C984" s="62" t="s">
        <v>318</v>
      </c>
      <c r="D984" s="62" t="s">
        <v>1446</v>
      </c>
      <c r="E984" s="63" t="s">
        <v>428</v>
      </c>
      <c r="F984" s="62" t="s">
        <v>365</v>
      </c>
      <c r="G984" s="62" t="s">
        <v>272</v>
      </c>
      <c r="H984" s="62" t="s">
        <v>11</v>
      </c>
      <c r="I984" s="62" t="s">
        <v>210</v>
      </c>
      <c r="J984" s="63" t="s">
        <v>273</v>
      </c>
      <c r="K984" s="62" t="s">
        <v>317</v>
      </c>
      <c r="L984" s="64">
        <v>10.4</v>
      </c>
      <c r="M984" s="64">
        <f t="shared" si="321"/>
        <v>10.4</v>
      </c>
      <c r="N984" s="65">
        <f>prodnorm42</f>
        <v>0</v>
      </c>
      <c r="O984" s="66">
        <f>dagwerk42</f>
        <v>0</v>
      </c>
      <c r="P984" s="62" t="s">
        <v>40</v>
      </c>
      <c r="Q984" s="67">
        <f>uurtarief42</f>
        <v>0</v>
      </c>
      <c r="R984" s="64" t="e">
        <f t="shared" si="322"/>
        <v>#DIV/0!</v>
      </c>
      <c r="S984" s="64" t="e">
        <f t="shared" si="323"/>
        <v>#DIV/0!</v>
      </c>
      <c r="T984" s="67" t="e">
        <f t="shared" si="324"/>
        <v>#DIV/0!</v>
      </c>
      <c r="U984" s="64" t="e">
        <f t="shared" si="325"/>
        <v>#DIV/0!</v>
      </c>
      <c r="V984" s="69" t="e">
        <f t="shared" si="326"/>
        <v>#DIV/0!</v>
      </c>
    </row>
    <row r="985" spans="1:22" x14ac:dyDescent="0.3">
      <c r="A985" s="61" t="s">
        <v>1440</v>
      </c>
      <c r="B985" s="62" t="s">
        <v>1441</v>
      </c>
      <c r="C985" s="62" t="s">
        <v>318</v>
      </c>
      <c r="D985" s="62" t="s">
        <v>1447</v>
      </c>
      <c r="E985" s="63" t="s">
        <v>428</v>
      </c>
      <c r="F985" s="62" t="s">
        <v>365</v>
      </c>
      <c r="G985" s="62" t="s">
        <v>272</v>
      </c>
      <c r="H985" s="62" t="s">
        <v>11</v>
      </c>
      <c r="I985" s="62" t="s">
        <v>210</v>
      </c>
      <c r="J985" s="63" t="s">
        <v>273</v>
      </c>
      <c r="K985" s="62" t="s">
        <v>317</v>
      </c>
      <c r="L985" s="64">
        <v>9.6</v>
      </c>
      <c r="M985" s="64">
        <f t="shared" si="321"/>
        <v>9.6</v>
      </c>
      <c r="N985" s="65">
        <f>prodnorm42</f>
        <v>0</v>
      </c>
      <c r="O985" s="66">
        <f>dagwerk42</f>
        <v>0</v>
      </c>
      <c r="P985" s="62" t="s">
        <v>40</v>
      </c>
      <c r="Q985" s="67">
        <f>uurtarief42</f>
        <v>0</v>
      </c>
      <c r="R985" s="64" t="e">
        <f t="shared" si="322"/>
        <v>#DIV/0!</v>
      </c>
      <c r="S985" s="64" t="e">
        <f t="shared" si="323"/>
        <v>#DIV/0!</v>
      </c>
      <c r="T985" s="67" t="e">
        <f t="shared" si="324"/>
        <v>#DIV/0!</v>
      </c>
      <c r="U985" s="64" t="e">
        <f t="shared" si="325"/>
        <v>#DIV/0!</v>
      </c>
      <c r="V985" s="69" t="e">
        <f t="shared" si="326"/>
        <v>#DIV/0!</v>
      </c>
    </row>
    <row r="986" spans="1:22" x14ac:dyDescent="0.3">
      <c r="A986" s="61" t="s">
        <v>1440</v>
      </c>
      <c r="B986" s="62" t="s">
        <v>1441</v>
      </c>
      <c r="C986" s="62" t="s">
        <v>318</v>
      </c>
      <c r="D986" s="62" t="s">
        <v>1448</v>
      </c>
      <c r="E986" s="63" t="s">
        <v>391</v>
      </c>
      <c r="F986" s="62" t="s">
        <v>365</v>
      </c>
      <c r="G986" s="62" t="s">
        <v>234</v>
      </c>
      <c r="H986" s="62" t="s">
        <v>14</v>
      </c>
      <c r="I986" s="62" t="s">
        <v>210</v>
      </c>
      <c r="J986" s="63" t="s">
        <v>235</v>
      </c>
      <c r="K986" s="62" t="s">
        <v>317</v>
      </c>
      <c r="L986" s="64">
        <v>59.3</v>
      </c>
      <c r="M986" s="64">
        <f t="shared" si="321"/>
        <v>35.58</v>
      </c>
      <c r="N986" s="65">
        <f>prodnorm22</f>
        <v>0</v>
      </c>
      <c r="O986" s="66">
        <f>dagwerk22</f>
        <v>0</v>
      </c>
      <c r="P986" s="62" t="s">
        <v>40</v>
      </c>
      <c r="Q986" s="67">
        <f>uurtarief22</f>
        <v>0</v>
      </c>
      <c r="R986" s="64" t="e">
        <f t="shared" si="322"/>
        <v>#DIV/0!</v>
      </c>
      <c r="S986" s="64" t="e">
        <f t="shared" si="323"/>
        <v>#DIV/0!</v>
      </c>
      <c r="T986" s="67" t="e">
        <f t="shared" si="324"/>
        <v>#DIV/0!</v>
      </c>
      <c r="U986" s="64" t="e">
        <f t="shared" si="325"/>
        <v>#DIV/0!</v>
      </c>
      <c r="V986" s="69" t="e">
        <f t="shared" si="326"/>
        <v>#DIV/0!</v>
      </c>
    </row>
    <row r="987" spans="1:22" x14ac:dyDescent="0.3">
      <c r="A987" s="61" t="s">
        <v>1440</v>
      </c>
      <c r="B987" s="62" t="s">
        <v>1441</v>
      </c>
      <c r="C987" s="62" t="s">
        <v>318</v>
      </c>
      <c r="D987" s="62" t="s">
        <v>1449</v>
      </c>
      <c r="E987" s="63" t="s">
        <v>356</v>
      </c>
      <c r="F987" s="62" t="s">
        <v>365</v>
      </c>
      <c r="G987" s="62" t="s">
        <v>209</v>
      </c>
      <c r="H987" s="62" t="s">
        <v>17</v>
      </c>
      <c r="I987" s="62" t="s">
        <v>210</v>
      </c>
      <c r="J987" s="63" t="s">
        <v>211</v>
      </c>
      <c r="K987" s="62" t="s">
        <v>317</v>
      </c>
      <c r="L987" s="64">
        <v>14.2</v>
      </c>
      <c r="M987" s="64">
        <f t="shared" si="321"/>
        <v>2.84</v>
      </c>
      <c r="N987" s="65">
        <f>prodnorm10</f>
        <v>0</v>
      </c>
      <c r="O987" s="66">
        <f>dagwerk10</f>
        <v>0</v>
      </c>
      <c r="P987" s="62" t="s">
        <v>40</v>
      </c>
      <c r="Q987" s="67">
        <f>uurtarief10</f>
        <v>0</v>
      </c>
      <c r="R987" s="64" t="e">
        <f t="shared" si="322"/>
        <v>#DIV/0!</v>
      </c>
      <c r="S987" s="64" t="e">
        <f t="shared" si="323"/>
        <v>#DIV/0!</v>
      </c>
      <c r="T987" s="67" t="e">
        <f t="shared" si="324"/>
        <v>#DIV/0!</v>
      </c>
      <c r="U987" s="64" t="e">
        <f t="shared" si="325"/>
        <v>#DIV/0!</v>
      </c>
      <c r="V987" s="69" t="e">
        <f t="shared" si="326"/>
        <v>#DIV/0!</v>
      </c>
    </row>
    <row r="988" spans="1:22" x14ac:dyDescent="0.3">
      <c r="A988" s="61" t="s">
        <v>1440</v>
      </c>
      <c r="B988" s="62" t="s">
        <v>1441</v>
      </c>
      <c r="C988" s="62" t="s">
        <v>318</v>
      </c>
      <c r="D988" s="62" t="s">
        <v>1450</v>
      </c>
      <c r="E988" s="63" t="s">
        <v>321</v>
      </c>
      <c r="F988" s="62" t="s">
        <v>331</v>
      </c>
      <c r="G988" s="62" t="s">
        <v>323</v>
      </c>
      <c r="H988" s="62"/>
      <c r="I988" s="62"/>
      <c r="J988" s="62"/>
      <c r="K988" s="62" t="s">
        <v>317</v>
      </c>
      <c r="L988" s="64">
        <v>1.8</v>
      </c>
      <c r="M988" s="64"/>
      <c r="N988" s="65"/>
      <c r="O988" s="66"/>
      <c r="P988" s="62"/>
      <c r="Q988" s="67"/>
      <c r="R988" s="64"/>
      <c r="S988" s="64"/>
      <c r="T988" s="67"/>
      <c r="U988" s="68"/>
      <c r="V988" s="69"/>
    </row>
    <row r="989" spans="1:22" x14ac:dyDescent="0.3">
      <c r="A989" s="61" t="s">
        <v>1440</v>
      </c>
      <c r="B989" s="62" t="s">
        <v>1441</v>
      </c>
      <c r="C989" s="62" t="s">
        <v>318</v>
      </c>
      <c r="D989" s="62" t="s">
        <v>1451</v>
      </c>
      <c r="E989" s="63" t="s">
        <v>352</v>
      </c>
      <c r="F989" s="62" t="s">
        <v>331</v>
      </c>
      <c r="G989" s="62" t="s">
        <v>266</v>
      </c>
      <c r="H989" s="62" t="s">
        <v>11</v>
      </c>
      <c r="I989" s="62" t="s">
        <v>210</v>
      </c>
      <c r="J989" s="63" t="s">
        <v>267</v>
      </c>
      <c r="K989" s="62" t="s">
        <v>317</v>
      </c>
      <c r="L989" s="64">
        <v>4.5</v>
      </c>
      <c r="M989" s="64">
        <f>L989*VLOOKUP(H989,dagsoorttabel1,2,FALSE)</f>
        <v>4.5</v>
      </c>
      <c r="N989" s="65">
        <f>prodnorm39</f>
        <v>0</v>
      </c>
      <c r="O989" s="66">
        <f>dagwerk39</f>
        <v>0</v>
      </c>
      <c r="P989" s="62" t="s">
        <v>40</v>
      </c>
      <c r="Q989" s="67">
        <f>uurtarief39</f>
        <v>0</v>
      </c>
      <c r="R989" s="64" t="e">
        <f>IF(ISBLANK(N989),0,M989/ROUND(N989,4))</f>
        <v>#DIV/0!</v>
      </c>
      <c r="S989" s="64" t="e">
        <f>IF(ISBLANK(N989),0,R989*ROUND(O989,2))</f>
        <v>#DIV/0!</v>
      </c>
      <c r="T989" s="67" t="e">
        <f>ROUND(Q989,2)*R989</f>
        <v>#DIV/0!</v>
      </c>
      <c r="U989" s="64" t="e">
        <f>R989*dagenperjaar1</f>
        <v>#DIV/0!</v>
      </c>
      <c r="V989" s="69" t="e">
        <f>U989*ROUND(Q989,2)</f>
        <v>#DIV/0!</v>
      </c>
    </row>
    <row r="990" spans="1:22" x14ac:dyDescent="0.3">
      <c r="A990" s="61" t="s">
        <v>1440</v>
      </c>
      <c r="B990" s="62" t="s">
        <v>1441</v>
      </c>
      <c r="C990" s="62" t="s">
        <v>318</v>
      </c>
      <c r="D990" s="62" t="s">
        <v>1452</v>
      </c>
      <c r="E990" s="63" t="s">
        <v>352</v>
      </c>
      <c r="F990" s="62" t="s">
        <v>331</v>
      </c>
      <c r="G990" s="62" t="s">
        <v>266</v>
      </c>
      <c r="H990" s="62" t="s">
        <v>11</v>
      </c>
      <c r="I990" s="62" t="s">
        <v>210</v>
      </c>
      <c r="J990" s="63" t="s">
        <v>267</v>
      </c>
      <c r="K990" s="62" t="s">
        <v>317</v>
      </c>
      <c r="L990" s="64">
        <v>1</v>
      </c>
      <c r="M990" s="64">
        <f>L990*VLOOKUP(H990,dagsoorttabel1,2,FALSE)</f>
        <v>1</v>
      </c>
      <c r="N990" s="65">
        <f>prodnorm39</f>
        <v>0</v>
      </c>
      <c r="O990" s="66">
        <f>dagwerk39</f>
        <v>0</v>
      </c>
      <c r="P990" s="62" t="s">
        <v>40</v>
      </c>
      <c r="Q990" s="67">
        <f>uurtarief39</f>
        <v>0</v>
      </c>
      <c r="R990" s="64" t="e">
        <f>IF(ISBLANK(N990),0,M990/ROUND(N990,4))</f>
        <v>#DIV/0!</v>
      </c>
      <c r="S990" s="64" t="e">
        <f>IF(ISBLANK(N990),0,R990*ROUND(O990,2))</f>
        <v>#DIV/0!</v>
      </c>
      <c r="T990" s="67" t="e">
        <f>ROUND(Q990,2)*R990</f>
        <v>#DIV/0!</v>
      </c>
      <c r="U990" s="64" t="e">
        <f>R990*dagenperjaar1</f>
        <v>#DIV/0!</v>
      </c>
      <c r="V990" s="69" t="e">
        <f>U990*ROUND(Q990,2)</f>
        <v>#DIV/0!</v>
      </c>
    </row>
    <row r="991" spans="1:22" x14ac:dyDescent="0.3">
      <c r="A991" s="61" t="s">
        <v>1440</v>
      </c>
      <c r="B991" s="62" t="s">
        <v>1441</v>
      </c>
      <c r="C991" s="62" t="s">
        <v>318</v>
      </c>
      <c r="D991" s="62" t="s">
        <v>1453</v>
      </c>
      <c r="E991" s="63" t="s">
        <v>352</v>
      </c>
      <c r="F991" s="62" t="s">
        <v>331</v>
      </c>
      <c r="G991" s="62" t="s">
        <v>266</v>
      </c>
      <c r="H991" s="62" t="s">
        <v>11</v>
      </c>
      <c r="I991" s="62" t="s">
        <v>210</v>
      </c>
      <c r="J991" s="63" t="s">
        <v>267</v>
      </c>
      <c r="K991" s="62" t="s">
        <v>317</v>
      </c>
      <c r="L991" s="64">
        <v>1</v>
      </c>
      <c r="M991" s="64">
        <f>L991*VLOOKUP(H991,dagsoorttabel1,2,FALSE)</f>
        <v>1</v>
      </c>
      <c r="N991" s="65">
        <f>prodnorm39</f>
        <v>0</v>
      </c>
      <c r="O991" s="66">
        <f>dagwerk39</f>
        <v>0</v>
      </c>
      <c r="P991" s="62" t="s">
        <v>40</v>
      </c>
      <c r="Q991" s="67">
        <f>uurtarief39</f>
        <v>0</v>
      </c>
      <c r="R991" s="64" t="e">
        <f>IF(ISBLANK(N991),0,M991/ROUND(N991,4))</f>
        <v>#DIV/0!</v>
      </c>
      <c r="S991" s="64" t="e">
        <f>IF(ISBLANK(N991),0,R991*ROUND(O991,2))</f>
        <v>#DIV/0!</v>
      </c>
      <c r="T991" s="67" t="e">
        <f>ROUND(Q991,2)*R991</f>
        <v>#DIV/0!</v>
      </c>
      <c r="U991" s="64" t="e">
        <f>R991*dagenperjaar1</f>
        <v>#DIV/0!</v>
      </c>
      <c r="V991" s="69" t="e">
        <f>U991*ROUND(Q991,2)</f>
        <v>#DIV/0!</v>
      </c>
    </row>
    <row r="992" spans="1:22" x14ac:dyDescent="0.3">
      <c r="A992" s="61" t="s">
        <v>1440</v>
      </c>
      <c r="B992" s="62" t="s">
        <v>1441</v>
      </c>
      <c r="C992" s="62" t="s">
        <v>318</v>
      </c>
      <c r="D992" s="62" t="s">
        <v>1454</v>
      </c>
      <c r="E992" s="63" t="s">
        <v>428</v>
      </c>
      <c r="F992" s="62" t="s">
        <v>365</v>
      </c>
      <c r="G992" s="62" t="s">
        <v>272</v>
      </c>
      <c r="H992" s="62" t="s">
        <v>11</v>
      </c>
      <c r="I992" s="62" t="s">
        <v>210</v>
      </c>
      <c r="J992" s="63" t="s">
        <v>273</v>
      </c>
      <c r="K992" s="62" t="s">
        <v>317</v>
      </c>
      <c r="L992" s="64">
        <v>12.9</v>
      </c>
      <c r="M992" s="64">
        <f>L992*VLOOKUP(H992,dagsoorttabel1,2,FALSE)</f>
        <v>12.9</v>
      </c>
      <c r="N992" s="65">
        <f>prodnorm42</f>
        <v>0</v>
      </c>
      <c r="O992" s="66">
        <f>dagwerk42</f>
        <v>0</v>
      </c>
      <c r="P992" s="62" t="s">
        <v>40</v>
      </c>
      <c r="Q992" s="67">
        <f>uurtarief42</f>
        <v>0</v>
      </c>
      <c r="R992" s="64" t="e">
        <f>IF(ISBLANK(N992),0,M992/ROUND(N992,4))</f>
        <v>#DIV/0!</v>
      </c>
      <c r="S992" s="64" t="e">
        <f>IF(ISBLANK(N992),0,R992*ROUND(O992,2))</f>
        <v>#DIV/0!</v>
      </c>
      <c r="T992" s="67" t="e">
        <f>ROUND(Q992,2)*R992</f>
        <v>#DIV/0!</v>
      </c>
      <c r="U992" s="64" t="e">
        <f>R992*dagenperjaar1</f>
        <v>#DIV/0!</v>
      </c>
      <c r="V992" s="69" t="e">
        <f>U992*ROUND(Q992,2)</f>
        <v>#DIV/0!</v>
      </c>
    </row>
    <row r="993" spans="1:22" x14ac:dyDescent="0.3">
      <c r="A993" s="61" t="s">
        <v>1440</v>
      </c>
      <c r="B993" s="62" t="s">
        <v>1441</v>
      </c>
      <c r="C993" s="62" t="s">
        <v>318</v>
      </c>
      <c r="D993" s="62" t="s">
        <v>1455</v>
      </c>
      <c r="E993" s="63" t="s">
        <v>391</v>
      </c>
      <c r="F993" s="62" t="s">
        <v>365</v>
      </c>
      <c r="G993" s="62" t="s">
        <v>234</v>
      </c>
      <c r="H993" s="62" t="s">
        <v>14</v>
      </c>
      <c r="I993" s="62" t="s">
        <v>210</v>
      </c>
      <c r="J993" s="63" t="s">
        <v>235</v>
      </c>
      <c r="K993" s="62" t="s">
        <v>317</v>
      </c>
      <c r="L993" s="64">
        <v>13.2</v>
      </c>
      <c r="M993" s="64">
        <f>L993*VLOOKUP(H993,dagsoorttabel1,2,FALSE)</f>
        <v>7.919999999999999</v>
      </c>
      <c r="N993" s="65">
        <f>prodnorm22</f>
        <v>0</v>
      </c>
      <c r="O993" s="66">
        <f>dagwerk22</f>
        <v>0</v>
      </c>
      <c r="P993" s="62" t="s">
        <v>40</v>
      </c>
      <c r="Q993" s="67">
        <f>uurtarief22</f>
        <v>0</v>
      </c>
      <c r="R993" s="64" t="e">
        <f>IF(ISBLANK(N993),0,M993/ROUND(N993,4))</f>
        <v>#DIV/0!</v>
      </c>
      <c r="S993" s="64" t="e">
        <f>IF(ISBLANK(N993),0,R993*ROUND(O993,2))</f>
        <v>#DIV/0!</v>
      </c>
      <c r="T993" s="67" t="e">
        <f>ROUND(Q993,2)*R993</f>
        <v>#DIV/0!</v>
      </c>
      <c r="U993" s="64" t="e">
        <f>R993*dagenperjaar1</f>
        <v>#DIV/0!</v>
      </c>
      <c r="V993" s="69" t="e">
        <f>U993*ROUND(Q993,2)</f>
        <v>#DIV/0!</v>
      </c>
    </row>
    <row r="994" spans="1:22" x14ac:dyDescent="0.3">
      <c r="A994" s="61" t="s">
        <v>1440</v>
      </c>
      <c r="B994" s="62" t="s">
        <v>1441</v>
      </c>
      <c r="C994" s="62" t="s">
        <v>318</v>
      </c>
      <c r="D994" s="62" t="s">
        <v>1456</v>
      </c>
      <c r="E994" s="63" t="s">
        <v>321</v>
      </c>
      <c r="F994" s="62" t="s">
        <v>331</v>
      </c>
      <c r="G994" s="62" t="s">
        <v>323</v>
      </c>
      <c r="H994" s="62"/>
      <c r="I994" s="62"/>
      <c r="J994" s="62"/>
      <c r="K994" s="62" t="s">
        <v>317</v>
      </c>
      <c r="L994" s="64">
        <v>1.1000000000000001</v>
      </c>
      <c r="M994" s="64"/>
      <c r="N994" s="65"/>
      <c r="O994" s="66"/>
      <c r="P994" s="62"/>
      <c r="Q994" s="67"/>
      <c r="R994" s="64"/>
      <c r="S994" s="64"/>
      <c r="T994" s="67"/>
      <c r="U994" s="68"/>
      <c r="V994" s="69"/>
    </row>
    <row r="995" spans="1:22" x14ac:dyDescent="0.3">
      <c r="A995" s="61" t="s">
        <v>1440</v>
      </c>
      <c r="B995" s="62" t="s">
        <v>1441</v>
      </c>
      <c r="C995" s="62" t="s">
        <v>318</v>
      </c>
      <c r="D995" s="62" t="s">
        <v>1457</v>
      </c>
      <c r="E995" s="63" t="s">
        <v>321</v>
      </c>
      <c r="F995" s="62" t="s">
        <v>331</v>
      </c>
      <c r="G995" s="62" t="s">
        <v>323</v>
      </c>
      <c r="H995" s="62"/>
      <c r="I995" s="62"/>
      <c r="J995" s="62"/>
      <c r="K995" s="62" t="s">
        <v>317</v>
      </c>
      <c r="L995" s="64">
        <v>1</v>
      </c>
      <c r="M995" s="64"/>
      <c r="N995" s="65"/>
      <c r="O995" s="66"/>
      <c r="P995" s="62"/>
      <c r="Q995" s="67"/>
      <c r="R995" s="64"/>
      <c r="S995" s="64"/>
      <c r="T995" s="67"/>
      <c r="U995" s="68"/>
      <c r="V995" s="69"/>
    </row>
    <row r="996" spans="1:22" x14ac:dyDescent="0.3">
      <c r="A996" s="61" t="s">
        <v>1440</v>
      </c>
      <c r="B996" s="62" t="s">
        <v>1441</v>
      </c>
      <c r="C996" s="62" t="s">
        <v>318</v>
      </c>
      <c r="D996" s="62" t="s">
        <v>1458</v>
      </c>
      <c r="E996" s="63" t="s">
        <v>428</v>
      </c>
      <c r="F996" s="62" t="s">
        <v>331</v>
      </c>
      <c r="G996" s="62" t="s">
        <v>272</v>
      </c>
      <c r="H996" s="62" t="s">
        <v>11</v>
      </c>
      <c r="I996" s="62" t="s">
        <v>210</v>
      </c>
      <c r="J996" s="63" t="s">
        <v>273</v>
      </c>
      <c r="K996" s="62" t="s">
        <v>317</v>
      </c>
      <c r="L996" s="64">
        <v>3</v>
      </c>
      <c r="M996" s="64">
        <f>L996*VLOOKUP(H996,dagsoorttabel1,2,FALSE)</f>
        <v>3</v>
      </c>
      <c r="N996" s="65">
        <f>prodnorm42</f>
        <v>0</v>
      </c>
      <c r="O996" s="66">
        <f>dagwerk42</f>
        <v>0</v>
      </c>
      <c r="P996" s="62" t="s">
        <v>40</v>
      </c>
      <c r="Q996" s="67">
        <f>uurtarief42</f>
        <v>0</v>
      </c>
      <c r="R996" s="64" t="e">
        <f>IF(ISBLANK(N996),0,M996/ROUND(N996,4))</f>
        <v>#DIV/0!</v>
      </c>
      <c r="S996" s="64" t="e">
        <f>IF(ISBLANK(N996),0,R996*ROUND(O996,2))</f>
        <v>#DIV/0!</v>
      </c>
      <c r="T996" s="67" t="e">
        <f>ROUND(Q996,2)*R996</f>
        <v>#DIV/0!</v>
      </c>
      <c r="U996" s="64" t="e">
        <f>R996*dagenperjaar1</f>
        <v>#DIV/0!</v>
      </c>
      <c r="V996" s="69" t="e">
        <f>U996*ROUND(Q996,2)</f>
        <v>#DIV/0!</v>
      </c>
    </row>
    <row r="997" spans="1:22" x14ac:dyDescent="0.3">
      <c r="A997" s="61" t="s">
        <v>1440</v>
      </c>
      <c r="B997" s="62" t="s">
        <v>1441</v>
      </c>
      <c r="C997" s="62" t="s">
        <v>318</v>
      </c>
      <c r="D997" s="62" t="s">
        <v>1459</v>
      </c>
      <c r="E997" s="63" t="s">
        <v>391</v>
      </c>
      <c r="F997" s="62" t="s">
        <v>365</v>
      </c>
      <c r="G997" s="62" t="s">
        <v>234</v>
      </c>
      <c r="H997" s="62" t="s">
        <v>14</v>
      </c>
      <c r="I997" s="62" t="s">
        <v>210</v>
      </c>
      <c r="J997" s="63" t="s">
        <v>235</v>
      </c>
      <c r="K997" s="62" t="s">
        <v>317</v>
      </c>
      <c r="L997" s="64">
        <v>38.1</v>
      </c>
      <c r="M997" s="64">
        <f>L997*VLOOKUP(H997,dagsoorttabel1,2,FALSE)</f>
        <v>22.86</v>
      </c>
      <c r="N997" s="65">
        <f>prodnorm22</f>
        <v>0</v>
      </c>
      <c r="O997" s="66">
        <f>dagwerk22</f>
        <v>0</v>
      </c>
      <c r="P997" s="62" t="s">
        <v>40</v>
      </c>
      <c r="Q997" s="67">
        <f>uurtarief22</f>
        <v>0</v>
      </c>
      <c r="R997" s="64" t="e">
        <f>IF(ISBLANK(N997),0,M997/ROUND(N997,4))</f>
        <v>#DIV/0!</v>
      </c>
      <c r="S997" s="64" t="e">
        <f>IF(ISBLANK(N997),0,R997*ROUND(O997,2))</f>
        <v>#DIV/0!</v>
      </c>
      <c r="T997" s="67" t="e">
        <f>ROUND(Q997,2)*R997</f>
        <v>#DIV/0!</v>
      </c>
      <c r="U997" s="64" t="e">
        <f>R997*dagenperjaar1</f>
        <v>#DIV/0!</v>
      </c>
      <c r="V997" s="69" t="e">
        <f>U997*ROUND(Q997,2)</f>
        <v>#DIV/0!</v>
      </c>
    </row>
    <row r="998" spans="1:22" x14ac:dyDescent="0.3">
      <c r="A998" s="61" t="s">
        <v>1440</v>
      </c>
      <c r="B998" s="62" t="s">
        <v>1441</v>
      </c>
      <c r="C998" s="62" t="s">
        <v>318</v>
      </c>
      <c r="D998" s="62" t="s">
        <v>1460</v>
      </c>
      <c r="E998" s="63" t="s">
        <v>321</v>
      </c>
      <c r="F998" s="62" t="s">
        <v>365</v>
      </c>
      <c r="G998" s="62" t="s">
        <v>323</v>
      </c>
      <c r="H998" s="62"/>
      <c r="I998" s="62"/>
      <c r="J998" s="62"/>
      <c r="K998" s="62" t="s">
        <v>317</v>
      </c>
      <c r="L998" s="64">
        <v>3.79</v>
      </c>
      <c r="M998" s="64"/>
      <c r="N998" s="65"/>
      <c r="O998" s="66"/>
      <c r="P998" s="62"/>
      <c r="Q998" s="67"/>
      <c r="R998" s="64"/>
      <c r="S998" s="64"/>
      <c r="T998" s="67"/>
      <c r="U998" s="68"/>
      <c r="V998" s="69"/>
    </row>
    <row r="999" spans="1:22" x14ac:dyDescent="0.3">
      <c r="A999" s="61" t="s">
        <v>1440</v>
      </c>
      <c r="B999" s="62" t="s">
        <v>1441</v>
      </c>
      <c r="C999" s="62" t="s">
        <v>318</v>
      </c>
      <c r="D999" s="62" t="s">
        <v>1461</v>
      </c>
      <c r="E999" s="63" t="s">
        <v>356</v>
      </c>
      <c r="F999" s="62" t="s">
        <v>348</v>
      </c>
      <c r="G999" s="62" t="s">
        <v>212</v>
      </c>
      <c r="H999" s="62" t="s">
        <v>17</v>
      </c>
      <c r="I999" s="62" t="s">
        <v>210</v>
      </c>
      <c r="J999" s="63" t="s">
        <v>213</v>
      </c>
      <c r="K999" s="62" t="s">
        <v>317</v>
      </c>
      <c r="L999" s="64">
        <v>11.2</v>
      </c>
      <c r="M999" s="64">
        <f t="shared" ref="M999:M1004" si="327">L999*VLOOKUP(H999,dagsoorttabel1,2,FALSE)</f>
        <v>2.2399999999999998</v>
      </c>
      <c r="N999" s="65">
        <f>prodnorm11</f>
        <v>0</v>
      </c>
      <c r="O999" s="66">
        <f>dagwerk11</f>
        <v>0</v>
      </c>
      <c r="P999" s="62" t="s">
        <v>40</v>
      </c>
      <c r="Q999" s="67">
        <f>uurtarief11</f>
        <v>0</v>
      </c>
      <c r="R999" s="64" t="e">
        <f t="shared" ref="R999:R1004" si="328">IF(ISBLANK(N999),0,M999/ROUND(N999,4))</f>
        <v>#DIV/0!</v>
      </c>
      <c r="S999" s="64" t="e">
        <f t="shared" ref="S999:S1004" si="329">IF(ISBLANK(N999),0,R999*ROUND(O999,2))</f>
        <v>#DIV/0!</v>
      </c>
      <c r="T999" s="67" t="e">
        <f t="shared" ref="T999:T1004" si="330">ROUND(Q999,2)*R999</f>
        <v>#DIV/0!</v>
      </c>
      <c r="U999" s="64" t="e">
        <f t="shared" ref="U999:U1004" si="331">R999*dagenperjaar1</f>
        <v>#DIV/0!</v>
      </c>
      <c r="V999" s="69" t="e">
        <f t="shared" ref="V999:V1004" si="332">U999*ROUND(Q999,2)</f>
        <v>#DIV/0!</v>
      </c>
    </row>
    <row r="1000" spans="1:22" x14ac:dyDescent="0.3">
      <c r="A1000" s="61" t="s">
        <v>1440</v>
      </c>
      <c r="B1000" s="62" t="s">
        <v>1462</v>
      </c>
      <c r="C1000" s="62" t="s">
        <v>318</v>
      </c>
      <c r="D1000" s="62" t="s">
        <v>1463</v>
      </c>
      <c r="E1000" s="63" t="s">
        <v>428</v>
      </c>
      <c r="F1000" s="62" t="s">
        <v>348</v>
      </c>
      <c r="G1000" s="62" t="s">
        <v>274</v>
      </c>
      <c r="H1000" s="62" t="s">
        <v>11</v>
      </c>
      <c r="I1000" s="62" t="s">
        <v>210</v>
      </c>
      <c r="J1000" s="63" t="s">
        <v>275</v>
      </c>
      <c r="K1000" s="62" t="s">
        <v>317</v>
      </c>
      <c r="L1000" s="64">
        <v>3.84</v>
      </c>
      <c r="M1000" s="64">
        <f t="shared" si="327"/>
        <v>3.84</v>
      </c>
      <c r="N1000" s="65">
        <f>prodnorm43</f>
        <v>0</v>
      </c>
      <c r="O1000" s="66">
        <f>dagwerk43</f>
        <v>0</v>
      </c>
      <c r="P1000" s="62" t="s">
        <v>40</v>
      </c>
      <c r="Q1000" s="67">
        <f>uurtarief43</f>
        <v>0</v>
      </c>
      <c r="R1000" s="64" t="e">
        <f t="shared" si="328"/>
        <v>#DIV/0!</v>
      </c>
      <c r="S1000" s="64" t="e">
        <f t="shared" si="329"/>
        <v>#DIV/0!</v>
      </c>
      <c r="T1000" s="67" t="e">
        <f t="shared" si="330"/>
        <v>#DIV/0!</v>
      </c>
      <c r="U1000" s="64" t="e">
        <f t="shared" si="331"/>
        <v>#DIV/0!</v>
      </c>
      <c r="V1000" s="69" t="e">
        <f t="shared" si="332"/>
        <v>#DIV/0!</v>
      </c>
    </row>
    <row r="1001" spans="1:22" x14ac:dyDescent="0.3">
      <c r="A1001" s="61" t="s">
        <v>1440</v>
      </c>
      <c r="B1001" s="62" t="s">
        <v>1462</v>
      </c>
      <c r="C1001" s="62" t="s">
        <v>318</v>
      </c>
      <c r="D1001" s="62" t="s">
        <v>1464</v>
      </c>
      <c r="E1001" s="63" t="s">
        <v>428</v>
      </c>
      <c r="F1001" s="62" t="s">
        <v>365</v>
      </c>
      <c r="G1001" s="62" t="s">
        <v>272</v>
      </c>
      <c r="H1001" s="62" t="s">
        <v>11</v>
      </c>
      <c r="I1001" s="62" t="s">
        <v>210</v>
      </c>
      <c r="J1001" s="63" t="s">
        <v>273</v>
      </c>
      <c r="K1001" s="62" t="s">
        <v>317</v>
      </c>
      <c r="L1001" s="64">
        <v>15.27</v>
      </c>
      <c r="M1001" s="64">
        <f t="shared" si="327"/>
        <v>15.27</v>
      </c>
      <c r="N1001" s="65">
        <f>prodnorm42</f>
        <v>0</v>
      </c>
      <c r="O1001" s="66">
        <f>dagwerk42</f>
        <v>0</v>
      </c>
      <c r="P1001" s="62" t="s">
        <v>40</v>
      </c>
      <c r="Q1001" s="67">
        <f>uurtarief42</f>
        <v>0</v>
      </c>
      <c r="R1001" s="64" t="e">
        <f t="shared" si="328"/>
        <v>#DIV/0!</v>
      </c>
      <c r="S1001" s="64" t="e">
        <f t="shared" si="329"/>
        <v>#DIV/0!</v>
      </c>
      <c r="T1001" s="67" t="e">
        <f t="shared" si="330"/>
        <v>#DIV/0!</v>
      </c>
      <c r="U1001" s="64" t="e">
        <f t="shared" si="331"/>
        <v>#DIV/0!</v>
      </c>
      <c r="V1001" s="69" t="e">
        <f t="shared" si="332"/>
        <v>#DIV/0!</v>
      </c>
    </row>
    <row r="1002" spans="1:22" x14ac:dyDescent="0.3">
      <c r="A1002" s="61" t="s">
        <v>1440</v>
      </c>
      <c r="B1002" s="62" t="s">
        <v>1462</v>
      </c>
      <c r="C1002" s="62" t="s">
        <v>318</v>
      </c>
      <c r="D1002" s="62" t="s">
        <v>1465</v>
      </c>
      <c r="E1002" s="63" t="s">
        <v>527</v>
      </c>
      <c r="F1002" s="62" t="s">
        <v>365</v>
      </c>
      <c r="G1002" s="62" t="s">
        <v>224</v>
      </c>
      <c r="H1002" s="62" t="s">
        <v>14</v>
      </c>
      <c r="I1002" s="62" t="s">
        <v>210</v>
      </c>
      <c r="J1002" s="63" t="s">
        <v>225</v>
      </c>
      <c r="K1002" s="62" t="s">
        <v>317</v>
      </c>
      <c r="L1002" s="64">
        <v>12.950000000000001</v>
      </c>
      <c r="M1002" s="64">
        <f t="shared" si="327"/>
        <v>7.7700000000000005</v>
      </c>
      <c r="N1002" s="65">
        <f>prodnorm17</f>
        <v>0</v>
      </c>
      <c r="O1002" s="66">
        <f>dagwerk17</f>
        <v>0</v>
      </c>
      <c r="P1002" s="62" t="s">
        <v>40</v>
      </c>
      <c r="Q1002" s="67">
        <f>uurtarief17</f>
        <v>0</v>
      </c>
      <c r="R1002" s="64" t="e">
        <f t="shared" si="328"/>
        <v>#DIV/0!</v>
      </c>
      <c r="S1002" s="64" t="e">
        <f t="shared" si="329"/>
        <v>#DIV/0!</v>
      </c>
      <c r="T1002" s="67" t="e">
        <f t="shared" si="330"/>
        <v>#DIV/0!</v>
      </c>
      <c r="U1002" s="64" t="e">
        <f t="shared" si="331"/>
        <v>#DIV/0!</v>
      </c>
      <c r="V1002" s="69" t="e">
        <f t="shared" si="332"/>
        <v>#DIV/0!</v>
      </c>
    </row>
    <row r="1003" spans="1:22" x14ac:dyDescent="0.3">
      <c r="A1003" s="61" t="s">
        <v>1440</v>
      </c>
      <c r="B1003" s="62" t="s">
        <v>1462</v>
      </c>
      <c r="C1003" s="62" t="s">
        <v>318</v>
      </c>
      <c r="D1003" s="62" t="s">
        <v>1466</v>
      </c>
      <c r="E1003" s="63" t="s">
        <v>428</v>
      </c>
      <c r="F1003" s="62" t="s">
        <v>365</v>
      </c>
      <c r="G1003" s="62" t="s">
        <v>272</v>
      </c>
      <c r="H1003" s="62" t="s">
        <v>11</v>
      </c>
      <c r="I1003" s="62" t="s">
        <v>210</v>
      </c>
      <c r="J1003" s="63" t="s">
        <v>273</v>
      </c>
      <c r="K1003" s="62" t="s">
        <v>317</v>
      </c>
      <c r="L1003" s="64">
        <v>4.4700000000000006</v>
      </c>
      <c r="M1003" s="64">
        <f t="shared" si="327"/>
        <v>4.4700000000000006</v>
      </c>
      <c r="N1003" s="65">
        <f>prodnorm42</f>
        <v>0</v>
      </c>
      <c r="O1003" s="66">
        <f>dagwerk42</f>
        <v>0</v>
      </c>
      <c r="P1003" s="62" t="s">
        <v>40</v>
      </c>
      <c r="Q1003" s="67">
        <f>uurtarief42</f>
        <v>0</v>
      </c>
      <c r="R1003" s="64" t="e">
        <f t="shared" si="328"/>
        <v>#DIV/0!</v>
      </c>
      <c r="S1003" s="64" t="e">
        <f t="shared" si="329"/>
        <v>#DIV/0!</v>
      </c>
      <c r="T1003" s="67" t="e">
        <f t="shared" si="330"/>
        <v>#DIV/0!</v>
      </c>
      <c r="U1003" s="64" t="e">
        <f t="shared" si="331"/>
        <v>#DIV/0!</v>
      </c>
      <c r="V1003" s="69" t="e">
        <f t="shared" si="332"/>
        <v>#DIV/0!</v>
      </c>
    </row>
    <row r="1004" spans="1:22" x14ac:dyDescent="0.3">
      <c r="A1004" s="61" t="s">
        <v>1440</v>
      </c>
      <c r="B1004" s="62" t="s">
        <v>1462</v>
      </c>
      <c r="C1004" s="62" t="s">
        <v>318</v>
      </c>
      <c r="D1004" s="62" t="s">
        <v>1467</v>
      </c>
      <c r="E1004" s="63" t="s">
        <v>356</v>
      </c>
      <c r="F1004" s="62" t="s">
        <v>348</v>
      </c>
      <c r="G1004" s="62" t="s">
        <v>212</v>
      </c>
      <c r="H1004" s="62" t="s">
        <v>17</v>
      </c>
      <c r="I1004" s="62" t="s">
        <v>210</v>
      </c>
      <c r="J1004" s="63" t="s">
        <v>213</v>
      </c>
      <c r="K1004" s="62" t="s">
        <v>317</v>
      </c>
      <c r="L1004" s="64">
        <v>11.98</v>
      </c>
      <c r="M1004" s="64">
        <f t="shared" si="327"/>
        <v>2.3960000000000004</v>
      </c>
      <c r="N1004" s="65">
        <f>prodnorm11</f>
        <v>0</v>
      </c>
      <c r="O1004" s="66">
        <f>dagwerk11</f>
        <v>0</v>
      </c>
      <c r="P1004" s="62" t="s">
        <v>40</v>
      </c>
      <c r="Q1004" s="67">
        <f>uurtarief11</f>
        <v>0</v>
      </c>
      <c r="R1004" s="64" t="e">
        <f t="shared" si="328"/>
        <v>#DIV/0!</v>
      </c>
      <c r="S1004" s="64" t="e">
        <f t="shared" si="329"/>
        <v>#DIV/0!</v>
      </c>
      <c r="T1004" s="67" t="e">
        <f t="shared" si="330"/>
        <v>#DIV/0!</v>
      </c>
      <c r="U1004" s="64" t="e">
        <f t="shared" si="331"/>
        <v>#DIV/0!</v>
      </c>
      <c r="V1004" s="69" t="e">
        <f t="shared" si="332"/>
        <v>#DIV/0!</v>
      </c>
    </row>
    <row r="1005" spans="1:22" x14ac:dyDescent="0.3">
      <c r="A1005" s="61" t="s">
        <v>1440</v>
      </c>
      <c r="B1005" s="62" t="s">
        <v>1462</v>
      </c>
      <c r="C1005" s="62" t="s">
        <v>318</v>
      </c>
      <c r="D1005" s="62" t="s">
        <v>1468</v>
      </c>
      <c r="E1005" s="63" t="s">
        <v>374</v>
      </c>
      <c r="F1005" s="62" t="s">
        <v>365</v>
      </c>
      <c r="G1005" s="62" t="s">
        <v>323</v>
      </c>
      <c r="H1005" s="62"/>
      <c r="I1005" s="62"/>
      <c r="J1005" s="62"/>
      <c r="K1005" s="62" t="s">
        <v>317</v>
      </c>
      <c r="L1005" s="64">
        <v>0.85000000000000009</v>
      </c>
      <c r="M1005" s="64"/>
      <c r="N1005" s="65"/>
      <c r="O1005" s="66"/>
      <c r="P1005" s="62"/>
      <c r="Q1005" s="67"/>
      <c r="R1005" s="64"/>
      <c r="S1005" s="64"/>
      <c r="T1005" s="67"/>
      <c r="U1005" s="68"/>
      <c r="V1005" s="69"/>
    </row>
    <row r="1006" spans="1:22" ht="28.8" x14ac:dyDescent="0.3">
      <c r="A1006" s="61" t="s">
        <v>1440</v>
      </c>
      <c r="B1006" s="62" t="s">
        <v>1462</v>
      </c>
      <c r="C1006" s="62" t="s">
        <v>318</v>
      </c>
      <c r="D1006" s="62" t="s">
        <v>1469</v>
      </c>
      <c r="E1006" s="63" t="s">
        <v>1156</v>
      </c>
      <c r="F1006" s="62" t="s">
        <v>365</v>
      </c>
      <c r="G1006" s="62" t="s">
        <v>246</v>
      </c>
      <c r="H1006" s="62" t="s">
        <v>20</v>
      </c>
      <c r="I1006" s="62" t="s">
        <v>210</v>
      </c>
      <c r="J1006" s="63" t="s">
        <v>247</v>
      </c>
      <c r="K1006" s="62" t="s">
        <v>317</v>
      </c>
      <c r="L1006" s="64">
        <v>8.629999999999999</v>
      </c>
      <c r="M1006" s="64">
        <f t="shared" ref="M1006:M1018" si="333">L1006*VLOOKUP(H1006,dagsoorttabel1,2,FALSE)</f>
        <v>0.4109523809523809</v>
      </c>
      <c r="N1006" s="65">
        <f>prodnorm28</f>
        <v>0</v>
      </c>
      <c r="O1006" s="66">
        <f>dagwerk28</f>
        <v>0</v>
      </c>
      <c r="P1006" s="62" t="s">
        <v>40</v>
      </c>
      <c r="Q1006" s="67">
        <f>uurtarief28</f>
        <v>0</v>
      </c>
      <c r="R1006" s="64" t="e">
        <f t="shared" ref="R1006:R1018" si="334">IF(ISBLANK(N1006),0,M1006/ROUND(N1006,4))</f>
        <v>#DIV/0!</v>
      </c>
      <c r="S1006" s="64" t="e">
        <f t="shared" ref="S1006:S1018" si="335">IF(ISBLANK(N1006),0,R1006*ROUND(O1006,2))</f>
        <v>#DIV/0!</v>
      </c>
      <c r="T1006" s="67" t="e">
        <f t="shared" ref="T1006:T1018" si="336">ROUND(Q1006,2)*R1006</f>
        <v>#DIV/0!</v>
      </c>
      <c r="U1006" s="64" t="e">
        <f t="shared" ref="U1006:U1018" si="337">R1006*dagenperjaar1</f>
        <v>#DIV/0!</v>
      </c>
      <c r="V1006" s="69" t="e">
        <f t="shared" ref="V1006:V1018" si="338">U1006*ROUND(Q1006,2)</f>
        <v>#DIV/0!</v>
      </c>
    </row>
    <row r="1007" spans="1:22" x14ac:dyDescent="0.3">
      <c r="A1007" s="61" t="s">
        <v>1440</v>
      </c>
      <c r="B1007" s="62" t="s">
        <v>1462</v>
      </c>
      <c r="C1007" s="62" t="s">
        <v>318</v>
      </c>
      <c r="D1007" s="62" t="s">
        <v>1470</v>
      </c>
      <c r="E1007" s="63" t="s">
        <v>352</v>
      </c>
      <c r="F1007" s="62" t="s">
        <v>432</v>
      </c>
      <c r="G1007" s="62" t="s">
        <v>266</v>
      </c>
      <c r="H1007" s="62" t="s">
        <v>11</v>
      </c>
      <c r="I1007" s="62" t="s">
        <v>210</v>
      </c>
      <c r="J1007" s="63" t="s">
        <v>267</v>
      </c>
      <c r="K1007" s="62" t="s">
        <v>317</v>
      </c>
      <c r="L1007" s="64">
        <v>2.2200000000000002</v>
      </c>
      <c r="M1007" s="64">
        <f t="shared" si="333"/>
        <v>2.2200000000000002</v>
      </c>
      <c r="N1007" s="65">
        <f>prodnorm39</f>
        <v>0</v>
      </c>
      <c r="O1007" s="66">
        <f>dagwerk39</f>
        <v>0</v>
      </c>
      <c r="P1007" s="62" t="s">
        <v>40</v>
      </c>
      <c r="Q1007" s="67">
        <f>uurtarief39</f>
        <v>0</v>
      </c>
      <c r="R1007" s="64" t="e">
        <f t="shared" si="334"/>
        <v>#DIV/0!</v>
      </c>
      <c r="S1007" s="64" t="e">
        <f t="shared" si="335"/>
        <v>#DIV/0!</v>
      </c>
      <c r="T1007" s="67" t="e">
        <f t="shared" si="336"/>
        <v>#DIV/0!</v>
      </c>
      <c r="U1007" s="64" t="e">
        <f t="shared" si="337"/>
        <v>#DIV/0!</v>
      </c>
      <c r="V1007" s="69" t="e">
        <f t="shared" si="338"/>
        <v>#DIV/0!</v>
      </c>
    </row>
    <row r="1008" spans="1:22" x14ac:dyDescent="0.3">
      <c r="A1008" s="61" t="s">
        <v>1440</v>
      </c>
      <c r="B1008" s="62" t="s">
        <v>1462</v>
      </c>
      <c r="C1008" s="62" t="s">
        <v>318</v>
      </c>
      <c r="D1008" s="62" t="s">
        <v>1471</v>
      </c>
      <c r="E1008" s="63" t="s">
        <v>356</v>
      </c>
      <c r="F1008" s="62" t="s">
        <v>365</v>
      </c>
      <c r="G1008" s="62" t="s">
        <v>209</v>
      </c>
      <c r="H1008" s="62" t="s">
        <v>17</v>
      </c>
      <c r="I1008" s="62" t="s">
        <v>210</v>
      </c>
      <c r="J1008" s="63" t="s">
        <v>211</v>
      </c>
      <c r="K1008" s="62" t="s">
        <v>317</v>
      </c>
      <c r="L1008" s="64">
        <v>27.150000000000002</v>
      </c>
      <c r="M1008" s="64">
        <f t="shared" si="333"/>
        <v>5.4300000000000006</v>
      </c>
      <c r="N1008" s="65">
        <f>prodnorm10</f>
        <v>0</v>
      </c>
      <c r="O1008" s="66">
        <f>dagwerk10</f>
        <v>0</v>
      </c>
      <c r="P1008" s="62" t="s">
        <v>40</v>
      </c>
      <c r="Q1008" s="67">
        <f>uurtarief10</f>
        <v>0</v>
      </c>
      <c r="R1008" s="64" t="e">
        <f t="shared" si="334"/>
        <v>#DIV/0!</v>
      </c>
      <c r="S1008" s="64" t="e">
        <f t="shared" si="335"/>
        <v>#DIV/0!</v>
      </c>
      <c r="T1008" s="67" t="e">
        <f t="shared" si="336"/>
        <v>#DIV/0!</v>
      </c>
      <c r="U1008" s="64" t="e">
        <f t="shared" si="337"/>
        <v>#DIV/0!</v>
      </c>
      <c r="V1008" s="69" t="e">
        <f t="shared" si="338"/>
        <v>#DIV/0!</v>
      </c>
    </row>
    <row r="1009" spans="1:22" x14ac:dyDescent="0.3">
      <c r="A1009" s="61" t="s">
        <v>1440</v>
      </c>
      <c r="B1009" s="62" t="s">
        <v>1462</v>
      </c>
      <c r="C1009" s="62" t="s">
        <v>318</v>
      </c>
      <c r="D1009" s="62" t="s">
        <v>1472</v>
      </c>
      <c r="E1009" s="63" t="s">
        <v>428</v>
      </c>
      <c r="F1009" s="62" t="s">
        <v>365</v>
      </c>
      <c r="G1009" s="62" t="s">
        <v>272</v>
      </c>
      <c r="H1009" s="62" t="s">
        <v>11</v>
      </c>
      <c r="I1009" s="62" t="s">
        <v>210</v>
      </c>
      <c r="J1009" s="63" t="s">
        <v>273</v>
      </c>
      <c r="K1009" s="62" t="s">
        <v>317</v>
      </c>
      <c r="L1009" s="64">
        <v>114.39</v>
      </c>
      <c r="M1009" s="64">
        <f t="shared" si="333"/>
        <v>114.39</v>
      </c>
      <c r="N1009" s="65">
        <f>prodnorm42</f>
        <v>0</v>
      </c>
      <c r="O1009" s="66">
        <f>dagwerk42</f>
        <v>0</v>
      </c>
      <c r="P1009" s="62" t="s">
        <v>40</v>
      </c>
      <c r="Q1009" s="67">
        <f>uurtarief42</f>
        <v>0</v>
      </c>
      <c r="R1009" s="64" t="e">
        <f t="shared" si="334"/>
        <v>#DIV/0!</v>
      </c>
      <c r="S1009" s="64" t="e">
        <f t="shared" si="335"/>
        <v>#DIV/0!</v>
      </c>
      <c r="T1009" s="67" t="e">
        <f t="shared" si="336"/>
        <v>#DIV/0!</v>
      </c>
      <c r="U1009" s="64" t="e">
        <f t="shared" si="337"/>
        <v>#DIV/0!</v>
      </c>
      <c r="V1009" s="69" t="e">
        <f t="shared" si="338"/>
        <v>#DIV/0!</v>
      </c>
    </row>
    <row r="1010" spans="1:22" x14ac:dyDescent="0.3">
      <c r="A1010" s="61" t="s">
        <v>1440</v>
      </c>
      <c r="B1010" s="62" t="s">
        <v>1462</v>
      </c>
      <c r="C1010" s="62" t="s">
        <v>318</v>
      </c>
      <c r="D1010" s="62" t="s">
        <v>1473</v>
      </c>
      <c r="E1010" s="63" t="s">
        <v>527</v>
      </c>
      <c r="F1010" s="62" t="s">
        <v>348</v>
      </c>
      <c r="G1010" s="62" t="s">
        <v>222</v>
      </c>
      <c r="H1010" s="62" t="s">
        <v>11</v>
      </c>
      <c r="I1010" s="62" t="s">
        <v>210</v>
      </c>
      <c r="J1010" s="63" t="s">
        <v>223</v>
      </c>
      <c r="K1010" s="62" t="s">
        <v>317</v>
      </c>
      <c r="L1010" s="64">
        <v>45.02</v>
      </c>
      <c r="M1010" s="64">
        <f t="shared" si="333"/>
        <v>45.02</v>
      </c>
      <c r="N1010" s="65">
        <f>prodnorm16</f>
        <v>0</v>
      </c>
      <c r="O1010" s="66">
        <f>dagwerk16</f>
        <v>0</v>
      </c>
      <c r="P1010" s="62" t="s">
        <v>40</v>
      </c>
      <c r="Q1010" s="67">
        <f>uurtarief16</f>
        <v>0</v>
      </c>
      <c r="R1010" s="64" t="e">
        <f t="shared" si="334"/>
        <v>#DIV/0!</v>
      </c>
      <c r="S1010" s="64" t="e">
        <f t="shared" si="335"/>
        <v>#DIV/0!</v>
      </c>
      <c r="T1010" s="67" t="e">
        <f t="shared" si="336"/>
        <v>#DIV/0!</v>
      </c>
      <c r="U1010" s="64" t="e">
        <f t="shared" si="337"/>
        <v>#DIV/0!</v>
      </c>
      <c r="V1010" s="69" t="e">
        <f t="shared" si="338"/>
        <v>#DIV/0!</v>
      </c>
    </row>
    <row r="1011" spans="1:22" x14ac:dyDescent="0.3">
      <c r="A1011" s="61" t="s">
        <v>1440</v>
      </c>
      <c r="B1011" s="62" t="s">
        <v>1462</v>
      </c>
      <c r="C1011" s="62" t="s">
        <v>318</v>
      </c>
      <c r="D1011" s="62" t="s">
        <v>1474</v>
      </c>
      <c r="E1011" s="63" t="s">
        <v>356</v>
      </c>
      <c r="F1011" s="62" t="s">
        <v>348</v>
      </c>
      <c r="G1011" s="62" t="s">
        <v>212</v>
      </c>
      <c r="H1011" s="62" t="s">
        <v>17</v>
      </c>
      <c r="I1011" s="62" t="s">
        <v>210</v>
      </c>
      <c r="J1011" s="63" t="s">
        <v>213</v>
      </c>
      <c r="K1011" s="62" t="s">
        <v>317</v>
      </c>
      <c r="L1011" s="64">
        <v>12.97</v>
      </c>
      <c r="M1011" s="64">
        <f t="shared" si="333"/>
        <v>2.5940000000000003</v>
      </c>
      <c r="N1011" s="65">
        <f>prodnorm11</f>
        <v>0</v>
      </c>
      <c r="O1011" s="66">
        <f>dagwerk11</f>
        <v>0</v>
      </c>
      <c r="P1011" s="62" t="s">
        <v>40</v>
      </c>
      <c r="Q1011" s="67">
        <f>uurtarief11</f>
        <v>0</v>
      </c>
      <c r="R1011" s="64" t="e">
        <f t="shared" si="334"/>
        <v>#DIV/0!</v>
      </c>
      <c r="S1011" s="64" t="e">
        <f t="shared" si="335"/>
        <v>#DIV/0!</v>
      </c>
      <c r="T1011" s="67" t="e">
        <f t="shared" si="336"/>
        <v>#DIV/0!</v>
      </c>
      <c r="U1011" s="64" t="e">
        <f t="shared" si="337"/>
        <v>#DIV/0!</v>
      </c>
      <c r="V1011" s="69" t="e">
        <f t="shared" si="338"/>
        <v>#DIV/0!</v>
      </c>
    </row>
    <row r="1012" spans="1:22" x14ac:dyDescent="0.3">
      <c r="A1012" s="61" t="s">
        <v>1440</v>
      </c>
      <c r="B1012" s="62" t="s">
        <v>1462</v>
      </c>
      <c r="C1012" s="62" t="s">
        <v>318</v>
      </c>
      <c r="D1012" s="62" t="s">
        <v>1475</v>
      </c>
      <c r="E1012" s="63" t="s">
        <v>356</v>
      </c>
      <c r="F1012" s="62" t="s">
        <v>348</v>
      </c>
      <c r="G1012" s="62" t="s">
        <v>212</v>
      </c>
      <c r="H1012" s="62" t="s">
        <v>17</v>
      </c>
      <c r="I1012" s="62" t="s">
        <v>210</v>
      </c>
      <c r="J1012" s="63" t="s">
        <v>213</v>
      </c>
      <c r="K1012" s="62" t="s">
        <v>317</v>
      </c>
      <c r="L1012" s="64">
        <v>12.88</v>
      </c>
      <c r="M1012" s="64">
        <f t="shared" si="333"/>
        <v>2.5760000000000005</v>
      </c>
      <c r="N1012" s="65">
        <f>prodnorm11</f>
        <v>0</v>
      </c>
      <c r="O1012" s="66">
        <f>dagwerk11</f>
        <v>0</v>
      </c>
      <c r="P1012" s="62" t="s">
        <v>40</v>
      </c>
      <c r="Q1012" s="67">
        <f>uurtarief11</f>
        <v>0</v>
      </c>
      <c r="R1012" s="64" t="e">
        <f t="shared" si="334"/>
        <v>#DIV/0!</v>
      </c>
      <c r="S1012" s="64" t="e">
        <f t="shared" si="335"/>
        <v>#DIV/0!</v>
      </c>
      <c r="T1012" s="67" t="e">
        <f t="shared" si="336"/>
        <v>#DIV/0!</v>
      </c>
      <c r="U1012" s="64" t="e">
        <f t="shared" si="337"/>
        <v>#DIV/0!</v>
      </c>
      <c r="V1012" s="69" t="e">
        <f t="shared" si="338"/>
        <v>#DIV/0!</v>
      </c>
    </row>
    <row r="1013" spans="1:22" x14ac:dyDescent="0.3">
      <c r="A1013" s="61" t="s">
        <v>1440</v>
      </c>
      <c r="B1013" s="62" t="s">
        <v>1462</v>
      </c>
      <c r="C1013" s="62" t="s">
        <v>318</v>
      </c>
      <c r="D1013" s="62" t="s">
        <v>1476</v>
      </c>
      <c r="E1013" s="63" t="s">
        <v>428</v>
      </c>
      <c r="F1013" s="62" t="s">
        <v>365</v>
      </c>
      <c r="G1013" s="62" t="s">
        <v>272</v>
      </c>
      <c r="H1013" s="62" t="s">
        <v>11</v>
      </c>
      <c r="I1013" s="62" t="s">
        <v>210</v>
      </c>
      <c r="J1013" s="63" t="s">
        <v>273</v>
      </c>
      <c r="K1013" s="62" t="s">
        <v>317</v>
      </c>
      <c r="L1013" s="64">
        <v>11.89</v>
      </c>
      <c r="M1013" s="64">
        <f t="shared" si="333"/>
        <v>11.89</v>
      </c>
      <c r="N1013" s="65">
        <f>prodnorm42</f>
        <v>0</v>
      </c>
      <c r="O1013" s="66">
        <f>dagwerk42</f>
        <v>0</v>
      </c>
      <c r="P1013" s="62" t="s">
        <v>40</v>
      </c>
      <c r="Q1013" s="67">
        <f>uurtarief42</f>
        <v>0</v>
      </c>
      <c r="R1013" s="64" t="e">
        <f t="shared" si="334"/>
        <v>#DIV/0!</v>
      </c>
      <c r="S1013" s="64" t="e">
        <f t="shared" si="335"/>
        <v>#DIV/0!</v>
      </c>
      <c r="T1013" s="67" t="e">
        <f t="shared" si="336"/>
        <v>#DIV/0!</v>
      </c>
      <c r="U1013" s="64" t="e">
        <f t="shared" si="337"/>
        <v>#DIV/0!</v>
      </c>
      <c r="V1013" s="69" t="e">
        <f t="shared" si="338"/>
        <v>#DIV/0!</v>
      </c>
    </row>
    <row r="1014" spans="1:22" x14ac:dyDescent="0.3">
      <c r="A1014" s="61" t="s">
        <v>1440</v>
      </c>
      <c r="B1014" s="62" t="s">
        <v>1462</v>
      </c>
      <c r="C1014" s="62" t="s">
        <v>318</v>
      </c>
      <c r="D1014" s="62" t="s">
        <v>1477</v>
      </c>
      <c r="E1014" s="63" t="s">
        <v>400</v>
      </c>
      <c r="F1014" s="62" t="s">
        <v>348</v>
      </c>
      <c r="G1014" s="62" t="s">
        <v>216</v>
      </c>
      <c r="H1014" s="62" t="s">
        <v>14</v>
      </c>
      <c r="I1014" s="62" t="s">
        <v>210</v>
      </c>
      <c r="J1014" s="63" t="s">
        <v>217</v>
      </c>
      <c r="K1014" s="62" t="s">
        <v>317</v>
      </c>
      <c r="L1014" s="64">
        <v>11.17</v>
      </c>
      <c r="M1014" s="64">
        <f t="shared" si="333"/>
        <v>6.702</v>
      </c>
      <c r="N1014" s="65">
        <f>prodnorm13</f>
        <v>0</v>
      </c>
      <c r="O1014" s="66">
        <f>dagwerk13</f>
        <v>0</v>
      </c>
      <c r="P1014" s="62" t="s">
        <v>40</v>
      </c>
      <c r="Q1014" s="67">
        <f>uurtarief13</f>
        <v>0</v>
      </c>
      <c r="R1014" s="64" t="e">
        <f t="shared" si="334"/>
        <v>#DIV/0!</v>
      </c>
      <c r="S1014" s="64" t="e">
        <f t="shared" si="335"/>
        <v>#DIV/0!</v>
      </c>
      <c r="T1014" s="67" t="e">
        <f t="shared" si="336"/>
        <v>#DIV/0!</v>
      </c>
      <c r="U1014" s="64" t="e">
        <f t="shared" si="337"/>
        <v>#DIV/0!</v>
      </c>
      <c r="V1014" s="69" t="e">
        <f t="shared" si="338"/>
        <v>#DIV/0!</v>
      </c>
    </row>
    <row r="1015" spans="1:22" x14ac:dyDescent="0.3">
      <c r="A1015" s="61" t="s">
        <v>1440</v>
      </c>
      <c r="B1015" s="62" t="s">
        <v>1462</v>
      </c>
      <c r="C1015" s="62" t="s">
        <v>318</v>
      </c>
      <c r="D1015" s="62" t="s">
        <v>1478</v>
      </c>
      <c r="E1015" s="63" t="s">
        <v>356</v>
      </c>
      <c r="F1015" s="62" t="s">
        <v>348</v>
      </c>
      <c r="G1015" s="62" t="s">
        <v>212</v>
      </c>
      <c r="H1015" s="62" t="s">
        <v>17</v>
      </c>
      <c r="I1015" s="62" t="s">
        <v>210</v>
      </c>
      <c r="J1015" s="63" t="s">
        <v>213</v>
      </c>
      <c r="K1015" s="62" t="s">
        <v>317</v>
      </c>
      <c r="L1015" s="64">
        <v>31.52</v>
      </c>
      <c r="M1015" s="64">
        <f t="shared" si="333"/>
        <v>6.3040000000000003</v>
      </c>
      <c r="N1015" s="65">
        <f>prodnorm11</f>
        <v>0</v>
      </c>
      <c r="O1015" s="66">
        <f>dagwerk11</f>
        <v>0</v>
      </c>
      <c r="P1015" s="62" t="s">
        <v>40</v>
      </c>
      <c r="Q1015" s="67">
        <f>uurtarief11</f>
        <v>0</v>
      </c>
      <c r="R1015" s="64" t="e">
        <f t="shared" si="334"/>
        <v>#DIV/0!</v>
      </c>
      <c r="S1015" s="64" t="e">
        <f t="shared" si="335"/>
        <v>#DIV/0!</v>
      </c>
      <c r="T1015" s="67" t="e">
        <f t="shared" si="336"/>
        <v>#DIV/0!</v>
      </c>
      <c r="U1015" s="64" t="e">
        <f t="shared" si="337"/>
        <v>#DIV/0!</v>
      </c>
      <c r="V1015" s="69" t="e">
        <f t="shared" si="338"/>
        <v>#DIV/0!</v>
      </c>
    </row>
    <row r="1016" spans="1:22" x14ac:dyDescent="0.3">
      <c r="A1016" s="61" t="s">
        <v>1440</v>
      </c>
      <c r="B1016" s="62" t="s">
        <v>1462</v>
      </c>
      <c r="C1016" s="62" t="s">
        <v>318</v>
      </c>
      <c r="D1016" s="62" t="s">
        <v>1479</v>
      </c>
      <c r="E1016" s="63" t="s">
        <v>400</v>
      </c>
      <c r="F1016" s="62" t="s">
        <v>348</v>
      </c>
      <c r="G1016" s="62" t="s">
        <v>216</v>
      </c>
      <c r="H1016" s="62" t="s">
        <v>14</v>
      </c>
      <c r="I1016" s="62" t="s">
        <v>210</v>
      </c>
      <c r="J1016" s="63" t="s">
        <v>217</v>
      </c>
      <c r="K1016" s="62" t="s">
        <v>317</v>
      </c>
      <c r="L1016" s="64">
        <v>47.27</v>
      </c>
      <c r="M1016" s="64">
        <f t="shared" si="333"/>
        <v>28.362000000000002</v>
      </c>
      <c r="N1016" s="65">
        <f>prodnorm13</f>
        <v>0</v>
      </c>
      <c r="O1016" s="66">
        <f>dagwerk13</f>
        <v>0</v>
      </c>
      <c r="P1016" s="62" t="s">
        <v>40</v>
      </c>
      <c r="Q1016" s="67">
        <f>uurtarief13</f>
        <v>0</v>
      </c>
      <c r="R1016" s="64" t="e">
        <f t="shared" si="334"/>
        <v>#DIV/0!</v>
      </c>
      <c r="S1016" s="64" t="e">
        <f t="shared" si="335"/>
        <v>#DIV/0!</v>
      </c>
      <c r="T1016" s="67" t="e">
        <f t="shared" si="336"/>
        <v>#DIV/0!</v>
      </c>
      <c r="U1016" s="64" t="e">
        <f t="shared" si="337"/>
        <v>#DIV/0!</v>
      </c>
      <c r="V1016" s="69" t="e">
        <f t="shared" si="338"/>
        <v>#DIV/0!</v>
      </c>
    </row>
    <row r="1017" spans="1:22" x14ac:dyDescent="0.3">
      <c r="A1017" s="61" t="s">
        <v>1440</v>
      </c>
      <c r="B1017" s="62" t="s">
        <v>1462</v>
      </c>
      <c r="C1017" s="62" t="s">
        <v>318</v>
      </c>
      <c r="D1017" s="62" t="s">
        <v>1480</v>
      </c>
      <c r="E1017" s="63" t="s">
        <v>391</v>
      </c>
      <c r="F1017" s="62" t="s">
        <v>365</v>
      </c>
      <c r="G1017" s="62" t="s">
        <v>234</v>
      </c>
      <c r="H1017" s="62" t="s">
        <v>14</v>
      </c>
      <c r="I1017" s="62" t="s">
        <v>210</v>
      </c>
      <c r="J1017" s="63" t="s">
        <v>235</v>
      </c>
      <c r="K1017" s="62" t="s">
        <v>317</v>
      </c>
      <c r="L1017" s="64">
        <v>60.839999999999996</v>
      </c>
      <c r="M1017" s="64">
        <f t="shared" si="333"/>
        <v>36.503999999999998</v>
      </c>
      <c r="N1017" s="65">
        <f>prodnorm22</f>
        <v>0</v>
      </c>
      <c r="O1017" s="66">
        <f>dagwerk22</f>
        <v>0</v>
      </c>
      <c r="P1017" s="62" t="s">
        <v>40</v>
      </c>
      <c r="Q1017" s="67">
        <f>uurtarief22</f>
        <v>0</v>
      </c>
      <c r="R1017" s="64" t="e">
        <f t="shared" si="334"/>
        <v>#DIV/0!</v>
      </c>
      <c r="S1017" s="64" t="e">
        <f t="shared" si="335"/>
        <v>#DIV/0!</v>
      </c>
      <c r="T1017" s="67" t="e">
        <f t="shared" si="336"/>
        <v>#DIV/0!</v>
      </c>
      <c r="U1017" s="64" t="e">
        <f t="shared" si="337"/>
        <v>#DIV/0!</v>
      </c>
      <c r="V1017" s="69" t="e">
        <f t="shared" si="338"/>
        <v>#DIV/0!</v>
      </c>
    </row>
    <row r="1018" spans="1:22" x14ac:dyDescent="0.3">
      <c r="A1018" s="61" t="s">
        <v>1440</v>
      </c>
      <c r="B1018" s="62" t="s">
        <v>1462</v>
      </c>
      <c r="C1018" s="62" t="s">
        <v>318</v>
      </c>
      <c r="D1018" s="62" t="s">
        <v>1481</v>
      </c>
      <c r="E1018" s="63" t="s">
        <v>428</v>
      </c>
      <c r="F1018" s="62" t="s">
        <v>365</v>
      </c>
      <c r="G1018" s="62" t="s">
        <v>272</v>
      </c>
      <c r="H1018" s="62" t="s">
        <v>11</v>
      </c>
      <c r="I1018" s="62" t="s">
        <v>210</v>
      </c>
      <c r="J1018" s="63" t="s">
        <v>273</v>
      </c>
      <c r="K1018" s="62" t="s">
        <v>317</v>
      </c>
      <c r="L1018" s="64">
        <v>4.3099999999999996</v>
      </c>
      <c r="M1018" s="64">
        <f t="shared" si="333"/>
        <v>4.3099999999999996</v>
      </c>
      <c r="N1018" s="65">
        <f>prodnorm42</f>
        <v>0</v>
      </c>
      <c r="O1018" s="66">
        <f>dagwerk42</f>
        <v>0</v>
      </c>
      <c r="P1018" s="62" t="s">
        <v>40</v>
      </c>
      <c r="Q1018" s="67">
        <f>uurtarief42</f>
        <v>0</v>
      </c>
      <c r="R1018" s="64" t="e">
        <f t="shared" si="334"/>
        <v>#DIV/0!</v>
      </c>
      <c r="S1018" s="64" t="e">
        <f t="shared" si="335"/>
        <v>#DIV/0!</v>
      </c>
      <c r="T1018" s="67" t="e">
        <f t="shared" si="336"/>
        <v>#DIV/0!</v>
      </c>
      <c r="U1018" s="64" t="e">
        <f t="shared" si="337"/>
        <v>#DIV/0!</v>
      </c>
      <c r="V1018" s="69" t="e">
        <f t="shared" si="338"/>
        <v>#DIV/0!</v>
      </c>
    </row>
    <row r="1019" spans="1:22" x14ac:dyDescent="0.3">
      <c r="A1019" s="61" t="s">
        <v>1440</v>
      </c>
      <c r="B1019" s="62" t="s">
        <v>1462</v>
      </c>
      <c r="C1019" s="62" t="s">
        <v>318</v>
      </c>
      <c r="D1019" s="62" t="s">
        <v>1482</v>
      </c>
      <c r="E1019" s="63" t="s">
        <v>374</v>
      </c>
      <c r="F1019" s="62" t="s">
        <v>365</v>
      </c>
      <c r="G1019" s="62" t="s">
        <v>323</v>
      </c>
      <c r="H1019" s="62"/>
      <c r="I1019" s="62"/>
      <c r="J1019" s="62"/>
      <c r="K1019" s="62" t="s">
        <v>317</v>
      </c>
      <c r="L1019" s="64">
        <v>3.14</v>
      </c>
      <c r="M1019" s="64"/>
      <c r="N1019" s="65"/>
      <c r="O1019" s="66"/>
      <c r="P1019" s="62"/>
      <c r="Q1019" s="67"/>
      <c r="R1019" s="64"/>
      <c r="S1019" s="64"/>
      <c r="T1019" s="67"/>
      <c r="U1019" s="68"/>
      <c r="V1019" s="69"/>
    </row>
    <row r="1020" spans="1:22" x14ac:dyDescent="0.3">
      <c r="A1020" s="61" t="s">
        <v>1440</v>
      </c>
      <c r="B1020" s="62" t="s">
        <v>1462</v>
      </c>
      <c r="C1020" s="62" t="s">
        <v>318</v>
      </c>
      <c r="D1020" s="62" t="s">
        <v>1483</v>
      </c>
      <c r="E1020" s="63" t="s">
        <v>321</v>
      </c>
      <c r="F1020" s="62" t="s">
        <v>365</v>
      </c>
      <c r="G1020" s="62" t="s">
        <v>323</v>
      </c>
      <c r="H1020" s="62"/>
      <c r="I1020" s="62"/>
      <c r="J1020" s="62"/>
      <c r="K1020" s="62" t="s">
        <v>317</v>
      </c>
      <c r="L1020" s="64">
        <v>2.23</v>
      </c>
      <c r="M1020" s="64"/>
      <c r="N1020" s="65"/>
      <c r="O1020" s="66"/>
      <c r="P1020" s="62"/>
      <c r="Q1020" s="67"/>
      <c r="R1020" s="64"/>
      <c r="S1020" s="64"/>
      <c r="T1020" s="67"/>
      <c r="U1020" s="68"/>
      <c r="V1020" s="69"/>
    </row>
    <row r="1021" spans="1:22" x14ac:dyDescent="0.3">
      <c r="A1021" s="61" t="s">
        <v>1440</v>
      </c>
      <c r="B1021" s="62" t="s">
        <v>1462</v>
      </c>
      <c r="C1021" s="62" t="s">
        <v>318</v>
      </c>
      <c r="D1021" s="62" t="s">
        <v>1484</v>
      </c>
      <c r="E1021" s="63" t="s">
        <v>321</v>
      </c>
      <c r="F1021" s="62" t="s">
        <v>432</v>
      </c>
      <c r="G1021" s="62" t="s">
        <v>323</v>
      </c>
      <c r="H1021" s="62"/>
      <c r="I1021" s="62"/>
      <c r="J1021" s="62"/>
      <c r="K1021" s="62" t="s">
        <v>317</v>
      </c>
      <c r="L1021" s="64">
        <v>10.629999999999999</v>
      </c>
      <c r="M1021" s="64"/>
      <c r="N1021" s="65"/>
      <c r="O1021" s="66"/>
      <c r="P1021" s="62"/>
      <c r="Q1021" s="67"/>
      <c r="R1021" s="64"/>
      <c r="S1021" s="64"/>
      <c r="T1021" s="67"/>
      <c r="U1021" s="68"/>
      <c r="V1021" s="69"/>
    </row>
    <row r="1022" spans="1:22" x14ac:dyDescent="0.3">
      <c r="A1022" s="61" t="s">
        <v>1440</v>
      </c>
      <c r="B1022" s="62" t="s">
        <v>1462</v>
      </c>
      <c r="C1022" s="62" t="s">
        <v>318</v>
      </c>
      <c r="D1022" s="62" t="s">
        <v>1485</v>
      </c>
      <c r="E1022" s="63" t="s">
        <v>352</v>
      </c>
      <c r="F1022" s="62" t="s">
        <v>432</v>
      </c>
      <c r="G1022" s="62" t="s">
        <v>266</v>
      </c>
      <c r="H1022" s="62" t="s">
        <v>11</v>
      </c>
      <c r="I1022" s="62" t="s">
        <v>210</v>
      </c>
      <c r="J1022" s="63" t="s">
        <v>267</v>
      </c>
      <c r="K1022" s="62" t="s">
        <v>317</v>
      </c>
      <c r="L1022" s="64">
        <v>10.57</v>
      </c>
      <c r="M1022" s="64">
        <f t="shared" ref="M1022:M1034" si="339">L1022*VLOOKUP(H1022,dagsoorttabel1,2,FALSE)</f>
        <v>10.57</v>
      </c>
      <c r="N1022" s="65">
        <f>prodnorm39</f>
        <v>0</v>
      </c>
      <c r="O1022" s="66">
        <f>dagwerk39</f>
        <v>0</v>
      </c>
      <c r="P1022" s="62" t="s">
        <v>40</v>
      </c>
      <c r="Q1022" s="67">
        <f>uurtarief39</f>
        <v>0</v>
      </c>
      <c r="R1022" s="64" t="e">
        <f t="shared" ref="R1022:R1034" si="340">IF(ISBLANK(N1022),0,M1022/ROUND(N1022,4))</f>
        <v>#DIV/0!</v>
      </c>
      <c r="S1022" s="64" t="e">
        <f t="shared" ref="S1022:S1034" si="341">IF(ISBLANK(N1022),0,R1022*ROUND(O1022,2))</f>
        <v>#DIV/0!</v>
      </c>
      <c r="T1022" s="67" t="e">
        <f t="shared" ref="T1022:T1034" si="342">ROUND(Q1022,2)*R1022</f>
        <v>#DIV/0!</v>
      </c>
      <c r="U1022" s="64" t="e">
        <f t="shared" ref="U1022:U1034" si="343">R1022*dagenperjaar1</f>
        <v>#DIV/0!</v>
      </c>
      <c r="V1022" s="69" t="e">
        <f t="shared" ref="V1022:V1034" si="344">U1022*ROUND(Q1022,2)</f>
        <v>#DIV/0!</v>
      </c>
    </row>
    <row r="1023" spans="1:22" x14ac:dyDescent="0.3">
      <c r="A1023" s="61" t="s">
        <v>1440</v>
      </c>
      <c r="B1023" s="62" t="s">
        <v>1462</v>
      </c>
      <c r="C1023" s="62" t="s">
        <v>318</v>
      </c>
      <c r="D1023" s="62" t="s">
        <v>1486</v>
      </c>
      <c r="E1023" s="63" t="s">
        <v>352</v>
      </c>
      <c r="F1023" s="62" t="s">
        <v>432</v>
      </c>
      <c r="G1023" s="62" t="s">
        <v>266</v>
      </c>
      <c r="H1023" s="62" t="s">
        <v>11</v>
      </c>
      <c r="I1023" s="62" t="s">
        <v>210</v>
      </c>
      <c r="J1023" s="63" t="s">
        <v>267</v>
      </c>
      <c r="K1023" s="62" t="s">
        <v>317</v>
      </c>
      <c r="L1023" s="64">
        <v>5.14</v>
      </c>
      <c r="M1023" s="64">
        <f t="shared" si="339"/>
        <v>5.14</v>
      </c>
      <c r="N1023" s="65">
        <f>prodnorm39</f>
        <v>0</v>
      </c>
      <c r="O1023" s="66">
        <f>dagwerk39</f>
        <v>0</v>
      </c>
      <c r="P1023" s="62" t="s">
        <v>40</v>
      </c>
      <c r="Q1023" s="67">
        <f>uurtarief39</f>
        <v>0</v>
      </c>
      <c r="R1023" s="64" t="e">
        <f t="shared" si="340"/>
        <v>#DIV/0!</v>
      </c>
      <c r="S1023" s="64" t="e">
        <f t="shared" si="341"/>
        <v>#DIV/0!</v>
      </c>
      <c r="T1023" s="67" t="e">
        <f t="shared" si="342"/>
        <v>#DIV/0!</v>
      </c>
      <c r="U1023" s="64" t="e">
        <f t="shared" si="343"/>
        <v>#DIV/0!</v>
      </c>
      <c r="V1023" s="69" t="e">
        <f t="shared" si="344"/>
        <v>#DIV/0!</v>
      </c>
    </row>
    <row r="1024" spans="1:22" x14ac:dyDescent="0.3">
      <c r="A1024" s="61" t="s">
        <v>1440</v>
      </c>
      <c r="B1024" s="62" t="s">
        <v>1462</v>
      </c>
      <c r="C1024" s="62" t="s">
        <v>318</v>
      </c>
      <c r="D1024" s="62" t="s">
        <v>1487</v>
      </c>
      <c r="E1024" s="63" t="s">
        <v>352</v>
      </c>
      <c r="F1024" s="62" t="s">
        <v>432</v>
      </c>
      <c r="G1024" s="62" t="s">
        <v>266</v>
      </c>
      <c r="H1024" s="62" t="s">
        <v>11</v>
      </c>
      <c r="I1024" s="62" t="s">
        <v>210</v>
      </c>
      <c r="J1024" s="63" t="s">
        <v>267</v>
      </c>
      <c r="K1024" s="62" t="s">
        <v>317</v>
      </c>
      <c r="L1024" s="64">
        <v>0.95000000000000007</v>
      </c>
      <c r="M1024" s="64">
        <f t="shared" si="339"/>
        <v>0.95000000000000007</v>
      </c>
      <c r="N1024" s="65">
        <f>prodnorm39</f>
        <v>0</v>
      </c>
      <c r="O1024" s="66">
        <f>dagwerk39</f>
        <v>0</v>
      </c>
      <c r="P1024" s="62" t="s">
        <v>40</v>
      </c>
      <c r="Q1024" s="67">
        <f>uurtarief39</f>
        <v>0</v>
      </c>
      <c r="R1024" s="64" t="e">
        <f t="shared" si="340"/>
        <v>#DIV/0!</v>
      </c>
      <c r="S1024" s="64" t="e">
        <f t="shared" si="341"/>
        <v>#DIV/0!</v>
      </c>
      <c r="T1024" s="67" t="e">
        <f t="shared" si="342"/>
        <v>#DIV/0!</v>
      </c>
      <c r="U1024" s="64" t="e">
        <f t="shared" si="343"/>
        <v>#DIV/0!</v>
      </c>
      <c r="V1024" s="69" t="e">
        <f t="shared" si="344"/>
        <v>#DIV/0!</v>
      </c>
    </row>
    <row r="1025" spans="1:22" x14ac:dyDescent="0.3">
      <c r="A1025" s="61" t="s">
        <v>1440</v>
      </c>
      <c r="B1025" s="62" t="s">
        <v>1462</v>
      </c>
      <c r="C1025" s="62" t="s">
        <v>318</v>
      </c>
      <c r="D1025" s="62" t="s">
        <v>1488</v>
      </c>
      <c r="E1025" s="63" t="s">
        <v>352</v>
      </c>
      <c r="F1025" s="62" t="s">
        <v>432</v>
      </c>
      <c r="G1025" s="62" t="s">
        <v>266</v>
      </c>
      <c r="H1025" s="62" t="s">
        <v>11</v>
      </c>
      <c r="I1025" s="62" t="s">
        <v>210</v>
      </c>
      <c r="J1025" s="63" t="s">
        <v>267</v>
      </c>
      <c r="K1025" s="62" t="s">
        <v>317</v>
      </c>
      <c r="L1025" s="64">
        <v>1.22</v>
      </c>
      <c r="M1025" s="64">
        <f t="shared" si="339"/>
        <v>1.22</v>
      </c>
      <c r="N1025" s="65">
        <f>prodnorm39</f>
        <v>0</v>
      </c>
      <c r="O1025" s="66">
        <f>dagwerk39</f>
        <v>0</v>
      </c>
      <c r="P1025" s="62" t="s">
        <v>40</v>
      </c>
      <c r="Q1025" s="67">
        <f>uurtarief39</f>
        <v>0</v>
      </c>
      <c r="R1025" s="64" t="e">
        <f t="shared" si="340"/>
        <v>#DIV/0!</v>
      </c>
      <c r="S1025" s="64" t="e">
        <f t="shared" si="341"/>
        <v>#DIV/0!</v>
      </c>
      <c r="T1025" s="67" t="e">
        <f t="shared" si="342"/>
        <v>#DIV/0!</v>
      </c>
      <c r="U1025" s="64" t="e">
        <f t="shared" si="343"/>
        <v>#DIV/0!</v>
      </c>
      <c r="V1025" s="69" t="e">
        <f t="shared" si="344"/>
        <v>#DIV/0!</v>
      </c>
    </row>
    <row r="1026" spans="1:22" x14ac:dyDescent="0.3">
      <c r="A1026" s="61" t="s">
        <v>1440</v>
      </c>
      <c r="B1026" s="62" t="s">
        <v>1462</v>
      </c>
      <c r="C1026" s="62" t="s">
        <v>318</v>
      </c>
      <c r="D1026" s="62" t="s">
        <v>1489</v>
      </c>
      <c r="E1026" s="63" t="s">
        <v>396</v>
      </c>
      <c r="F1026" s="62" t="s">
        <v>365</v>
      </c>
      <c r="G1026" s="62" t="s">
        <v>238</v>
      </c>
      <c r="H1026" s="62" t="s">
        <v>11</v>
      </c>
      <c r="I1026" s="62" t="s">
        <v>210</v>
      </c>
      <c r="J1026" s="63" t="s">
        <v>239</v>
      </c>
      <c r="K1026" s="62" t="s">
        <v>317</v>
      </c>
      <c r="L1026" s="64">
        <v>62</v>
      </c>
      <c r="M1026" s="64">
        <f t="shared" si="339"/>
        <v>62</v>
      </c>
      <c r="N1026" s="65">
        <f>prodnorm24</f>
        <v>0</v>
      </c>
      <c r="O1026" s="66">
        <f>dagwerk24</f>
        <v>0</v>
      </c>
      <c r="P1026" s="62" t="s">
        <v>40</v>
      </c>
      <c r="Q1026" s="67">
        <f>uurtarief24</f>
        <v>0</v>
      </c>
      <c r="R1026" s="64" t="e">
        <f t="shared" si="340"/>
        <v>#DIV/0!</v>
      </c>
      <c r="S1026" s="64" t="e">
        <f t="shared" si="341"/>
        <v>#DIV/0!</v>
      </c>
      <c r="T1026" s="67" t="e">
        <f t="shared" si="342"/>
        <v>#DIV/0!</v>
      </c>
      <c r="U1026" s="64" t="e">
        <f t="shared" si="343"/>
        <v>#DIV/0!</v>
      </c>
      <c r="V1026" s="69" t="e">
        <f t="shared" si="344"/>
        <v>#DIV/0!</v>
      </c>
    </row>
    <row r="1027" spans="1:22" x14ac:dyDescent="0.3">
      <c r="A1027" s="61" t="s">
        <v>1440</v>
      </c>
      <c r="B1027" s="62" t="s">
        <v>1462</v>
      </c>
      <c r="C1027" s="62" t="s">
        <v>318</v>
      </c>
      <c r="D1027" s="62" t="s">
        <v>1490</v>
      </c>
      <c r="E1027" s="63" t="s">
        <v>428</v>
      </c>
      <c r="F1027" s="62" t="s">
        <v>365</v>
      </c>
      <c r="G1027" s="62" t="s">
        <v>272</v>
      </c>
      <c r="H1027" s="62" t="s">
        <v>11</v>
      </c>
      <c r="I1027" s="62" t="s">
        <v>210</v>
      </c>
      <c r="J1027" s="63" t="s">
        <v>273</v>
      </c>
      <c r="K1027" s="62" t="s">
        <v>317</v>
      </c>
      <c r="L1027" s="64">
        <v>4.6599999999999993</v>
      </c>
      <c r="M1027" s="64">
        <f t="shared" si="339"/>
        <v>4.6599999999999993</v>
      </c>
      <c r="N1027" s="65">
        <f>prodnorm42</f>
        <v>0</v>
      </c>
      <c r="O1027" s="66">
        <f>dagwerk42</f>
        <v>0</v>
      </c>
      <c r="P1027" s="62" t="s">
        <v>40</v>
      </c>
      <c r="Q1027" s="67">
        <f>uurtarief42</f>
        <v>0</v>
      </c>
      <c r="R1027" s="64" t="e">
        <f t="shared" si="340"/>
        <v>#DIV/0!</v>
      </c>
      <c r="S1027" s="64" t="e">
        <f t="shared" si="341"/>
        <v>#DIV/0!</v>
      </c>
      <c r="T1027" s="67" t="e">
        <f t="shared" si="342"/>
        <v>#DIV/0!</v>
      </c>
      <c r="U1027" s="64" t="e">
        <f t="shared" si="343"/>
        <v>#DIV/0!</v>
      </c>
      <c r="V1027" s="69" t="e">
        <f t="shared" si="344"/>
        <v>#DIV/0!</v>
      </c>
    </row>
    <row r="1028" spans="1:22" x14ac:dyDescent="0.3">
      <c r="A1028" s="61" t="s">
        <v>1440</v>
      </c>
      <c r="B1028" s="62" t="s">
        <v>1462</v>
      </c>
      <c r="C1028" s="62" t="s">
        <v>318</v>
      </c>
      <c r="D1028" s="62" t="s">
        <v>1491</v>
      </c>
      <c r="E1028" s="63" t="s">
        <v>428</v>
      </c>
      <c r="F1028" s="62" t="s">
        <v>365</v>
      </c>
      <c r="G1028" s="62" t="s">
        <v>272</v>
      </c>
      <c r="H1028" s="62" t="s">
        <v>11</v>
      </c>
      <c r="I1028" s="62" t="s">
        <v>210</v>
      </c>
      <c r="J1028" s="63" t="s">
        <v>273</v>
      </c>
      <c r="K1028" s="62" t="s">
        <v>317</v>
      </c>
      <c r="L1028" s="64">
        <v>3.23</v>
      </c>
      <c r="M1028" s="64">
        <f t="shared" si="339"/>
        <v>3.23</v>
      </c>
      <c r="N1028" s="65">
        <f>prodnorm42</f>
        <v>0</v>
      </c>
      <c r="O1028" s="66">
        <f>dagwerk42</f>
        <v>0</v>
      </c>
      <c r="P1028" s="62" t="s">
        <v>40</v>
      </c>
      <c r="Q1028" s="67">
        <f>uurtarief42</f>
        <v>0</v>
      </c>
      <c r="R1028" s="64" t="e">
        <f t="shared" si="340"/>
        <v>#DIV/0!</v>
      </c>
      <c r="S1028" s="64" t="e">
        <f t="shared" si="341"/>
        <v>#DIV/0!</v>
      </c>
      <c r="T1028" s="67" t="e">
        <f t="shared" si="342"/>
        <v>#DIV/0!</v>
      </c>
      <c r="U1028" s="64" t="e">
        <f t="shared" si="343"/>
        <v>#DIV/0!</v>
      </c>
      <c r="V1028" s="69" t="e">
        <f t="shared" si="344"/>
        <v>#DIV/0!</v>
      </c>
    </row>
    <row r="1029" spans="1:22" x14ac:dyDescent="0.3">
      <c r="A1029" s="61" t="s">
        <v>1440</v>
      </c>
      <c r="B1029" s="62" t="s">
        <v>1462</v>
      </c>
      <c r="C1029" s="62" t="s">
        <v>318</v>
      </c>
      <c r="D1029" s="62" t="s">
        <v>1492</v>
      </c>
      <c r="E1029" s="63" t="s">
        <v>356</v>
      </c>
      <c r="F1029" s="62" t="s">
        <v>365</v>
      </c>
      <c r="G1029" s="62" t="s">
        <v>209</v>
      </c>
      <c r="H1029" s="62" t="s">
        <v>17</v>
      </c>
      <c r="I1029" s="62" t="s">
        <v>210</v>
      </c>
      <c r="J1029" s="63" t="s">
        <v>211</v>
      </c>
      <c r="K1029" s="62" t="s">
        <v>317</v>
      </c>
      <c r="L1029" s="64">
        <v>2.7600000000000002</v>
      </c>
      <c r="M1029" s="64">
        <f t="shared" si="339"/>
        <v>0.55200000000000005</v>
      </c>
      <c r="N1029" s="65">
        <f>prodnorm10</f>
        <v>0</v>
      </c>
      <c r="O1029" s="66">
        <f>dagwerk10</f>
        <v>0</v>
      </c>
      <c r="P1029" s="62" t="s">
        <v>40</v>
      </c>
      <c r="Q1029" s="67">
        <f>uurtarief10</f>
        <v>0</v>
      </c>
      <c r="R1029" s="64" t="e">
        <f t="shared" si="340"/>
        <v>#DIV/0!</v>
      </c>
      <c r="S1029" s="64" t="e">
        <f t="shared" si="341"/>
        <v>#DIV/0!</v>
      </c>
      <c r="T1029" s="67" t="e">
        <f t="shared" si="342"/>
        <v>#DIV/0!</v>
      </c>
      <c r="U1029" s="64" t="e">
        <f t="shared" si="343"/>
        <v>#DIV/0!</v>
      </c>
      <c r="V1029" s="69" t="e">
        <f t="shared" si="344"/>
        <v>#DIV/0!</v>
      </c>
    </row>
    <row r="1030" spans="1:22" x14ac:dyDescent="0.3">
      <c r="A1030" s="61" t="s">
        <v>1440</v>
      </c>
      <c r="B1030" s="62" t="s">
        <v>1462</v>
      </c>
      <c r="C1030" s="62" t="s">
        <v>318</v>
      </c>
      <c r="D1030" s="62" t="s">
        <v>1493</v>
      </c>
      <c r="E1030" s="63" t="s">
        <v>391</v>
      </c>
      <c r="F1030" s="62" t="s">
        <v>365</v>
      </c>
      <c r="G1030" s="62" t="s">
        <v>234</v>
      </c>
      <c r="H1030" s="62" t="s">
        <v>14</v>
      </c>
      <c r="I1030" s="62" t="s">
        <v>210</v>
      </c>
      <c r="J1030" s="63" t="s">
        <v>235</v>
      </c>
      <c r="K1030" s="62" t="s">
        <v>317</v>
      </c>
      <c r="L1030" s="64">
        <v>58.1</v>
      </c>
      <c r="M1030" s="64">
        <f t="shared" si="339"/>
        <v>34.86</v>
      </c>
      <c r="N1030" s="65">
        <f>prodnorm22</f>
        <v>0</v>
      </c>
      <c r="O1030" s="66">
        <f>dagwerk22</f>
        <v>0</v>
      </c>
      <c r="P1030" s="62" t="s">
        <v>40</v>
      </c>
      <c r="Q1030" s="67">
        <f>uurtarief22</f>
        <v>0</v>
      </c>
      <c r="R1030" s="64" t="e">
        <f t="shared" si="340"/>
        <v>#DIV/0!</v>
      </c>
      <c r="S1030" s="64" t="e">
        <f t="shared" si="341"/>
        <v>#DIV/0!</v>
      </c>
      <c r="T1030" s="67" t="e">
        <f t="shared" si="342"/>
        <v>#DIV/0!</v>
      </c>
      <c r="U1030" s="64" t="e">
        <f t="shared" si="343"/>
        <v>#DIV/0!</v>
      </c>
      <c r="V1030" s="69" t="e">
        <f t="shared" si="344"/>
        <v>#DIV/0!</v>
      </c>
    </row>
    <row r="1031" spans="1:22" x14ac:dyDescent="0.3">
      <c r="A1031" s="61" t="s">
        <v>1440</v>
      </c>
      <c r="B1031" s="62" t="s">
        <v>1462</v>
      </c>
      <c r="C1031" s="62" t="s">
        <v>318</v>
      </c>
      <c r="D1031" s="62" t="s">
        <v>1494</v>
      </c>
      <c r="E1031" s="63" t="s">
        <v>428</v>
      </c>
      <c r="F1031" s="62" t="s">
        <v>365</v>
      </c>
      <c r="G1031" s="62" t="s">
        <v>272</v>
      </c>
      <c r="H1031" s="62" t="s">
        <v>11</v>
      </c>
      <c r="I1031" s="62" t="s">
        <v>210</v>
      </c>
      <c r="J1031" s="63" t="s">
        <v>273</v>
      </c>
      <c r="K1031" s="62" t="s">
        <v>317</v>
      </c>
      <c r="L1031" s="64">
        <v>4.37</v>
      </c>
      <c r="M1031" s="64">
        <f t="shared" si="339"/>
        <v>4.37</v>
      </c>
      <c r="N1031" s="65">
        <f>prodnorm42</f>
        <v>0</v>
      </c>
      <c r="O1031" s="66">
        <f>dagwerk42</f>
        <v>0</v>
      </c>
      <c r="P1031" s="62" t="s">
        <v>40</v>
      </c>
      <c r="Q1031" s="67">
        <f>uurtarief42</f>
        <v>0</v>
      </c>
      <c r="R1031" s="64" t="e">
        <f t="shared" si="340"/>
        <v>#DIV/0!</v>
      </c>
      <c r="S1031" s="64" t="e">
        <f t="shared" si="341"/>
        <v>#DIV/0!</v>
      </c>
      <c r="T1031" s="67" t="e">
        <f t="shared" si="342"/>
        <v>#DIV/0!</v>
      </c>
      <c r="U1031" s="64" t="e">
        <f t="shared" si="343"/>
        <v>#DIV/0!</v>
      </c>
      <c r="V1031" s="69" t="e">
        <f t="shared" si="344"/>
        <v>#DIV/0!</v>
      </c>
    </row>
    <row r="1032" spans="1:22" x14ac:dyDescent="0.3">
      <c r="A1032" s="61" t="s">
        <v>1440</v>
      </c>
      <c r="B1032" s="62" t="s">
        <v>1462</v>
      </c>
      <c r="C1032" s="62" t="s">
        <v>318</v>
      </c>
      <c r="D1032" s="62" t="s">
        <v>1495</v>
      </c>
      <c r="E1032" s="63" t="s">
        <v>428</v>
      </c>
      <c r="F1032" s="62" t="s">
        <v>365</v>
      </c>
      <c r="G1032" s="62" t="s">
        <v>272</v>
      </c>
      <c r="H1032" s="62" t="s">
        <v>11</v>
      </c>
      <c r="I1032" s="62" t="s">
        <v>210</v>
      </c>
      <c r="J1032" s="63" t="s">
        <v>273</v>
      </c>
      <c r="K1032" s="62" t="s">
        <v>317</v>
      </c>
      <c r="L1032" s="64">
        <v>3.23</v>
      </c>
      <c r="M1032" s="64">
        <f t="shared" si="339"/>
        <v>3.23</v>
      </c>
      <c r="N1032" s="65">
        <f>prodnorm42</f>
        <v>0</v>
      </c>
      <c r="O1032" s="66">
        <f>dagwerk42</f>
        <v>0</v>
      </c>
      <c r="P1032" s="62" t="s">
        <v>40</v>
      </c>
      <c r="Q1032" s="67">
        <f>uurtarief42</f>
        <v>0</v>
      </c>
      <c r="R1032" s="64" t="e">
        <f t="shared" si="340"/>
        <v>#DIV/0!</v>
      </c>
      <c r="S1032" s="64" t="e">
        <f t="shared" si="341"/>
        <v>#DIV/0!</v>
      </c>
      <c r="T1032" s="67" t="e">
        <f t="shared" si="342"/>
        <v>#DIV/0!</v>
      </c>
      <c r="U1032" s="64" t="e">
        <f t="shared" si="343"/>
        <v>#DIV/0!</v>
      </c>
      <c r="V1032" s="69" t="e">
        <f t="shared" si="344"/>
        <v>#DIV/0!</v>
      </c>
    </row>
    <row r="1033" spans="1:22" x14ac:dyDescent="0.3">
      <c r="A1033" s="61" t="s">
        <v>1440</v>
      </c>
      <c r="B1033" s="62" t="s">
        <v>1462</v>
      </c>
      <c r="C1033" s="62" t="s">
        <v>318</v>
      </c>
      <c r="D1033" s="62" t="s">
        <v>1496</v>
      </c>
      <c r="E1033" s="63" t="s">
        <v>356</v>
      </c>
      <c r="F1033" s="62" t="s">
        <v>365</v>
      </c>
      <c r="G1033" s="62" t="s">
        <v>209</v>
      </c>
      <c r="H1033" s="62" t="s">
        <v>17</v>
      </c>
      <c r="I1033" s="62" t="s">
        <v>210</v>
      </c>
      <c r="J1033" s="63" t="s">
        <v>211</v>
      </c>
      <c r="K1033" s="62" t="s">
        <v>317</v>
      </c>
      <c r="L1033" s="64">
        <v>2.7600000000000002</v>
      </c>
      <c r="M1033" s="64">
        <f t="shared" si="339"/>
        <v>0.55200000000000005</v>
      </c>
      <c r="N1033" s="65">
        <f>prodnorm10</f>
        <v>0</v>
      </c>
      <c r="O1033" s="66">
        <f>dagwerk10</f>
        <v>0</v>
      </c>
      <c r="P1033" s="62" t="s">
        <v>40</v>
      </c>
      <c r="Q1033" s="67">
        <f>uurtarief10</f>
        <v>0</v>
      </c>
      <c r="R1033" s="64" t="e">
        <f t="shared" si="340"/>
        <v>#DIV/0!</v>
      </c>
      <c r="S1033" s="64" t="e">
        <f t="shared" si="341"/>
        <v>#DIV/0!</v>
      </c>
      <c r="T1033" s="67" t="e">
        <f t="shared" si="342"/>
        <v>#DIV/0!</v>
      </c>
      <c r="U1033" s="64" t="e">
        <f t="shared" si="343"/>
        <v>#DIV/0!</v>
      </c>
      <c r="V1033" s="69" t="e">
        <f t="shared" si="344"/>
        <v>#DIV/0!</v>
      </c>
    </row>
    <row r="1034" spans="1:22" x14ac:dyDescent="0.3">
      <c r="A1034" s="61" t="s">
        <v>1440</v>
      </c>
      <c r="B1034" s="62" t="s">
        <v>1462</v>
      </c>
      <c r="C1034" s="62" t="s">
        <v>318</v>
      </c>
      <c r="D1034" s="62" t="s">
        <v>1497</v>
      </c>
      <c r="E1034" s="63" t="s">
        <v>1284</v>
      </c>
      <c r="F1034" s="62" t="s">
        <v>365</v>
      </c>
      <c r="G1034" s="62" t="s">
        <v>209</v>
      </c>
      <c r="H1034" s="62" t="s">
        <v>17</v>
      </c>
      <c r="I1034" s="62" t="s">
        <v>210</v>
      </c>
      <c r="J1034" s="63" t="s">
        <v>211</v>
      </c>
      <c r="K1034" s="62" t="s">
        <v>317</v>
      </c>
      <c r="L1034" s="64">
        <v>8.3000000000000007</v>
      </c>
      <c r="M1034" s="64">
        <f t="shared" si="339"/>
        <v>1.6600000000000001</v>
      </c>
      <c r="N1034" s="65">
        <f>prodnorm10</f>
        <v>0</v>
      </c>
      <c r="O1034" s="66">
        <f>dagwerk10</f>
        <v>0</v>
      </c>
      <c r="P1034" s="62" t="s">
        <v>40</v>
      </c>
      <c r="Q1034" s="67">
        <f>uurtarief10</f>
        <v>0</v>
      </c>
      <c r="R1034" s="64" t="e">
        <f t="shared" si="340"/>
        <v>#DIV/0!</v>
      </c>
      <c r="S1034" s="64" t="e">
        <f t="shared" si="341"/>
        <v>#DIV/0!</v>
      </c>
      <c r="T1034" s="67" t="e">
        <f t="shared" si="342"/>
        <v>#DIV/0!</v>
      </c>
      <c r="U1034" s="64" t="e">
        <f t="shared" si="343"/>
        <v>#DIV/0!</v>
      </c>
      <c r="V1034" s="69" t="e">
        <f t="shared" si="344"/>
        <v>#DIV/0!</v>
      </c>
    </row>
    <row r="1035" spans="1:22" x14ac:dyDescent="0.3">
      <c r="A1035" s="61" t="s">
        <v>1440</v>
      </c>
      <c r="B1035" s="62" t="s">
        <v>1462</v>
      </c>
      <c r="C1035" s="62" t="s">
        <v>318</v>
      </c>
      <c r="D1035" s="62" t="s">
        <v>1498</v>
      </c>
      <c r="E1035" s="63" t="s">
        <v>321</v>
      </c>
      <c r="F1035" s="62" t="s">
        <v>432</v>
      </c>
      <c r="G1035" s="62" t="s">
        <v>323</v>
      </c>
      <c r="H1035" s="62"/>
      <c r="I1035" s="62"/>
      <c r="J1035" s="62"/>
      <c r="K1035" s="62" t="s">
        <v>317</v>
      </c>
      <c r="L1035" s="64">
        <v>10.360000000000001</v>
      </c>
      <c r="M1035" s="64"/>
      <c r="N1035" s="65"/>
      <c r="O1035" s="66"/>
      <c r="P1035" s="62"/>
      <c r="Q1035" s="67"/>
      <c r="R1035" s="64"/>
      <c r="S1035" s="64"/>
      <c r="T1035" s="67"/>
      <c r="U1035" s="68"/>
      <c r="V1035" s="69"/>
    </row>
    <row r="1036" spans="1:22" x14ac:dyDescent="0.3">
      <c r="A1036" s="61" t="s">
        <v>1440</v>
      </c>
      <c r="B1036" s="62" t="s">
        <v>1462</v>
      </c>
      <c r="C1036" s="62" t="s">
        <v>318</v>
      </c>
      <c r="D1036" s="62" t="s">
        <v>1499</v>
      </c>
      <c r="E1036" s="63" t="s">
        <v>374</v>
      </c>
      <c r="F1036" s="62" t="s">
        <v>365</v>
      </c>
      <c r="G1036" s="62" t="s">
        <v>323</v>
      </c>
      <c r="H1036" s="62"/>
      <c r="I1036" s="62"/>
      <c r="J1036" s="62"/>
      <c r="K1036" s="62" t="s">
        <v>317</v>
      </c>
      <c r="L1036" s="64">
        <v>12.2</v>
      </c>
      <c r="M1036" s="64"/>
      <c r="N1036" s="65"/>
      <c r="O1036" s="66"/>
      <c r="P1036" s="62"/>
      <c r="Q1036" s="67"/>
      <c r="R1036" s="64"/>
      <c r="S1036" s="64"/>
      <c r="T1036" s="67"/>
      <c r="U1036" s="68"/>
      <c r="V1036" s="69"/>
    </row>
    <row r="1037" spans="1:22" x14ac:dyDescent="0.3">
      <c r="A1037" s="70" t="s">
        <v>1440</v>
      </c>
      <c r="B1037" s="71" t="s">
        <v>1462</v>
      </c>
      <c r="C1037" s="71" t="s">
        <v>318</v>
      </c>
      <c r="D1037" s="71" t="s">
        <v>1500</v>
      </c>
      <c r="E1037" s="72" t="s">
        <v>664</v>
      </c>
      <c r="F1037" s="71" t="s">
        <v>365</v>
      </c>
      <c r="G1037" s="71" t="s">
        <v>323</v>
      </c>
      <c r="H1037" s="71"/>
      <c r="I1037" s="71"/>
      <c r="J1037" s="71"/>
      <c r="K1037" s="71" t="s">
        <v>317</v>
      </c>
      <c r="L1037" s="73">
        <v>0.9</v>
      </c>
      <c r="M1037" s="73"/>
      <c r="N1037" s="74"/>
      <c r="O1037" s="75"/>
      <c r="P1037" s="71"/>
      <c r="Q1037" s="76"/>
      <c r="R1037" s="73"/>
      <c r="S1037" s="73"/>
      <c r="T1037" s="76"/>
      <c r="U1037" s="77"/>
      <c r="V1037" s="78"/>
    </row>
    <row r="1038" spans="1:22" x14ac:dyDescent="0.3">
      <c r="A1038" s="79" t="s">
        <v>1105</v>
      </c>
      <c r="B1038" s="43"/>
      <c r="C1038" s="43"/>
      <c r="D1038" s="43"/>
      <c r="E1038" s="43"/>
      <c r="F1038" s="43"/>
      <c r="G1038" s="43"/>
      <c r="H1038" s="43"/>
      <c r="I1038" s="43"/>
      <c r="J1038" s="43"/>
      <c r="K1038" s="43"/>
      <c r="L1038" s="43"/>
      <c r="M1038" s="43"/>
      <c r="N1038" s="43"/>
      <c r="O1038" s="43"/>
      <c r="P1038" s="43"/>
      <c r="Q1038" s="45" t="e">
        <f>IF(_xlfn.SINGLE(object5_urenjaar1)&gt;0,_xlfn.SINGLE(object5_prijsjaar1)/_xlfn.SINGLE(object5_urenjaar1),0)</f>
        <v>#DIV/0!</v>
      </c>
      <c r="R1038" s="44" t="e">
        <f>SUM(R981:R1037)</f>
        <v>#DIV/0!</v>
      </c>
      <c r="S1038" s="44" t="e">
        <f>SUM(S981:S1037)</f>
        <v>#DIV/0!</v>
      </c>
      <c r="T1038" s="45" t="e">
        <f>SUM(T981:T1037)</f>
        <v>#DIV/0!</v>
      </c>
      <c r="U1038" s="44" t="e">
        <f>SUM(U981:U1037)</f>
        <v>#DIV/0!</v>
      </c>
      <c r="V1038" s="46" t="e">
        <f>SUM(V981:V1037)</f>
        <v>#DIV/0!</v>
      </c>
    </row>
    <row r="1039" spans="1:22" x14ac:dyDescent="0.3">
      <c r="A1039" s="52" t="s">
        <v>1501</v>
      </c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41"/>
    </row>
    <row r="1040" spans="1:22" x14ac:dyDescent="0.3">
      <c r="A1040" s="53" t="s">
        <v>1502</v>
      </c>
      <c r="B1040" s="54" t="s">
        <v>317</v>
      </c>
      <c r="C1040" s="54" t="s">
        <v>1258</v>
      </c>
      <c r="D1040" s="54" t="s">
        <v>1503</v>
      </c>
      <c r="E1040" s="55" t="s">
        <v>428</v>
      </c>
      <c r="F1040" s="54" t="s">
        <v>322</v>
      </c>
      <c r="G1040" s="54" t="s">
        <v>272</v>
      </c>
      <c r="H1040" s="54" t="s">
        <v>11</v>
      </c>
      <c r="I1040" s="54" t="s">
        <v>210</v>
      </c>
      <c r="J1040" s="55" t="s">
        <v>273</v>
      </c>
      <c r="K1040" s="54" t="s">
        <v>317</v>
      </c>
      <c r="L1040" s="56">
        <v>90.09</v>
      </c>
      <c r="M1040" s="56">
        <f>L1040*VLOOKUP(H1040,dagsoorttabel1,2,FALSE)</f>
        <v>90.09</v>
      </c>
      <c r="N1040" s="57">
        <f>prodnorm42</f>
        <v>0</v>
      </c>
      <c r="O1040" s="58">
        <f>dagwerk42</f>
        <v>0</v>
      </c>
      <c r="P1040" s="54" t="s">
        <v>40</v>
      </c>
      <c r="Q1040" s="59">
        <f>uurtarief42</f>
        <v>0</v>
      </c>
      <c r="R1040" s="56" t="e">
        <f>IF(ISBLANK(N1040),0,M1040/ROUND(N1040,4))</f>
        <v>#DIV/0!</v>
      </c>
      <c r="S1040" s="56" t="e">
        <f>IF(ISBLANK(N1040),0,R1040*ROUND(O1040,2))</f>
        <v>#DIV/0!</v>
      </c>
      <c r="T1040" s="59" t="e">
        <f>ROUND(Q1040,2)*R1040</f>
        <v>#DIV/0!</v>
      </c>
      <c r="U1040" s="56" t="e">
        <f>R1040*dagenperjaar1</f>
        <v>#DIV/0!</v>
      </c>
      <c r="V1040" s="60" t="e">
        <f>U1040*ROUND(Q1040,2)</f>
        <v>#DIV/0!</v>
      </c>
    </row>
    <row r="1041" spans="1:22" x14ac:dyDescent="0.3">
      <c r="A1041" s="61" t="s">
        <v>1502</v>
      </c>
      <c r="B1041" s="62" t="s">
        <v>317</v>
      </c>
      <c r="C1041" s="62" t="s">
        <v>1258</v>
      </c>
      <c r="D1041" s="62" t="s">
        <v>1504</v>
      </c>
      <c r="E1041" s="63" t="s">
        <v>394</v>
      </c>
      <c r="F1041" s="62" t="s">
        <v>348</v>
      </c>
      <c r="G1041" s="62" t="s">
        <v>274</v>
      </c>
      <c r="H1041" s="62" t="s">
        <v>11</v>
      </c>
      <c r="I1041" s="62" t="s">
        <v>210</v>
      </c>
      <c r="J1041" s="63" t="s">
        <v>275</v>
      </c>
      <c r="K1041" s="62" t="s">
        <v>317</v>
      </c>
      <c r="L1041" s="64">
        <v>8.33</v>
      </c>
      <c r="M1041" s="64">
        <f>L1041*VLOOKUP(H1041,dagsoorttabel1,2,FALSE)</f>
        <v>8.33</v>
      </c>
      <c r="N1041" s="65">
        <f>prodnorm43</f>
        <v>0</v>
      </c>
      <c r="O1041" s="66">
        <f>dagwerk43</f>
        <v>0</v>
      </c>
      <c r="P1041" s="62" t="s">
        <v>40</v>
      </c>
      <c r="Q1041" s="67">
        <f>uurtarief43</f>
        <v>0</v>
      </c>
      <c r="R1041" s="64" t="e">
        <f>IF(ISBLANK(N1041),0,M1041/ROUND(N1041,4))</f>
        <v>#DIV/0!</v>
      </c>
      <c r="S1041" s="64" t="e">
        <f>IF(ISBLANK(N1041),0,R1041*ROUND(O1041,2))</f>
        <v>#DIV/0!</v>
      </c>
      <c r="T1041" s="67" t="e">
        <f>ROUND(Q1041,2)*R1041</f>
        <v>#DIV/0!</v>
      </c>
      <c r="U1041" s="64" t="e">
        <f>R1041*dagenperjaar1</f>
        <v>#DIV/0!</v>
      </c>
      <c r="V1041" s="69" t="e">
        <f>U1041*ROUND(Q1041,2)</f>
        <v>#DIV/0!</v>
      </c>
    </row>
    <row r="1042" spans="1:22" x14ac:dyDescent="0.3">
      <c r="A1042" s="61" t="s">
        <v>1502</v>
      </c>
      <c r="B1042" s="62" t="s">
        <v>317</v>
      </c>
      <c r="C1042" s="62" t="s">
        <v>1258</v>
      </c>
      <c r="D1042" s="62" t="s">
        <v>1505</v>
      </c>
      <c r="E1042" s="63" t="s">
        <v>1134</v>
      </c>
      <c r="F1042" s="62" t="s">
        <v>322</v>
      </c>
      <c r="G1042" s="62" t="s">
        <v>272</v>
      </c>
      <c r="H1042" s="62" t="s">
        <v>11</v>
      </c>
      <c r="I1042" s="62" t="s">
        <v>210</v>
      </c>
      <c r="J1042" s="63" t="s">
        <v>273</v>
      </c>
      <c r="K1042" s="62" t="s">
        <v>317</v>
      </c>
      <c r="L1042" s="64">
        <v>7.7700000000000005</v>
      </c>
      <c r="M1042" s="64">
        <f>L1042*VLOOKUP(H1042,dagsoorttabel1,2,FALSE)</f>
        <v>7.7700000000000005</v>
      </c>
      <c r="N1042" s="65">
        <f>prodnorm42</f>
        <v>0</v>
      </c>
      <c r="O1042" s="66">
        <f>dagwerk42</f>
        <v>0</v>
      </c>
      <c r="P1042" s="62" t="s">
        <v>40</v>
      </c>
      <c r="Q1042" s="67">
        <f>uurtarief42</f>
        <v>0</v>
      </c>
      <c r="R1042" s="64" t="e">
        <f>IF(ISBLANK(N1042),0,M1042/ROUND(N1042,4))</f>
        <v>#DIV/0!</v>
      </c>
      <c r="S1042" s="64" t="e">
        <f>IF(ISBLANK(N1042),0,R1042*ROUND(O1042,2))</f>
        <v>#DIV/0!</v>
      </c>
      <c r="T1042" s="67" t="e">
        <f>ROUND(Q1042,2)*R1042</f>
        <v>#DIV/0!</v>
      </c>
      <c r="U1042" s="64" t="e">
        <f>R1042*dagenperjaar1</f>
        <v>#DIV/0!</v>
      </c>
      <c r="V1042" s="69" t="e">
        <f>U1042*ROUND(Q1042,2)</f>
        <v>#DIV/0!</v>
      </c>
    </row>
    <row r="1043" spans="1:22" x14ac:dyDescent="0.3">
      <c r="A1043" s="61" t="s">
        <v>1502</v>
      </c>
      <c r="B1043" s="62" t="s">
        <v>317</v>
      </c>
      <c r="C1043" s="62" t="s">
        <v>1258</v>
      </c>
      <c r="D1043" s="62" t="s">
        <v>1506</v>
      </c>
      <c r="E1043" s="63" t="s">
        <v>428</v>
      </c>
      <c r="F1043" s="62" t="s">
        <v>348</v>
      </c>
      <c r="G1043" s="62" t="s">
        <v>274</v>
      </c>
      <c r="H1043" s="62" t="s">
        <v>11</v>
      </c>
      <c r="I1043" s="62" t="s">
        <v>210</v>
      </c>
      <c r="J1043" s="63" t="s">
        <v>275</v>
      </c>
      <c r="K1043" s="62" t="s">
        <v>317</v>
      </c>
      <c r="L1043" s="64">
        <v>19.100000000000001</v>
      </c>
      <c r="M1043" s="64">
        <f>L1043*VLOOKUP(H1043,dagsoorttabel1,2,FALSE)</f>
        <v>19.100000000000001</v>
      </c>
      <c r="N1043" s="65">
        <f>prodnorm43</f>
        <v>0</v>
      </c>
      <c r="O1043" s="66">
        <f>dagwerk43</f>
        <v>0</v>
      </c>
      <c r="P1043" s="62" t="s">
        <v>40</v>
      </c>
      <c r="Q1043" s="67">
        <f>uurtarief43</f>
        <v>0</v>
      </c>
      <c r="R1043" s="64" t="e">
        <f>IF(ISBLANK(N1043),0,M1043/ROUND(N1043,4))</f>
        <v>#DIV/0!</v>
      </c>
      <c r="S1043" s="64" t="e">
        <f>IF(ISBLANK(N1043),0,R1043*ROUND(O1043,2))</f>
        <v>#DIV/0!</v>
      </c>
      <c r="T1043" s="67" t="e">
        <f>ROUND(Q1043,2)*R1043</f>
        <v>#DIV/0!</v>
      </c>
      <c r="U1043" s="64" t="e">
        <f>R1043*dagenperjaar1</f>
        <v>#DIV/0!</v>
      </c>
      <c r="V1043" s="69" t="e">
        <f>U1043*ROUND(Q1043,2)</f>
        <v>#DIV/0!</v>
      </c>
    </row>
    <row r="1044" spans="1:22" x14ac:dyDescent="0.3">
      <c r="A1044" s="61" t="s">
        <v>1502</v>
      </c>
      <c r="B1044" s="62" t="s">
        <v>317</v>
      </c>
      <c r="C1044" s="62" t="s">
        <v>1258</v>
      </c>
      <c r="D1044" s="62" t="s">
        <v>1259</v>
      </c>
      <c r="E1044" s="63" t="s">
        <v>1507</v>
      </c>
      <c r="F1044" s="62" t="s">
        <v>322</v>
      </c>
      <c r="G1044" s="62" t="s">
        <v>323</v>
      </c>
      <c r="H1044" s="62"/>
      <c r="I1044" s="62"/>
      <c r="J1044" s="62"/>
      <c r="K1044" s="62" t="s">
        <v>317</v>
      </c>
      <c r="L1044" s="64">
        <v>498.6</v>
      </c>
      <c r="M1044" s="64"/>
      <c r="N1044" s="65"/>
      <c r="O1044" s="66"/>
      <c r="P1044" s="62"/>
      <c r="Q1044" s="67"/>
      <c r="R1044" s="64"/>
      <c r="S1044" s="64"/>
      <c r="T1044" s="67"/>
      <c r="U1044" s="68"/>
      <c r="V1044" s="69"/>
    </row>
    <row r="1045" spans="1:22" x14ac:dyDescent="0.3">
      <c r="A1045" s="61" t="s">
        <v>1502</v>
      </c>
      <c r="B1045" s="62" t="s">
        <v>317</v>
      </c>
      <c r="C1045" s="62" t="s">
        <v>1258</v>
      </c>
      <c r="D1045" s="62" t="s">
        <v>1261</v>
      </c>
      <c r="E1045" s="63" t="s">
        <v>1508</v>
      </c>
      <c r="F1045" s="62" t="s">
        <v>335</v>
      </c>
      <c r="G1045" s="62" t="s">
        <v>264</v>
      </c>
      <c r="H1045" s="62" t="s">
        <v>11</v>
      </c>
      <c r="I1045" s="62" t="s">
        <v>210</v>
      </c>
      <c r="J1045" s="63" t="s">
        <v>265</v>
      </c>
      <c r="K1045" s="62" t="s">
        <v>317</v>
      </c>
      <c r="L1045" s="64">
        <v>43.49</v>
      </c>
      <c r="M1045" s="64">
        <f>L1045*VLOOKUP(H1045,dagsoorttabel1,2,FALSE)</f>
        <v>43.49</v>
      </c>
      <c r="N1045" s="65">
        <f>prodnorm38</f>
        <v>0</v>
      </c>
      <c r="O1045" s="66">
        <f>dagwerk38</f>
        <v>0</v>
      </c>
      <c r="P1045" s="62" t="s">
        <v>40</v>
      </c>
      <c r="Q1045" s="67">
        <f>uurtarief38</f>
        <v>0</v>
      </c>
      <c r="R1045" s="64" t="e">
        <f>IF(ISBLANK(N1045),0,M1045/ROUND(N1045,4))</f>
        <v>#DIV/0!</v>
      </c>
      <c r="S1045" s="64" t="e">
        <f>IF(ISBLANK(N1045),0,R1045*ROUND(O1045,2))</f>
        <v>#DIV/0!</v>
      </c>
      <c r="T1045" s="67" t="e">
        <f>ROUND(Q1045,2)*R1045</f>
        <v>#DIV/0!</v>
      </c>
      <c r="U1045" s="64" t="e">
        <f>R1045*dagenperjaar1</f>
        <v>#DIV/0!</v>
      </c>
      <c r="V1045" s="69" t="e">
        <f>U1045*ROUND(Q1045,2)</f>
        <v>#DIV/0!</v>
      </c>
    </row>
    <row r="1046" spans="1:22" x14ac:dyDescent="0.3">
      <c r="A1046" s="61" t="s">
        <v>1502</v>
      </c>
      <c r="B1046" s="62" t="s">
        <v>317</v>
      </c>
      <c r="C1046" s="62" t="s">
        <v>1258</v>
      </c>
      <c r="D1046" s="62" t="s">
        <v>1264</v>
      </c>
      <c r="E1046" s="63" t="s">
        <v>1509</v>
      </c>
      <c r="F1046" s="62" t="s">
        <v>335</v>
      </c>
      <c r="G1046" s="62" t="s">
        <v>264</v>
      </c>
      <c r="H1046" s="62" t="s">
        <v>11</v>
      </c>
      <c r="I1046" s="62" t="s">
        <v>210</v>
      </c>
      <c r="J1046" s="63" t="s">
        <v>265</v>
      </c>
      <c r="K1046" s="62" t="s">
        <v>317</v>
      </c>
      <c r="L1046" s="64">
        <v>9.19</v>
      </c>
      <c r="M1046" s="64">
        <f>L1046*VLOOKUP(H1046,dagsoorttabel1,2,FALSE)</f>
        <v>9.19</v>
      </c>
      <c r="N1046" s="65">
        <f>prodnorm38</f>
        <v>0</v>
      </c>
      <c r="O1046" s="66">
        <f>dagwerk38</f>
        <v>0</v>
      </c>
      <c r="P1046" s="62" t="s">
        <v>40</v>
      </c>
      <c r="Q1046" s="67">
        <f>uurtarief38</f>
        <v>0</v>
      </c>
      <c r="R1046" s="64" t="e">
        <f>IF(ISBLANK(N1046),0,M1046/ROUND(N1046,4))</f>
        <v>#DIV/0!</v>
      </c>
      <c r="S1046" s="64" t="e">
        <f>IF(ISBLANK(N1046),0,R1046*ROUND(O1046,2))</f>
        <v>#DIV/0!</v>
      </c>
      <c r="T1046" s="67" t="e">
        <f>ROUND(Q1046,2)*R1046</f>
        <v>#DIV/0!</v>
      </c>
      <c r="U1046" s="64" t="e">
        <f>R1046*dagenperjaar1</f>
        <v>#DIV/0!</v>
      </c>
      <c r="V1046" s="69" t="e">
        <f>U1046*ROUND(Q1046,2)</f>
        <v>#DIV/0!</v>
      </c>
    </row>
    <row r="1047" spans="1:22" x14ac:dyDescent="0.3">
      <c r="A1047" s="61" t="s">
        <v>1502</v>
      </c>
      <c r="B1047" s="62" t="s">
        <v>317</v>
      </c>
      <c r="C1047" s="62" t="s">
        <v>1258</v>
      </c>
      <c r="D1047" s="62" t="s">
        <v>1510</v>
      </c>
      <c r="E1047" s="63" t="s">
        <v>1511</v>
      </c>
      <c r="F1047" s="62" t="s">
        <v>335</v>
      </c>
      <c r="G1047" s="62" t="s">
        <v>264</v>
      </c>
      <c r="H1047" s="62" t="s">
        <v>11</v>
      </c>
      <c r="I1047" s="62" t="s">
        <v>210</v>
      </c>
      <c r="J1047" s="63" t="s">
        <v>265</v>
      </c>
      <c r="K1047" s="62" t="s">
        <v>317</v>
      </c>
      <c r="L1047" s="64">
        <v>9.51</v>
      </c>
      <c r="M1047" s="64">
        <f>L1047*VLOOKUP(H1047,dagsoorttabel1,2,FALSE)</f>
        <v>9.51</v>
      </c>
      <c r="N1047" s="65">
        <f>prodnorm38</f>
        <v>0</v>
      </c>
      <c r="O1047" s="66">
        <f>dagwerk38</f>
        <v>0</v>
      </c>
      <c r="P1047" s="62" t="s">
        <v>40</v>
      </c>
      <c r="Q1047" s="67">
        <f>uurtarief38</f>
        <v>0</v>
      </c>
      <c r="R1047" s="64" t="e">
        <f>IF(ISBLANK(N1047),0,M1047/ROUND(N1047,4))</f>
        <v>#DIV/0!</v>
      </c>
      <c r="S1047" s="64" t="e">
        <f>IF(ISBLANK(N1047),0,R1047*ROUND(O1047,2))</f>
        <v>#DIV/0!</v>
      </c>
      <c r="T1047" s="67" t="e">
        <f>ROUND(Q1047,2)*R1047</f>
        <v>#DIV/0!</v>
      </c>
      <c r="U1047" s="64" t="e">
        <f>R1047*dagenperjaar1</f>
        <v>#DIV/0!</v>
      </c>
      <c r="V1047" s="69" t="e">
        <f>U1047*ROUND(Q1047,2)</f>
        <v>#DIV/0!</v>
      </c>
    </row>
    <row r="1048" spans="1:22" x14ac:dyDescent="0.3">
      <c r="A1048" s="61" t="s">
        <v>1502</v>
      </c>
      <c r="B1048" s="62" t="s">
        <v>317</v>
      </c>
      <c r="C1048" s="62" t="s">
        <v>1258</v>
      </c>
      <c r="D1048" s="62" t="s">
        <v>1512</v>
      </c>
      <c r="E1048" s="63" t="s">
        <v>1115</v>
      </c>
      <c r="F1048" s="62" t="s">
        <v>322</v>
      </c>
      <c r="G1048" s="62" t="s">
        <v>323</v>
      </c>
      <c r="H1048" s="62"/>
      <c r="I1048" s="62"/>
      <c r="J1048" s="62"/>
      <c r="K1048" s="62" t="s">
        <v>317</v>
      </c>
      <c r="L1048" s="64">
        <v>13.99</v>
      </c>
      <c r="M1048" s="64"/>
      <c r="N1048" s="65"/>
      <c r="O1048" s="66"/>
      <c r="P1048" s="62"/>
      <c r="Q1048" s="67"/>
      <c r="R1048" s="64"/>
      <c r="S1048" s="64"/>
      <c r="T1048" s="67"/>
      <c r="U1048" s="68"/>
      <c r="V1048" s="69"/>
    </row>
    <row r="1049" spans="1:22" x14ac:dyDescent="0.3">
      <c r="A1049" s="61" t="s">
        <v>1502</v>
      </c>
      <c r="B1049" s="62" t="s">
        <v>317</v>
      </c>
      <c r="C1049" s="62" t="s">
        <v>1258</v>
      </c>
      <c r="D1049" s="62" t="s">
        <v>1513</v>
      </c>
      <c r="E1049" s="63" t="s">
        <v>1514</v>
      </c>
      <c r="F1049" s="62" t="s">
        <v>322</v>
      </c>
      <c r="G1049" s="62" t="s">
        <v>323</v>
      </c>
      <c r="H1049" s="62"/>
      <c r="I1049" s="62"/>
      <c r="J1049" s="62"/>
      <c r="K1049" s="62" t="s">
        <v>317</v>
      </c>
      <c r="L1049" s="64">
        <v>34.53</v>
      </c>
      <c r="M1049" s="64"/>
      <c r="N1049" s="65"/>
      <c r="O1049" s="66"/>
      <c r="P1049" s="62"/>
      <c r="Q1049" s="67"/>
      <c r="R1049" s="64"/>
      <c r="S1049" s="64"/>
      <c r="T1049" s="67"/>
      <c r="U1049" s="68"/>
      <c r="V1049" s="69"/>
    </row>
    <row r="1050" spans="1:22" x14ac:dyDescent="0.3">
      <c r="A1050" s="61" t="s">
        <v>1502</v>
      </c>
      <c r="B1050" s="62" t="s">
        <v>317</v>
      </c>
      <c r="C1050" s="62" t="s">
        <v>1258</v>
      </c>
      <c r="D1050" s="62" t="s">
        <v>1515</v>
      </c>
      <c r="E1050" s="63" t="s">
        <v>383</v>
      </c>
      <c r="F1050" s="62" t="s">
        <v>389</v>
      </c>
      <c r="G1050" s="62" t="s">
        <v>323</v>
      </c>
      <c r="H1050" s="62"/>
      <c r="I1050" s="62"/>
      <c r="J1050" s="62"/>
      <c r="K1050" s="62" t="s">
        <v>317</v>
      </c>
      <c r="L1050" s="64">
        <v>14.41</v>
      </c>
      <c r="M1050" s="64"/>
      <c r="N1050" s="65"/>
      <c r="O1050" s="66"/>
      <c r="P1050" s="62"/>
      <c r="Q1050" s="67"/>
      <c r="R1050" s="64"/>
      <c r="S1050" s="64"/>
      <c r="T1050" s="67"/>
      <c r="U1050" s="68"/>
      <c r="V1050" s="69"/>
    </row>
    <row r="1051" spans="1:22" x14ac:dyDescent="0.3">
      <c r="A1051" s="61" t="s">
        <v>1502</v>
      </c>
      <c r="B1051" s="62" t="s">
        <v>317</v>
      </c>
      <c r="C1051" s="62" t="s">
        <v>1258</v>
      </c>
      <c r="D1051" s="62" t="s">
        <v>1516</v>
      </c>
      <c r="E1051" s="63" t="s">
        <v>374</v>
      </c>
      <c r="F1051" s="62" t="s">
        <v>322</v>
      </c>
      <c r="G1051" s="62" t="s">
        <v>323</v>
      </c>
      <c r="H1051" s="62"/>
      <c r="I1051" s="62"/>
      <c r="J1051" s="62"/>
      <c r="K1051" s="62" t="s">
        <v>317</v>
      </c>
      <c r="L1051" s="64">
        <v>12.229999999999999</v>
      </c>
      <c r="M1051" s="64"/>
      <c r="N1051" s="65"/>
      <c r="O1051" s="66"/>
      <c r="P1051" s="62"/>
      <c r="Q1051" s="67"/>
      <c r="R1051" s="64"/>
      <c r="S1051" s="64"/>
      <c r="T1051" s="67"/>
      <c r="U1051" s="68"/>
      <c r="V1051" s="69"/>
    </row>
    <row r="1052" spans="1:22" x14ac:dyDescent="0.3">
      <c r="A1052" s="61" t="s">
        <v>1502</v>
      </c>
      <c r="B1052" s="62" t="s">
        <v>317</v>
      </c>
      <c r="C1052" s="62" t="s">
        <v>1258</v>
      </c>
      <c r="D1052" s="62" t="s">
        <v>1517</v>
      </c>
      <c r="E1052" s="63" t="s">
        <v>1518</v>
      </c>
      <c r="F1052" s="62" t="s">
        <v>322</v>
      </c>
      <c r="G1052" s="62" t="s">
        <v>264</v>
      </c>
      <c r="H1052" s="62" t="s">
        <v>11</v>
      </c>
      <c r="I1052" s="62" t="s">
        <v>210</v>
      </c>
      <c r="J1052" s="63" t="s">
        <v>265</v>
      </c>
      <c r="K1052" s="62" t="s">
        <v>317</v>
      </c>
      <c r="L1052" s="64">
        <v>210.59</v>
      </c>
      <c r="M1052" s="64">
        <f>L1052*VLOOKUP(H1052,dagsoorttabel1,2,FALSE)</f>
        <v>210.59</v>
      </c>
      <c r="N1052" s="65">
        <f>prodnorm38</f>
        <v>0</v>
      </c>
      <c r="O1052" s="66">
        <f>dagwerk38</f>
        <v>0</v>
      </c>
      <c r="P1052" s="62" t="s">
        <v>40</v>
      </c>
      <c r="Q1052" s="67">
        <f>uurtarief38</f>
        <v>0</v>
      </c>
      <c r="R1052" s="64" t="e">
        <f>IF(ISBLANK(N1052),0,M1052/ROUND(N1052,4))</f>
        <v>#DIV/0!</v>
      </c>
      <c r="S1052" s="64" t="e">
        <f>IF(ISBLANK(N1052),0,R1052*ROUND(O1052,2))</f>
        <v>#DIV/0!</v>
      </c>
      <c r="T1052" s="67" t="e">
        <f>ROUND(Q1052,2)*R1052</f>
        <v>#DIV/0!</v>
      </c>
      <c r="U1052" s="64" t="e">
        <f>R1052*dagenperjaar1</f>
        <v>#DIV/0!</v>
      </c>
      <c r="V1052" s="69" t="e">
        <f>U1052*ROUND(Q1052,2)</f>
        <v>#DIV/0!</v>
      </c>
    </row>
    <row r="1053" spans="1:22" x14ac:dyDescent="0.3">
      <c r="A1053" s="61" t="s">
        <v>1502</v>
      </c>
      <c r="B1053" s="62" t="s">
        <v>317</v>
      </c>
      <c r="C1053" s="62" t="s">
        <v>1258</v>
      </c>
      <c r="D1053" s="62" t="s">
        <v>1519</v>
      </c>
      <c r="E1053" s="63" t="s">
        <v>374</v>
      </c>
      <c r="F1053" s="62" t="s">
        <v>322</v>
      </c>
      <c r="G1053" s="62" t="s">
        <v>323</v>
      </c>
      <c r="H1053" s="62"/>
      <c r="I1053" s="62"/>
      <c r="J1053" s="62"/>
      <c r="K1053" s="62" t="s">
        <v>317</v>
      </c>
      <c r="L1053" s="64">
        <v>3.22</v>
      </c>
      <c r="M1053" s="64"/>
      <c r="N1053" s="65"/>
      <c r="O1053" s="66"/>
      <c r="P1053" s="62"/>
      <c r="Q1053" s="67"/>
      <c r="R1053" s="64"/>
      <c r="S1053" s="64"/>
      <c r="T1053" s="67"/>
      <c r="U1053" s="68"/>
      <c r="V1053" s="69"/>
    </row>
    <row r="1054" spans="1:22" x14ac:dyDescent="0.3">
      <c r="A1054" s="61" t="s">
        <v>1502</v>
      </c>
      <c r="B1054" s="62" t="s">
        <v>317</v>
      </c>
      <c r="C1054" s="62" t="s">
        <v>318</v>
      </c>
      <c r="D1054" s="62" t="s">
        <v>1108</v>
      </c>
      <c r="E1054" s="63" t="s">
        <v>1520</v>
      </c>
      <c r="F1054" s="62" t="s">
        <v>389</v>
      </c>
      <c r="G1054" s="62" t="s">
        <v>234</v>
      </c>
      <c r="H1054" s="62" t="s">
        <v>14</v>
      </c>
      <c r="I1054" s="62" t="s">
        <v>210</v>
      </c>
      <c r="J1054" s="63" t="s">
        <v>235</v>
      </c>
      <c r="K1054" s="62" t="s">
        <v>317</v>
      </c>
      <c r="L1054" s="64">
        <v>57.809999999999995</v>
      </c>
      <c r="M1054" s="64">
        <f>L1054*VLOOKUP(H1054,dagsoorttabel1,2,FALSE)</f>
        <v>34.685999999999993</v>
      </c>
      <c r="N1054" s="65">
        <f>prodnorm22</f>
        <v>0</v>
      </c>
      <c r="O1054" s="66">
        <f>dagwerk22</f>
        <v>0</v>
      </c>
      <c r="P1054" s="62" t="s">
        <v>40</v>
      </c>
      <c r="Q1054" s="67">
        <f>uurtarief22</f>
        <v>0</v>
      </c>
      <c r="R1054" s="64" t="e">
        <f>IF(ISBLANK(N1054),0,M1054/ROUND(N1054,4))</f>
        <v>#DIV/0!</v>
      </c>
      <c r="S1054" s="64" t="e">
        <f>IF(ISBLANK(N1054),0,R1054*ROUND(O1054,2))</f>
        <v>#DIV/0!</v>
      </c>
      <c r="T1054" s="67" t="e">
        <f>ROUND(Q1054,2)*R1054</f>
        <v>#DIV/0!</v>
      </c>
      <c r="U1054" s="64" t="e">
        <f>R1054*dagenperjaar1</f>
        <v>#DIV/0!</v>
      </c>
      <c r="V1054" s="69" t="e">
        <f>U1054*ROUND(Q1054,2)</f>
        <v>#DIV/0!</v>
      </c>
    </row>
    <row r="1055" spans="1:22" x14ac:dyDescent="0.3">
      <c r="A1055" s="61" t="s">
        <v>1502</v>
      </c>
      <c r="B1055" s="62" t="s">
        <v>317</v>
      </c>
      <c r="C1055" s="62" t="s">
        <v>318</v>
      </c>
      <c r="D1055" s="62" t="s">
        <v>1109</v>
      </c>
      <c r="E1055" s="63" t="s">
        <v>1520</v>
      </c>
      <c r="F1055" s="62" t="s">
        <v>389</v>
      </c>
      <c r="G1055" s="62" t="s">
        <v>234</v>
      </c>
      <c r="H1055" s="62" t="s">
        <v>14</v>
      </c>
      <c r="I1055" s="62" t="s">
        <v>210</v>
      </c>
      <c r="J1055" s="63" t="s">
        <v>235</v>
      </c>
      <c r="K1055" s="62" t="s">
        <v>317</v>
      </c>
      <c r="L1055" s="64">
        <v>58.220000000000006</v>
      </c>
      <c r="M1055" s="64">
        <f>L1055*VLOOKUP(H1055,dagsoorttabel1,2,FALSE)</f>
        <v>34.932000000000002</v>
      </c>
      <c r="N1055" s="65">
        <f>prodnorm22</f>
        <v>0</v>
      </c>
      <c r="O1055" s="66">
        <f>dagwerk22</f>
        <v>0</v>
      </c>
      <c r="P1055" s="62" t="s">
        <v>40</v>
      </c>
      <c r="Q1055" s="67">
        <f>uurtarief22</f>
        <v>0</v>
      </c>
      <c r="R1055" s="64" t="e">
        <f>IF(ISBLANK(N1055),0,M1055/ROUND(N1055,4))</f>
        <v>#DIV/0!</v>
      </c>
      <c r="S1055" s="64" t="e">
        <f>IF(ISBLANK(N1055),0,R1055*ROUND(O1055,2))</f>
        <v>#DIV/0!</v>
      </c>
      <c r="T1055" s="67" t="e">
        <f>ROUND(Q1055,2)*R1055</f>
        <v>#DIV/0!</v>
      </c>
      <c r="U1055" s="64" t="e">
        <f>R1055*dagenperjaar1</f>
        <v>#DIV/0!</v>
      </c>
      <c r="V1055" s="69" t="e">
        <f>U1055*ROUND(Q1055,2)</f>
        <v>#DIV/0!</v>
      </c>
    </row>
    <row r="1056" spans="1:22" x14ac:dyDescent="0.3">
      <c r="A1056" s="61" t="s">
        <v>1502</v>
      </c>
      <c r="B1056" s="62" t="s">
        <v>317</v>
      </c>
      <c r="C1056" s="62" t="s">
        <v>318</v>
      </c>
      <c r="D1056" s="62" t="s">
        <v>1112</v>
      </c>
      <c r="E1056" s="63" t="s">
        <v>1520</v>
      </c>
      <c r="F1056" s="62" t="s">
        <v>389</v>
      </c>
      <c r="G1056" s="62" t="s">
        <v>234</v>
      </c>
      <c r="H1056" s="62" t="s">
        <v>14</v>
      </c>
      <c r="I1056" s="62" t="s">
        <v>210</v>
      </c>
      <c r="J1056" s="63" t="s">
        <v>235</v>
      </c>
      <c r="K1056" s="62" t="s">
        <v>317</v>
      </c>
      <c r="L1056" s="64">
        <v>58.220000000000006</v>
      </c>
      <c r="M1056" s="64">
        <f>L1056*VLOOKUP(H1056,dagsoorttabel1,2,FALSE)</f>
        <v>34.932000000000002</v>
      </c>
      <c r="N1056" s="65">
        <f>prodnorm22</f>
        <v>0</v>
      </c>
      <c r="O1056" s="66">
        <f>dagwerk22</f>
        <v>0</v>
      </c>
      <c r="P1056" s="62" t="s">
        <v>40</v>
      </c>
      <c r="Q1056" s="67">
        <f>uurtarief22</f>
        <v>0</v>
      </c>
      <c r="R1056" s="64" t="e">
        <f>IF(ISBLANK(N1056),0,M1056/ROUND(N1056,4))</f>
        <v>#DIV/0!</v>
      </c>
      <c r="S1056" s="64" t="e">
        <f>IF(ISBLANK(N1056),0,R1056*ROUND(O1056,2))</f>
        <v>#DIV/0!</v>
      </c>
      <c r="T1056" s="67" t="e">
        <f>ROUND(Q1056,2)*R1056</f>
        <v>#DIV/0!</v>
      </c>
      <c r="U1056" s="64" t="e">
        <f>R1056*dagenperjaar1</f>
        <v>#DIV/0!</v>
      </c>
      <c r="V1056" s="69" t="e">
        <f>U1056*ROUND(Q1056,2)</f>
        <v>#DIV/0!</v>
      </c>
    </row>
    <row r="1057" spans="1:22" x14ac:dyDescent="0.3">
      <c r="A1057" s="61" t="s">
        <v>1502</v>
      </c>
      <c r="B1057" s="62" t="s">
        <v>317</v>
      </c>
      <c r="C1057" s="62" t="s">
        <v>318</v>
      </c>
      <c r="D1057" s="62" t="s">
        <v>1113</v>
      </c>
      <c r="E1057" s="63" t="s">
        <v>1520</v>
      </c>
      <c r="F1057" s="62" t="s">
        <v>389</v>
      </c>
      <c r="G1057" s="62" t="s">
        <v>234</v>
      </c>
      <c r="H1057" s="62" t="s">
        <v>14</v>
      </c>
      <c r="I1057" s="62" t="s">
        <v>210</v>
      </c>
      <c r="J1057" s="63" t="s">
        <v>235</v>
      </c>
      <c r="K1057" s="62" t="s">
        <v>317</v>
      </c>
      <c r="L1057" s="64">
        <v>57.92</v>
      </c>
      <c r="M1057" s="64">
        <f>L1057*VLOOKUP(H1057,dagsoorttabel1,2,FALSE)</f>
        <v>34.752000000000002</v>
      </c>
      <c r="N1057" s="65">
        <f>prodnorm22</f>
        <v>0</v>
      </c>
      <c r="O1057" s="66">
        <f>dagwerk22</f>
        <v>0</v>
      </c>
      <c r="P1057" s="62" t="s">
        <v>40</v>
      </c>
      <c r="Q1057" s="67">
        <f>uurtarief22</f>
        <v>0</v>
      </c>
      <c r="R1057" s="64" t="e">
        <f>IF(ISBLANK(N1057),0,M1057/ROUND(N1057,4))</f>
        <v>#DIV/0!</v>
      </c>
      <c r="S1057" s="64" t="e">
        <f>IF(ISBLANK(N1057),0,R1057*ROUND(O1057,2))</f>
        <v>#DIV/0!</v>
      </c>
      <c r="T1057" s="67" t="e">
        <f>ROUND(Q1057,2)*R1057</f>
        <v>#DIV/0!</v>
      </c>
      <c r="U1057" s="64" t="e">
        <f>R1057*dagenperjaar1</f>
        <v>#DIV/0!</v>
      </c>
      <c r="V1057" s="69" t="e">
        <f>U1057*ROUND(Q1057,2)</f>
        <v>#DIV/0!</v>
      </c>
    </row>
    <row r="1058" spans="1:22" x14ac:dyDescent="0.3">
      <c r="A1058" s="61" t="s">
        <v>1502</v>
      </c>
      <c r="B1058" s="62" t="s">
        <v>317</v>
      </c>
      <c r="C1058" s="62" t="s">
        <v>318</v>
      </c>
      <c r="D1058" s="62" t="s">
        <v>1114</v>
      </c>
      <c r="E1058" s="63" t="s">
        <v>321</v>
      </c>
      <c r="F1058" s="62" t="s">
        <v>389</v>
      </c>
      <c r="G1058" s="62" t="s">
        <v>323</v>
      </c>
      <c r="H1058" s="62"/>
      <c r="I1058" s="62"/>
      <c r="J1058" s="62"/>
      <c r="K1058" s="62" t="s">
        <v>317</v>
      </c>
      <c r="L1058" s="64">
        <v>16.73</v>
      </c>
      <c r="M1058" s="64"/>
      <c r="N1058" s="65"/>
      <c r="O1058" s="66"/>
      <c r="P1058" s="62"/>
      <c r="Q1058" s="67"/>
      <c r="R1058" s="64"/>
      <c r="S1058" s="64"/>
      <c r="T1058" s="67"/>
      <c r="U1058" s="68"/>
      <c r="V1058" s="69"/>
    </row>
    <row r="1059" spans="1:22" x14ac:dyDescent="0.3">
      <c r="A1059" s="61" t="s">
        <v>1502</v>
      </c>
      <c r="B1059" s="62" t="s">
        <v>317</v>
      </c>
      <c r="C1059" s="62" t="s">
        <v>318</v>
      </c>
      <c r="D1059" s="62" t="s">
        <v>1116</v>
      </c>
      <c r="E1059" s="63" t="s">
        <v>1521</v>
      </c>
      <c r="F1059" s="62" t="s">
        <v>389</v>
      </c>
      <c r="G1059" s="62" t="s">
        <v>323</v>
      </c>
      <c r="H1059" s="62"/>
      <c r="I1059" s="62"/>
      <c r="J1059" s="62"/>
      <c r="K1059" s="62" t="s">
        <v>317</v>
      </c>
      <c r="L1059" s="64">
        <v>39.53</v>
      </c>
      <c r="M1059" s="64"/>
      <c r="N1059" s="65"/>
      <c r="O1059" s="66"/>
      <c r="P1059" s="62"/>
      <c r="Q1059" s="67"/>
      <c r="R1059" s="64"/>
      <c r="S1059" s="64"/>
      <c r="T1059" s="67"/>
      <c r="U1059" s="68"/>
      <c r="V1059" s="69"/>
    </row>
    <row r="1060" spans="1:22" x14ac:dyDescent="0.3">
      <c r="A1060" s="61" t="s">
        <v>1502</v>
      </c>
      <c r="B1060" s="62" t="s">
        <v>317</v>
      </c>
      <c r="C1060" s="62" t="s">
        <v>318</v>
      </c>
      <c r="D1060" s="62" t="s">
        <v>1119</v>
      </c>
      <c r="E1060" s="63" t="s">
        <v>1175</v>
      </c>
      <c r="F1060" s="62" t="s">
        <v>389</v>
      </c>
      <c r="G1060" s="62" t="s">
        <v>209</v>
      </c>
      <c r="H1060" s="62" t="s">
        <v>17</v>
      </c>
      <c r="I1060" s="62" t="s">
        <v>210</v>
      </c>
      <c r="J1060" s="63" t="s">
        <v>211</v>
      </c>
      <c r="K1060" s="62" t="s">
        <v>317</v>
      </c>
      <c r="L1060" s="64">
        <v>59.18</v>
      </c>
      <c r="M1060" s="64">
        <f t="shared" ref="M1060:M1074" si="345">L1060*VLOOKUP(H1060,dagsoorttabel1,2,FALSE)</f>
        <v>11.836</v>
      </c>
      <c r="N1060" s="65">
        <f>prodnorm10</f>
        <v>0</v>
      </c>
      <c r="O1060" s="66">
        <f>dagwerk10</f>
        <v>0</v>
      </c>
      <c r="P1060" s="62" t="s">
        <v>40</v>
      </c>
      <c r="Q1060" s="67">
        <f>uurtarief10</f>
        <v>0</v>
      </c>
      <c r="R1060" s="64" t="e">
        <f t="shared" ref="R1060:R1074" si="346">IF(ISBLANK(N1060),0,M1060/ROUND(N1060,4))</f>
        <v>#DIV/0!</v>
      </c>
      <c r="S1060" s="64" t="e">
        <f t="shared" ref="S1060:S1074" si="347">IF(ISBLANK(N1060),0,R1060*ROUND(O1060,2))</f>
        <v>#DIV/0!</v>
      </c>
      <c r="T1060" s="67" t="e">
        <f t="shared" ref="T1060:T1074" si="348">ROUND(Q1060,2)*R1060</f>
        <v>#DIV/0!</v>
      </c>
      <c r="U1060" s="64" t="e">
        <f t="shared" ref="U1060:U1074" si="349">R1060*dagenperjaar1</f>
        <v>#DIV/0!</v>
      </c>
      <c r="V1060" s="69" t="e">
        <f t="shared" ref="V1060:V1074" si="350">U1060*ROUND(Q1060,2)</f>
        <v>#DIV/0!</v>
      </c>
    </row>
    <row r="1061" spans="1:22" x14ac:dyDescent="0.3">
      <c r="A1061" s="61" t="s">
        <v>1502</v>
      </c>
      <c r="B1061" s="62" t="s">
        <v>317</v>
      </c>
      <c r="C1061" s="62" t="s">
        <v>318</v>
      </c>
      <c r="D1061" s="62" t="s">
        <v>1522</v>
      </c>
      <c r="E1061" s="63" t="s">
        <v>1162</v>
      </c>
      <c r="F1061" s="62" t="s">
        <v>377</v>
      </c>
      <c r="G1061" s="62" t="s">
        <v>220</v>
      </c>
      <c r="H1061" s="62" t="s">
        <v>11</v>
      </c>
      <c r="I1061" s="62" t="s">
        <v>210</v>
      </c>
      <c r="J1061" s="63" t="s">
        <v>221</v>
      </c>
      <c r="K1061" s="62" t="s">
        <v>317</v>
      </c>
      <c r="L1061" s="64">
        <v>84.31</v>
      </c>
      <c r="M1061" s="64">
        <f t="shared" si="345"/>
        <v>84.31</v>
      </c>
      <c r="N1061" s="65">
        <f>prodnorm15</f>
        <v>0</v>
      </c>
      <c r="O1061" s="66">
        <f>dagwerk15</f>
        <v>0</v>
      </c>
      <c r="P1061" s="62" t="s">
        <v>40</v>
      </c>
      <c r="Q1061" s="67">
        <f>uurtarief15</f>
        <v>0</v>
      </c>
      <c r="R1061" s="64" t="e">
        <f t="shared" si="346"/>
        <v>#DIV/0!</v>
      </c>
      <c r="S1061" s="64" t="e">
        <f t="shared" si="347"/>
        <v>#DIV/0!</v>
      </c>
      <c r="T1061" s="67" t="e">
        <f t="shared" si="348"/>
        <v>#DIV/0!</v>
      </c>
      <c r="U1061" s="64" t="e">
        <f t="shared" si="349"/>
        <v>#DIV/0!</v>
      </c>
      <c r="V1061" s="69" t="e">
        <f t="shared" si="350"/>
        <v>#DIV/0!</v>
      </c>
    </row>
    <row r="1062" spans="1:22" x14ac:dyDescent="0.3">
      <c r="A1062" s="61" t="s">
        <v>1502</v>
      </c>
      <c r="B1062" s="62" t="s">
        <v>317</v>
      </c>
      <c r="C1062" s="62" t="s">
        <v>318</v>
      </c>
      <c r="D1062" s="62" t="s">
        <v>1523</v>
      </c>
      <c r="E1062" s="63" t="s">
        <v>1162</v>
      </c>
      <c r="F1062" s="62" t="s">
        <v>377</v>
      </c>
      <c r="G1062" s="62" t="s">
        <v>220</v>
      </c>
      <c r="H1062" s="62" t="s">
        <v>11</v>
      </c>
      <c r="I1062" s="62" t="s">
        <v>210</v>
      </c>
      <c r="J1062" s="63" t="s">
        <v>221</v>
      </c>
      <c r="K1062" s="62" t="s">
        <v>317</v>
      </c>
      <c r="L1062" s="64">
        <v>82.61999999999999</v>
      </c>
      <c r="M1062" s="64">
        <f t="shared" si="345"/>
        <v>82.61999999999999</v>
      </c>
      <c r="N1062" s="65">
        <f>prodnorm15</f>
        <v>0</v>
      </c>
      <c r="O1062" s="66">
        <f>dagwerk15</f>
        <v>0</v>
      </c>
      <c r="P1062" s="62" t="s">
        <v>40</v>
      </c>
      <c r="Q1062" s="67">
        <f>uurtarief15</f>
        <v>0</v>
      </c>
      <c r="R1062" s="64" t="e">
        <f t="shared" si="346"/>
        <v>#DIV/0!</v>
      </c>
      <c r="S1062" s="64" t="e">
        <f t="shared" si="347"/>
        <v>#DIV/0!</v>
      </c>
      <c r="T1062" s="67" t="e">
        <f t="shared" si="348"/>
        <v>#DIV/0!</v>
      </c>
      <c r="U1062" s="64" t="e">
        <f t="shared" si="349"/>
        <v>#DIV/0!</v>
      </c>
      <c r="V1062" s="69" t="e">
        <f t="shared" si="350"/>
        <v>#DIV/0!</v>
      </c>
    </row>
    <row r="1063" spans="1:22" x14ac:dyDescent="0.3">
      <c r="A1063" s="61" t="s">
        <v>1502</v>
      </c>
      <c r="B1063" s="62" t="s">
        <v>317</v>
      </c>
      <c r="C1063" s="62" t="s">
        <v>318</v>
      </c>
      <c r="D1063" s="62" t="s">
        <v>1524</v>
      </c>
      <c r="E1063" s="63" t="s">
        <v>1162</v>
      </c>
      <c r="F1063" s="62" t="s">
        <v>377</v>
      </c>
      <c r="G1063" s="62" t="s">
        <v>220</v>
      </c>
      <c r="H1063" s="62" t="s">
        <v>11</v>
      </c>
      <c r="I1063" s="62" t="s">
        <v>210</v>
      </c>
      <c r="J1063" s="63" t="s">
        <v>221</v>
      </c>
      <c r="K1063" s="62" t="s">
        <v>317</v>
      </c>
      <c r="L1063" s="64">
        <v>83.679999999999993</v>
      </c>
      <c r="M1063" s="64">
        <f t="shared" si="345"/>
        <v>83.679999999999993</v>
      </c>
      <c r="N1063" s="65">
        <f>prodnorm15</f>
        <v>0</v>
      </c>
      <c r="O1063" s="66">
        <f>dagwerk15</f>
        <v>0</v>
      </c>
      <c r="P1063" s="62" t="s">
        <v>40</v>
      </c>
      <c r="Q1063" s="67">
        <f>uurtarief15</f>
        <v>0</v>
      </c>
      <c r="R1063" s="64" t="e">
        <f t="shared" si="346"/>
        <v>#DIV/0!</v>
      </c>
      <c r="S1063" s="64" t="e">
        <f t="shared" si="347"/>
        <v>#DIV/0!</v>
      </c>
      <c r="T1063" s="67" t="e">
        <f t="shared" si="348"/>
        <v>#DIV/0!</v>
      </c>
      <c r="U1063" s="64" t="e">
        <f t="shared" si="349"/>
        <v>#DIV/0!</v>
      </c>
      <c r="V1063" s="69" t="e">
        <f t="shared" si="350"/>
        <v>#DIV/0!</v>
      </c>
    </row>
    <row r="1064" spans="1:22" x14ac:dyDescent="0.3">
      <c r="A1064" s="61" t="s">
        <v>1502</v>
      </c>
      <c r="B1064" s="62" t="s">
        <v>317</v>
      </c>
      <c r="C1064" s="62" t="s">
        <v>318</v>
      </c>
      <c r="D1064" s="62" t="s">
        <v>1525</v>
      </c>
      <c r="E1064" s="63" t="s">
        <v>1162</v>
      </c>
      <c r="F1064" s="62" t="s">
        <v>377</v>
      </c>
      <c r="G1064" s="62" t="s">
        <v>220</v>
      </c>
      <c r="H1064" s="62" t="s">
        <v>11</v>
      </c>
      <c r="I1064" s="62" t="s">
        <v>210</v>
      </c>
      <c r="J1064" s="63" t="s">
        <v>221</v>
      </c>
      <c r="K1064" s="62" t="s">
        <v>317</v>
      </c>
      <c r="L1064" s="64">
        <v>83.86999999999999</v>
      </c>
      <c r="M1064" s="64">
        <f t="shared" si="345"/>
        <v>83.86999999999999</v>
      </c>
      <c r="N1064" s="65">
        <f>prodnorm15</f>
        <v>0</v>
      </c>
      <c r="O1064" s="66">
        <f>dagwerk15</f>
        <v>0</v>
      </c>
      <c r="P1064" s="62" t="s">
        <v>40</v>
      </c>
      <c r="Q1064" s="67">
        <f>uurtarief15</f>
        <v>0</v>
      </c>
      <c r="R1064" s="64" t="e">
        <f t="shared" si="346"/>
        <v>#DIV/0!</v>
      </c>
      <c r="S1064" s="64" t="e">
        <f t="shared" si="347"/>
        <v>#DIV/0!</v>
      </c>
      <c r="T1064" s="67" t="e">
        <f t="shared" si="348"/>
        <v>#DIV/0!</v>
      </c>
      <c r="U1064" s="64" t="e">
        <f t="shared" si="349"/>
        <v>#DIV/0!</v>
      </c>
      <c r="V1064" s="69" t="e">
        <f t="shared" si="350"/>
        <v>#DIV/0!</v>
      </c>
    </row>
    <row r="1065" spans="1:22" x14ac:dyDescent="0.3">
      <c r="A1065" s="61" t="s">
        <v>1502</v>
      </c>
      <c r="B1065" s="62" t="s">
        <v>317</v>
      </c>
      <c r="C1065" s="62" t="s">
        <v>318</v>
      </c>
      <c r="D1065" s="62" t="s">
        <v>1526</v>
      </c>
      <c r="E1065" s="63" t="s">
        <v>1162</v>
      </c>
      <c r="F1065" s="62" t="s">
        <v>377</v>
      </c>
      <c r="G1065" s="62" t="s">
        <v>220</v>
      </c>
      <c r="H1065" s="62" t="s">
        <v>11</v>
      </c>
      <c r="I1065" s="62" t="s">
        <v>210</v>
      </c>
      <c r="J1065" s="63" t="s">
        <v>221</v>
      </c>
      <c r="K1065" s="62" t="s">
        <v>317</v>
      </c>
      <c r="L1065" s="64">
        <v>44.74</v>
      </c>
      <c r="M1065" s="64">
        <f t="shared" si="345"/>
        <v>44.74</v>
      </c>
      <c r="N1065" s="65">
        <f>prodnorm15</f>
        <v>0</v>
      </c>
      <c r="O1065" s="66">
        <f>dagwerk15</f>
        <v>0</v>
      </c>
      <c r="P1065" s="62" t="s">
        <v>40</v>
      </c>
      <c r="Q1065" s="67">
        <f>uurtarief15</f>
        <v>0</v>
      </c>
      <c r="R1065" s="64" t="e">
        <f t="shared" si="346"/>
        <v>#DIV/0!</v>
      </c>
      <c r="S1065" s="64" t="e">
        <f t="shared" si="347"/>
        <v>#DIV/0!</v>
      </c>
      <c r="T1065" s="67" t="e">
        <f t="shared" si="348"/>
        <v>#DIV/0!</v>
      </c>
      <c r="U1065" s="64" t="e">
        <f t="shared" si="349"/>
        <v>#DIV/0!</v>
      </c>
      <c r="V1065" s="69" t="e">
        <f t="shared" si="350"/>
        <v>#DIV/0!</v>
      </c>
    </row>
    <row r="1066" spans="1:22" x14ac:dyDescent="0.3">
      <c r="A1066" s="61" t="s">
        <v>1502</v>
      </c>
      <c r="B1066" s="62" t="s">
        <v>317</v>
      </c>
      <c r="C1066" s="62" t="s">
        <v>318</v>
      </c>
      <c r="D1066" s="62" t="s">
        <v>1122</v>
      </c>
      <c r="E1066" s="63" t="s">
        <v>624</v>
      </c>
      <c r="F1066" s="62" t="s">
        <v>348</v>
      </c>
      <c r="G1066" s="62" t="s">
        <v>278</v>
      </c>
      <c r="H1066" s="62" t="s">
        <v>11</v>
      </c>
      <c r="I1066" s="62" t="s">
        <v>210</v>
      </c>
      <c r="J1066" s="63" t="s">
        <v>279</v>
      </c>
      <c r="K1066" s="62" t="s">
        <v>317</v>
      </c>
      <c r="L1066" s="64">
        <v>55.98</v>
      </c>
      <c r="M1066" s="64">
        <f t="shared" si="345"/>
        <v>55.98</v>
      </c>
      <c r="N1066" s="65">
        <f>prodnorm45</f>
        <v>0</v>
      </c>
      <c r="O1066" s="66">
        <f>dagwerk45</f>
        <v>0</v>
      </c>
      <c r="P1066" s="62" t="s">
        <v>40</v>
      </c>
      <c r="Q1066" s="67">
        <f>uurtarief45</f>
        <v>0</v>
      </c>
      <c r="R1066" s="64" t="e">
        <f t="shared" si="346"/>
        <v>#DIV/0!</v>
      </c>
      <c r="S1066" s="64" t="e">
        <f t="shared" si="347"/>
        <v>#DIV/0!</v>
      </c>
      <c r="T1066" s="67" t="e">
        <f t="shared" si="348"/>
        <v>#DIV/0!</v>
      </c>
      <c r="U1066" s="64" t="e">
        <f t="shared" si="349"/>
        <v>#DIV/0!</v>
      </c>
      <c r="V1066" s="69" t="e">
        <f t="shared" si="350"/>
        <v>#DIV/0!</v>
      </c>
    </row>
    <row r="1067" spans="1:22" x14ac:dyDescent="0.3">
      <c r="A1067" s="61" t="s">
        <v>1502</v>
      </c>
      <c r="B1067" s="62" t="s">
        <v>317</v>
      </c>
      <c r="C1067" s="62" t="s">
        <v>318</v>
      </c>
      <c r="D1067" s="62" t="s">
        <v>1123</v>
      </c>
      <c r="E1067" s="63" t="s">
        <v>347</v>
      </c>
      <c r="F1067" s="62" t="s">
        <v>348</v>
      </c>
      <c r="G1067" s="62" t="s">
        <v>274</v>
      </c>
      <c r="H1067" s="62" t="s">
        <v>11</v>
      </c>
      <c r="I1067" s="62" t="s">
        <v>210</v>
      </c>
      <c r="J1067" s="63" t="s">
        <v>275</v>
      </c>
      <c r="K1067" s="62" t="s">
        <v>317</v>
      </c>
      <c r="L1067" s="64">
        <v>7.42</v>
      </c>
      <c r="M1067" s="64">
        <f t="shared" si="345"/>
        <v>7.42</v>
      </c>
      <c r="N1067" s="65">
        <f>prodnorm43</f>
        <v>0</v>
      </c>
      <c r="O1067" s="66">
        <f>dagwerk43</f>
        <v>0</v>
      </c>
      <c r="P1067" s="62" t="s">
        <v>40</v>
      </c>
      <c r="Q1067" s="67">
        <f>uurtarief43</f>
        <v>0</v>
      </c>
      <c r="R1067" s="64" t="e">
        <f t="shared" si="346"/>
        <v>#DIV/0!</v>
      </c>
      <c r="S1067" s="64" t="e">
        <f t="shared" si="347"/>
        <v>#DIV/0!</v>
      </c>
      <c r="T1067" s="67" t="e">
        <f t="shared" si="348"/>
        <v>#DIV/0!</v>
      </c>
      <c r="U1067" s="64" t="e">
        <f t="shared" si="349"/>
        <v>#DIV/0!</v>
      </c>
      <c r="V1067" s="69" t="e">
        <f t="shared" si="350"/>
        <v>#DIV/0!</v>
      </c>
    </row>
    <row r="1068" spans="1:22" x14ac:dyDescent="0.3">
      <c r="A1068" s="61" t="s">
        <v>1502</v>
      </c>
      <c r="B1068" s="62" t="s">
        <v>317</v>
      </c>
      <c r="C1068" s="62" t="s">
        <v>318</v>
      </c>
      <c r="D1068" s="62" t="s">
        <v>1527</v>
      </c>
      <c r="E1068" s="63" t="s">
        <v>394</v>
      </c>
      <c r="F1068" s="62" t="s">
        <v>389</v>
      </c>
      <c r="G1068" s="62" t="s">
        <v>272</v>
      </c>
      <c r="H1068" s="62" t="s">
        <v>11</v>
      </c>
      <c r="I1068" s="62" t="s">
        <v>210</v>
      </c>
      <c r="J1068" s="63" t="s">
        <v>273</v>
      </c>
      <c r="K1068" s="62" t="s">
        <v>317</v>
      </c>
      <c r="L1068" s="64">
        <v>48.67</v>
      </c>
      <c r="M1068" s="64">
        <f t="shared" si="345"/>
        <v>48.67</v>
      </c>
      <c r="N1068" s="65">
        <f t="shared" ref="N1068:N1073" si="351">prodnorm42</f>
        <v>0</v>
      </c>
      <c r="O1068" s="66">
        <f t="shared" ref="O1068:O1073" si="352">dagwerk42</f>
        <v>0</v>
      </c>
      <c r="P1068" s="62" t="s">
        <v>40</v>
      </c>
      <c r="Q1068" s="67">
        <f t="shared" ref="Q1068:Q1073" si="353">uurtarief42</f>
        <v>0</v>
      </c>
      <c r="R1068" s="64" t="e">
        <f t="shared" si="346"/>
        <v>#DIV/0!</v>
      </c>
      <c r="S1068" s="64" t="e">
        <f t="shared" si="347"/>
        <v>#DIV/0!</v>
      </c>
      <c r="T1068" s="67" t="e">
        <f t="shared" si="348"/>
        <v>#DIV/0!</v>
      </c>
      <c r="U1068" s="64" t="e">
        <f t="shared" si="349"/>
        <v>#DIV/0!</v>
      </c>
      <c r="V1068" s="69" t="e">
        <f t="shared" si="350"/>
        <v>#DIV/0!</v>
      </c>
    </row>
    <row r="1069" spans="1:22" x14ac:dyDescent="0.3">
      <c r="A1069" s="61" t="s">
        <v>1502</v>
      </c>
      <c r="B1069" s="62" t="s">
        <v>317</v>
      </c>
      <c r="C1069" s="62" t="s">
        <v>318</v>
      </c>
      <c r="D1069" s="62" t="s">
        <v>1528</v>
      </c>
      <c r="E1069" s="63" t="s">
        <v>394</v>
      </c>
      <c r="F1069" s="62" t="s">
        <v>389</v>
      </c>
      <c r="G1069" s="62" t="s">
        <v>272</v>
      </c>
      <c r="H1069" s="62" t="s">
        <v>11</v>
      </c>
      <c r="I1069" s="62" t="s">
        <v>210</v>
      </c>
      <c r="J1069" s="63" t="s">
        <v>273</v>
      </c>
      <c r="K1069" s="62" t="s">
        <v>317</v>
      </c>
      <c r="L1069" s="64">
        <v>42.46</v>
      </c>
      <c r="M1069" s="64">
        <f t="shared" si="345"/>
        <v>42.46</v>
      </c>
      <c r="N1069" s="65">
        <f t="shared" si="351"/>
        <v>0</v>
      </c>
      <c r="O1069" s="66">
        <f t="shared" si="352"/>
        <v>0</v>
      </c>
      <c r="P1069" s="62" t="s">
        <v>40</v>
      </c>
      <c r="Q1069" s="67">
        <f t="shared" si="353"/>
        <v>0</v>
      </c>
      <c r="R1069" s="64" t="e">
        <f t="shared" si="346"/>
        <v>#DIV/0!</v>
      </c>
      <c r="S1069" s="64" t="e">
        <f t="shared" si="347"/>
        <v>#DIV/0!</v>
      </c>
      <c r="T1069" s="67" t="e">
        <f t="shared" si="348"/>
        <v>#DIV/0!</v>
      </c>
      <c r="U1069" s="64" t="e">
        <f t="shared" si="349"/>
        <v>#DIV/0!</v>
      </c>
      <c r="V1069" s="69" t="e">
        <f t="shared" si="350"/>
        <v>#DIV/0!</v>
      </c>
    </row>
    <row r="1070" spans="1:22" x14ac:dyDescent="0.3">
      <c r="A1070" s="61" t="s">
        <v>1502</v>
      </c>
      <c r="B1070" s="62" t="s">
        <v>317</v>
      </c>
      <c r="C1070" s="62" t="s">
        <v>318</v>
      </c>
      <c r="D1070" s="62" t="s">
        <v>1529</v>
      </c>
      <c r="E1070" s="63" t="s">
        <v>394</v>
      </c>
      <c r="F1070" s="62" t="s">
        <v>389</v>
      </c>
      <c r="G1070" s="62" t="s">
        <v>272</v>
      </c>
      <c r="H1070" s="62" t="s">
        <v>11</v>
      </c>
      <c r="I1070" s="62" t="s">
        <v>210</v>
      </c>
      <c r="J1070" s="63" t="s">
        <v>273</v>
      </c>
      <c r="K1070" s="62" t="s">
        <v>317</v>
      </c>
      <c r="L1070" s="64">
        <v>42.690000000000005</v>
      </c>
      <c r="M1070" s="64">
        <f t="shared" si="345"/>
        <v>42.690000000000005</v>
      </c>
      <c r="N1070" s="65">
        <f t="shared" si="351"/>
        <v>0</v>
      </c>
      <c r="O1070" s="66">
        <f t="shared" si="352"/>
        <v>0</v>
      </c>
      <c r="P1070" s="62" t="s">
        <v>40</v>
      </c>
      <c r="Q1070" s="67">
        <f t="shared" si="353"/>
        <v>0</v>
      </c>
      <c r="R1070" s="64" t="e">
        <f t="shared" si="346"/>
        <v>#DIV/0!</v>
      </c>
      <c r="S1070" s="64" t="e">
        <f t="shared" si="347"/>
        <v>#DIV/0!</v>
      </c>
      <c r="T1070" s="67" t="e">
        <f t="shared" si="348"/>
        <v>#DIV/0!</v>
      </c>
      <c r="U1070" s="64" t="e">
        <f t="shared" si="349"/>
        <v>#DIV/0!</v>
      </c>
      <c r="V1070" s="69" t="e">
        <f t="shared" si="350"/>
        <v>#DIV/0!</v>
      </c>
    </row>
    <row r="1071" spans="1:22" x14ac:dyDescent="0.3">
      <c r="A1071" s="61" t="s">
        <v>1502</v>
      </c>
      <c r="B1071" s="62" t="s">
        <v>317</v>
      </c>
      <c r="C1071" s="62" t="s">
        <v>318</v>
      </c>
      <c r="D1071" s="62" t="s">
        <v>1530</v>
      </c>
      <c r="E1071" s="63" t="s">
        <v>394</v>
      </c>
      <c r="F1071" s="62" t="s">
        <v>389</v>
      </c>
      <c r="G1071" s="62" t="s">
        <v>272</v>
      </c>
      <c r="H1071" s="62" t="s">
        <v>11</v>
      </c>
      <c r="I1071" s="62" t="s">
        <v>210</v>
      </c>
      <c r="J1071" s="63" t="s">
        <v>273</v>
      </c>
      <c r="K1071" s="62" t="s">
        <v>317</v>
      </c>
      <c r="L1071" s="64">
        <v>48.07</v>
      </c>
      <c r="M1071" s="64">
        <f t="shared" si="345"/>
        <v>48.07</v>
      </c>
      <c r="N1071" s="65">
        <f t="shared" si="351"/>
        <v>0</v>
      </c>
      <c r="O1071" s="66">
        <f t="shared" si="352"/>
        <v>0</v>
      </c>
      <c r="P1071" s="62" t="s">
        <v>40</v>
      </c>
      <c r="Q1071" s="67">
        <f t="shared" si="353"/>
        <v>0</v>
      </c>
      <c r="R1071" s="64" t="e">
        <f t="shared" si="346"/>
        <v>#DIV/0!</v>
      </c>
      <c r="S1071" s="64" t="e">
        <f t="shared" si="347"/>
        <v>#DIV/0!</v>
      </c>
      <c r="T1071" s="67" t="e">
        <f t="shared" si="348"/>
        <v>#DIV/0!</v>
      </c>
      <c r="U1071" s="64" t="e">
        <f t="shared" si="349"/>
        <v>#DIV/0!</v>
      </c>
      <c r="V1071" s="69" t="e">
        <f t="shared" si="350"/>
        <v>#DIV/0!</v>
      </c>
    </row>
    <row r="1072" spans="1:22" x14ac:dyDescent="0.3">
      <c r="A1072" s="61" t="s">
        <v>1502</v>
      </c>
      <c r="B1072" s="62" t="s">
        <v>317</v>
      </c>
      <c r="C1072" s="62" t="s">
        <v>318</v>
      </c>
      <c r="D1072" s="62" t="s">
        <v>1531</v>
      </c>
      <c r="E1072" s="63" t="s">
        <v>394</v>
      </c>
      <c r="F1072" s="62" t="s">
        <v>389</v>
      </c>
      <c r="G1072" s="62" t="s">
        <v>272</v>
      </c>
      <c r="H1072" s="62" t="s">
        <v>11</v>
      </c>
      <c r="I1072" s="62" t="s">
        <v>210</v>
      </c>
      <c r="J1072" s="63" t="s">
        <v>273</v>
      </c>
      <c r="K1072" s="62" t="s">
        <v>317</v>
      </c>
      <c r="L1072" s="64">
        <v>24.93</v>
      </c>
      <c r="M1072" s="64">
        <f t="shared" si="345"/>
        <v>24.93</v>
      </c>
      <c r="N1072" s="65">
        <f t="shared" si="351"/>
        <v>0</v>
      </c>
      <c r="O1072" s="66">
        <f t="shared" si="352"/>
        <v>0</v>
      </c>
      <c r="P1072" s="62" t="s">
        <v>40</v>
      </c>
      <c r="Q1072" s="67">
        <f t="shared" si="353"/>
        <v>0</v>
      </c>
      <c r="R1072" s="64" t="e">
        <f t="shared" si="346"/>
        <v>#DIV/0!</v>
      </c>
      <c r="S1072" s="64" t="e">
        <f t="shared" si="347"/>
        <v>#DIV/0!</v>
      </c>
      <c r="T1072" s="67" t="e">
        <f t="shared" si="348"/>
        <v>#DIV/0!</v>
      </c>
      <c r="U1072" s="64" t="e">
        <f t="shared" si="349"/>
        <v>#DIV/0!</v>
      </c>
      <c r="V1072" s="69" t="e">
        <f t="shared" si="350"/>
        <v>#DIV/0!</v>
      </c>
    </row>
    <row r="1073" spans="1:22" x14ac:dyDescent="0.3">
      <c r="A1073" s="61" t="s">
        <v>1502</v>
      </c>
      <c r="B1073" s="62" t="s">
        <v>317</v>
      </c>
      <c r="C1073" s="62" t="s">
        <v>318</v>
      </c>
      <c r="D1073" s="62" t="s">
        <v>1532</v>
      </c>
      <c r="E1073" s="63" t="s">
        <v>394</v>
      </c>
      <c r="F1073" s="62" t="s">
        <v>389</v>
      </c>
      <c r="G1073" s="62" t="s">
        <v>272</v>
      </c>
      <c r="H1073" s="62" t="s">
        <v>11</v>
      </c>
      <c r="I1073" s="62" t="s">
        <v>210</v>
      </c>
      <c r="J1073" s="63" t="s">
        <v>273</v>
      </c>
      <c r="K1073" s="62" t="s">
        <v>317</v>
      </c>
      <c r="L1073" s="64">
        <v>25.02</v>
      </c>
      <c r="M1073" s="64">
        <f t="shared" si="345"/>
        <v>25.02</v>
      </c>
      <c r="N1073" s="65">
        <f t="shared" si="351"/>
        <v>0</v>
      </c>
      <c r="O1073" s="66">
        <f t="shared" si="352"/>
        <v>0</v>
      </c>
      <c r="P1073" s="62" t="s">
        <v>40</v>
      </c>
      <c r="Q1073" s="67">
        <f t="shared" si="353"/>
        <v>0</v>
      </c>
      <c r="R1073" s="64" t="e">
        <f t="shared" si="346"/>
        <v>#DIV/0!</v>
      </c>
      <c r="S1073" s="64" t="e">
        <f t="shared" si="347"/>
        <v>#DIV/0!</v>
      </c>
      <c r="T1073" s="67" t="e">
        <f t="shared" si="348"/>
        <v>#DIV/0!</v>
      </c>
      <c r="U1073" s="64" t="e">
        <f t="shared" si="349"/>
        <v>#DIV/0!</v>
      </c>
      <c r="V1073" s="69" t="e">
        <f t="shared" si="350"/>
        <v>#DIV/0!</v>
      </c>
    </row>
    <row r="1074" spans="1:22" x14ac:dyDescent="0.3">
      <c r="A1074" s="61" t="s">
        <v>1502</v>
      </c>
      <c r="B1074" s="62" t="s">
        <v>317</v>
      </c>
      <c r="C1074" s="62" t="s">
        <v>318</v>
      </c>
      <c r="D1074" s="62" t="s">
        <v>1124</v>
      </c>
      <c r="E1074" s="63" t="s">
        <v>1533</v>
      </c>
      <c r="F1074" s="62" t="s">
        <v>389</v>
      </c>
      <c r="G1074" s="62" t="s">
        <v>209</v>
      </c>
      <c r="H1074" s="62" t="s">
        <v>17</v>
      </c>
      <c r="I1074" s="62" t="s">
        <v>210</v>
      </c>
      <c r="J1074" s="63" t="s">
        <v>211</v>
      </c>
      <c r="K1074" s="62" t="s">
        <v>317</v>
      </c>
      <c r="L1074" s="64">
        <v>21.650000000000002</v>
      </c>
      <c r="M1074" s="64">
        <f t="shared" si="345"/>
        <v>4.330000000000001</v>
      </c>
      <c r="N1074" s="65">
        <f>prodnorm10</f>
        <v>0</v>
      </c>
      <c r="O1074" s="66">
        <f>dagwerk10</f>
        <v>0</v>
      </c>
      <c r="P1074" s="62" t="s">
        <v>40</v>
      </c>
      <c r="Q1074" s="67">
        <f>uurtarief10</f>
        <v>0</v>
      </c>
      <c r="R1074" s="64" t="e">
        <f t="shared" si="346"/>
        <v>#DIV/0!</v>
      </c>
      <c r="S1074" s="64" t="e">
        <f t="shared" si="347"/>
        <v>#DIV/0!</v>
      </c>
      <c r="T1074" s="67" t="e">
        <f t="shared" si="348"/>
        <v>#DIV/0!</v>
      </c>
      <c r="U1074" s="64" t="e">
        <f t="shared" si="349"/>
        <v>#DIV/0!</v>
      </c>
      <c r="V1074" s="69" t="e">
        <f t="shared" si="350"/>
        <v>#DIV/0!</v>
      </c>
    </row>
    <row r="1075" spans="1:22" x14ac:dyDescent="0.3">
      <c r="A1075" s="61" t="s">
        <v>1502</v>
      </c>
      <c r="B1075" s="62" t="s">
        <v>317</v>
      </c>
      <c r="C1075" s="62" t="s">
        <v>318</v>
      </c>
      <c r="D1075" s="62" t="s">
        <v>1534</v>
      </c>
      <c r="E1075" s="63" t="s">
        <v>664</v>
      </c>
      <c r="F1075" s="62" t="s">
        <v>389</v>
      </c>
      <c r="G1075" s="62" t="s">
        <v>323</v>
      </c>
      <c r="H1075" s="62"/>
      <c r="I1075" s="62"/>
      <c r="J1075" s="62"/>
      <c r="K1075" s="62" t="s">
        <v>317</v>
      </c>
      <c r="L1075" s="64">
        <v>1.05</v>
      </c>
      <c r="M1075" s="64"/>
      <c r="N1075" s="65"/>
      <c r="O1075" s="66"/>
      <c r="P1075" s="62"/>
      <c r="Q1075" s="67"/>
      <c r="R1075" s="64"/>
      <c r="S1075" s="64"/>
      <c r="T1075" s="67"/>
      <c r="U1075" s="68"/>
      <c r="V1075" s="69"/>
    </row>
    <row r="1076" spans="1:22" ht="28.8" x14ac:dyDescent="0.3">
      <c r="A1076" s="61" t="s">
        <v>1502</v>
      </c>
      <c r="B1076" s="62" t="s">
        <v>317</v>
      </c>
      <c r="C1076" s="62" t="s">
        <v>318</v>
      </c>
      <c r="D1076" s="62" t="s">
        <v>1125</v>
      </c>
      <c r="E1076" s="63" t="s">
        <v>1535</v>
      </c>
      <c r="F1076" s="62" t="s">
        <v>389</v>
      </c>
      <c r="G1076" s="62" t="s">
        <v>209</v>
      </c>
      <c r="H1076" s="62" t="s">
        <v>17</v>
      </c>
      <c r="I1076" s="62" t="s">
        <v>210</v>
      </c>
      <c r="J1076" s="63" t="s">
        <v>211</v>
      </c>
      <c r="K1076" s="62" t="s">
        <v>317</v>
      </c>
      <c r="L1076" s="64">
        <v>28.56</v>
      </c>
      <c r="M1076" s="64">
        <f>L1076*VLOOKUP(H1076,dagsoorttabel1,2,FALSE)</f>
        <v>5.7119999999999997</v>
      </c>
      <c r="N1076" s="65">
        <f>prodnorm10</f>
        <v>0</v>
      </c>
      <c r="O1076" s="66">
        <f>dagwerk10</f>
        <v>0</v>
      </c>
      <c r="P1076" s="62" t="s">
        <v>40</v>
      </c>
      <c r="Q1076" s="67">
        <f>uurtarief10</f>
        <v>0</v>
      </c>
      <c r="R1076" s="64" t="e">
        <f>IF(ISBLANK(N1076),0,M1076/ROUND(N1076,4))</f>
        <v>#DIV/0!</v>
      </c>
      <c r="S1076" s="64" t="e">
        <f>IF(ISBLANK(N1076),0,R1076*ROUND(O1076,2))</f>
        <v>#DIV/0!</v>
      </c>
      <c r="T1076" s="67" t="e">
        <f>ROUND(Q1076,2)*R1076</f>
        <v>#DIV/0!</v>
      </c>
      <c r="U1076" s="64" t="e">
        <f>R1076*dagenperjaar1</f>
        <v>#DIV/0!</v>
      </c>
      <c r="V1076" s="69" t="e">
        <f>U1076*ROUND(Q1076,2)</f>
        <v>#DIV/0!</v>
      </c>
    </row>
    <row r="1077" spans="1:22" x14ac:dyDescent="0.3">
      <c r="A1077" s="61" t="s">
        <v>1502</v>
      </c>
      <c r="B1077" s="62" t="s">
        <v>317</v>
      </c>
      <c r="C1077" s="62" t="s">
        <v>318</v>
      </c>
      <c r="D1077" s="62" t="s">
        <v>1126</v>
      </c>
      <c r="E1077" s="63" t="s">
        <v>1520</v>
      </c>
      <c r="F1077" s="62" t="s">
        <v>389</v>
      </c>
      <c r="G1077" s="62" t="s">
        <v>234</v>
      </c>
      <c r="H1077" s="62" t="s">
        <v>14</v>
      </c>
      <c r="I1077" s="62" t="s">
        <v>210</v>
      </c>
      <c r="J1077" s="63" t="s">
        <v>235</v>
      </c>
      <c r="K1077" s="62" t="s">
        <v>317</v>
      </c>
      <c r="L1077" s="64">
        <v>57.67</v>
      </c>
      <c r="M1077" s="64">
        <f>L1077*VLOOKUP(H1077,dagsoorttabel1,2,FALSE)</f>
        <v>34.601999999999997</v>
      </c>
      <c r="N1077" s="65">
        <f>prodnorm22</f>
        <v>0</v>
      </c>
      <c r="O1077" s="66">
        <f>dagwerk22</f>
        <v>0</v>
      </c>
      <c r="P1077" s="62" t="s">
        <v>40</v>
      </c>
      <c r="Q1077" s="67">
        <f>uurtarief22</f>
        <v>0</v>
      </c>
      <c r="R1077" s="64" t="e">
        <f>IF(ISBLANK(N1077),0,M1077/ROUND(N1077,4))</f>
        <v>#DIV/0!</v>
      </c>
      <c r="S1077" s="64" t="e">
        <f>IF(ISBLANK(N1077),0,R1077*ROUND(O1077,2))</f>
        <v>#DIV/0!</v>
      </c>
      <c r="T1077" s="67" t="e">
        <f>ROUND(Q1077,2)*R1077</f>
        <v>#DIV/0!</v>
      </c>
      <c r="U1077" s="64" t="e">
        <f>R1077*dagenperjaar1</f>
        <v>#DIV/0!</v>
      </c>
      <c r="V1077" s="69" t="e">
        <f>U1077*ROUND(Q1077,2)</f>
        <v>#DIV/0!</v>
      </c>
    </row>
    <row r="1078" spans="1:22" x14ac:dyDescent="0.3">
      <c r="A1078" s="61" t="s">
        <v>1502</v>
      </c>
      <c r="B1078" s="62" t="s">
        <v>317</v>
      </c>
      <c r="C1078" s="62" t="s">
        <v>318</v>
      </c>
      <c r="D1078" s="62" t="s">
        <v>1138</v>
      </c>
      <c r="E1078" s="63" t="s">
        <v>1536</v>
      </c>
      <c r="F1078" s="62" t="s">
        <v>389</v>
      </c>
      <c r="G1078" s="62" t="s">
        <v>323</v>
      </c>
      <c r="H1078" s="62"/>
      <c r="I1078" s="62"/>
      <c r="J1078" s="62"/>
      <c r="K1078" s="62" t="s">
        <v>317</v>
      </c>
      <c r="L1078" s="64">
        <v>27.979999999999997</v>
      </c>
      <c r="M1078" s="64"/>
      <c r="N1078" s="65"/>
      <c r="O1078" s="66"/>
      <c r="P1078" s="62"/>
      <c r="Q1078" s="67"/>
      <c r="R1078" s="64"/>
      <c r="S1078" s="64"/>
      <c r="T1078" s="67"/>
      <c r="U1078" s="68"/>
      <c r="V1078" s="69"/>
    </row>
    <row r="1079" spans="1:22" x14ac:dyDescent="0.3">
      <c r="A1079" s="61" t="s">
        <v>1502</v>
      </c>
      <c r="B1079" s="62" t="s">
        <v>317</v>
      </c>
      <c r="C1079" s="62" t="s">
        <v>318</v>
      </c>
      <c r="D1079" s="62" t="s">
        <v>1139</v>
      </c>
      <c r="E1079" s="63" t="s">
        <v>1537</v>
      </c>
      <c r="F1079" s="62" t="s">
        <v>389</v>
      </c>
      <c r="G1079" s="62" t="s">
        <v>209</v>
      </c>
      <c r="H1079" s="62" t="s">
        <v>17</v>
      </c>
      <c r="I1079" s="62" t="s">
        <v>210</v>
      </c>
      <c r="J1079" s="63" t="s">
        <v>211</v>
      </c>
      <c r="K1079" s="62" t="s">
        <v>317</v>
      </c>
      <c r="L1079" s="64">
        <v>21.04</v>
      </c>
      <c r="M1079" s="64">
        <f>L1079*VLOOKUP(H1079,dagsoorttabel1,2,FALSE)</f>
        <v>4.2080000000000002</v>
      </c>
      <c r="N1079" s="65">
        <f>prodnorm10</f>
        <v>0</v>
      </c>
      <c r="O1079" s="66">
        <f>dagwerk10</f>
        <v>0</v>
      </c>
      <c r="P1079" s="62" t="s">
        <v>40</v>
      </c>
      <c r="Q1079" s="67">
        <f>uurtarief10</f>
        <v>0</v>
      </c>
      <c r="R1079" s="64" t="e">
        <f>IF(ISBLANK(N1079),0,M1079/ROUND(N1079,4))</f>
        <v>#DIV/0!</v>
      </c>
      <c r="S1079" s="64" t="e">
        <f>IF(ISBLANK(N1079),0,R1079*ROUND(O1079,2))</f>
        <v>#DIV/0!</v>
      </c>
      <c r="T1079" s="67" t="e">
        <f>ROUND(Q1079,2)*R1079</f>
        <v>#DIV/0!</v>
      </c>
      <c r="U1079" s="64" t="e">
        <f>R1079*dagenperjaar1</f>
        <v>#DIV/0!</v>
      </c>
      <c r="V1079" s="69" t="e">
        <f>U1079*ROUND(Q1079,2)</f>
        <v>#DIV/0!</v>
      </c>
    </row>
    <row r="1080" spans="1:22" x14ac:dyDescent="0.3">
      <c r="A1080" s="61" t="s">
        <v>1502</v>
      </c>
      <c r="B1080" s="62" t="s">
        <v>317</v>
      </c>
      <c r="C1080" s="62" t="s">
        <v>318</v>
      </c>
      <c r="D1080" s="62" t="s">
        <v>1538</v>
      </c>
      <c r="E1080" s="63" t="s">
        <v>1537</v>
      </c>
      <c r="F1080" s="62" t="s">
        <v>389</v>
      </c>
      <c r="G1080" s="62" t="s">
        <v>209</v>
      </c>
      <c r="H1080" s="62" t="s">
        <v>17</v>
      </c>
      <c r="I1080" s="62" t="s">
        <v>210</v>
      </c>
      <c r="J1080" s="63" t="s">
        <v>211</v>
      </c>
      <c r="K1080" s="62" t="s">
        <v>317</v>
      </c>
      <c r="L1080" s="64">
        <v>21.04</v>
      </c>
      <c r="M1080" s="64">
        <f>L1080*VLOOKUP(H1080,dagsoorttabel1,2,FALSE)</f>
        <v>4.2080000000000002</v>
      </c>
      <c r="N1080" s="65">
        <f>prodnorm10</f>
        <v>0</v>
      </c>
      <c r="O1080" s="66">
        <f>dagwerk10</f>
        <v>0</v>
      </c>
      <c r="P1080" s="62" t="s">
        <v>40</v>
      </c>
      <c r="Q1080" s="67">
        <f>uurtarief10</f>
        <v>0</v>
      </c>
      <c r="R1080" s="64" t="e">
        <f>IF(ISBLANK(N1080),0,M1080/ROUND(N1080,4))</f>
        <v>#DIV/0!</v>
      </c>
      <c r="S1080" s="64" t="e">
        <f>IF(ISBLANK(N1080),0,R1080*ROUND(O1080,2))</f>
        <v>#DIV/0!</v>
      </c>
      <c r="T1080" s="67" t="e">
        <f>ROUND(Q1080,2)*R1080</f>
        <v>#DIV/0!</v>
      </c>
      <c r="U1080" s="64" t="e">
        <f>R1080*dagenperjaar1</f>
        <v>#DIV/0!</v>
      </c>
      <c r="V1080" s="69" t="e">
        <f>U1080*ROUND(Q1080,2)</f>
        <v>#DIV/0!</v>
      </c>
    </row>
    <row r="1081" spans="1:22" x14ac:dyDescent="0.3">
      <c r="A1081" s="61" t="s">
        <v>1502</v>
      </c>
      <c r="B1081" s="62" t="s">
        <v>317</v>
      </c>
      <c r="C1081" s="62" t="s">
        <v>318</v>
      </c>
      <c r="D1081" s="62" t="s">
        <v>1276</v>
      </c>
      <c r="E1081" s="63" t="s">
        <v>1537</v>
      </c>
      <c r="F1081" s="62" t="s">
        <v>389</v>
      </c>
      <c r="G1081" s="62" t="s">
        <v>209</v>
      </c>
      <c r="H1081" s="62" t="s">
        <v>17</v>
      </c>
      <c r="I1081" s="62" t="s">
        <v>210</v>
      </c>
      <c r="J1081" s="63" t="s">
        <v>211</v>
      </c>
      <c r="K1081" s="62" t="s">
        <v>317</v>
      </c>
      <c r="L1081" s="64">
        <v>21.04</v>
      </c>
      <c r="M1081" s="64">
        <f>L1081*VLOOKUP(H1081,dagsoorttabel1,2,FALSE)</f>
        <v>4.2080000000000002</v>
      </c>
      <c r="N1081" s="65">
        <f>prodnorm10</f>
        <v>0</v>
      </c>
      <c r="O1081" s="66">
        <f>dagwerk10</f>
        <v>0</v>
      </c>
      <c r="P1081" s="62" t="s">
        <v>40</v>
      </c>
      <c r="Q1081" s="67">
        <f>uurtarief10</f>
        <v>0</v>
      </c>
      <c r="R1081" s="64" t="e">
        <f>IF(ISBLANK(N1081),0,M1081/ROUND(N1081,4))</f>
        <v>#DIV/0!</v>
      </c>
      <c r="S1081" s="64" t="e">
        <f>IF(ISBLANK(N1081),0,R1081*ROUND(O1081,2))</f>
        <v>#DIV/0!</v>
      </c>
      <c r="T1081" s="67" t="e">
        <f>ROUND(Q1081,2)*R1081</f>
        <v>#DIV/0!</v>
      </c>
      <c r="U1081" s="64" t="e">
        <f>R1081*dagenperjaar1</f>
        <v>#DIV/0!</v>
      </c>
      <c r="V1081" s="69" t="e">
        <f>U1081*ROUND(Q1081,2)</f>
        <v>#DIV/0!</v>
      </c>
    </row>
    <row r="1082" spans="1:22" x14ac:dyDescent="0.3">
      <c r="A1082" s="61" t="s">
        <v>1502</v>
      </c>
      <c r="B1082" s="62" t="s">
        <v>317</v>
      </c>
      <c r="C1082" s="62" t="s">
        <v>318</v>
      </c>
      <c r="D1082" s="62" t="s">
        <v>1141</v>
      </c>
      <c r="E1082" s="63" t="s">
        <v>1537</v>
      </c>
      <c r="F1082" s="62" t="s">
        <v>389</v>
      </c>
      <c r="G1082" s="62" t="s">
        <v>209</v>
      </c>
      <c r="H1082" s="62" t="s">
        <v>17</v>
      </c>
      <c r="I1082" s="62" t="s">
        <v>210</v>
      </c>
      <c r="J1082" s="63" t="s">
        <v>211</v>
      </c>
      <c r="K1082" s="62" t="s">
        <v>317</v>
      </c>
      <c r="L1082" s="64">
        <v>21.04</v>
      </c>
      <c r="M1082" s="64">
        <f>L1082*VLOOKUP(H1082,dagsoorttabel1,2,FALSE)</f>
        <v>4.2080000000000002</v>
      </c>
      <c r="N1082" s="65">
        <f>prodnorm10</f>
        <v>0</v>
      </c>
      <c r="O1082" s="66">
        <f>dagwerk10</f>
        <v>0</v>
      </c>
      <c r="P1082" s="62" t="s">
        <v>40</v>
      </c>
      <c r="Q1082" s="67">
        <f>uurtarief10</f>
        <v>0</v>
      </c>
      <c r="R1082" s="64" t="e">
        <f>IF(ISBLANK(N1082),0,M1082/ROUND(N1082,4))</f>
        <v>#DIV/0!</v>
      </c>
      <c r="S1082" s="64" t="e">
        <f>IF(ISBLANK(N1082),0,R1082*ROUND(O1082,2))</f>
        <v>#DIV/0!</v>
      </c>
      <c r="T1082" s="67" t="e">
        <f>ROUND(Q1082,2)*R1082</f>
        <v>#DIV/0!</v>
      </c>
      <c r="U1082" s="64" t="e">
        <f>R1082*dagenperjaar1</f>
        <v>#DIV/0!</v>
      </c>
      <c r="V1082" s="69" t="e">
        <f>U1082*ROUND(Q1082,2)</f>
        <v>#DIV/0!</v>
      </c>
    </row>
    <row r="1083" spans="1:22" x14ac:dyDescent="0.3">
      <c r="A1083" s="61" t="s">
        <v>1502</v>
      </c>
      <c r="B1083" s="62" t="s">
        <v>317</v>
      </c>
      <c r="C1083" s="62" t="s">
        <v>318</v>
      </c>
      <c r="D1083" s="62" t="s">
        <v>1143</v>
      </c>
      <c r="E1083" s="63" t="s">
        <v>1539</v>
      </c>
      <c r="F1083" s="62" t="s">
        <v>389</v>
      </c>
      <c r="G1083" s="62" t="s">
        <v>282</v>
      </c>
      <c r="H1083" s="62" t="s">
        <v>11</v>
      </c>
      <c r="I1083" s="62" t="s">
        <v>210</v>
      </c>
      <c r="J1083" s="63" t="s">
        <v>283</v>
      </c>
      <c r="K1083" s="62" t="s">
        <v>317</v>
      </c>
      <c r="L1083" s="64">
        <v>64.27</v>
      </c>
      <c r="M1083" s="64">
        <f>L1083*VLOOKUP(H1083,dagsoorttabel1,2,FALSE)</f>
        <v>64.27</v>
      </c>
      <c r="N1083" s="65">
        <f>prodnorm47</f>
        <v>0</v>
      </c>
      <c r="O1083" s="66">
        <f>dagwerk47</f>
        <v>0</v>
      </c>
      <c r="P1083" s="62" t="s">
        <v>40</v>
      </c>
      <c r="Q1083" s="67">
        <f>uurtarief47</f>
        <v>0</v>
      </c>
      <c r="R1083" s="64" t="e">
        <f>IF(ISBLANK(N1083),0,M1083/ROUND(N1083,4))</f>
        <v>#DIV/0!</v>
      </c>
      <c r="S1083" s="64" t="e">
        <f>IF(ISBLANK(N1083),0,R1083*ROUND(O1083,2))</f>
        <v>#DIV/0!</v>
      </c>
      <c r="T1083" s="67" t="e">
        <f>ROUND(Q1083,2)*R1083</f>
        <v>#DIV/0!</v>
      </c>
      <c r="U1083" s="64" t="e">
        <f>R1083*dagenperjaar1</f>
        <v>#DIV/0!</v>
      </c>
      <c r="V1083" s="69" t="e">
        <f>U1083*ROUND(Q1083,2)</f>
        <v>#DIV/0!</v>
      </c>
    </row>
    <row r="1084" spans="1:22" x14ac:dyDescent="0.3">
      <c r="A1084" s="61" t="s">
        <v>1502</v>
      </c>
      <c r="B1084" s="62" t="s">
        <v>317</v>
      </c>
      <c r="C1084" s="62" t="s">
        <v>318</v>
      </c>
      <c r="D1084" s="62" t="s">
        <v>1146</v>
      </c>
      <c r="E1084" s="63" t="s">
        <v>1540</v>
      </c>
      <c r="F1084" s="62" t="s">
        <v>389</v>
      </c>
      <c r="G1084" s="62" t="s">
        <v>323</v>
      </c>
      <c r="H1084" s="62"/>
      <c r="I1084" s="62"/>
      <c r="J1084" s="62"/>
      <c r="K1084" s="62" t="s">
        <v>317</v>
      </c>
      <c r="L1084" s="64">
        <v>57.41</v>
      </c>
      <c r="M1084" s="64"/>
      <c r="N1084" s="65"/>
      <c r="O1084" s="66"/>
      <c r="P1084" s="62"/>
      <c r="Q1084" s="67"/>
      <c r="R1084" s="64"/>
      <c r="S1084" s="64"/>
      <c r="T1084" s="67"/>
      <c r="U1084" s="68"/>
      <c r="V1084" s="69"/>
    </row>
    <row r="1085" spans="1:22" x14ac:dyDescent="0.3">
      <c r="A1085" s="61" t="s">
        <v>1502</v>
      </c>
      <c r="B1085" s="62" t="s">
        <v>317</v>
      </c>
      <c r="C1085" s="62" t="s">
        <v>318</v>
      </c>
      <c r="D1085" s="62" t="s">
        <v>1541</v>
      </c>
      <c r="E1085" s="63" t="s">
        <v>1542</v>
      </c>
      <c r="F1085" s="62" t="s">
        <v>348</v>
      </c>
      <c r="G1085" s="62" t="s">
        <v>274</v>
      </c>
      <c r="H1085" s="62" t="s">
        <v>11</v>
      </c>
      <c r="I1085" s="62" t="s">
        <v>210</v>
      </c>
      <c r="J1085" s="63" t="s">
        <v>275</v>
      </c>
      <c r="K1085" s="62" t="s">
        <v>317</v>
      </c>
      <c r="L1085" s="64">
        <v>5.75</v>
      </c>
      <c r="M1085" s="64">
        <f t="shared" ref="M1085:M1091" si="354">L1085*VLOOKUP(H1085,dagsoorttabel1,2,FALSE)</f>
        <v>5.75</v>
      </c>
      <c r="N1085" s="65">
        <f>prodnorm43</f>
        <v>0</v>
      </c>
      <c r="O1085" s="66">
        <f>dagwerk43</f>
        <v>0</v>
      </c>
      <c r="P1085" s="62" t="s">
        <v>40</v>
      </c>
      <c r="Q1085" s="67">
        <f>uurtarief43</f>
        <v>0</v>
      </c>
      <c r="R1085" s="64" t="e">
        <f t="shared" ref="R1085:R1091" si="355">IF(ISBLANK(N1085),0,M1085/ROUND(N1085,4))</f>
        <v>#DIV/0!</v>
      </c>
      <c r="S1085" s="64" t="e">
        <f t="shared" ref="S1085:S1091" si="356">IF(ISBLANK(N1085),0,R1085*ROUND(O1085,2))</f>
        <v>#DIV/0!</v>
      </c>
      <c r="T1085" s="67" t="e">
        <f t="shared" ref="T1085:T1091" si="357">ROUND(Q1085,2)*R1085</f>
        <v>#DIV/0!</v>
      </c>
      <c r="U1085" s="64" t="e">
        <f t="shared" ref="U1085:U1091" si="358">R1085*dagenperjaar1</f>
        <v>#DIV/0!</v>
      </c>
      <c r="V1085" s="69" t="e">
        <f t="shared" ref="V1085:V1091" si="359">U1085*ROUND(Q1085,2)</f>
        <v>#DIV/0!</v>
      </c>
    </row>
    <row r="1086" spans="1:22" x14ac:dyDescent="0.3">
      <c r="A1086" s="61" t="s">
        <v>1502</v>
      </c>
      <c r="B1086" s="62" t="s">
        <v>317</v>
      </c>
      <c r="C1086" s="62" t="s">
        <v>318</v>
      </c>
      <c r="D1086" s="62" t="s">
        <v>1543</v>
      </c>
      <c r="E1086" s="63" t="s">
        <v>613</v>
      </c>
      <c r="F1086" s="62" t="s">
        <v>389</v>
      </c>
      <c r="G1086" s="62" t="s">
        <v>272</v>
      </c>
      <c r="H1086" s="62" t="s">
        <v>11</v>
      </c>
      <c r="I1086" s="62" t="s">
        <v>210</v>
      </c>
      <c r="J1086" s="63" t="s">
        <v>273</v>
      </c>
      <c r="K1086" s="62" t="s">
        <v>317</v>
      </c>
      <c r="L1086" s="64">
        <v>27.610000000000003</v>
      </c>
      <c r="M1086" s="64">
        <f t="shared" si="354"/>
        <v>27.610000000000003</v>
      </c>
      <c r="N1086" s="65">
        <f>prodnorm42</f>
        <v>0</v>
      </c>
      <c r="O1086" s="66">
        <f>dagwerk42</f>
        <v>0</v>
      </c>
      <c r="P1086" s="62" t="s">
        <v>40</v>
      </c>
      <c r="Q1086" s="67">
        <f>uurtarief42</f>
        <v>0</v>
      </c>
      <c r="R1086" s="64" t="e">
        <f t="shared" si="355"/>
        <v>#DIV/0!</v>
      </c>
      <c r="S1086" s="64" t="e">
        <f t="shared" si="356"/>
        <v>#DIV/0!</v>
      </c>
      <c r="T1086" s="67" t="e">
        <f t="shared" si="357"/>
        <v>#DIV/0!</v>
      </c>
      <c r="U1086" s="64" t="e">
        <f t="shared" si="358"/>
        <v>#DIV/0!</v>
      </c>
      <c r="V1086" s="69" t="e">
        <f t="shared" si="359"/>
        <v>#DIV/0!</v>
      </c>
    </row>
    <row r="1087" spans="1:22" x14ac:dyDescent="0.3">
      <c r="A1087" s="61" t="s">
        <v>1502</v>
      </c>
      <c r="B1087" s="62" t="s">
        <v>317</v>
      </c>
      <c r="C1087" s="62" t="s">
        <v>318</v>
      </c>
      <c r="D1087" s="62" t="s">
        <v>1148</v>
      </c>
      <c r="E1087" s="63" t="s">
        <v>1544</v>
      </c>
      <c r="F1087" s="62" t="s">
        <v>389</v>
      </c>
      <c r="G1087" s="62" t="s">
        <v>272</v>
      </c>
      <c r="H1087" s="62" t="s">
        <v>11</v>
      </c>
      <c r="I1087" s="62" t="s">
        <v>210</v>
      </c>
      <c r="J1087" s="63" t="s">
        <v>273</v>
      </c>
      <c r="K1087" s="62" t="s">
        <v>317</v>
      </c>
      <c r="L1087" s="64">
        <v>35.14</v>
      </c>
      <c r="M1087" s="64">
        <f t="shared" si="354"/>
        <v>35.14</v>
      </c>
      <c r="N1087" s="65">
        <f>prodnorm42</f>
        <v>0</v>
      </c>
      <c r="O1087" s="66">
        <f>dagwerk42</f>
        <v>0</v>
      </c>
      <c r="P1087" s="62" t="s">
        <v>40</v>
      </c>
      <c r="Q1087" s="67">
        <f>uurtarief42</f>
        <v>0</v>
      </c>
      <c r="R1087" s="64" t="e">
        <f t="shared" si="355"/>
        <v>#DIV/0!</v>
      </c>
      <c r="S1087" s="64" t="e">
        <f t="shared" si="356"/>
        <v>#DIV/0!</v>
      </c>
      <c r="T1087" s="67" t="e">
        <f t="shared" si="357"/>
        <v>#DIV/0!</v>
      </c>
      <c r="U1087" s="64" t="e">
        <f t="shared" si="358"/>
        <v>#DIV/0!</v>
      </c>
      <c r="V1087" s="69" t="e">
        <f t="shared" si="359"/>
        <v>#DIV/0!</v>
      </c>
    </row>
    <row r="1088" spans="1:22" x14ac:dyDescent="0.3">
      <c r="A1088" s="61" t="s">
        <v>1502</v>
      </c>
      <c r="B1088" s="62" t="s">
        <v>317</v>
      </c>
      <c r="C1088" s="62" t="s">
        <v>318</v>
      </c>
      <c r="D1088" s="62" t="s">
        <v>1149</v>
      </c>
      <c r="E1088" s="63" t="s">
        <v>1545</v>
      </c>
      <c r="F1088" s="62" t="s">
        <v>348</v>
      </c>
      <c r="G1088" s="62" t="s">
        <v>212</v>
      </c>
      <c r="H1088" s="62" t="s">
        <v>17</v>
      </c>
      <c r="I1088" s="62" t="s">
        <v>210</v>
      </c>
      <c r="J1088" s="63" t="s">
        <v>213</v>
      </c>
      <c r="K1088" s="62" t="s">
        <v>317</v>
      </c>
      <c r="L1088" s="64">
        <v>8.5399999999999991</v>
      </c>
      <c r="M1088" s="64">
        <f t="shared" si="354"/>
        <v>1.708</v>
      </c>
      <c r="N1088" s="65">
        <f>prodnorm11</f>
        <v>0</v>
      </c>
      <c r="O1088" s="66">
        <f>dagwerk11</f>
        <v>0</v>
      </c>
      <c r="P1088" s="62" t="s">
        <v>40</v>
      </c>
      <c r="Q1088" s="67">
        <f>uurtarief11</f>
        <v>0</v>
      </c>
      <c r="R1088" s="64" t="e">
        <f t="shared" si="355"/>
        <v>#DIV/0!</v>
      </c>
      <c r="S1088" s="64" t="e">
        <f t="shared" si="356"/>
        <v>#DIV/0!</v>
      </c>
      <c r="T1088" s="67" t="e">
        <f t="shared" si="357"/>
        <v>#DIV/0!</v>
      </c>
      <c r="U1088" s="64" t="e">
        <f t="shared" si="358"/>
        <v>#DIV/0!</v>
      </c>
      <c r="V1088" s="69" t="e">
        <f t="shared" si="359"/>
        <v>#DIV/0!</v>
      </c>
    </row>
    <row r="1089" spans="1:22" x14ac:dyDescent="0.3">
      <c r="A1089" s="61" t="s">
        <v>1502</v>
      </c>
      <c r="B1089" s="62" t="s">
        <v>317</v>
      </c>
      <c r="C1089" s="62" t="s">
        <v>318</v>
      </c>
      <c r="D1089" s="62" t="s">
        <v>1150</v>
      </c>
      <c r="E1089" s="63" t="s">
        <v>1546</v>
      </c>
      <c r="F1089" s="62" t="s">
        <v>348</v>
      </c>
      <c r="G1089" s="62" t="s">
        <v>212</v>
      </c>
      <c r="H1089" s="62" t="s">
        <v>17</v>
      </c>
      <c r="I1089" s="62" t="s">
        <v>210</v>
      </c>
      <c r="J1089" s="63" t="s">
        <v>213</v>
      </c>
      <c r="K1089" s="62" t="s">
        <v>317</v>
      </c>
      <c r="L1089" s="64">
        <v>13.5</v>
      </c>
      <c r="M1089" s="64">
        <f t="shared" si="354"/>
        <v>2.7</v>
      </c>
      <c r="N1089" s="65">
        <f>prodnorm11</f>
        <v>0</v>
      </c>
      <c r="O1089" s="66">
        <f>dagwerk11</f>
        <v>0</v>
      </c>
      <c r="P1089" s="62" t="s">
        <v>40</v>
      </c>
      <c r="Q1089" s="67">
        <f>uurtarief11</f>
        <v>0</v>
      </c>
      <c r="R1089" s="64" t="e">
        <f t="shared" si="355"/>
        <v>#DIV/0!</v>
      </c>
      <c r="S1089" s="64" t="e">
        <f t="shared" si="356"/>
        <v>#DIV/0!</v>
      </c>
      <c r="T1089" s="67" t="e">
        <f t="shared" si="357"/>
        <v>#DIV/0!</v>
      </c>
      <c r="U1089" s="64" t="e">
        <f t="shared" si="358"/>
        <v>#DIV/0!</v>
      </c>
      <c r="V1089" s="69" t="e">
        <f t="shared" si="359"/>
        <v>#DIV/0!</v>
      </c>
    </row>
    <row r="1090" spans="1:22" x14ac:dyDescent="0.3">
      <c r="A1090" s="61" t="s">
        <v>1502</v>
      </c>
      <c r="B1090" s="62" t="s">
        <v>317</v>
      </c>
      <c r="C1090" s="62" t="s">
        <v>318</v>
      </c>
      <c r="D1090" s="62" t="s">
        <v>1151</v>
      </c>
      <c r="E1090" s="63" t="s">
        <v>578</v>
      </c>
      <c r="F1090" s="62" t="s">
        <v>432</v>
      </c>
      <c r="G1090" s="62" t="s">
        <v>266</v>
      </c>
      <c r="H1090" s="62" t="s">
        <v>11</v>
      </c>
      <c r="I1090" s="62" t="s">
        <v>210</v>
      </c>
      <c r="J1090" s="63" t="s">
        <v>267</v>
      </c>
      <c r="K1090" s="62" t="s">
        <v>317</v>
      </c>
      <c r="L1090" s="64">
        <v>2.69</v>
      </c>
      <c r="M1090" s="64">
        <f t="shared" si="354"/>
        <v>2.69</v>
      </c>
      <c r="N1090" s="65">
        <f>prodnorm39</f>
        <v>0</v>
      </c>
      <c r="O1090" s="66">
        <f>dagwerk39</f>
        <v>0</v>
      </c>
      <c r="P1090" s="62" t="s">
        <v>40</v>
      </c>
      <c r="Q1090" s="67">
        <f>uurtarief39</f>
        <v>0</v>
      </c>
      <c r="R1090" s="64" t="e">
        <f t="shared" si="355"/>
        <v>#DIV/0!</v>
      </c>
      <c r="S1090" s="64" t="e">
        <f t="shared" si="356"/>
        <v>#DIV/0!</v>
      </c>
      <c r="T1090" s="67" t="e">
        <f t="shared" si="357"/>
        <v>#DIV/0!</v>
      </c>
      <c r="U1090" s="64" t="e">
        <f t="shared" si="358"/>
        <v>#DIV/0!</v>
      </c>
      <c r="V1090" s="69" t="e">
        <f t="shared" si="359"/>
        <v>#DIV/0!</v>
      </c>
    </row>
    <row r="1091" spans="1:22" x14ac:dyDescent="0.3">
      <c r="A1091" s="61" t="s">
        <v>1502</v>
      </c>
      <c r="B1091" s="62" t="s">
        <v>317</v>
      </c>
      <c r="C1091" s="62" t="s">
        <v>318</v>
      </c>
      <c r="D1091" s="62" t="s">
        <v>1153</v>
      </c>
      <c r="E1091" s="63" t="s">
        <v>578</v>
      </c>
      <c r="F1091" s="62" t="s">
        <v>432</v>
      </c>
      <c r="G1091" s="62" t="s">
        <v>266</v>
      </c>
      <c r="H1091" s="62" t="s">
        <v>11</v>
      </c>
      <c r="I1091" s="62" t="s">
        <v>210</v>
      </c>
      <c r="J1091" s="63" t="s">
        <v>267</v>
      </c>
      <c r="K1091" s="62" t="s">
        <v>317</v>
      </c>
      <c r="L1091" s="64">
        <v>2.69</v>
      </c>
      <c r="M1091" s="64">
        <f t="shared" si="354"/>
        <v>2.69</v>
      </c>
      <c r="N1091" s="65">
        <f>prodnorm39</f>
        <v>0</v>
      </c>
      <c r="O1091" s="66">
        <f>dagwerk39</f>
        <v>0</v>
      </c>
      <c r="P1091" s="62" t="s">
        <v>40</v>
      </c>
      <c r="Q1091" s="67">
        <f>uurtarief39</f>
        <v>0</v>
      </c>
      <c r="R1091" s="64" t="e">
        <f t="shared" si="355"/>
        <v>#DIV/0!</v>
      </c>
      <c r="S1091" s="64" t="e">
        <f t="shared" si="356"/>
        <v>#DIV/0!</v>
      </c>
      <c r="T1091" s="67" t="e">
        <f t="shared" si="357"/>
        <v>#DIV/0!</v>
      </c>
      <c r="U1091" s="64" t="e">
        <f t="shared" si="358"/>
        <v>#DIV/0!</v>
      </c>
      <c r="V1091" s="69" t="e">
        <f t="shared" si="359"/>
        <v>#DIV/0!</v>
      </c>
    </row>
    <row r="1092" spans="1:22" x14ac:dyDescent="0.3">
      <c r="A1092" s="61" t="s">
        <v>1502</v>
      </c>
      <c r="B1092" s="62" t="s">
        <v>317</v>
      </c>
      <c r="C1092" s="62" t="s">
        <v>318</v>
      </c>
      <c r="D1092" s="62" t="s">
        <v>1154</v>
      </c>
      <c r="E1092" s="63" t="s">
        <v>1547</v>
      </c>
      <c r="F1092" s="62" t="s">
        <v>389</v>
      </c>
      <c r="G1092" s="62" t="s">
        <v>323</v>
      </c>
      <c r="H1092" s="62"/>
      <c r="I1092" s="62"/>
      <c r="J1092" s="62"/>
      <c r="K1092" s="62" t="s">
        <v>317</v>
      </c>
      <c r="L1092" s="64">
        <v>3.55</v>
      </c>
      <c r="M1092" s="64"/>
      <c r="N1092" s="65"/>
      <c r="O1092" s="66"/>
      <c r="P1092" s="62"/>
      <c r="Q1092" s="67"/>
      <c r="R1092" s="64"/>
      <c r="S1092" s="64"/>
      <c r="T1092" s="67"/>
      <c r="U1092" s="68"/>
      <c r="V1092" s="69"/>
    </row>
    <row r="1093" spans="1:22" x14ac:dyDescent="0.3">
      <c r="A1093" s="61" t="s">
        <v>1502</v>
      </c>
      <c r="B1093" s="62" t="s">
        <v>317</v>
      </c>
      <c r="C1093" s="62" t="s">
        <v>318</v>
      </c>
      <c r="D1093" s="62" t="s">
        <v>1155</v>
      </c>
      <c r="E1093" s="63" t="s">
        <v>1548</v>
      </c>
      <c r="F1093" s="62" t="s">
        <v>432</v>
      </c>
      <c r="G1093" s="62" t="s">
        <v>270</v>
      </c>
      <c r="H1093" s="62" t="s">
        <v>11</v>
      </c>
      <c r="I1093" s="62" t="s">
        <v>210</v>
      </c>
      <c r="J1093" s="63" t="s">
        <v>271</v>
      </c>
      <c r="K1093" s="62" t="s">
        <v>317</v>
      </c>
      <c r="L1093" s="64">
        <v>1.45</v>
      </c>
      <c r="M1093" s="64">
        <f t="shared" ref="M1093:M1106" si="360">L1093*VLOOKUP(H1093,dagsoorttabel1,2,FALSE)</f>
        <v>1.45</v>
      </c>
      <c r="N1093" s="65">
        <f>prodnorm41</f>
        <v>0</v>
      </c>
      <c r="O1093" s="66">
        <f>dagwerk41</f>
        <v>0</v>
      </c>
      <c r="P1093" s="62" t="s">
        <v>40</v>
      </c>
      <c r="Q1093" s="67">
        <f>uurtarief41</f>
        <v>0</v>
      </c>
      <c r="R1093" s="64" t="e">
        <f t="shared" ref="R1093:R1106" si="361">IF(ISBLANK(N1093),0,M1093/ROUND(N1093,4))</f>
        <v>#DIV/0!</v>
      </c>
      <c r="S1093" s="64" t="e">
        <f t="shared" ref="S1093:S1106" si="362">IF(ISBLANK(N1093),0,R1093*ROUND(O1093,2))</f>
        <v>#DIV/0!</v>
      </c>
      <c r="T1093" s="67" t="e">
        <f t="shared" ref="T1093:T1106" si="363">ROUND(Q1093,2)*R1093</f>
        <v>#DIV/0!</v>
      </c>
      <c r="U1093" s="64" t="e">
        <f t="shared" ref="U1093:U1106" si="364">R1093*dagenperjaar1</f>
        <v>#DIV/0!</v>
      </c>
      <c r="V1093" s="69" t="e">
        <f t="shared" ref="V1093:V1106" si="365">U1093*ROUND(Q1093,2)</f>
        <v>#DIV/0!</v>
      </c>
    </row>
    <row r="1094" spans="1:22" x14ac:dyDescent="0.3">
      <c r="A1094" s="61" t="s">
        <v>1502</v>
      </c>
      <c r="B1094" s="62" t="s">
        <v>317</v>
      </c>
      <c r="C1094" s="62" t="s">
        <v>318</v>
      </c>
      <c r="D1094" s="62" t="s">
        <v>1157</v>
      </c>
      <c r="E1094" s="63" t="s">
        <v>462</v>
      </c>
      <c r="F1094" s="62" t="s">
        <v>432</v>
      </c>
      <c r="G1094" s="62" t="s">
        <v>264</v>
      </c>
      <c r="H1094" s="62" t="s">
        <v>11</v>
      </c>
      <c r="I1094" s="62" t="s">
        <v>210</v>
      </c>
      <c r="J1094" s="63" t="s">
        <v>265</v>
      </c>
      <c r="K1094" s="62" t="s">
        <v>317</v>
      </c>
      <c r="L1094" s="64">
        <v>1.45</v>
      </c>
      <c r="M1094" s="64">
        <f t="shared" si="360"/>
        <v>1.45</v>
      </c>
      <c r="N1094" s="65">
        <f>prodnorm38</f>
        <v>0</v>
      </c>
      <c r="O1094" s="66">
        <f>dagwerk38</f>
        <v>0</v>
      </c>
      <c r="P1094" s="62" t="s">
        <v>40</v>
      </c>
      <c r="Q1094" s="67">
        <f>uurtarief38</f>
        <v>0</v>
      </c>
      <c r="R1094" s="64" t="e">
        <f t="shared" si="361"/>
        <v>#DIV/0!</v>
      </c>
      <c r="S1094" s="64" t="e">
        <f t="shared" si="362"/>
        <v>#DIV/0!</v>
      </c>
      <c r="T1094" s="67" t="e">
        <f t="shared" si="363"/>
        <v>#DIV/0!</v>
      </c>
      <c r="U1094" s="64" t="e">
        <f t="shared" si="364"/>
        <v>#DIV/0!</v>
      </c>
      <c r="V1094" s="69" t="e">
        <f t="shared" si="365"/>
        <v>#DIV/0!</v>
      </c>
    </row>
    <row r="1095" spans="1:22" x14ac:dyDescent="0.3">
      <c r="A1095" s="61" t="s">
        <v>1502</v>
      </c>
      <c r="B1095" s="62" t="s">
        <v>317</v>
      </c>
      <c r="C1095" s="62" t="s">
        <v>318</v>
      </c>
      <c r="D1095" s="62" t="s">
        <v>1282</v>
      </c>
      <c r="E1095" s="63" t="s">
        <v>462</v>
      </c>
      <c r="F1095" s="62" t="s">
        <v>432</v>
      </c>
      <c r="G1095" s="62" t="s">
        <v>264</v>
      </c>
      <c r="H1095" s="62" t="s">
        <v>11</v>
      </c>
      <c r="I1095" s="62" t="s">
        <v>210</v>
      </c>
      <c r="J1095" s="63" t="s">
        <v>265</v>
      </c>
      <c r="K1095" s="62" t="s">
        <v>317</v>
      </c>
      <c r="L1095" s="64">
        <v>1.45</v>
      </c>
      <c r="M1095" s="64">
        <f t="shared" si="360"/>
        <v>1.45</v>
      </c>
      <c r="N1095" s="65">
        <f>prodnorm38</f>
        <v>0</v>
      </c>
      <c r="O1095" s="66">
        <f>dagwerk38</f>
        <v>0</v>
      </c>
      <c r="P1095" s="62" t="s">
        <v>40</v>
      </c>
      <c r="Q1095" s="67">
        <f>uurtarief38</f>
        <v>0</v>
      </c>
      <c r="R1095" s="64" t="e">
        <f t="shared" si="361"/>
        <v>#DIV/0!</v>
      </c>
      <c r="S1095" s="64" t="e">
        <f t="shared" si="362"/>
        <v>#DIV/0!</v>
      </c>
      <c r="T1095" s="67" t="e">
        <f t="shared" si="363"/>
        <v>#DIV/0!</v>
      </c>
      <c r="U1095" s="64" t="e">
        <f t="shared" si="364"/>
        <v>#DIV/0!</v>
      </c>
      <c r="V1095" s="69" t="e">
        <f t="shared" si="365"/>
        <v>#DIV/0!</v>
      </c>
    </row>
    <row r="1096" spans="1:22" x14ac:dyDescent="0.3">
      <c r="A1096" s="61" t="s">
        <v>1502</v>
      </c>
      <c r="B1096" s="62" t="s">
        <v>317</v>
      </c>
      <c r="C1096" s="62" t="s">
        <v>318</v>
      </c>
      <c r="D1096" s="62" t="s">
        <v>1161</v>
      </c>
      <c r="E1096" s="63" t="s">
        <v>1549</v>
      </c>
      <c r="F1096" s="62" t="s">
        <v>432</v>
      </c>
      <c r="G1096" s="62" t="s">
        <v>264</v>
      </c>
      <c r="H1096" s="62" t="s">
        <v>11</v>
      </c>
      <c r="I1096" s="62" t="s">
        <v>210</v>
      </c>
      <c r="J1096" s="63" t="s">
        <v>265</v>
      </c>
      <c r="K1096" s="62" t="s">
        <v>317</v>
      </c>
      <c r="L1096" s="64">
        <v>1.45</v>
      </c>
      <c r="M1096" s="64">
        <f t="shared" si="360"/>
        <v>1.45</v>
      </c>
      <c r="N1096" s="65">
        <f>prodnorm38</f>
        <v>0</v>
      </c>
      <c r="O1096" s="66">
        <f>dagwerk38</f>
        <v>0</v>
      </c>
      <c r="P1096" s="62" t="s">
        <v>40</v>
      </c>
      <c r="Q1096" s="67">
        <f>uurtarief38</f>
        <v>0</v>
      </c>
      <c r="R1096" s="64" t="e">
        <f t="shared" si="361"/>
        <v>#DIV/0!</v>
      </c>
      <c r="S1096" s="64" t="e">
        <f t="shared" si="362"/>
        <v>#DIV/0!</v>
      </c>
      <c r="T1096" s="67" t="e">
        <f t="shared" si="363"/>
        <v>#DIV/0!</v>
      </c>
      <c r="U1096" s="64" t="e">
        <f t="shared" si="364"/>
        <v>#DIV/0!</v>
      </c>
      <c r="V1096" s="69" t="e">
        <f t="shared" si="365"/>
        <v>#DIV/0!</v>
      </c>
    </row>
    <row r="1097" spans="1:22" x14ac:dyDescent="0.3">
      <c r="A1097" s="61" t="s">
        <v>1502</v>
      </c>
      <c r="B1097" s="62" t="s">
        <v>317</v>
      </c>
      <c r="C1097" s="62" t="s">
        <v>318</v>
      </c>
      <c r="D1097" s="62" t="s">
        <v>1163</v>
      </c>
      <c r="E1097" s="63" t="s">
        <v>1549</v>
      </c>
      <c r="F1097" s="62" t="s">
        <v>432</v>
      </c>
      <c r="G1097" s="62" t="s">
        <v>264</v>
      </c>
      <c r="H1097" s="62" t="s">
        <v>11</v>
      </c>
      <c r="I1097" s="62" t="s">
        <v>210</v>
      </c>
      <c r="J1097" s="63" t="s">
        <v>265</v>
      </c>
      <c r="K1097" s="62" t="s">
        <v>317</v>
      </c>
      <c r="L1097" s="64">
        <v>2.2999999999999998</v>
      </c>
      <c r="M1097" s="64">
        <f t="shared" si="360"/>
        <v>2.2999999999999998</v>
      </c>
      <c r="N1097" s="65">
        <f>prodnorm38</f>
        <v>0</v>
      </c>
      <c r="O1097" s="66">
        <f>dagwerk38</f>
        <v>0</v>
      </c>
      <c r="P1097" s="62" t="s">
        <v>40</v>
      </c>
      <c r="Q1097" s="67">
        <f>uurtarief38</f>
        <v>0</v>
      </c>
      <c r="R1097" s="64" t="e">
        <f t="shared" si="361"/>
        <v>#DIV/0!</v>
      </c>
      <c r="S1097" s="64" t="e">
        <f t="shared" si="362"/>
        <v>#DIV/0!</v>
      </c>
      <c r="T1097" s="67" t="e">
        <f t="shared" si="363"/>
        <v>#DIV/0!</v>
      </c>
      <c r="U1097" s="64" t="e">
        <f t="shared" si="364"/>
        <v>#DIV/0!</v>
      </c>
      <c r="V1097" s="69" t="e">
        <f t="shared" si="365"/>
        <v>#DIV/0!</v>
      </c>
    </row>
    <row r="1098" spans="1:22" x14ac:dyDescent="0.3">
      <c r="A1098" s="61" t="s">
        <v>1502</v>
      </c>
      <c r="B1098" s="62" t="s">
        <v>317</v>
      </c>
      <c r="C1098" s="62" t="s">
        <v>318</v>
      </c>
      <c r="D1098" s="62" t="s">
        <v>1164</v>
      </c>
      <c r="E1098" s="63" t="s">
        <v>1550</v>
      </c>
      <c r="F1098" s="62" t="s">
        <v>432</v>
      </c>
      <c r="G1098" s="62" t="s">
        <v>266</v>
      </c>
      <c r="H1098" s="62" t="s">
        <v>11</v>
      </c>
      <c r="I1098" s="62" t="s">
        <v>210</v>
      </c>
      <c r="J1098" s="63" t="s">
        <v>267</v>
      </c>
      <c r="K1098" s="62" t="s">
        <v>317</v>
      </c>
      <c r="L1098" s="64">
        <v>4.1399999999999997</v>
      </c>
      <c r="M1098" s="64">
        <f t="shared" si="360"/>
        <v>4.1399999999999997</v>
      </c>
      <c r="N1098" s="65">
        <f>prodnorm39</f>
        <v>0</v>
      </c>
      <c r="O1098" s="66">
        <f>dagwerk39</f>
        <v>0</v>
      </c>
      <c r="P1098" s="62" t="s">
        <v>40</v>
      </c>
      <c r="Q1098" s="67">
        <f>uurtarief39</f>
        <v>0</v>
      </c>
      <c r="R1098" s="64" t="e">
        <f t="shared" si="361"/>
        <v>#DIV/0!</v>
      </c>
      <c r="S1098" s="64" t="e">
        <f t="shared" si="362"/>
        <v>#DIV/0!</v>
      </c>
      <c r="T1098" s="67" t="e">
        <f t="shared" si="363"/>
        <v>#DIV/0!</v>
      </c>
      <c r="U1098" s="64" t="e">
        <f t="shared" si="364"/>
        <v>#DIV/0!</v>
      </c>
      <c r="V1098" s="69" t="e">
        <f t="shared" si="365"/>
        <v>#DIV/0!</v>
      </c>
    </row>
    <row r="1099" spans="1:22" x14ac:dyDescent="0.3">
      <c r="A1099" s="61" t="s">
        <v>1502</v>
      </c>
      <c r="B1099" s="62" t="s">
        <v>317</v>
      </c>
      <c r="C1099" s="62" t="s">
        <v>318</v>
      </c>
      <c r="D1099" s="62" t="s">
        <v>1165</v>
      </c>
      <c r="E1099" s="63" t="s">
        <v>1551</v>
      </c>
      <c r="F1099" s="62" t="s">
        <v>389</v>
      </c>
      <c r="G1099" s="62" t="s">
        <v>209</v>
      </c>
      <c r="H1099" s="62" t="s">
        <v>17</v>
      </c>
      <c r="I1099" s="62" t="s">
        <v>210</v>
      </c>
      <c r="J1099" s="63" t="s">
        <v>211</v>
      </c>
      <c r="K1099" s="62" t="s">
        <v>317</v>
      </c>
      <c r="L1099" s="64">
        <v>19.07</v>
      </c>
      <c r="M1099" s="64">
        <f t="shared" si="360"/>
        <v>3.8140000000000001</v>
      </c>
      <c r="N1099" s="65">
        <f>prodnorm10</f>
        <v>0</v>
      </c>
      <c r="O1099" s="66">
        <f>dagwerk10</f>
        <v>0</v>
      </c>
      <c r="P1099" s="62" t="s">
        <v>40</v>
      </c>
      <c r="Q1099" s="67">
        <f>uurtarief10</f>
        <v>0</v>
      </c>
      <c r="R1099" s="64" t="e">
        <f t="shared" si="361"/>
        <v>#DIV/0!</v>
      </c>
      <c r="S1099" s="64" t="e">
        <f t="shared" si="362"/>
        <v>#DIV/0!</v>
      </c>
      <c r="T1099" s="67" t="e">
        <f t="shared" si="363"/>
        <v>#DIV/0!</v>
      </c>
      <c r="U1099" s="64" t="e">
        <f t="shared" si="364"/>
        <v>#DIV/0!</v>
      </c>
      <c r="V1099" s="69" t="e">
        <f t="shared" si="365"/>
        <v>#DIV/0!</v>
      </c>
    </row>
    <row r="1100" spans="1:22" x14ac:dyDescent="0.3">
      <c r="A1100" s="61" t="s">
        <v>1502</v>
      </c>
      <c r="B1100" s="62" t="s">
        <v>317</v>
      </c>
      <c r="C1100" s="62" t="s">
        <v>318</v>
      </c>
      <c r="D1100" s="62" t="s">
        <v>1167</v>
      </c>
      <c r="E1100" s="63" t="s">
        <v>1552</v>
      </c>
      <c r="F1100" s="62" t="s">
        <v>389</v>
      </c>
      <c r="G1100" s="62" t="s">
        <v>209</v>
      </c>
      <c r="H1100" s="62" t="s">
        <v>17</v>
      </c>
      <c r="I1100" s="62" t="s">
        <v>210</v>
      </c>
      <c r="J1100" s="63" t="s">
        <v>211</v>
      </c>
      <c r="K1100" s="62" t="s">
        <v>317</v>
      </c>
      <c r="L1100" s="64">
        <v>28.97</v>
      </c>
      <c r="M1100" s="64">
        <f t="shared" si="360"/>
        <v>5.7940000000000005</v>
      </c>
      <c r="N1100" s="65">
        <f>prodnorm10</f>
        <v>0</v>
      </c>
      <c r="O1100" s="66">
        <f>dagwerk10</f>
        <v>0</v>
      </c>
      <c r="P1100" s="62" t="s">
        <v>40</v>
      </c>
      <c r="Q1100" s="67">
        <f>uurtarief10</f>
        <v>0</v>
      </c>
      <c r="R1100" s="64" t="e">
        <f t="shared" si="361"/>
        <v>#DIV/0!</v>
      </c>
      <c r="S1100" s="64" t="e">
        <f t="shared" si="362"/>
        <v>#DIV/0!</v>
      </c>
      <c r="T1100" s="67" t="e">
        <f t="shared" si="363"/>
        <v>#DIV/0!</v>
      </c>
      <c r="U1100" s="64" t="e">
        <f t="shared" si="364"/>
        <v>#DIV/0!</v>
      </c>
      <c r="V1100" s="69" t="e">
        <f t="shared" si="365"/>
        <v>#DIV/0!</v>
      </c>
    </row>
    <row r="1101" spans="1:22" x14ac:dyDescent="0.3">
      <c r="A1101" s="61" t="s">
        <v>1502</v>
      </c>
      <c r="B1101" s="62" t="s">
        <v>317</v>
      </c>
      <c r="C1101" s="62" t="s">
        <v>318</v>
      </c>
      <c r="D1101" s="62" t="s">
        <v>1168</v>
      </c>
      <c r="E1101" s="63" t="s">
        <v>1551</v>
      </c>
      <c r="F1101" s="62" t="s">
        <v>389</v>
      </c>
      <c r="G1101" s="62" t="s">
        <v>209</v>
      </c>
      <c r="H1101" s="62" t="s">
        <v>17</v>
      </c>
      <c r="I1101" s="62" t="s">
        <v>210</v>
      </c>
      <c r="J1101" s="63" t="s">
        <v>211</v>
      </c>
      <c r="K1101" s="62" t="s">
        <v>317</v>
      </c>
      <c r="L1101" s="64">
        <v>19.100000000000001</v>
      </c>
      <c r="M1101" s="64">
        <f t="shared" si="360"/>
        <v>3.8200000000000003</v>
      </c>
      <c r="N1101" s="65">
        <f>prodnorm10</f>
        <v>0</v>
      </c>
      <c r="O1101" s="66">
        <f>dagwerk10</f>
        <v>0</v>
      </c>
      <c r="P1101" s="62" t="s">
        <v>40</v>
      </c>
      <c r="Q1101" s="67">
        <f>uurtarief10</f>
        <v>0</v>
      </c>
      <c r="R1101" s="64" t="e">
        <f t="shared" si="361"/>
        <v>#DIV/0!</v>
      </c>
      <c r="S1101" s="64" t="e">
        <f t="shared" si="362"/>
        <v>#DIV/0!</v>
      </c>
      <c r="T1101" s="67" t="e">
        <f t="shared" si="363"/>
        <v>#DIV/0!</v>
      </c>
      <c r="U1101" s="64" t="e">
        <f t="shared" si="364"/>
        <v>#DIV/0!</v>
      </c>
      <c r="V1101" s="69" t="e">
        <f t="shared" si="365"/>
        <v>#DIV/0!</v>
      </c>
    </row>
    <row r="1102" spans="1:22" x14ac:dyDescent="0.3">
      <c r="A1102" s="61" t="s">
        <v>1502</v>
      </c>
      <c r="B1102" s="62" t="s">
        <v>317</v>
      </c>
      <c r="C1102" s="62" t="s">
        <v>318</v>
      </c>
      <c r="D1102" s="62" t="s">
        <v>1170</v>
      </c>
      <c r="E1102" s="63" t="s">
        <v>1553</v>
      </c>
      <c r="F1102" s="62" t="s">
        <v>389</v>
      </c>
      <c r="G1102" s="62" t="s">
        <v>209</v>
      </c>
      <c r="H1102" s="62" t="s">
        <v>17</v>
      </c>
      <c r="I1102" s="62" t="s">
        <v>210</v>
      </c>
      <c r="J1102" s="63" t="s">
        <v>211</v>
      </c>
      <c r="K1102" s="62" t="s">
        <v>317</v>
      </c>
      <c r="L1102" s="64">
        <v>19.07</v>
      </c>
      <c r="M1102" s="64">
        <f t="shared" si="360"/>
        <v>3.8140000000000001</v>
      </c>
      <c r="N1102" s="65">
        <f>prodnorm10</f>
        <v>0</v>
      </c>
      <c r="O1102" s="66">
        <f>dagwerk10</f>
        <v>0</v>
      </c>
      <c r="P1102" s="62" t="s">
        <v>40</v>
      </c>
      <c r="Q1102" s="67">
        <f>uurtarief10</f>
        <v>0</v>
      </c>
      <c r="R1102" s="64" t="e">
        <f t="shared" si="361"/>
        <v>#DIV/0!</v>
      </c>
      <c r="S1102" s="64" t="e">
        <f t="shared" si="362"/>
        <v>#DIV/0!</v>
      </c>
      <c r="T1102" s="67" t="e">
        <f t="shared" si="363"/>
        <v>#DIV/0!</v>
      </c>
      <c r="U1102" s="64" t="e">
        <f t="shared" si="364"/>
        <v>#DIV/0!</v>
      </c>
      <c r="V1102" s="69" t="e">
        <f t="shared" si="365"/>
        <v>#DIV/0!</v>
      </c>
    </row>
    <row r="1103" spans="1:22" x14ac:dyDescent="0.3">
      <c r="A1103" s="61" t="s">
        <v>1502</v>
      </c>
      <c r="B1103" s="62" t="s">
        <v>317</v>
      </c>
      <c r="C1103" s="62" t="s">
        <v>318</v>
      </c>
      <c r="D1103" s="62" t="s">
        <v>1172</v>
      </c>
      <c r="E1103" s="63" t="s">
        <v>1553</v>
      </c>
      <c r="F1103" s="62" t="s">
        <v>389</v>
      </c>
      <c r="G1103" s="62" t="s">
        <v>209</v>
      </c>
      <c r="H1103" s="62" t="s">
        <v>17</v>
      </c>
      <c r="I1103" s="62" t="s">
        <v>210</v>
      </c>
      <c r="J1103" s="63" t="s">
        <v>211</v>
      </c>
      <c r="K1103" s="62" t="s">
        <v>317</v>
      </c>
      <c r="L1103" s="64">
        <v>19.07</v>
      </c>
      <c r="M1103" s="64">
        <f t="shared" si="360"/>
        <v>3.8140000000000001</v>
      </c>
      <c r="N1103" s="65">
        <f>prodnorm10</f>
        <v>0</v>
      </c>
      <c r="O1103" s="66">
        <f>dagwerk10</f>
        <v>0</v>
      </c>
      <c r="P1103" s="62" t="s">
        <v>40</v>
      </c>
      <c r="Q1103" s="67">
        <f>uurtarief10</f>
        <v>0</v>
      </c>
      <c r="R1103" s="64" t="e">
        <f t="shared" si="361"/>
        <v>#DIV/0!</v>
      </c>
      <c r="S1103" s="64" t="e">
        <f t="shared" si="362"/>
        <v>#DIV/0!</v>
      </c>
      <c r="T1103" s="67" t="e">
        <f t="shared" si="363"/>
        <v>#DIV/0!</v>
      </c>
      <c r="U1103" s="64" t="e">
        <f t="shared" si="364"/>
        <v>#DIV/0!</v>
      </c>
      <c r="V1103" s="69" t="e">
        <f t="shared" si="365"/>
        <v>#DIV/0!</v>
      </c>
    </row>
    <row r="1104" spans="1:22" x14ac:dyDescent="0.3">
      <c r="A1104" s="61" t="s">
        <v>1502</v>
      </c>
      <c r="B1104" s="62" t="s">
        <v>317</v>
      </c>
      <c r="C1104" s="62" t="s">
        <v>318</v>
      </c>
      <c r="D1104" s="62" t="s">
        <v>1554</v>
      </c>
      <c r="E1104" s="63" t="s">
        <v>394</v>
      </c>
      <c r="F1104" s="62" t="s">
        <v>389</v>
      </c>
      <c r="G1104" s="62" t="s">
        <v>272</v>
      </c>
      <c r="H1104" s="62" t="s">
        <v>11</v>
      </c>
      <c r="I1104" s="62" t="s">
        <v>210</v>
      </c>
      <c r="J1104" s="63" t="s">
        <v>273</v>
      </c>
      <c r="K1104" s="62" t="s">
        <v>317</v>
      </c>
      <c r="L1104" s="64">
        <v>6.26</v>
      </c>
      <c r="M1104" s="64">
        <f t="shared" si="360"/>
        <v>6.26</v>
      </c>
      <c r="N1104" s="65">
        <f>prodnorm42</f>
        <v>0</v>
      </c>
      <c r="O1104" s="66">
        <f>dagwerk42</f>
        <v>0</v>
      </c>
      <c r="P1104" s="62" t="s">
        <v>40</v>
      </c>
      <c r="Q1104" s="67">
        <f>uurtarief42</f>
        <v>0</v>
      </c>
      <c r="R1104" s="64" t="e">
        <f t="shared" si="361"/>
        <v>#DIV/0!</v>
      </c>
      <c r="S1104" s="64" t="e">
        <f t="shared" si="362"/>
        <v>#DIV/0!</v>
      </c>
      <c r="T1104" s="67" t="e">
        <f t="shared" si="363"/>
        <v>#DIV/0!</v>
      </c>
      <c r="U1104" s="64" t="e">
        <f t="shared" si="364"/>
        <v>#DIV/0!</v>
      </c>
      <c r="V1104" s="69" t="e">
        <f t="shared" si="365"/>
        <v>#DIV/0!</v>
      </c>
    </row>
    <row r="1105" spans="1:22" x14ac:dyDescent="0.3">
      <c r="A1105" s="61" t="s">
        <v>1502</v>
      </c>
      <c r="B1105" s="62" t="s">
        <v>317</v>
      </c>
      <c r="C1105" s="62" t="s">
        <v>318</v>
      </c>
      <c r="D1105" s="62" t="s">
        <v>1555</v>
      </c>
      <c r="E1105" s="63" t="s">
        <v>394</v>
      </c>
      <c r="F1105" s="62" t="s">
        <v>389</v>
      </c>
      <c r="G1105" s="62" t="s">
        <v>272</v>
      </c>
      <c r="H1105" s="62" t="s">
        <v>11</v>
      </c>
      <c r="I1105" s="62" t="s">
        <v>210</v>
      </c>
      <c r="J1105" s="63" t="s">
        <v>273</v>
      </c>
      <c r="K1105" s="62" t="s">
        <v>317</v>
      </c>
      <c r="L1105" s="64">
        <v>7.21</v>
      </c>
      <c r="M1105" s="64">
        <f t="shared" si="360"/>
        <v>7.21</v>
      </c>
      <c r="N1105" s="65">
        <f>prodnorm42</f>
        <v>0</v>
      </c>
      <c r="O1105" s="66">
        <f>dagwerk42</f>
        <v>0</v>
      </c>
      <c r="P1105" s="62" t="s">
        <v>40</v>
      </c>
      <c r="Q1105" s="67">
        <f>uurtarief42</f>
        <v>0</v>
      </c>
      <c r="R1105" s="64" t="e">
        <f t="shared" si="361"/>
        <v>#DIV/0!</v>
      </c>
      <c r="S1105" s="64" t="e">
        <f t="shared" si="362"/>
        <v>#DIV/0!</v>
      </c>
      <c r="T1105" s="67" t="e">
        <f t="shared" si="363"/>
        <v>#DIV/0!</v>
      </c>
      <c r="U1105" s="64" t="e">
        <f t="shared" si="364"/>
        <v>#DIV/0!</v>
      </c>
      <c r="V1105" s="69" t="e">
        <f t="shared" si="365"/>
        <v>#DIV/0!</v>
      </c>
    </row>
    <row r="1106" spans="1:22" x14ac:dyDescent="0.3">
      <c r="A1106" s="61" t="s">
        <v>1502</v>
      </c>
      <c r="B1106" s="62" t="s">
        <v>317</v>
      </c>
      <c r="C1106" s="62" t="s">
        <v>318</v>
      </c>
      <c r="D1106" s="62" t="s">
        <v>1180</v>
      </c>
      <c r="E1106" s="63" t="s">
        <v>1556</v>
      </c>
      <c r="F1106" s="62" t="s">
        <v>348</v>
      </c>
      <c r="G1106" s="62" t="s">
        <v>212</v>
      </c>
      <c r="H1106" s="62" t="s">
        <v>17</v>
      </c>
      <c r="I1106" s="62" t="s">
        <v>210</v>
      </c>
      <c r="J1106" s="63" t="s">
        <v>213</v>
      </c>
      <c r="K1106" s="62" t="s">
        <v>317</v>
      </c>
      <c r="L1106" s="64">
        <v>43.690000000000005</v>
      </c>
      <c r="M1106" s="64">
        <f t="shared" si="360"/>
        <v>8.7380000000000013</v>
      </c>
      <c r="N1106" s="65">
        <f>prodnorm11</f>
        <v>0</v>
      </c>
      <c r="O1106" s="66">
        <f>dagwerk11</f>
        <v>0</v>
      </c>
      <c r="P1106" s="62" t="s">
        <v>40</v>
      </c>
      <c r="Q1106" s="67">
        <f>uurtarief11</f>
        <v>0</v>
      </c>
      <c r="R1106" s="64" t="e">
        <f t="shared" si="361"/>
        <v>#DIV/0!</v>
      </c>
      <c r="S1106" s="64" t="e">
        <f t="shared" si="362"/>
        <v>#DIV/0!</v>
      </c>
      <c r="T1106" s="67" t="e">
        <f t="shared" si="363"/>
        <v>#DIV/0!</v>
      </c>
      <c r="U1106" s="64" t="e">
        <f t="shared" si="364"/>
        <v>#DIV/0!</v>
      </c>
      <c r="V1106" s="69" t="e">
        <f t="shared" si="365"/>
        <v>#DIV/0!</v>
      </c>
    </row>
    <row r="1107" spans="1:22" x14ac:dyDescent="0.3">
      <c r="A1107" s="61" t="s">
        <v>1502</v>
      </c>
      <c r="B1107" s="62" t="s">
        <v>317</v>
      </c>
      <c r="C1107" s="62" t="s">
        <v>318</v>
      </c>
      <c r="D1107" s="62" t="s">
        <v>1182</v>
      </c>
      <c r="E1107" s="63" t="s">
        <v>383</v>
      </c>
      <c r="F1107" s="62" t="s">
        <v>389</v>
      </c>
      <c r="G1107" s="62" t="s">
        <v>323</v>
      </c>
      <c r="H1107" s="62"/>
      <c r="I1107" s="62"/>
      <c r="J1107" s="62"/>
      <c r="K1107" s="62" t="s">
        <v>317</v>
      </c>
      <c r="L1107" s="64">
        <v>18.2</v>
      </c>
      <c r="M1107" s="64"/>
      <c r="N1107" s="65"/>
      <c r="O1107" s="66"/>
      <c r="P1107" s="62"/>
      <c r="Q1107" s="67"/>
      <c r="R1107" s="64"/>
      <c r="S1107" s="64"/>
      <c r="T1107" s="67"/>
      <c r="U1107" s="68"/>
      <c r="V1107" s="69"/>
    </row>
    <row r="1108" spans="1:22" x14ac:dyDescent="0.3">
      <c r="A1108" s="61" t="s">
        <v>1502</v>
      </c>
      <c r="B1108" s="62" t="s">
        <v>317</v>
      </c>
      <c r="C1108" s="62" t="s">
        <v>318</v>
      </c>
      <c r="D1108" s="62" t="s">
        <v>1184</v>
      </c>
      <c r="E1108" s="63" t="s">
        <v>1557</v>
      </c>
      <c r="F1108" s="62" t="s">
        <v>348</v>
      </c>
      <c r="G1108" s="62" t="s">
        <v>216</v>
      </c>
      <c r="H1108" s="62" t="s">
        <v>14</v>
      </c>
      <c r="I1108" s="62" t="s">
        <v>210</v>
      </c>
      <c r="J1108" s="63" t="s">
        <v>217</v>
      </c>
      <c r="K1108" s="62" t="s">
        <v>317</v>
      </c>
      <c r="L1108" s="64">
        <v>21.150000000000002</v>
      </c>
      <c r="M1108" s="64">
        <f t="shared" ref="M1108:M1113" si="366">L1108*VLOOKUP(H1108,dagsoorttabel1,2,FALSE)</f>
        <v>12.690000000000001</v>
      </c>
      <c r="N1108" s="65">
        <f>prodnorm13</f>
        <v>0</v>
      </c>
      <c r="O1108" s="66">
        <f>dagwerk13</f>
        <v>0</v>
      </c>
      <c r="P1108" s="62" t="s">
        <v>40</v>
      </c>
      <c r="Q1108" s="67">
        <f>uurtarief13</f>
        <v>0</v>
      </c>
      <c r="R1108" s="64" t="e">
        <f t="shared" ref="R1108:R1113" si="367">IF(ISBLANK(N1108),0,M1108/ROUND(N1108,4))</f>
        <v>#DIV/0!</v>
      </c>
      <c r="S1108" s="64" t="e">
        <f t="shared" ref="S1108:S1113" si="368">IF(ISBLANK(N1108),0,R1108*ROUND(O1108,2))</f>
        <v>#DIV/0!</v>
      </c>
      <c r="T1108" s="67" t="e">
        <f t="shared" ref="T1108:T1113" si="369">ROUND(Q1108,2)*R1108</f>
        <v>#DIV/0!</v>
      </c>
      <c r="U1108" s="64" t="e">
        <f t="shared" ref="U1108:U1113" si="370">R1108*dagenperjaar1</f>
        <v>#DIV/0!</v>
      </c>
      <c r="V1108" s="69" t="e">
        <f t="shared" ref="V1108:V1113" si="371">U1108*ROUND(Q1108,2)</f>
        <v>#DIV/0!</v>
      </c>
    </row>
    <row r="1109" spans="1:22" x14ac:dyDescent="0.3">
      <c r="A1109" s="61" t="s">
        <v>1502</v>
      </c>
      <c r="B1109" s="62" t="s">
        <v>317</v>
      </c>
      <c r="C1109" s="62" t="s">
        <v>318</v>
      </c>
      <c r="D1109" s="62" t="s">
        <v>1186</v>
      </c>
      <c r="E1109" s="63" t="s">
        <v>1556</v>
      </c>
      <c r="F1109" s="62" t="s">
        <v>348</v>
      </c>
      <c r="G1109" s="62" t="s">
        <v>212</v>
      </c>
      <c r="H1109" s="62" t="s">
        <v>17</v>
      </c>
      <c r="I1109" s="62" t="s">
        <v>210</v>
      </c>
      <c r="J1109" s="63" t="s">
        <v>213</v>
      </c>
      <c r="K1109" s="62" t="s">
        <v>317</v>
      </c>
      <c r="L1109" s="64">
        <v>33.720000000000006</v>
      </c>
      <c r="M1109" s="64">
        <f t="shared" si="366"/>
        <v>6.7440000000000015</v>
      </c>
      <c r="N1109" s="65">
        <f>prodnorm11</f>
        <v>0</v>
      </c>
      <c r="O1109" s="66">
        <f>dagwerk11</f>
        <v>0</v>
      </c>
      <c r="P1109" s="62" t="s">
        <v>40</v>
      </c>
      <c r="Q1109" s="67">
        <f>uurtarief11</f>
        <v>0</v>
      </c>
      <c r="R1109" s="64" t="e">
        <f t="shared" si="367"/>
        <v>#DIV/0!</v>
      </c>
      <c r="S1109" s="64" t="e">
        <f t="shared" si="368"/>
        <v>#DIV/0!</v>
      </c>
      <c r="T1109" s="67" t="e">
        <f t="shared" si="369"/>
        <v>#DIV/0!</v>
      </c>
      <c r="U1109" s="64" t="e">
        <f t="shared" si="370"/>
        <v>#DIV/0!</v>
      </c>
      <c r="V1109" s="69" t="e">
        <f t="shared" si="371"/>
        <v>#DIV/0!</v>
      </c>
    </row>
    <row r="1110" spans="1:22" x14ac:dyDescent="0.3">
      <c r="A1110" s="61" t="s">
        <v>1502</v>
      </c>
      <c r="B1110" s="62" t="s">
        <v>317</v>
      </c>
      <c r="C1110" s="62" t="s">
        <v>318</v>
      </c>
      <c r="D1110" s="62" t="s">
        <v>1188</v>
      </c>
      <c r="E1110" s="63" t="s">
        <v>1556</v>
      </c>
      <c r="F1110" s="62" t="s">
        <v>348</v>
      </c>
      <c r="G1110" s="62" t="s">
        <v>212</v>
      </c>
      <c r="H1110" s="62" t="s">
        <v>17</v>
      </c>
      <c r="I1110" s="62" t="s">
        <v>210</v>
      </c>
      <c r="J1110" s="63" t="s">
        <v>213</v>
      </c>
      <c r="K1110" s="62" t="s">
        <v>317</v>
      </c>
      <c r="L1110" s="64">
        <v>19.07</v>
      </c>
      <c r="M1110" s="64">
        <f t="shared" si="366"/>
        <v>3.8140000000000001</v>
      </c>
      <c r="N1110" s="65">
        <f>prodnorm11</f>
        <v>0</v>
      </c>
      <c r="O1110" s="66">
        <f>dagwerk11</f>
        <v>0</v>
      </c>
      <c r="P1110" s="62" t="s">
        <v>40</v>
      </c>
      <c r="Q1110" s="67">
        <f>uurtarief11</f>
        <v>0</v>
      </c>
      <c r="R1110" s="64" t="e">
        <f t="shared" si="367"/>
        <v>#DIV/0!</v>
      </c>
      <c r="S1110" s="64" t="e">
        <f t="shared" si="368"/>
        <v>#DIV/0!</v>
      </c>
      <c r="T1110" s="67" t="e">
        <f t="shared" si="369"/>
        <v>#DIV/0!</v>
      </c>
      <c r="U1110" s="64" t="e">
        <f t="shared" si="370"/>
        <v>#DIV/0!</v>
      </c>
      <c r="V1110" s="69" t="e">
        <f t="shared" si="371"/>
        <v>#DIV/0!</v>
      </c>
    </row>
    <row r="1111" spans="1:22" x14ac:dyDescent="0.3">
      <c r="A1111" s="61" t="s">
        <v>1502</v>
      </c>
      <c r="B1111" s="62" t="s">
        <v>317</v>
      </c>
      <c r="C1111" s="62" t="s">
        <v>318</v>
      </c>
      <c r="D1111" s="62" t="s">
        <v>1285</v>
      </c>
      <c r="E1111" s="63" t="s">
        <v>1558</v>
      </c>
      <c r="F1111" s="62" t="s">
        <v>348</v>
      </c>
      <c r="G1111" s="62" t="s">
        <v>212</v>
      </c>
      <c r="H1111" s="62" t="s">
        <v>17</v>
      </c>
      <c r="I1111" s="62" t="s">
        <v>210</v>
      </c>
      <c r="J1111" s="63" t="s">
        <v>213</v>
      </c>
      <c r="K1111" s="62" t="s">
        <v>317</v>
      </c>
      <c r="L1111" s="64">
        <v>14.18</v>
      </c>
      <c r="M1111" s="64">
        <f t="shared" si="366"/>
        <v>2.8360000000000003</v>
      </c>
      <c r="N1111" s="65">
        <f>prodnorm11</f>
        <v>0</v>
      </c>
      <c r="O1111" s="66">
        <f>dagwerk11</f>
        <v>0</v>
      </c>
      <c r="P1111" s="62" t="s">
        <v>40</v>
      </c>
      <c r="Q1111" s="67">
        <f>uurtarief11</f>
        <v>0</v>
      </c>
      <c r="R1111" s="64" t="e">
        <f t="shared" si="367"/>
        <v>#DIV/0!</v>
      </c>
      <c r="S1111" s="64" t="e">
        <f t="shared" si="368"/>
        <v>#DIV/0!</v>
      </c>
      <c r="T1111" s="67" t="e">
        <f t="shared" si="369"/>
        <v>#DIV/0!</v>
      </c>
      <c r="U1111" s="64" t="e">
        <f t="shared" si="370"/>
        <v>#DIV/0!</v>
      </c>
      <c r="V1111" s="69" t="e">
        <f t="shared" si="371"/>
        <v>#DIV/0!</v>
      </c>
    </row>
    <row r="1112" spans="1:22" x14ac:dyDescent="0.3">
      <c r="A1112" s="61" t="s">
        <v>1502</v>
      </c>
      <c r="B1112" s="62" t="s">
        <v>317</v>
      </c>
      <c r="C1112" s="62" t="s">
        <v>318</v>
      </c>
      <c r="D1112" s="62" t="s">
        <v>1559</v>
      </c>
      <c r="E1112" s="63" t="s">
        <v>1560</v>
      </c>
      <c r="F1112" s="62" t="s">
        <v>348</v>
      </c>
      <c r="G1112" s="62" t="s">
        <v>212</v>
      </c>
      <c r="H1112" s="62" t="s">
        <v>17</v>
      </c>
      <c r="I1112" s="62" t="s">
        <v>210</v>
      </c>
      <c r="J1112" s="63" t="s">
        <v>213</v>
      </c>
      <c r="K1112" s="62" t="s">
        <v>317</v>
      </c>
      <c r="L1112" s="64">
        <v>23.95</v>
      </c>
      <c r="M1112" s="64">
        <f t="shared" si="366"/>
        <v>4.79</v>
      </c>
      <c r="N1112" s="65">
        <f>prodnorm11</f>
        <v>0</v>
      </c>
      <c r="O1112" s="66">
        <f>dagwerk11</f>
        <v>0</v>
      </c>
      <c r="P1112" s="62" t="s">
        <v>40</v>
      </c>
      <c r="Q1112" s="67">
        <f>uurtarief11</f>
        <v>0</v>
      </c>
      <c r="R1112" s="64" t="e">
        <f t="shared" si="367"/>
        <v>#DIV/0!</v>
      </c>
      <c r="S1112" s="64" t="e">
        <f t="shared" si="368"/>
        <v>#DIV/0!</v>
      </c>
      <c r="T1112" s="67" t="e">
        <f t="shared" si="369"/>
        <v>#DIV/0!</v>
      </c>
      <c r="U1112" s="64" t="e">
        <f t="shared" si="370"/>
        <v>#DIV/0!</v>
      </c>
      <c r="V1112" s="69" t="e">
        <f t="shared" si="371"/>
        <v>#DIV/0!</v>
      </c>
    </row>
    <row r="1113" spans="1:22" x14ac:dyDescent="0.3">
      <c r="A1113" s="61" t="s">
        <v>1502</v>
      </c>
      <c r="B1113" s="62" t="s">
        <v>317</v>
      </c>
      <c r="C1113" s="62" t="s">
        <v>318</v>
      </c>
      <c r="D1113" s="62" t="s">
        <v>1287</v>
      </c>
      <c r="E1113" s="63" t="s">
        <v>693</v>
      </c>
      <c r="F1113" s="62" t="s">
        <v>389</v>
      </c>
      <c r="G1113" s="62" t="s">
        <v>228</v>
      </c>
      <c r="H1113" s="62" t="s">
        <v>11</v>
      </c>
      <c r="I1113" s="62" t="s">
        <v>210</v>
      </c>
      <c r="J1113" s="63" t="s">
        <v>229</v>
      </c>
      <c r="K1113" s="62" t="s">
        <v>317</v>
      </c>
      <c r="L1113" s="64">
        <v>8.39</v>
      </c>
      <c r="M1113" s="64">
        <f t="shared" si="366"/>
        <v>8.39</v>
      </c>
      <c r="N1113" s="65">
        <f>prodnorm19</f>
        <v>0</v>
      </c>
      <c r="O1113" s="66">
        <f>dagwerk19</f>
        <v>0</v>
      </c>
      <c r="P1113" s="62" t="s">
        <v>40</v>
      </c>
      <c r="Q1113" s="67">
        <f>uurtarief19</f>
        <v>0</v>
      </c>
      <c r="R1113" s="64" t="e">
        <f t="shared" si="367"/>
        <v>#DIV/0!</v>
      </c>
      <c r="S1113" s="64" t="e">
        <f t="shared" si="368"/>
        <v>#DIV/0!</v>
      </c>
      <c r="T1113" s="67" t="e">
        <f t="shared" si="369"/>
        <v>#DIV/0!</v>
      </c>
      <c r="U1113" s="64" t="e">
        <f t="shared" si="370"/>
        <v>#DIV/0!</v>
      </c>
      <c r="V1113" s="69" t="e">
        <f t="shared" si="371"/>
        <v>#DIV/0!</v>
      </c>
    </row>
    <row r="1114" spans="1:22" x14ac:dyDescent="0.3">
      <c r="A1114" s="61" t="s">
        <v>1502</v>
      </c>
      <c r="B1114" s="62" t="s">
        <v>317</v>
      </c>
      <c r="C1114" s="62" t="s">
        <v>318</v>
      </c>
      <c r="D1114" s="62" t="s">
        <v>1561</v>
      </c>
      <c r="E1114" s="63" t="s">
        <v>383</v>
      </c>
      <c r="F1114" s="62" t="s">
        <v>389</v>
      </c>
      <c r="G1114" s="62" t="s">
        <v>323</v>
      </c>
      <c r="H1114" s="62"/>
      <c r="I1114" s="62"/>
      <c r="J1114" s="62"/>
      <c r="K1114" s="62" t="s">
        <v>317</v>
      </c>
      <c r="L1114" s="64">
        <v>1.06</v>
      </c>
      <c r="M1114" s="64"/>
      <c r="N1114" s="65"/>
      <c r="O1114" s="66"/>
      <c r="P1114" s="62"/>
      <c r="Q1114" s="67"/>
      <c r="R1114" s="64"/>
      <c r="S1114" s="64"/>
      <c r="T1114" s="67"/>
      <c r="U1114" s="68"/>
      <c r="V1114" s="69"/>
    </row>
    <row r="1115" spans="1:22" x14ac:dyDescent="0.3">
      <c r="A1115" s="61" t="s">
        <v>1502</v>
      </c>
      <c r="B1115" s="62" t="s">
        <v>317</v>
      </c>
      <c r="C1115" s="62" t="s">
        <v>318</v>
      </c>
      <c r="D1115" s="62" t="s">
        <v>1189</v>
      </c>
      <c r="E1115" s="63" t="s">
        <v>352</v>
      </c>
      <c r="F1115" s="62" t="s">
        <v>432</v>
      </c>
      <c r="G1115" s="62" t="s">
        <v>266</v>
      </c>
      <c r="H1115" s="62" t="s">
        <v>11</v>
      </c>
      <c r="I1115" s="62" t="s">
        <v>210</v>
      </c>
      <c r="J1115" s="63" t="s">
        <v>267</v>
      </c>
      <c r="K1115" s="62" t="s">
        <v>317</v>
      </c>
      <c r="L1115" s="64">
        <v>7.03</v>
      </c>
      <c r="M1115" s="64">
        <f>L1115*VLOOKUP(H1115,dagsoorttabel1,2,FALSE)</f>
        <v>7.03</v>
      </c>
      <c r="N1115" s="65">
        <f>prodnorm39</f>
        <v>0</v>
      </c>
      <c r="O1115" s="66">
        <f>dagwerk39</f>
        <v>0</v>
      </c>
      <c r="P1115" s="62" t="s">
        <v>40</v>
      </c>
      <c r="Q1115" s="67">
        <f>uurtarief39</f>
        <v>0</v>
      </c>
      <c r="R1115" s="64" t="e">
        <f>IF(ISBLANK(N1115),0,M1115/ROUND(N1115,4))</f>
        <v>#DIV/0!</v>
      </c>
      <c r="S1115" s="64" t="e">
        <f>IF(ISBLANK(N1115),0,R1115*ROUND(O1115,2))</f>
        <v>#DIV/0!</v>
      </c>
      <c r="T1115" s="67" t="e">
        <f>ROUND(Q1115,2)*R1115</f>
        <v>#DIV/0!</v>
      </c>
      <c r="U1115" s="64" t="e">
        <f>R1115*dagenperjaar1</f>
        <v>#DIV/0!</v>
      </c>
      <c r="V1115" s="69" t="e">
        <f>U1115*ROUND(Q1115,2)</f>
        <v>#DIV/0!</v>
      </c>
    </row>
    <row r="1116" spans="1:22" x14ac:dyDescent="0.3">
      <c r="A1116" s="61" t="s">
        <v>1502</v>
      </c>
      <c r="B1116" s="62" t="s">
        <v>317</v>
      </c>
      <c r="C1116" s="62" t="s">
        <v>318</v>
      </c>
      <c r="D1116" s="62" t="s">
        <v>1190</v>
      </c>
      <c r="E1116" s="63" t="s">
        <v>352</v>
      </c>
      <c r="F1116" s="62" t="s">
        <v>432</v>
      </c>
      <c r="G1116" s="62" t="s">
        <v>266</v>
      </c>
      <c r="H1116" s="62" t="s">
        <v>11</v>
      </c>
      <c r="I1116" s="62" t="s">
        <v>210</v>
      </c>
      <c r="J1116" s="63" t="s">
        <v>267</v>
      </c>
      <c r="K1116" s="62" t="s">
        <v>317</v>
      </c>
      <c r="L1116" s="64">
        <v>8.16</v>
      </c>
      <c r="M1116" s="64">
        <f>L1116*VLOOKUP(H1116,dagsoorttabel1,2,FALSE)</f>
        <v>8.16</v>
      </c>
      <c r="N1116" s="65">
        <f>prodnorm39</f>
        <v>0</v>
      </c>
      <c r="O1116" s="66">
        <f>dagwerk39</f>
        <v>0</v>
      </c>
      <c r="P1116" s="62" t="s">
        <v>40</v>
      </c>
      <c r="Q1116" s="67">
        <f>uurtarief39</f>
        <v>0</v>
      </c>
      <c r="R1116" s="64" t="e">
        <f>IF(ISBLANK(N1116),0,M1116/ROUND(N1116,4))</f>
        <v>#DIV/0!</v>
      </c>
      <c r="S1116" s="64" t="e">
        <f>IF(ISBLANK(N1116),0,R1116*ROUND(O1116,2))</f>
        <v>#DIV/0!</v>
      </c>
      <c r="T1116" s="67" t="e">
        <f>ROUND(Q1116,2)*R1116</f>
        <v>#DIV/0!</v>
      </c>
      <c r="U1116" s="64" t="e">
        <f>R1116*dagenperjaar1</f>
        <v>#DIV/0!</v>
      </c>
      <c r="V1116" s="69" t="e">
        <f>U1116*ROUND(Q1116,2)</f>
        <v>#DIV/0!</v>
      </c>
    </row>
    <row r="1117" spans="1:22" x14ac:dyDescent="0.3">
      <c r="A1117" s="61" t="s">
        <v>1502</v>
      </c>
      <c r="B1117" s="62" t="s">
        <v>317</v>
      </c>
      <c r="C1117" s="62" t="s">
        <v>318</v>
      </c>
      <c r="D1117" s="62" t="s">
        <v>1192</v>
      </c>
      <c r="E1117" s="63" t="s">
        <v>374</v>
      </c>
      <c r="F1117" s="62" t="s">
        <v>322</v>
      </c>
      <c r="G1117" s="62" t="s">
        <v>323</v>
      </c>
      <c r="H1117" s="62"/>
      <c r="I1117" s="62"/>
      <c r="J1117" s="62"/>
      <c r="K1117" s="62" t="s">
        <v>317</v>
      </c>
      <c r="L1117" s="64">
        <v>5.03</v>
      </c>
      <c r="M1117" s="64"/>
      <c r="N1117" s="65"/>
      <c r="O1117" s="66"/>
      <c r="P1117" s="62"/>
      <c r="Q1117" s="67"/>
      <c r="R1117" s="64"/>
      <c r="S1117" s="64"/>
      <c r="T1117" s="67"/>
      <c r="U1117" s="68"/>
      <c r="V1117" s="69"/>
    </row>
    <row r="1118" spans="1:22" x14ac:dyDescent="0.3">
      <c r="A1118" s="61" t="s">
        <v>1502</v>
      </c>
      <c r="B1118" s="62" t="s">
        <v>317</v>
      </c>
      <c r="C1118" s="62" t="s">
        <v>318</v>
      </c>
      <c r="D1118" s="62" t="s">
        <v>1562</v>
      </c>
      <c r="E1118" s="63" t="s">
        <v>381</v>
      </c>
      <c r="F1118" s="62" t="s">
        <v>389</v>
      </c>
      <c r="G1118" s="62" t="s">
        <v>280</v>
      </c>
      <c r="H1118" s="62" t="s">
        <v>11</v>
      </c>
      <c r="I1118" s="62" t="s">
        <v>210</v>
      </c>
      <c r="J1118" s="63" t="s">
        <v>281</v>
      </c>
      <c r="K1118" s="62" t="s">
        <v>317</v>
      </c>
      <c r="L1118" s="64">
        <v>2.3699999999999997</v>
      </c>
      <c r="M1118" s="64">
        <f>L1118*VLOOKUP(H1118,dagsoorttabel1,2,FALSE)</f>
        <v>2.3699999999999997</v>
      </c>
      <c r="N1118" s="65">
        <f>prodnorm46</f>
        <v>0</v>
      </c>
      <c r="O1118" s="66">
        <f>dagwerk46</f>
        <v>0</v>
      </c>
      <c r="P1118" s="62" t="s">
        <v>40</v>
      </c>
      <c r="Q1118" s="67">
        <f>uurtarief46</f>
        <v>0</v>
      </c>
      <c r="R1118" s="64" t="e">
        <f>IF(ISBLANK(N1118),0,M1118/ROUND(N1118,4))</f>
        <v>#DIV/0!</v>
      </c>
      <c r="S1118" s="64" t="e">
        <f>IF(ISBLANK(N1118),0,R1118*ROUND(O1118,2))</f>
        <v>#DIV/0!</v>
      </c>
      <c r="T1118" s="67" t="e">
        <f>ROUND(Q1118,2)*R1118</f>
        <v>#DIV/0!</v>
      </c>
      <c r="U1118" s="64" t="e">
        <f>R1118*dagenperjaar1</f>
        <v>#DIV/0!</v>
      </c>
      <c r="V1118" s="69" t="e">
        <f>U1118*ROUND(Q1118,2)</f>
        <v>#DIV/0!</v>
      </c>
    </row>
    <row r="1119" spans="1:22" ht="28.8" x14ac:dyDescent="0.3">
      <c r="A1119" s="61" t="s">
        <v>1502</v>
      </c>
      <c r="B1119" s="62" t="s">
        <v>317</v>
      </c>
      <c r="C1119" s="62" t="s">
        <v>318</v>
      </c>
      <c r="D1119" s="62" t="s">
        <v>1194</v>
      </c>
      <c r="E1119" s="63" t="s">
        <v>1156</v>
      </c>
      <c r="F1119" s="62" t="s">
        <v>389</v>
      </c>
      <c r="G1119" s="62" t="s">
        <v>246</v>
      </c>
      <c r="H1119" s="62" t="s">
        <v>20</v>
      </c>
      <c r="I1119" s="62" t="s">
        <v>210</v>
      </c>
      <c r="J1119" s="63" t="s">
        <v>247</v>
      </c>
      <c r="K1119" s="62" t="s">
        <v>317</v>
      </c>
      <c r="L1119" s="64">
        <v>4.09</v>
      </c>
      <c r="M1119" s="64">
        <f>L1119*VLOOKUP(H1119,dagsoorttabel1,2,FALSE)</f>
        <v>0.19476190476190475</v>
      </c>
      <c r="N1119" s="65">
        <f>prodnorm28</f>
        <v>0</v>
      </c>
      <c r="O1119" s="66">
        <f>dagwerk28</f>
        <v>0</v>
      </c>
      <c r="P1119" s="62" t="s">
        <v>40</v>
      </c>
      <c r="Q1119" s="67">
        <f>uurtarief28</f>
        <v>0</v>
      </c>
      <c r="R1119" s="64" t="e">
        <f>IF(ISBLANK(N1119),0,M1119/ROUND(N1119,4))</f>
        <v>#DIV/0!</v>
      </c>
      <c r="S1119" s="64" t="e">
        <f>IF(ISBLANK(N1119),0,R1119*ROUND(O1119,2))</f>
        <v>#DIV/0!</v>
      </c>
      <c r="T1119" s="67" t="e">
        <f>ROUND(Q1119,2)*R1119</f>
        <v>#DIV/0!</v>
      </c>
      <c r="U1119" s="64" t="e">
        <f>R1119*dagenperjaar1</f>
        <v>#DIV/0!</v>
      </c>
      <c r="V1119" s="69" t="e">
        <f>U1119*ROUND(Q1119,2)</f>
        <v>#DIV/0!</v>
      </c>
    </row>
    <row r="1120" spans="1:22" x14ac:dyDescent="0.3">
      <c r="A1120" s="61" t="s">
        <v>1502</v>
      </c>
      <c r="B1120" s="62" t="s">
        <v>317</v>
      </c>
      <c r="C1120" s="62" t="s">
        <v>318</v>
      </c>
      <c r="D1120" s="62" t="s">
        <v>1298</v>
      </c>
      <c r="E1120" s="63" t="s">
        <v>374</v>
      </c>
      <c r="F1120" s="62" t="s">
        <v>389</v>
      </c>
      <c r="G1120" s="62" t="s">
        <v>323</v>
      </c>
      <c r="H1120" s="62"/>
      <c r="I1120" s="62"/>
      <c r="J1120" s="62"/>
      <c r="K1120" s="62" t="s">
        <v>317</v>
      </c>
      <c r="L1120" s="64">
        <v>9.51</v>
      </c>
      <c r="M1120" s="64"/>
      <c r="N1120" s="65"/>
      <c r="O1120" s="66"/>
      <c r="P1120" s="62"/>
      <c r="Q1120" s="67"/>
      <c r="R1120" s="64"/>
      <c r="S1120" s="64"/>
      <c r="T1120" s="67"/>
      <c r="U1120" s="68"/>
      <c r="V1120" s="69"/>
    </row>
    <row r="1121" spans="1:22" x14ac:dyDescent="0.3">
      <c r="A1121" s="61" t="s">
        <v>1502</v>
      </c>
      <c r="B1121" s="62" t="s">
        <v>317</v>
      </c>
      <c r="C1121" s="62" t="s">
        <v>318</v>
      </c>
      <c r="D1121" s="62" t="s">
        <v>1299</v>
      </c>
      <c r="E1121" s="63" t="s">
        <v>374</v>
      </c>
      <c r="F1121" s="62" t="s">
        <v>348</v>
      </c>
      <c r="G1121" s="62" t="s">
        <v>323</v>
      </c>
      <c r="H1121" s="62"/>
      <c r="I1121" s="62"/>
      <c r="J1121" s="62"/>
      <c r="K1121" s="62" t="s">
        <v>317</v>
      </c>
      <c r="L1121" s="64">
        <v>3.67</v>
      </c>
      <c r="M1121" s="64"/>
      <c r="N1121" s="65"/>
      <c r="O1121" s="66"/>
      <c r="P1121" s="62"/>
      <c r="Q1121" s="67"/>
      <c r="R1121" s="64"/>
      <c r="S1121" s="64"/>
      <c r="T1121" s="67"/>
      <c r="U1121" s="68"/>
      <c r="V1121" s="69"/>
    </row>
    <row r="1122" spans="1:22" x14ac:dyDescent="0.3">
      <c r="A1122" s="61" t="s">
        <v>1502</v>
      </c>
      <c r="B1122" s="62" t="s">
        <v>317</v>
      </c>
      <c r="C1122" s="62" t="s">
        <v>318</v>
      </c>
      <c r="D1122" s="62" t="s">
        <v>1300</v>
      </c>
      <c r="E1122" s="63" t="s">
        <v>1550</v>
      </c>
      <c r="F1122" s="62" t="s">
        <v>432</v>
      </c>
      <c r="G1122" s="62" t="s">
        <v>266</v>
      </c>
      <c r="H1122" s="62" t="s">
        <v>11</v>
      </c>
      <c r="I1122" s="62" t="s">
        <v>210</v>
      </c>
      <c r="J1122" s="63" t="s">
        <v>267</v>
      </c>
      <c r="K1122" s="62" t="s">
        <v>317</v>
      </c>
      <c r="L1122" s="64">
        <v>3.63</v>
      </c>
      <c r="M1122" s="64">
        <f>L1122*VLOOKUP(H1122,dagsoorttabel1,2,FALSE)</f>
        <v>3.63</v>
      </c>
      <c r="N1122" s="65">
        <f>prodnorm39</f>
        <v>0</v>
      </c>
      <c r="O1122" s="66">
        <f>dagwerk39</f>
        <v>0</v>
      </c>
      <c r="P1122" s="62" t="s">
        <v>40</v>
      </c>
      <c r="Q1122" s="67">
        <f>uurtarief39</f>
        <v>0</v>
      </c>
      <c r="R1122" s="64" t="e">
        <f>IF(ISBLANK(N1122),0,M1122/ROUND(N1122,4))</f>
        <v>#DIV/0!</v>
      </c>
      <c r="S1122" s="64" t="e">
        <f>IF(ISBLANK(N1122),0,R1122*ROUND(O1122,2))</f>
        <v>#DIV/0!</v>
      </c>
      <c r="T1122" s="67" t="e">
        <f>ROUND(Q1122,2)*R1122</f>
        <v>#DIV/0!</v>
      </c>
      <c r="U1122" s="64" t="e">
        <f>R1122*dagenperjaar1</f>
        <v>#DIV/0!</v>
      </c>
      <c r="V1122" s="69" t="e">
        <f>U1122*ROUND(Q1122,2)</f>
        <v>#DIV/0!</v>
      </c>
    </row>
    <row r="1123" spans="1:22" x14ac:dyDescent="0.3">
      <c r="A1123" s="61" t="s">
        <v>1502</v>
      </c>
      <c r="B1123" s="62" t="s">
        <v>317</v>
      </c>
      <c r="C1123" s="62" t="s">
        <v>318</v>
      </c>
      <c r="D1123" s="62" t="s">
        <v>1563</v>
      </c>
      <c r="E1123" s="63" t="s">
        <v>369</v>
      </c>
      <c r="F1123" s="62" t="s">
        <v>389</v>
      </c>
      <c r="G1123" s="62" t="s">
        <v>323</v>
      </c>
      <c r="H1123" s="62"/>
      <c r="I1123" s="62"/>
      <c r="J1123" s="62"/>
      <c r="K1123" s="62" t="s">
        <v>317</v>
      </c>
      <c r="L1123" s="64">
        <v>5.0599999999999996</v>
      </c>
      <c r="M1123" s="64"/>
      <c r="N1123" s="65"/>
      <c r="O1123" s="66"/>
      <c r="P1123" s="62"/>
      <c r="Q1123" s="67"/>
      <c r="R1123" s="64"/>
      <c r="S1123" s="64"/>
      <c r="T1123" s="67"/>
      <c r="U1123" s="68"/>
      <c r="V1123" s="69"/>
    </row>
    <row r="1124" spans="1:22" x14ac:dyDescent="0.3">
      <c r="A1124" s="61" t="s">
        <v>1502</v>
      </c>
      <c r="B1124" s="62" t="s">
        <v>317</v>
      </c>
      <c r="C1124" s="62" t="s">
        <v>318</v>
      </c>
      <c r="D1124" s="62" t="s">
        <v>1564</v>
      </c>
      <c r="E1124" s="63" t="s">
        <v>352</v>
      </c>
      <c r="F1124" s="62" t="s">
        <v>432</v>
      </c>
      <c r="G1124" s="62" t="s">
        <v>266</v>
      </c>
      <c r="H1124" s="62" t="s">
        <v>11</v>
      </c>
      <c r="I1124" s="62" t="s">
        <v>210</v>
      </c>
      <c r="J1124" s="63" t="s">
        <v>267</v>
      </c>
      <c r="K1124" s="62" t="s">
        <v>317</v>
      </c>
      <c r="L1124" s="64">
        <v>6.4</v>
      </c>
      <c r="M1124" s="64">
        <f t="shared" ref="M1124:M1138" si="372">L1124*VLOOKUP(H1124,dagsoorttabel1,2,FALSE)</f>
        <v>6.4</v>
      </c>
      <c r="N1124" s="65">
        <f>prodnorm39</f>
        <v>0</v>
      </c>
      <c r="O1124" s="66">
        <f>dagwerk39</f>
        <v>0</v>
      </c>
      <c r="P1124" s="62" t="s">
        <v>40</v>
      </c>
      <c r="Q1124" s="67">
        <f>uurtarief39</f>
        <v>0</v>
      </c>
      <c r="R1124" s="64" t="e">
        <f t="shared" ref="R1124:R1138" si="373">IF(ISBLANK(N1124),0,M1124/ROUND(N1124,4))</f>
        <v>#DIV/0!</v>
      </c>
      <c r="S1124" s="64" t="e">
        <f t="shared" ref="S1124:S1138" si="374">IF(ISBLANK(N1124),0,R1124*ROUND(O1124,2))</f>
        <v>#DIV/0!</v>
      </c>
      <c r="T1124" s="67" t="e">
        <f t="shared" ref="T1124:T1138" si="375">ROUND(Q1124,2)*R1124</f>
        <v>#DIV/0!</v>
      </c>
      <c r="U1124" s="64" t="e">
        <f t="shared" ref="U1124:U1138" si="376">R1124*dagenperjaar1</f>
        <v>#DIV/0!</v>
      </c>
      <c r="V1124" s="69" t="e">
        <f t="shared" ref="V1124:V1138" si="377">U1124*ROUND(Q1124,2)</f>
        <v>#DIV/0!</v>
      </c>
    </row>
    <row r="1125" spans="1:22" x14ac:dyDescent="0.3">
      <c r="A1125" s="61" t="s">
        <v>1502</v>
      </c>
      <c r="B1125" s="62" t="s">
        <v>317</v>
      </c>
      <c r="C1125" s="62" t="s">
        <v>629</v>
      </c>
      <c r="D1125" s="62" t="s">
        <v>1565</v>
      </c>
      <c r="E1125" s="63" t="s">
        <v>394</v>
      </c>
      <c r="F1125" s="62" t="s">
        <v>389</v>
      </c>
      <c r="G1125" s="62" t="s">
        <v>272</v>
      </c>
      <c r="H1125" s="62" t="s">
        <v>11</v>
      </c>
      <c r="I1125" s="62" t="s">
        <v>210</v>
      </c>
      <c r="J1125" s="63" t="s">
        <v>273</v>
      </c>
      <c r="K1125" s="62" t="s">
        <v>317</v>
      </c>
      <c r="L1125" s="64">
        <v>42</v>
      </c>
      <c r="M1125" s="64">
        <f t="shared" si="372"/>
        <v>42</v>
      </c>
      <c r="N1125" s="65">
        <f t="shared" ref="N1125:N1130" si="378">prodnorm42</f>
        <v>0</v>
      </c>
      <c r="O1125" s="66">
        <f t="shared" ref="O1125:O1130" si="379">dagwerk42</f>
        <v>0</v>
      </c>
      <c r="P1125" s="62" t="s">
        <v>40</v>
      </c>
      <c r="Q1125" s="67">
        <f t="shared" ref="Q1125:Q1130" si="380">uurtarief42</f>
        <v>0</v>
      </c>
      <c r="R1125" s="64" t="e">
        <f t="shared" si="373"/>
        <v>#DIV/0!</v>
      </c>
      <c r="S1125" s="64" t="e">
        <f t="shared" si="374"/>
        <v>#DIV/0!</v>
      </c>
      <c r="T1125" s="67" t="e">
        <f t="shared" si="375"/>
        <v>#DIV/0!</v>
      </c>
      <c r="U1125" s="64" t="e">
        <f t="shared" si="376"/>
        <v>#DIV/0!</v>
      </c>
      <c r="V1125" s="69" t="e">
        <f t="shared" si="377"/>
        <v>#DIV/0!</v>
      </c>
    </row>
    <row r="1126" spans="1:22" x14ac:dyDescent="0.3">
      <c r="A1126" s="61" t="s">
        <v>1502</v>
      </c>
      <c r="B1126" s="62" t="s">
        <v>317</v>
      </c>
      <c r="C1126" s="62" t="s">
        <v>629</v>
      </c>
      <c r="D1126" s="62" t="s">
        <v>1566</v>
      </c>
      <c r="E1126" s="63" t="s">
        <v>394</v>
      </c>
      <c r="F1126" s="62" t="s">
        <v>389</v>
      </c>
      <c r="G1126" s="62" t="s">
        <v>272</v>
      </c>
      <c r="H1126" s="62" t="s">
        <v>11</v>
      </c>
      <c r="I1126" s="62" t="s">
        <v>210</v>
      </c>
      <c r="J1126" s="63" t="s">
        <v>273</v>
      </c>
      <c r="K1126" s="62" t="s">
        <v>317</v>
      </c>
      <c r="L1126" s="64">
        <v>42.46</v>
      </c>
      <c r="M1126" s="64">
        <f t="shared" si="372"/>
        <v>42.46</v>
      </c>
      <c r="N1126" s="65">
        <f t="shared" si="378"/>
        <v>0</v>
      </c>
      <c r="O1126" s="66">
        <f t="shared" si="379"/>
        <v>0</v>
      </c>
      <c r="P1126" s="62" t="s">
        <v>40</v>
      </c>
      <c r="Q1126" s="67">
        <f t="shared" si="380"/>
        <v>0</v>
      </c>
      <c r="R1126" s="64" t="e">
        <f t="shared" si="373"/>
        <v>#DIV/0!</v>
      </c>
      <c r="S1126" s="64" t="e">
        <f t="shared" si="374"/>
        <v>#DIV/0!</v>
      </c>
      <c r="T1126" s="67" t="e">
        <f t="shared" si="375"/>
        <v>#DIV/0!</v>
      </c>
      <c r="U1126" s="64" t="e">
        <f t="shared" si="376"/>
        <v>#DIV/0!</v>
      </c>
      <c r="V1126" s="69" t="e">
        <f t="shared" si="377"/>
        <v>#DIV/0!</v>
      </c>
    </row>
    <row r="1127" spans="1:22" x14ac:dyDescent="0.3">
      <c r="A1127" s="61" t="s">
        <v>1502</v>
      </c>
      <c r="B1127" s="62" t="s">
        <v>317</v>
      </c>
      <c r="C1127" s="62" t="s">
        <v>629</v>
      </c>
      <c r="D1127" s="62" t="s">
        <v>1567</v>
      </c>
      <c r="E1127" s="63" t="s">
        <v>394</v>
      </c>
      <c r="F1127" s="62" t="s">
        <v>389</v>
      </c>
      <c r="G1127" s="62" t="s">
        <v>272</v>
      </c>
      <c r="H1127" s="62" t="s">
        <v>11</v>
      </c>
      <c r="I1127" s="62" t="s">
        <v>210</v>
      </c>
      <c r="J1127" s="63" t="s">
        <v>273</v>
      </c>
      <c r="K1127" s="62" t="s">
        <v>317</v>
      </c>
      <c r="L1127" s="64">
        <v>60.78</v>
      </c>
      <c r="M1127" s="64">
        <f t="shared" si="372"/>
        <v>60.78</v>
      </c>
      <c r="N1127" s="65">
        <f t="shared" si="378"/>
        <v>0</v>
      </c>
      <c r="O1127" s="66">
        <f t="shared" si="379"/>
        <v>0</v>
      </c>
      <c r="P1127" s="62" t="s">
        <v>40</v>
      </c>
      <c r="Q1127" s="67">
        <f t="shared" si="380"/>
        <v>0</v>
      </c>
      <c r="R1127" s="64" t="e">
        <f t="shared" si="373"/>
        <v>#DIV/0!</v>
      </c>
      <c r="S1127" s="64" t="e">
        <f t="shared" si="374"/>
        <v>#DIV/0!</v>
      </c>
      <c r="T1127" s="67" t="e">
        <f t="shared" si="375"/>
        <v>#DIV/0!</v>
      </c>
      <c r="U1127" s="64" t="e">
        <f t="shared" si="376"/>
        <v>#DIV/0!</v>
      </c>
      <c r="V1127" s="69" t="e">
        <f t="shared" si="377"/>
        <v>#DIV/0!</v>
      </c>
    </row>
    <row r="1128" spans="1:22" x14ac:dyDescent="0.3">
      <c r="A1128" s="61" t="s">
        <v>1502</v>
      </c>
      <c r="B1128" s="62" t="s">
        <v>317</v>
      </c>
      <c r="C1128" s="62" t="s">
        <v>629</v>
      </c>
      <c r="D1128" s="62" t="s">
        <v>1568</v>
      </c>
      <c r="E1128" s="63" t="s">
        <v>394</v>
      </c>
      <c r="F1128" s="62" t="s">
        <v>389</v>
      </c>
      <c r="G1128" s="62" t="s">
        <v>272</v>
      </c>
      <c r="H1128" s="62" t="s">
        <v>11</v>
      </c>
      <c r="I1128" s="62" t="s">
        <v>210</v>
      </c>
      <c r="J1128" s="63" t="s">
        <v>273</v>
      </c>
      <c r="K1128" s="62" t="s">
        <v>317</v>
      </c>
      <c r="L1128" s="64">
        <v>42.47</v>
      </c>
      <c r="M1128" s="64">
        <f t="shared" si="372"/>
        <v>42.47</v>
      </c>
      <c r="N1128" s="65">
        <f t="shared" si="378"/>
        <v>0</v>
      </c>
      <c r="O1128" s="66">
        <f t="shared" si="379"/>
        <v>0</v>
      </c>
      <c r="P1128" s="62" t="s">
        <v>40</v>
      </c>
      <c r="Q1128" s="67">
        <f t="shared" si="380"/>
        <v>0</v>
      </c>
      <c r="R1128" s="64" t="e">
        <f t="shared" si="373"/>
        <v>#DIV/0!</v>
      </c>
      <c r="S1128" s="64" t="e">
        <f t="shared" si="374"/>
        <v>#DIV/0!</v>
      </c>
      <c r="T1128" s="67" t="e">
        <f t="shared" si="375"/>
        <v>#DIV/0!</v>
      </c>
      <c r="U1128" s="64" t="e">
        <f t="shared" si="376"/>
        <v>#DIV/0!</v>
      </c>
      <c r="V1128" s="69" t="e">
        <f t="shared" si="377"/>
        <v>#DIV/0!</v>
      </c>
    </row>
    <row r="1129" spans="1:22" x14ac:dyDescent="0.3">
      <c r="A1129" s="61" t="s">
        <v>1502</v>
      </c>
      <c r="B1129" s="62" t="s">
        <v>317</v>
      </c>
      <c r="C1129" s="62" t="s">
        <v>629</v>
      </c>
      <c r="D1129" s="62" t="s">
        <v>1569</v>
      </c>
      <c r="E1129" s="63" t="s">
        <v>394</v>
      </c>
      <c r="F1129" s="62" t="s">
        <v>389</v>
      </c>
      <c r="G1129" s="62" t="s">
        <v>272</v>
      </c>
      <c r="H1129" s="62" t="s">
        <v>11</v>
      </c>
      <c r="I1129" s="62" t="s">
        <v>210</v>
      </c>
      <c r="J1129" s="63" t="s">
        <v>273</v>
      </c>
      <c r="K1129" s="62" t="s">
        <v>317</v>
      </c>
      <c r="L1129" s="64">
        <v>24.93</v>
      </c>
      <c r="M1129" s="64">
        <f t="shared" si="372"/>
        <v>24.93</v>
      </c>
      <c r="N1129" s="65">
        <f t="shared" si="378"/>
        <v>0</v>
      </c>
      <c r="O1129" s="66">
        <f t="shared" si="379"/>
        <v>0</v>
      </c>
      <c r="P1129" s="62" t="s">
        <v>40</v>
      </c>
      <c r="Q1129" s="67">
        <f t="shared" si="380"/>
        <v>0</v>
      </c>
      <c r="R1129" s="64" t="e">
        <f t="shared" si="373"/>
        <v>#DIV/0!</v>
      </c>
      <c r="S1129" s="64" t="e">
        <f t="shared" si="374"/>
        <v>#DIV/0!</v>
      </c>
      <c r="T1129" s="67" t="e">
        <f t="shared" si="375"/>
        <v>#DIV/0!</v>
      </c>
      <c r="U1129" s="64" t="e">
        <f t="shared" si="376"/>
        <v>#DIV/0!</v>
      </c>
      <c r="V1129" s="69" t="e">
        <f t="shared" si="377"/>
        <v>#DIV/0!</v>
      </c>
    </row>
    <row r="1130" spans="1:22" x14ac:dyDescent="0.3">
      <c r="A1130" s="61" t="s">
        <v>1502</v>
      </c>
      <c r="B1130" s="62" t="s">
        <v>317</v>
      </c>
      <c r="C1130" s="62" t="s">
        <v>629</v>
      </c>
      <c r="D1130" s="62" t="s">
        <v>1570</v>
      </c>
      <c r="E1130" s="63" t="s">
        <v>394</v>
      </c>
      <c r="F1130" s="62" t="s">
        <v>389</v>
      </c>
      <c r="G1130" s="62" t="s">
        <v>272</v>
      </c>
      <c r="H1130" s="62" t="s">
        <v>11</v>
      </c>
      <c r="I1130" s="62" t="s">
        <v>210</v>
      </c>
      <c r="J1130" s="63" t="s">
        <v>273</v>
      </c>
      <c r="K1130" s="62" t="s">
        <v>317</v>
      </c>
      <c r="L1130" s="64">
        <v>24.85</v>
      </c>
      <c r="M1130" s="64">
        <f t="shared" si="372"/>
        <v>24.85</v>
      </c>
      <c r="N1130" s="65">
        <f t="shared" si="378"/>
        <v>0</v>
      </c>
      <c r="O1130" s="66">
        <f t="shared" si="379"/>
        <v>0</v>
      </c>
      <c r="P1130" s="62" t="s">
        <v>40</v>
      </c>
      <c r="Q1130" s="67">
        <f t="shared" si="380"/>
        <v>0</v>
      </c>
      <c r="R1130" s="64" t="e">
        <f t="shared" si="373"/>
        <v>#DIV/0!</v>
      </c>
      <c r="S1130" s="64" t="e">
        <f t="shared" si="374"/>
        <v>#DIV/0!</v>
      </c>
      <c r="T1130" s="67" t="e">
        <f t="shared" si="375"/>
        <v>#DIV/0!</v>
      </c>
      <c r="U1130" s="64" t="e">
        <f t="shared" si="376"/>
        <v>#DIV/0!</v>
      </c>
      <c r="V1130" s="69" t="e">
        <f t="shared" si="377"/>
        <v>#DIV/0!</v>
      </c>
    </row>
    <row r="1131" spans="1:22" x14ac:dyDescent="0.3">
      <c r="A1131" s="61" t="s">
        <v>1502</v>
      </c>
      <c r="B1131" s="62" t="s">
        <v>317</v>
      </c>
      <c r="C1131" s="62" t="s">
        <v>629</v>
      </c>
      <c r="D1131" s="62" t="s">
        <v>1127</v>
      </c>
      <c r="E1131" s="63" t="s">
        <v>1571</v>
      </c>
      <c r="F1131" s="62" t="s">
        <v>389</v>
      </c>
      <c r="G1131" s="62" t="s">
        <v>254</v>
      </c>
      <c r="H1131" s="62" t="s">
        <v>11</v>
      </c>
      <c r="I1131" s="62" t="s">
        <v>210</v>
      </c>
      <c r="J1131" s="63" t="s">
        <v>255</v>
      </c>
      <c r="K1131" s="62" t="s">
        <v>317</v>
      </c>
      <c r="L1131" s="64">
        <v>71.61</v>
      </c>
      <c r="M1131" s="64">
        <f t="shared" si="372"/>
        <v>71.61</v>
      </c>
      <c r="N1131" s="65">
        <f>prodnorm33</f>
        <v>0</v>
      </c>
      <c r="O1131" s="66">
        <f>dagwerk33</f>
        <v>0</v>
      </c>
      <c r="P1131" s="62" t="s">
        <v>40</v>
      </c>
      <c r="Q1131" s="67">
        <f>uurtarief33</f>
        <v>0</v>
      </c>
      <c r="R1131" s="64" t="e">
        <f t="shared" si="373"/>
        <v>#DIV/0!</v>
      </c>
      <c r="S1131" s="64" t="e">
        <f t="shared" si="374"/>
        <v>#DIV/0!</v>
      </c>
      <c r="T1131" s="67" t="e">
        <f t="shared" si="375"/>
        <v>#DIV/0!</v>
      </c>
      <c r="U1131" s="64" t="e">
        <f t="shared" si="376"/>
        <v>#DIV/0!</v>
      </c>
      <c r="V1131" s="69" t="e">
        <f t="shared" si="377"/>
        <v>#DIV/0!</v>
      </c>
    </row>
    <row r="1132" spans="1:22" x14ac:dyDescent="0.3">
      <c r="A1132" s="61" t="s">
        <v>1502</v>
      </c>
      <c r="B1132" s="62" t="s">
        <v>317</v>
      </c>
      <c r="C1132" s="62" t="s">
        <v>629</v>
      </c>
      <c r="D1132" s="62" t="s">
        <v>1128</v>
      </c>
      <c r="E1132" s="63" t="s">
        <v>1572</v>
      </c>
      <c r="F1132" s="62" t="s">
        <v>389</v>
      </c>
      <c r="G1132" s="62" t="s">
        <v>234</v>
      </c>
      <c r="H1132" s="62" t="s">
        <v>14</v>
      </c>
      <c r="I1132" s="62" t="s">
        <v>210</v>
      </c>
      <c r="J1132" s="63" t="s">
        <v>235</v>
      </c>
      <c r="K1132" s="62" t="s">
        <v>317</v>
      </c>
      <c r="L1132" s="64">
        <v>57.41</v>
      </c>
      <c r="M1132" s="64">
        <f t="shared" si="372"/>
        <v>34.445999999999998</v>
      </c>
      <c r="N1132" s="65">
        <f>prodnorm22</f>
        <v>0</v>
      </c>
      <c r="O1132" s="66">
        <f>dagwerk22</f>
        <v>0</v>
      </c>
      <c r="P1132" s="62" t="s">
        <v>40</v>
      </c>
      <c r="Q1132" s="67">
        <f>uurtarief22</f>
        <v>0</v>
      </c>
      <c r="R1132" s="64" t="e">
        <f t="shared" si="373"/>
        <v>#DIV/0!</v>
      </c>
      <c r="S1132" s="64" t="e">
        <f t="shared" si="374"/>
        <v>#DIV/0!</v>
      </c>
      <c r="T1132" s="67" t="e">
        <f t="shared" si="375"/>
        <v>#DIV/0!</v>
      </c>
      <c r="U1132" s="64" t="e">
        <f t="shared" si="376"/>
        <v>#DIV/0!</v>
      </c>
      <c r="V1132" s="69" t="e">
        <f t="shared" si="377"/>
        <v>#DIV/0!</v>
      </c>
    </row>
    <row r="1133" spans="1:22" x14ac:dyDescent="0.3">
      <c r="A1133" s="61" t="s">
        <v>1502</v>
      </c>
      <c r="B1133" s="62" t="s">
        <v>317</v>
      </c>
      <c r="C1133" s="62" t="s">
        <v>629</v>
      </c>
      <c r="D1133" s="62" t="s">
        <v>1129</v>
      </c>
      <c r="E1133" s="63" t="s">
        <v>1573</v>
      </c>
      <c r="F1133" s="62" t="s">
        <v>389</v>
      </c>
      <c r="G1133" s="62" t="s">
        <v>238</v>
      </c>
      <c r="H1133" s="62" t="s">
        <v>11</v>
      </c>
      <c r="I1133" s="62" t="s">
        <v>210</v>
      </c>
      <c r="J1133" s="63" t="s">
        <v>239</v>
      </c>
      <c r="K1133" s="62" t="s">
        <v>317</v>
      </c>
      <c r="L1133" s="64">
        <v>57.53</v>
      </c>
      <c r="M1133" s="64">
        <f t="shared" si="372"/>
        <v>57.53</v>
      </c>
      <c r="N1133" s="65">
        <f>prodnorm24</f>
        <v>0</v>
      </c>
      <c r="O1133" s="66">
        <f>dagwerk24</f>
        <v>0</v>
      </c>
      <c r="P1133" s="62" t="s">
        <v>40</v>
      </c>
      <c r="Q1133" s="67">
        <f>uurtarief24</f>
        <v>0</v>
      </c>
      <c r="R1133" s="64" t="e">
        <f t="shared" si="373"/>
        <v>#DIV/0!</v>
      </c>
      <c r="S1133" s="64" t="e">
        <f t="shared" si="374"/>
        <v>#DIV/0!</v>
      </c>
      <c r="T1133" s="67" t="e">
        <f t="shared" si="375"/>
        <v>#DIV/0!</v>
      </c>
      <c r="U1133" s="64" t="e">
        <f t="shared" si="376"/>
        <v>#DIV/0!</v>
      </c>
      <c r="V1133" s="69" t="e">
        <f t="shared" si="377"/>
        <v>#DIV/0!</v>
      </c>
    </row>
    <row r="1134" spans="1:22" x14ac:dyDescent="0.3">
      <c r="A1134" s="61" t="s">
        <v>1502</v>
      </c>
      <c r="B1134" s="62" t="s">
        <v>317</v>
      </c>
      <c r="C1134" s="62" t="s">
        <v>629</v>
      </c>
      <c r="D1134" s="62" t="s">
        <v>1130</v>
      </c>
      <c r="E1134" s="63" t="s">
        <v>1572</v>
      </c>
      <c r="F1134" s="62" t="s">
        <v>389</v>
      </c>
      <c r="G1134" s="62" t="s">
        <v>234</v>
      </c>
      <c r="H1134" s="62" t="s">
        <v>14</v>
      </c>
      <c r="I1134" s="62" t="s">
        <v>210</v>
      </c>
      <c r="J1134" s="63" t="s">
        <v>235</v>
      </c>
      <c r="K1134" s="62" t="s">
        <v>317</v>
      </c>
      <c r="L1134" s="64">
        <v>57.48</v>
      </c>
      <c r="M1134" s="64">
        <f t="shared" si="372"/>
        <v>34.488</v>
      </c>
      <c r="N1134" s="65">
        <f>prodnorm22</f>
        <v>0</v>
      </c>
      <c r="O1134" s="66">
        <f>dagwerk22</f>
        <v>0</v>
      </c>
      <c r="P1134" s="62" t="s">
        <v>40</v>
      </c>
      <c r="Q1134" s="67">
        <f>uurtarief22</f>
        <v>0</v>
      </c>
      <c r="R1134" s="64" t="e">
        <f t="shared" si="373"/>
        <v>#DIV/0!</v>
      </c>
      <c r="S1134" s="64" t="e">
        <f t="shared" si="374"/>
        <v>#DIV/0!</v>
      </c>
      <c r="T1134" s="67" t="e">
        <f t="shared" si="375"/>
        <v>#DIV/0!</v>
      </c>
      <c r="U1134" s="64" t="e">
        <f t="shared" si="376"/>
        <v>#DIV/0!</v>
      </c>
      <c r="V1134" s="69" t="e">
        <f t="shared" si="377"/>
        <v>#DIV/0!</v>
      </c>
    </row>
    <row r="1135" spans="1:22" x14ac:dyDescent="0.3">
      <c r="A1135" s="61" t="s">
        <v>1502</v>
      </c>
      <c r="B1135" s="62" t="s">
        <v>317</v>
      </c>
      <c r="C1135" s="62" t="s">
        <v>629</v>
      </c>
      <c r="D1135" s="62" t="s">
        <v>1131</v>
      </c>
      <c r="E1135" s="63" t="s">
        <v>1574</v>
      </c>
      <c r="F1135" s="62" t="s">
        <v>389</v>
      </c>
      <c r="G1135" s="62" t="s">
        <v>254</v>
      </c>
      <c r="H1135" s="62" t="s">
        <v>11</v>
      </c>
      <c r="I1135" s="62" t="s">
        <v>210</v>
      </c>
      <c r="J1135" s="63" t="s">
        <v>255</v>
      </c>
      <c r="K1135" s="62" t="s">
        <v>317</v>
      </c>
      <c r="L1135" s="64">
        <v>87.53</v>
      </c>
      <c r="M1135" s="64">
        <f t="shared" si="372"/>
        <v>87.53</v>
      </c>
      <c r="N1135" s="65">
        <f>prodnorm33</f>
        <v>0</v>
      </c>
      <c r="O1135" s="66">
        <f>dagwerk33</f>
        <v>0</v>
      </c>
      <c r="P1135" s="62" t="s">
        <v>40</v>
      </c>
      <c r="Q1135" s="67">
        <f>uurtarief33</f>
        <v>0</v>
      </c>
      <c r="R1135" s="64" t="e">
        <f t="shared" si="373"/>
        <v>#DIV/0!</v>
      </c>
      <c r="S1135" s="64" t="e">
        <f t="shared" si="374"/>
        <v>#DIV/0!</v>
      </c>
      <c r="T1135" s="67" t="e">
        <f t="shared" si="375"/>
        <v>#DIV/0!</v>
      </c>
      <c r="U1135" s="64" t="e">
        <f t="shared" si="376"/>
        <v>#DIV/0!</v>
      </c>
      <c r="V1135" s="69" t="e">
        <f t="shared" si="377"/>
        <v>#DIV/0!</v>
      </c>
    </row>
    <row r="1136" spans="1:22" x14ac:dyDescent="0.3">
      <c r="A1136" s="61" t="s">
        <v>1502</v>
      </c>
      <c r="B1136" s="62" t="s">
        <v>317</v>
      </c>
      <c r="C1136" s="62" t="s">
        <v>629</v>
      </c>
      <c r="D1136" s="62" t="s">
        <v>1202</v>
      </c>
      <c r="E1136" s="63" t="s">
        <v>1575</v>
      </c>
      <c r="F1136" s="62" t="s">
        <v>389</v>
      </c>
      <c r="G1136" s="62" t="s">
        <v>254</v>
      </c>
      <c r="H1136" s="62" t="s">
        <v>11</v>
      </c>
      <c r="I1136" s="62" t="s">
        <v>210</v>
      </c>
      <c r="J1136" s="63" t="s">
        <v>255</v>
      </c>
      <c r="K1136" s="62" t="s">
        <v>317</v>
      </c>
      <c r="L1136" s="64">
        <v>71.599999999999994</v>
      </c>
      <c r="M1136" s="64">
        <f t="shared" si="372"/>
        <v>71.599999999999994</v>
      </c>
      <c r="N1136" s="65">
        <f>prodnorm33</f>
        <v>0</v>
      </c>
      <c r="O1136" s="66">
        <f>dagwerk33</f>
        <v>0</v>
      </c>
      <c r="P1136" s="62" t="s">
        <v>40</v>
      </c>
      <c r="Q1136" s="67">
        <f>uurtarief33</f>
        <v>0</v>
      </c>
      <c r="R1136" s="64" t="e">
        <f t="shared" si="373"/>
        <v>#DIV/0!</v>
      </c>
      <c r="S1136" s="64" t="e">
        <f t="shared" si="374"/>
        <v>#DIV/0!</v>
      </c>
      <c r="T1136" s="67" t="e">
        <f t="shared" si="375"/>
        <v>#DIV/0!</v>
      </c>
      <c r="U1136" s="64" t="e">
        <f t="shared" si="376"/>
        <v>#DIV/0!</v>
      </c>
      <c r="V1136" s="69" t="e">
        <f t="shared" si="377"/>
        <v>#DIV/0!</v>
      </c>
    </row>
    <row r="1137" spans="1:22" x14ac:dyDescent="0.3">
      <c r="A1137" s="61" t="s">
        <v>1502</v>
      </c>
      <c r="B1137" s="62" t="s">
        <v>317</v>
      </c>
      <c r="C1137" s="62" t="s">
        <v>629</v>
      </c>
      <c r="D1137" s="62" t="s">
        <v>1203</v>
      </c>
      <c r="E1137" s="63" t="s">
        <v>1575</v>
      </c>
      <c r="F1137" s="62" t="s">
        <v>389</v>
      </c>
      <c r="G1137" s="62" t="s">
        <v>254</v>
      </c>
      <c r="H1137" s="62" t="s">
        <v>11</v>
      </c>
      <c r="I1137" s="62" t="s">
        <v>210</v>
      </c>
      <c r="J1137" s="63" t="s">
        <v>255</v>
      </c>
      <c r="K1137" s="62" t="s">
        <v>317</v>
      </c>
      <c r="L1137" s="64">
        <v>71.5</v>
      </c>
      <c r="M1137" s="64">
        <f t="shared" si="372"/>
        <v>71.5</v>
      </c>
      <c r="N1137" s="65">
        <f>prodnorm33</f>
        <v>0</v>
      </c>
      <c r="O1137" s="66">
        <f>dagwerk33</f>
        <v>0</v>
      </c>
      <c r="P1137" s="62" t="s">
        <v>40</v>
      </c>
      <c r="Q1137" s="67">
        <f>uurtarief33</f>
        <v>0</v>
      </c>
      <c r="R1137" s="64" t="e">
        <f t="shared" si="373"/>
        <v>#DIV/0!</v>
      </c>
      <c r="S1137" s="64" t="e">
        <f t="shared" si="374"/>
        <v>#DIV/0!</v>
      </c>
      <c r="T1137" s="67" t="e">
        <f t="shared" si="375"/>
        <v>#DIV/0!</v>
      </c>
      <c r="U1137" s="64" t="e">
        <f t="shared" si="376"/>
        <v>#DIV/0!</v>
      </c>
      <c r="V1137" s="69" t="e">
        <f t="shared" si="377"/>
        <v>#DIV/0!</v>
      </c>
    </row>
    <row r="1138" spans="1:22" x14ac:dyDescent="0.3">
      <c r="A1138" s="61" t="s">
        <v>1502</v>
      </c>
      <c r="B1138" s="62" t="s">
        <v>317</v>
      </c>
      <c r="C1138" s="62" t="s">
        <v>629</v>
      </c>
      <c r="D1138" s="62" t="s">
        <v>1204</v>
      </c>
      <c r="E1138" s="63" t="s">
        <v>1576</v>
      </c>
      <c r="F1138" s="62" t="s">
        <v>389</v>
      </c>
      <c r="G1138" s="62" t="s">
        <v>254</v>
      </c>
      <c r="H1138" s="62" t="s">
        <v>11</v>
      </c>
      <c r="I1138" s="62" t="s">
        <v>210</v>
      </c>
      <c r="J1138" s="63" t="s">
        <v>255</v>
      </c>
      <c r="K1138" s="62" t="s">
        <v>317</v>
      </c>
      <c r="L1138" s="64">
        <v>57.68</v>
      </c>
      <c r="M1138" s="64">
        <f t="shared" si="372"/>
        <v>57.68</v>
      </c>
      <c r="N1138" s="65">
        <f>prodnorm33</f>
        <v>0</v>
      </c>
      <c r="O1138" s="66">
        <f>dagwerk33</f>
        <v>0</v>
      </c>
      <c r="P1138" s="62" t="s">
        <v>40</v>
      </c>
      <c r="Q1138" s="67">
        <f>uurtarief33</f>
        <v>0</v>
      </c>
      <c r="R1138" s="64" t="e">
        <f t="shared" si="373"/>
        <v>#DIV/0!</v>
      </c>
      <c r="S1138" s="64" t="e">
        <f t="shared" si="374"/>
        <v>#DIV/0!</v>
      </c>
      <c r="T1138" s="67" t="e">
        <f t="shared" si="375"/>
        <v>#DIV/0!</v>
      </c>
      <c r="U1138" s="64" t="e">
        <f t="shared" si="376"/>
        <v>#DIV/0!</v>
      </c>
      <c r="V1138" s="69" t="e">
        <f t="shared" si="377"/>
        <v>#DIV/0!</v>
      </c>
    </row>
    <row r="1139" spans="1:22" x14ac:dyDescent="0.3">
      <c r="A1139" s="61" t="s">
        <v>1502</v>
      </c>
      <c r="B1139" s="62" t="s">
        <v>317</v>
      </c>
      <c r="C1139" s="62" t="s">
        <v>629</v>
      </c>
      <c r="D1139" s="62" t="s">
        <v>1206</v>
      </c>
      <c r="E1139" s="63" t="s">
        <v>1577</v>
      </c>
      <c r="F1139" s="62" t="s">
        <v>389</v>
      </c>
      <c r="G1139" s="62" t="s">
        <v>323</v>
      </c>
      <c r="H1139" s="62"/>
      <c r="I1139" s="62"/>
      <c r="J1139" s="62"/>
      <c r="K1139" s="62" t="s">
        <v>317</v>
      </c>
      <c r="L1139" s="64">
        <v>13.4</v>
      </c>
      <c r="M1139" s="64"/>
      <c r="N1139" s="65"/>
      <c r="O1139" s="66"/>
      <c r="P1139" s="62"/>
      <c r="Q1139" s="67"/>
      <c r="R1139" s="64"/>
      <c r="S1139" s="64"/>
      <c r="T1139" s="67"/>
      <c r="U1139" s="68"/>
      <c r="V1139" s="69"/>
    </row>
    <row r="1140" spans="1:22" x14ac:dyDescent="0.3">
      <c r="A1140" s="61" t="s">
        <v>1502</v>
      </c>
      <c r="B1140" s="62" t="s">
        <v>317</v>
      </c>
      <c r="C1140" s="62" t="s">
        <v>629</v>
      </c>
      <c r="D1140" s="62" t="s">
        <v>1208</v>
      </c>
      <c r="E1140" s="63" t="s">
        <v>1578</v>
      </c>
      <c r="F1140" s="62" t="s">
        <v>389</v>
      </c>
      <c r="G1140" s="62" t="s">
        <v>209</v>
      </c>
      <c r="H1140" s="62" t="s">
        <v>17</v>
      </c>
      <c r="I1140" s="62" t="s">
        <v>210</v>
      </c>
      <c r="J1140" s="63" t="s">
        <v>211</v>
      </c>
      <c r="K1140" s="62" t="s">
        <v>317</v>
      </c>
      <c r="L1140" s="64">
        <v>72.8</v>
      </c>
      <c r="M1140" s="64">
        <f t="shared" ref="M1140:M1149" si="381">L1140*VLOOKUP(H1140,dagsoorttabel1,2,FALSE)</f>
        <v>14.56</v>
      </c>
      <c r="N1140" s="65">
        <f>prodnorm10</f>
        <v>0</v>
      </c>
      <c r="O1140" s="66">
        <f>dagwerk10</f>
        <v>0</v>
      </c>
      <c r="P1140" s="62" t="s">
        <v>40</v>
      </c>
      <c r="Q1140" s="67">
        <f>uurtarief10</f>
        <v>0</v>
      </c>
      <c r="R1140" s="64" t="e">
        <f t="shared" ref="R1140:R1149" si="382">IF(ISBLANK(N1140),0,M1140/ROUND(N1140,4))</f>
        <v>#DIV/0!</v>
      </c>
      <c r="S1140" s="64" t="e">
        <f t="shared" ref="S1140:S1149" si="383">IF(ISBLANK(N1140),0,R1140*ROUND(O1140,2))</f>
        <v>#DIV/0!</v>
      </c>
      <c r="T1140" s="67" t="e">
        <f t="shared" ref="T1140:T1149" si="384">ROUND(Q1140,2)*R1140</f>
        <v>#DIV/0!</v>
      </c>
      <c r="U1140" s="64" t="e">
        <f t="shared" ref="U1140:U1149" si="385">R1140*dagenperjaar1</f>
        <v>#DIV/0!</v>
      </c>
      <c r="V1140" s="69" t="e">
        <f t="shared" ref="V1140:V1149" si="386">U1140*ROUND(Q1140,2)</f>
        <v>#DIV/0!</v>
      </c>
    </row>
    <row r="1141" spans="1:22" x14ac:dyDescent="0.3">
      <c r="A1141" s="61" t="s">
        <v>1502</v>
      </c>
      <c r="B1141" s="62" t="s">
        <v>317</v>
      </c>
      <c r="C1141" s="62" t="s">
        <v>629</v>
      </c>
      <c r="D1141" s="62" t="s">
        <v>1210</v>
      </c>
      <c r="E1141" s="63" t="s">
        <v>1579</v>
      </c>
      <c r="F1141" s="62" t="s">
        <v>389</v>
      </c>
      <c r="G1141" s="62" t="s">
        <v>209</v>
      </c>
      <c r="H1141" s="62" t="s">
        <v>17</v>
      </c>
      <c r="I1141" s="62" t="s">
        <v>210</v>
      </c>
      <c r="J1141" s="63" t="s">
        <v>211</v>
      </c>
      <c r="K1141" s="62" t="s">
        <v>317</v>
      </c>
      <c r="L1141" s="64">
        <v>28.67</v>
      </c>
      <c r="M1141" s="64">
        <f t="shared" si="381"/>
        <v>5.7340000000000009</v>
      </c>
      <c r="N1141" s="65">
        <f>prodnorm10</f>
        <v>0</v>
      </c>
      <c r="O1141" s="66">
        <f>dagwerk10</f>
        <v>0</v>
      </c>
      <c r="P1141" s="62" t="s">
        <v>40</v>
      </c>
      <c r="Q1141" s="67">
        <f>uurtarief10</f>
        <v>0</v>
      </c>
      <c r="R1141" s="64" t="e">
        <f t="shared" si="382"/>
        <v>#DIV/0!</v>
      </c>
      <c r="S1141" s="64" t="e">
        <f t="shared" si="383"/>
        <v>#DIV/0!</v>
      </c>
      <c r="T1141" s="67" t="e">
        <f t="shared" si="384"/>
        <v>#DIV/0!</v>
      </c>
      <c r="U1141" s="64" t="e">
        <f t="shared" si="385"/>
        <v>#DIV/0!</v>
      </c>
      <c r="V1141" s="69" t="e">
        <f t="shared" si="386"/>
        <v>#DIV/0!</v>
      </c>
    </row>
    <row r="1142" spans="1:22" x14ac:dyDescent="0.3">
      <c r="A1142" s="61" t="s">
        <v>1502</v>
      </c>
      <c r="B1142" s="62" t="s">
        <v>317</v>
      </c>
      <c r="C1142" s="62" t="s">
        <v>629</v>
      </c>
      <c r="D1142" s="62" t="s">
        <v>1212</v>
      </c>
      <c r="E1142" s="63" t="s">
        <v>1572</v>
      </c>
      <c r="F1142" s="62" t="s">
        <v>389</v>
      </c>
      <c r="G1142" s="62" t="s">
        <v>234</v>
      </c>
      <c r="H1142" s="62" t="s">
        <v>14</v>
      </c>
      <c r="I1142" s="62" t="s">
        <v>210</v>
      </c>
      <c r="J1142" s="63" t="s">
        <v>235</v>
      </c>
      <c r="K1142" s="62" t="s">
        <v>317</v>
      </c>
      <c r="L1142" s="64">
        <v>57.809999999999995</v>
      </c>
      <c r="M1142" s="64">
        <f t="shared" si="381"/>
        <v>34.685999999999993</v>
      </c>
      <c r="N1142" s="65">
        <f>prodnorm22</f>
        <v>0</v>
      </c>
      <c r="O1142" s="66">
        <f>dagwerk22</f>
        <v>0</v>
      </c>
      <c r="P1142" s="62" t="s">
        <v>40</v>
      </c>
      <c r="Q1142" s="67">
        <f>uurtarief22</f>
        <v>0</v>
      </c>
      <c r="R1142" s="64" t="e">
        <f t="shared" si="382"/>
        <v>#DIV/0!</v>
      </c>
      <c r="S1142" s="64" t="e">
        <f t="shared" si="383"/>
        <v>#DIV/0!</v>
      </c>
      <c r="T1142" s="67" t="e">
        <f t="shared" si="384"/>
        <v>#DIV/0!</v>
      </c>
      <c r="U1142" s="64" t="e">
        <f t="shared" si="385"/>
        <v>#DIV/0!</v>
      </c>
      <c r="V1142" s="69" t="e">
        <f t="shared" si="386"/>
        <v>#DIV/0!</v>
      </c>
    </row>
    <row r="1143" spans="1:22" x14ac:dyDescent="0.3">
      <c r="A1143" s="61" t="s">
        <v>1502</v>
      </c>
      <c r="B1143" s="62" t="s">
        <v>317</v>
      </c>
      <c r="C1143" s="62" t="s">
        <v>629</v>
      </c>
      <c r="D1143" s="62" t="s">
        <v>1214</v>
      </c>
      <c r="E1143" s="63" t="s">
        <v>1572</v>
      </c>
      <c r="F1143" s="62" t="s">
        <v>389</v>
      </c>
      <c r="G1143" s="62" t="s">
        <v>234</v>
      </c>
      <c r="H1143" s="62" t="s">
        <v>14</v>
      </c>
      <c r="I1143" s="62" t="s">
        <v>210</v>
      </c>
      <c r="J1143" s="63" t="s">
        <v>235</v>
      </c>
      <c r="K1143" s="62" t="s">
        <v>317</v>
      </c>
      <c r="L1143" s="64">
        <v>58.03</v>
      </c>
      <c r="M1143" s="64">
        <f t="shared" si="381"/>
        <v>34.817999999999998</v>
      </c>
      <c r="N1143" s="65">
        <f>prodnorm22</f>
        <v>0</v>
      </c>
      <c r="O1143" s="66">
        <f>dagwerk22</f>
        <v>0</v>
      </c>
      <c r="P1143" s="62" t="s">
        <v>40</v>
      </c>
      <c r="Q1143" s="67">
        <f>uurtarief22</f>
        <v>0</v>
      </c>
      <c r="R1143" s="64" t="e">
        <f t="shared" si="382"/>
        <v>#DIV/0!</v>
      </c>
      <c r="S1143" s="64" t="e">
        <f t="shared" si="383"/>
        <v>#DIV/0!</v>
      </c>
      <c r="T1143" s="67" t="e">
        <f t="shared" si="384"/>
        <v>#DIV/0!</v>
      </c>
      <c r="U1143" s="64" t="e">
        <f t="shared" si="385"/>
        <v>#DIV/0!</v>
      </c>
      <c r="V1143" s="69" t="e">
        <f t="shared" si="386"/>
        <v>#DIV/0!</v>
      </c>
    </row>
    <row r="1144" spans="1:22" x14ac:dyDescent="0.3">
      <c r="A1144" s="61" t="s">
        <v>1502</v>
      </c>
      <c r="B1144" s="62" t="s">
        <v>317</v>
      </c>
      <c r="C1144" s="62" t="s">
        <v>629</v>
      </c>
      <c r="D1144" s="62" t="s">
        <v>1215</v>
      </c>
      <c r="E1144" s="63" t="s">
        <v>1571</v>
      </c>
      <c r="F1144" s="62" t="s">
        <v>389</v>
      </c>
      <c r="G1144" s="62" t="s">
        <v>254</v>
      </c>
      <c r="H1144" s="62" t="s">
        <v>11</v>
      </c>
      <c r="I1144" s="62" t="s">
        <v>210</v>
      </c>
      <c r="J1144" s="63" t="s">
        <v>255</v>
      </c>
      <c r="K1144" s="62" t="s">
        <v>317</v>
      </c>
      <c r="L1144" s="64">
        <v>72.010000000000005</v>
      </c>
      <c r="M1144" s="64">
        <f t="shared" si="381"/>
        <v>72.010000000000005</v>
      </c>
      <c r="N1144" s="65">
        <f>prodnorm33</f>
        <v>0</v>
      </c>
      <c r="O1144" s="66">
        <f>dagwerk33</f>
        <v>0</v>
      </c>
      <c r="P1144" s="62" t="s">
        <v>40</v>
      </c>
      <c r="Q1144" s="67">
        <f>uurtarief33</f>
        <v>0</v>
      </c>
      <c r="R1144" s="64" t="e">
        <f t="shared" si="382"/>
        <v>#DIV/0!</v>
      </c>
      <c r="S1144" s="64" t="e">
        <f t="shared" si="383"/>
        <v>#DIV/0!</v>
      </c>
      <c r="T1144" s="67" t="e">
        <f t="shared" si="384"/>
        <v>#DIV/0!</v>
      </c>
      <c r="U1144" s="64" t="e">
        <f t="shared" si="385"/>
        <v>#DIV/0!</v>
      </c>
      <c r="V1144" s="69" t="e">
        <f t="shared" si="386"/>
        <v>#DIV/0!</v>
      </c>
    </row>
    <row r="1145" spans="1:22" x14ac:dyDescent="0.3">
      <c r="A1145" s="61" t="s">
        <v>1502</v>
      </c>
      <c r="B1145" s="62" t="s">
        <v>317</v>
      </c>
      <c r="C1145" s="62" t="s">
        <v>629</v>
      </c>
      <c r="D1145" s="62" t="s">
        <v>1216</v>
      </c>
      <c r="E1145" s="63" t="s">
        <v>1572</v>
      </c>
      <c r="F1145" s="62" t="s">
        <v>389</v>
      </c>
      <c r="G1145" s="62" t="s">
        <v>234</v>
      </c>
      <c r="H1145" s="62" t="s">
        <v>14</v>
      </c>
      <c r="I1145" s="62" t="s">
        <v>210</v>
      </c>
      <c r="J1145" s="63" t="s">
        <v>235</v>
      </c>
      <c r="K1145" s="62" t="s">
        <v>317</v>
      </c>
      <c r="L1145" s="64">
        <v>58.220000000000006</v>
      </c>
      <c r="M1145" s="64">
        <f t="shared" si="381"/>
        <v>34.932000000000002</v>
      </c>
      <c r="N1145" s="65">
        <f>prodnorm22</f>
        <v>0</v>
      </c>
      <c r="O1145" s="66">
        <f>dagwerk22</f>
        <v>0</v>
      </c>
      <c r="P1145" s="62" t="s">
        <v>40</v>
      </c>
      <c r="Q1145" s="67">
        <f>uurtarief22</f>
        <v>0</v>
      </c>
      <c r="R1145" s="64" t="e">
        <f t="shared" si="382"/>
        <v>#DIV/0!</v>
      </c>
      <c r="S1145" s="64" t="e">
        <f t="shared" si="383"/>
        <v>#DIV/0!</v>
      </c>
      <c r="T1145" s="67" t="e">
        <f t="shared" si="384"/>
        <v>#DIV/0!</v>
      </c>
      <c r="U1145" s="64" t="e">
        <f t="shared" si="385"/>
        <v>#DIV/0!</v>
      </c>
      <c r="V1145" s="69" t="e">
        <f t="shared" si="386"/>
        <v>#DIV/0!</v>
      </c>
    </row>
    <row r="1146" spans="1:22" x14ac:dyDescent="0.3">
      <c r="A1146" s="61" t="s">
        <v>1502</v>
      </c>
      <c r="B1146" s="62" t="s">
        <v>317</v>
      </c>
      <c r="C1146" s="62" t="s">
        <v>629</v>
      </c>
      <c r="D1146" s="62" t="s">
        <v>1217</v>
      </c>
      <c r="E1146" s="63" t="s">
        <v>1580</v>
      </c>
      <c r="F1146" s="62" t="s">
        <v>389</v>
      </c>
      <c r="G1146" s="62" t="s">
        <v>214</v>
      </c>
      <c r="H1146" s="62" t="s">
        <v>14</v>
      </c>
      <c r="I1146" s="62" t="s">
        <v>210</v>
      </c>
      <c r="J1146" s="63" t="s">
        <v>215</v>
      </c>
      <c r="K1146" s="62" t="s">
        <v>317</v>
      </c>
      <c r="L1146" s="64">
        <v>16.73</v>
      </c>
      <c r="M1146" s="64">
        <f t="shared" si="381"/>
        <v>10.038</v>
      </c>
      <c r="N1146" s="65">
        <f>prodnorm12</f>
        <v>0</v>
      </c>
      <c r="O1146" s="66">
        <f>dagwerk12</f>
        <v>0</v>
      </c>
      <c r="P1146" s="62" t="s">
        <v>40</v>
      </c>
      <c r="Q1146" s="67">
        <f>uurtarief12</f>
        <v>0</v>
      </c>
      <c r="R1146" s="64" t="e">
        <f t="shared" si="382"/>
        <v>#DIV/0!</v>
      </c>
      <c r="S1146" s="64" t="e">
        <f t="shared" si="383"/>
        <v>#DIV/0!</v>
      </c>
      <c r="T1146" s="67" t="e">
        <f t="shared" si="384"/>
        <v>#DIV/0!</v>
      </c>
      <c r="U1146" s="64" t="e">
        <f t="shared" si="385"/>
        <v>#DIV/0!</v>
      </c>
      <c r="V1146" s="69" t="e">
        <f t="shared" si="386"/>
        <v>#DIV/0!</v>
      </c>
    </row>
    <row r="1147" spans="1:22" x14ac:dyDescent="0.3">
      <c r="A1147" s="61" t="s">
        <v>1502</v>
      </c>
      <c r="B1147" s="62" t="s">
        <v>317</v>
      </c>
      <c r="C1147" s="62" t="s">
        <v>629</v>
      </c>
      <c r="D1147" s="62" t="s">
        <v>1218</v>
      </c>
      <c r="E1147" s="63" t="s">
        <v>1580</v>
      </c>
      <c r="F1147" s="62" t="s">
        <v>389</v>
      </c>
      <c r="G1147" s="62" t="s">
        <v>214</v>
      </c>
      <c r="H1147" s="62" t="s">
        <v>14</v>
      </c>
      <c r="I1147" s="62" t="s">
        <v>210</v>
      </c>
      <c r="J1147" s="63" t="s">
        <v>215</v>
      </c>
      <c r="K1147" s="62" t="s">
        <v>317</v>
      </c>
      <c r="L1147" s="64">
        <v>16.73</v>
      </c>
      <c r="M1147" s="64">
        <f t="shared" si="381"/>
        <v>10.038</v>
      </c>
      <c r="N1147" s="65">
        <f>prodnorm12</f>
        <v>0</v>
      </c>
      <c r="O1147" s="66">
        <f>dagwerk12</f>
        <v>0</v>
      </c>
      <c r="P1147" s="62" t="s">
        <v>40</v>
      </c>
      <c r="Q1147" s="67">
        <f>uurtarief12</f>
        <v>0</v>
      </c>
      <c r="R1147" s="64" t="e">
        <f t="shared" si="382"/>
        <v>#DIV/0!</v>
      </c>
      <c r="S1147" s="64" t="e">
        <f t="shared" si="383"/>
        <v>#DIV/0!</v>
      </c>
      <c r="T1147" s="67" t="e">
        <f t="shared" si="384"/>
        <v>#DIV/0!</v>
      </c>
      <c r="U1147" s="64" t="e">
        <f t="shared" si="385"/>
        <v>#DIV/0!</v>
      </c>
      <c r="V1147" s="69" t="e">
        <f t="shared" si="386"/>
        <v>#DIV/0!</v>
      </c>
    </row>
    <row r="1148" spans="1:22" x14ac:dyDescent="0.3">
      <c r="A1148" s="61" t="s">
        <v>1502</v>
      </c>
      <c r="B1148" s="62" t="s">
        <v>317</v>
      </c>
      <c r="C1148" s="62" t="s">
        <v>629</v>
      </c>
      <c r="D1148" s="62" t="s">
        <v>1220</v>
      </c>
      <c r="E1148" s="63" t="s">
        <v>1573</v>
      </c>
      <c r="F1148" s="62" t="s">
        <v>389</v>
      </c>
      <c r="G1148" s="62" t="s">
        <v>238</v>
      </c>
      <c r="H1148" s="62" t="s">
        <v>11</v>
      </c>
      <c r="I1148" s="62" t="s">
        <v>210</v>
      </c>
      <c r="J1148" s="63" t="s">
        <v>239</v>
      </c>
      <c r="K1148" s="62" t="s">
        <v>317</v>
      </c>
      <c r="L1148" s="64">
        <v>20.03</v>
      </c>
      <c r="M1148" s="64">
        <f t="shared" si="381"/>
        <v>20.03</v>
      </c>
      <c r="N1148" s="65">
        <f>prodnorm24</f>
        <v>0</v>
      </c>
      <c r="O1148" s="66">
        <f>dagwerk24</f>
        <v>0</v>
      </c>
      <c r="P1148" s="62" t="s">
        <v>40</v>
      </c>
      <c r="Q1148" s="67">
        <f>uurtarief24</f>
        <v>0</v>
      </c>
      <c r="R1148" s="64" t="e">
        <f t="shared" si="382"/>
        <v>#DIV/0!</v>
      </c>
      <c r="S1148" s="64" t="e">
        <f t="shared" si="383"/>
        <v>#DIV/0!</v>
      </c>
      <c r="T1148" s="67" t="e">
        <f t="shared" si="384"/>
        <v>#DIV/0!</v>
      </c>
      <c r="U1148" s="64" t="e">
        <f t="shared" si="385"/>
        <v>#DIV/0!</v>
      </c>
      <c r="V1148" s="69" t="e">
        <f t="shared" si="386"/>
        <v>#DIV/0!</v>
      </c>
    </row>
    <row r="1149" spans="1:22" x14ac:dyDescent="0.3">
      <c r="A1149" s="61" t="s">
        <v>1502</v>
      </c>
      <c r="B1149" s="62" t="s">
        <v>317</v>
      </c>
      <c r="C1149" s="62" t="s">
        <v>629</v>
      </c>
      <c r="D1149" s="62" t="s">
        <v>1222</v>
      </c>
      <c r="E1149" s="63" t="s">
        <v>693</v>
      </c>
      <c r="F1149" s="62" t="s">
        <v>389</v>
      </c>
      <c r="G1149" s="62" t="s">
        <v>228</v>
      </c>
      <c r="H1149" s="62" t="s">
        <v>11</v>
      </c>
      <c r="I1149" s="62" t="s">
        <v>210</v>
      </c>
      <c r="J1149" s="63" t="s">
        <v>229</v>
      </c>
      <c r="K1149" s="62" t="s">
        <v>317</v>
      </c>
      <c r="L1149" s="64">
        <v>10.07</v>
      </c>
      <c r="M1149" s="64">
        <f t="shared" si="381"/>
        <v>10.07</v>
      </c>
      <c r="N1149" s="65">
        <f>prodnorm19</f>
        <v>0</v>
      </c>
      <c r="O1149" s="66">
        <f>dagwerk19</f>
        <v>0</v>
      </c>
      <c r="P1149" s="62" t="s">
        <v>40</v>
      </c>
      <c r="Q1149" s="67">
        <f>uurtarief19</f>
        <v>0</v>
      </c>
      <c r="R1149" s="64" t="e">
        <f t="shared" si="382"/>
        <v>#DIV/0!</v>
      </c>
      <c r="S1149" s="64" t="e">
        <f t="shared" si="383"/>
        <v>#DIV/0!</v>
      </c>
      <c r="T1149" s="67" t="e">
        <f t="shared" si="384"/>
        <v>#DIV/0!</v>
      </c>
      <c r="U1149" s="64" t="e">
        <f t="shared" si="385"/>
        <v>#DIV/0!</v>
      </c>
      <c r="V1149" s="69" t="e">
        <f t="shared" si="386"/>
        <v>#DIV/0!</v>
      </c>
    </row>
    <row r="1150" spans="1:22" x14ac:dyDescent="0.3">
      <c r="A1150" s="61" t="s">
        <v>1502</v>
      </c>
      <c r="B1150" s="62" t="s">
        <v>317</v>
      </c>
      <c r="C1150" s="62" t="s">
        <v>629</v>
      </c>
      <c r="D1150" s="62" t="s">
        <v>1224</v>
      </c>
      <c r="E1150" s="63" t="s">
        <v>321</v>
      </c>
      <c r="F1150" s="62" t="s">
        <v>389</v>
      </c>
      <c r="G1150" s="62" t="s">
        <v>323</v>
      </c>
      <c r="H1150" s="62"/>
      <c r="I1150" s="62"/>
      <c r="J1150" s="62"/>
      <c r="K1150" s="62" t="s">
        <v>317</v>
      </c>
      <c r="L1150" s="64">
        <v>53.3</v>
      </c>
      <c r="M1150" s="64"/>
      <c r="N1150" s="65"/>
      <c r="O1150" s="66"/>
      <c r="P1150" s="62"/>
      <c r="Q1150" s="67"/>
      <c r="R1150" s="64"/>
      <c r="S1150" s="64"/>
      <c r="T1150" s="67"/>
      <c r="U1150" s="68"/>
      <c r="V1150" s="69"/>
    </row>
    <row r="1151" spans="1:22" x14ac:dyDescent="0.3">
      <c r="A1151" s="61" t="s">
        <v>1502</v>
      </c>
      <c r="B1151" s="62" t="s">
        <v>317</v>
      </c>
      <c r="C1151" s="62" t="s">
        <v>629</v>
      </c>
      <c r="D1151" s="62" t="s">
        <v>1240</v>
      </c>
      <c r="E1151" s="63" t="s">
        <v>352</v>
      </c>
      <c r="F1151" s="62" t="s">
        <v>432</v>
      </c>
      <c r="G1151" s="62" t="s">
        <v>266</v>
      </c>
      <c r="H1151" s="62" t="s">
        <v>11</v>
      </c>
      <c r="I1151" s="62" t="s">
        <v>210</v>
      </c>
      <c r="J1151" s="63" t="s">
        <v>267</v>
      </c>
      <c r="K1151" s="62" t="s">
        <v>317</v>
      </c>
      <c r="L1151" s="64">
        <v>7.04</v>
      </c>
      <c r="M1151" s="64">
        <f>L1151*VLOOKUP(H1151,dagsoorttabel1,2,FALSE)</f>
        <v>7.04</v>
      </c>
      <c r="N1151" s="65">
        <f>prodnorm39</f>
        <v>0</v>
      </c>
      <c r="O1151" s="66">
        <f>dagwerk39</f>
        <v>0</v>
      </c>
      <c r="P1151" s="62" t="s">
        <v>40</v>
      </c>
      <c r="Q1151" s="67">
        <f>uurtarief39</f>
        <v>0</v>
      </c>
      <c r="R1151" s="64" t="e">
        <f>IF(ISBLANK(N1151),0,M1151/ROUND(N1151,4))</f>
        <v>#DIV/0!</v>
      </c>
      <c r="S1151" s="64" t="e">
        <f>IF(ISBLANK(N1151),0,R1151*ROUND(O1151,2))</f>
        <v>#DIV/0!</v>
      </c>
      <c r="T1151" s="67" t="e">
        <f>ROUND(Q1151,2)*R1151</f>
        <v>#DIV/0!</v>
      </c>
      <c r="U1151" s="64" t="e">
        <f>R1151*dagenperjaar1</f>
        <v>#DIV/0!</v>
      </c>
      <c r="V1151" s="69" t="e">
        <f>U1151*ROUND(Q1151,2)</f>
        <v>#DIV/0!</v>
      </c>
    </row>
    <row r="1152" spans="1:22" x14ac:dyDescent="0.3">
      <c r="A1152" s="61" t="s">
        <v>1502</v>
      </c>
      <c r="B1152" s="62" t="s">
        <v>317</v>
      </c>
      <c r="C1152" s="62" t="s">
        <v>629</v>
      </c>
      <c r="D1152" s="62" t="s">
        <v>1244</v>
      </c>
      <c r="E1152" s="63" t="s">
        <v>352</v>
      </c>
      <c r="F1152" s="62" t="s">
        <v>432</v>
      </c>
      <c r="G1152" s="62" t="s">
        <v>266</v>
      </c>
      <c r="H1152" s="62" t="s">
        <v>11</v>
      </c>
      <c r="I1152" s="62" t="s">
        <v>210</v>
      </c>
      <c r="J1152" s="63" t="s">
        <v>267</v>
      </c>
      <c r="K1152" s="62" t="s">
        <v>317</v>
      </c>
      <c r="L1152" s="64">
        <v>8.17</v>
      </c>
      <c r="M1152" s="64">
        <f>L1152*VLOOKUP(H1152,dagsoorttabel1,2,FALSE)</f>
        <v>8.17</v>
      </c>
      <c r="N1152" s="65">
        <f>prodnorm39</f>
        <v>0</v>
      </c>
      <c r="O1152" s="66">
        <f>dagwerk39</f>
        <v>0</v>
      </c>
      <c r="P1152" s="62" t="s">
        <v>40</v>
      </c>
      <c r="Q1152" s="67">
        <f>uurtarief39</f>
        <v>0</v>
      </c>
      <c r="R1152" s="64" t="e">
        <f>IF(ISBLANK(N1152),0,M1152/ROUND(N1152,4))</f>
        <v>#DIV/0!</v>
      </c>
      <c r="S1152" s="64" t="e">
        <f>IF(ISBLANK(N1152),0,R1152*ROUND(O1152,2))</f>
        <v>#DIV/0!</v>
      </c>
      <c r="T1152" s="67" t="e">
        <f>ROUND(Q1152,2)*R1152</f>
        <v>#DIV/0!</v>
      </c>
      <c r="U1152" s="64" t="e">
        <f>R1152*dagenperjaar1</f>
        <v>#DIV/0!</v>
      </c>
      <c r="V1152" s="69" t="e">
        <f>U1152*ROUND(Q1152,2)</f>
        <v>#DIV/0!</v>
      </c>
    </row>
    <row r="1153" spans="1:22" x14ac:dyDescent="0.3">
      <c r="A1153" s="61" t="s">
        <v>1502</v>
      </c>
      <c r="B1153" s="62" t="s">
        <v>317</v>
      </c>
      <c r="C1153" s="62" t="s">
        <v>629</v>
      </c>
      <c r="D1153" s="62" t="s">
        <v>1247</v>
      </c>
      <c r="E1153" s="63" t="s">
        <v>1581</v>
      </c>
      <c r="F1153" s="62" t="s">
        <v>389</v>
      </c>
      <c r="G1153" s="62" t="s">
        <v>282</v>
      </c>
      <c r="H1153" s="62" t="s">
        <v>11</v>
      </c>
      <c r="I1153" s="62" t="s">
        <v>210</v>
      </c>
      <c r="J1153" s="63" t="s">
        <v>283</v>
      </c>
      <c r="K1153" s="62" t="s">
        <v>317</v>
      </c>
      <c r="L1153" s="64">
        <v>5.08</v>
      </c>
      <c r="M1153" s="64">
        <f>L1153*VLOOKUP(H1153,dagsoorttabel1,2,FALSE)</f>
        <v>5.08</v>
      </c>
      <c r="N1153" s="65">
        <f>prodnorm47</f>
        <v>0</v>
      </c>
      <c r="O1153" s="66">
        <f>dagwerk47</f>
        <v>0</v>
      </c>
      <c r="P1153" s="62" t="s">
        <v>40</v>
      </c>
      <c r="Q1153" s="67">
        <f>uurtarief47</f>
        <v>0</v>
      </c>
      <c r="R1153" s="64" t="e">
        <f>IF(ISBLANK(N1153),0,M1153/ROUND(N1153,4))</f>
        <v>#DIV/0!</v>
      </c>
      <c r="S1153" s="64" t="e">
        <f>IF(ISBLANK(N1153),0,R1153*ROUND(O1153,2))</f>
        <v>#DIV/0!</v>
      </c>
      <c r="T1153" s="67" t="e">
        <f>ROUND(Q1153,2)*R1153</f>
        <v>#DIV/0!</v>
      </c>
      <c r="U1153" s="64" t="e">
        <f>R1153*dagenperjaar1</f>
        <v>#DIV/0!</v>
      </c>
      <c r="V1153" s="69" t="e">
        <f>U1153*ROUND(Q1153,2)</f>
        <v>#DIV/0!</v>
      </c>
    </row>
    <row r="1154" spans="1:22" x14ac:dyDescent="0.3">
      <c r="A1154" s="61" t="s">
        <v>1502</v>
      </c>
      <c r="B1154" s="62" t="s">
        <v>317</v>
      </c>
      <c r="C1154" s="62" t="s">
        <v>629</v>
      </c>
      <c r="D1154" s="62" t="s">
        <v>1582</v>
      </c>
      <c r="E1154" s="63" t="s">
        <v>381</v>
      </c>
      <c r="F1154" s="62" t="s">
        <v>389</v>
      </c>
      <c r="G1154" s="62" t="s">
        <v>323</v>
      </c>
      <c r="H1154" s="62"/>
      <c r="I1154" s="62"/>
      <c r="J1154" s="62"/>
      <c r="K1154" s="62" t="s">
        <v>317</v>
      </c>
      <c r="L1154" s="64">
        <v>2.3699999999999997</v>
      </c>
      <c r="M1154" s="64"/>
      <c r="N1154" s="65"/>
      <c r="O1154" s="66"/>
      <c r="P1154" s="62"/>
      <c r="Q1154" s="67"/>
      <c r="R1154" s="64"/>
      <c r="S1154" s="64"/>
      <c r="T1154" s="67"/>
      <c r="U1154" s="68"/>
      <c r="V1154" s="69"/>
    </row>
    <row r="1155" spans="1:22" x14ac:dyDescent="0.3">
      <c r="A1155" s="61" t="s">
        <v>1502</v>
      </c>
      <c r="B1155" s="62" t="s">
        <v>317</v>
      </c>
      <c r="C1155" s="62" t="s">
        <v>629</v>
      </c>
      <c r="D1155" s="62" t="s">
        <v>1248</v>
      </c>
      <c r="E1155" s="63" t="s">
        <v>374</v>
      </c>
      <c r="F1155" s="62" t="s">
        <v>377</v>
      </c>
      <c r="G1155" s="62" t="s">
        <v>323</v>
      </c>
      <c r="H1155" s="62"/>
      <c r="I1155" s="62"/>
      <c r="J1155" s="62"/>
      <c r="K1155" s="62" t="s">
        <v>317</v>
      </c>
      <c r="L1155" s="64">
        <v>4.0999999999999996</v>
      </c>
      <c r="M1155" s="64"/>
      <c r="N1155" s="65"/>
      <c r="O1155" s="66"/>
      <c r="P1155" s="62"/>
      <c r="Q1155" s="67"/>
      <c r="R1155" s="64"/>
      <c r="S1155" s="64"/>
      <c r="T1155" s="67"/>
      <c r="U1155" s="68"/>
      <c r="V1155" s="69"/>
    </row>
    <row r="1156" spans="1:22" x14ac:dyDescent="0.3">
      <c r="A1156" s="61" t="s">
        <v>1502</v>
      </c>
      <c r="B1156" s="62" t="s">
        <v>317</v>
      </c>
      <c r="C1156" s="62" t="s">
        <v>629</v>
      </c>
      <c r="D1156" s="62" t="s">
        <v>1364</v>
      </c>
      <c r="E1156" s="63" t="s">
        <v>575</v>
      </c>
      <c r="F1156" s="62" t="s">
        <v>389</v>
      </c>
      <c r="G1156" s="62" t="s">
        <v>323</v>
      </c>
      <c r="H1156" s="62"/>
      <c r="I1156" s="62"/>
      <c r="J1156" s="62"/>
      <c r="K1156" s="62" t="s">
        <v>317</v>
      </c>
      <c r="L1156" s="64">
        <v>9.51</v>
      </c>
      <c r="M1156" s="64"/>
      <c r="N1156" s="65"/>
      <c r="O1156" s="66"/>
      <c r="P1156" s="62"/>
      <c r="Q1156" s="67"/>
      <c r="R1156" s="64"/>
      <c r="S1156" s="64"/>
      <c r="T1156" s="67"/>
      <c r="U1156" s="68"/>
      <c r="V1156" s="69"/>
    </row>
    <row r="1157" spans="1:22" x14ac:dyDescent="0.3">
      <c r="A1157" s="61" t="s">
        <v>1502</v>
      </c>
      <c r="B1157" s="62" t="s">
        <v>317</v>
      </c>
      <c r="C1157" s="62" t="s">
        <v>629</v>
      </c>
      <c r="D1157" s="62" t="s">
        <v>1365</v>
      </c>
      <c r="E1157" s="63" t="s">
        <v>374</v>
      </c>
      <c r="F1157" s="62" t="s">
        <v>377</v>
      </c>
      <c r="G1157" s="62" t="s">
        <v>323</v>
      </c>
      <c r="H1157" s="62"/>
      <c r="I1157" s="62"/>
      <c r="J1157" s="62"/>
      <c r="K1157" s="62" t="s">
        <v>317</v>
      </c>
      <c r="L1157" s="64">
        <v>3.7600000000000002</v>
      </c>
      <c r="M1157" s="64"/>
      <c r="N1157" s="65"/>
      <c r="O1157" s="66"/>
      <c r="P1157" s="62"/>
      <c r="Q1157" s="67"/>
      <c r="R1157" s="64"/>
      <c r="S1157" s="64"/>
      <c r="T1157" s="67"/>
      <c r="U1157" s="68"/>
      <c r="V1157" s="69"/>
    </row>
    <row r="1158" spans="1:22" x14ac:dyDescent="0.3">
      <c r="A1158" s="61" t="s">
        <v>1502</v>
      </c>
      <c r="B1158" s="62" t="s">
        <v>317</v>
      </c>
      <c r="C1158" s="62" t="s">
        <v>629</v>
      </c>
      <c r="D1158" s="62" t="s">
        <v>1367</v>
      </c>
      <c r="E1158" s="63" t="s">
        <v>1550</v>
      </c>
      <c r="F1158" s="62" t="s">
        <v>432</v>
      </c>
      <c r="G1158" s="62" t="s">
        <v>266</v>
      </c>
      <c r="H1158" s="62" t="s">
        <v>11</v>
      </c>
      <c r="I1158" s="62" t="s">
        <v>210</v>
      </c>
      <c r="J1158" s="63" t="s">
        <v>267</v>
      </c>
      <c r="K1158" s="62" t="s">
        <v>317</v>
      </c>
      <c r="L1158" s="64">
        <v>3.64</v>
      </c>
      <c r="M1158" s="64">
        <f>L1158*VLOOKUP(H1158,dagsoorttabel1,2,FALSE)</f>
        <v>3.64</v>
      </c>
      <c r="N1158" s="65">
        <f>prodnorm39</f>
        <v>0</v>
      </c>
      <c r="O1158" s="66">
        <f>dagwerk39</f>
        <v>0</v>
      </c>
      <c r="P1158" s="62" t="s">
        <v>40</v>
      </c>
      <c r="Q1158" s="67">
        <f>uurtarief39</f>
        <v>0</v>
      </c>
      <c r="R1158" s="64" t="e">
        <f>IF(ISBLANK(N1158),0,M1158/ROUND(N1158,4))</f>
        <v>#DIV/0!</v>
      </c>
      <c r="S1158" s="64" t="e">
        <f>IF(ISBLANK(N1158),0,R1158*ROUND(O1158,2))</f>
        <v>#DIV/0!</v>
      </c>
      <c r="T1158" s="67" t="e">
        <f>ROUND(Q1158,2)*R1158</f>
        <v>#DIV/0!</v>
      </c>
      <c r="U1158" s="64" t="e">
        <f>R1158*dagenperjaar1</f>
        <v>#DIV/0!</v>
      </c>
      <c r="V1158" s="69" t="e">
        <f>U1158*ROUND(Q1158,2)</f>
        <v>#DIV/0!</v>
      </c>
    </row>
    <row r="1159" spans="1:22" x14ac:dyDescent="0.3">
      <c r="A1159" s="61" t="s">
        <v>1502</v>
      </c>
      <c r="B1159" s="62" t="s">
        <v>317</v>
      </c>
      <c r="C1159" s="62" t="s">
        <v>629</v>
      </c>
      <c r="D1159" s="62" t="s">
        <v>1369</v>
      </c>
      <c r="E1159" s="63" t="s">
        <v>374</v>
      </c>
      <c r="F1159" s="62" t="s">
        <v>389</v>
      </c>
      <c r="G1159" s="62" t="s">
        <v>323</v>
      </c>
      <c r="H1159" s="62"/>
      <c r="I1159" s="62"/>
      <c r="J1159" s="62"/>
      <c r="K1159" s="62" t="s">
        <v>317</v>
      </c>
      <c r="L1159" s="64">
        <v>5.08</v>
      </c>
      <c r="M1159" s="64"/>
      <c r="N1159" s="65"/>
      <c r="O1159" s="66"/>
      <c r="P1159" s="62"/>
      <c r="Q1159" s="67"/>
      <c r="R1159" s="64"/>
      <c r="S1159" s="64"/>
      <c r="T1159" s="67"/>
      <c r="U1159" s="68"/>
      <c r="V1159" s="69"/>
    </row>
    <row r="1160" spans="1:22" x14ac:dyDescent="0.3">
      <c r="A1160" s="61" t="s">
        <v>1502</v>
      </c>
      <c r="B1160" s="62" t="s">
        <v>317</v>
      </c>
      <c r="C1160" s="62" t="s">
        <v>629</v>
      </c>
      <c r="D1160" s="62" t="s">
        <v>1370</v>
      </c>
      <c r="E1160" s="63" t="s">
        <v>352</v>
      </c>
      <c r="F1160" s="62" t="s">
        <v>432</v>
      </c>
      <c r="G1160" s="62" t="s">
        <v>266</v>
      </c>
      <c r="H1160" s="62" t="s">
        <v>11</v>
      </c>
      <c r="I1160" s="62" t="s">
        <v>210</v>
      </c>
      <c r="J1160" s="63" t="s">
        <v>267</v>
      </c>
      <c r="K1160" s="62" t="s">
        <v>317</v>
      </c>
      <c r="L1160" s="64">
        <v>6.42</v>
      </c>
      <c r="M1160" s="64">
        <f t="shared" ref="M1160:M1181" si="387">L1160*VLOOKUP(H1160,dagsoorttabel1,2,FALSE)</f>
        <v>6.42</v>
      </c>
      <c r="N1160" s="65">
        <f>prodnorm39</f>
        <v>0</v>
      </c>
      <c r="O1160" s="66">
        <f>dagwerk39</f>
        <v>0</v>
      </c>
      <c r="P1160" s="62" t="s">
        <v>40</v>
      </c>
      <c r="Q1160" s="67">
        <f>uurtarief39</f>
        <v>0</v>
      </c>
      <c r="R1160" s="64" t="e">
        <f t="shared" ref="R1160:R1181" si="388">IF(ISBLANK(N1160),0,M1160/ROUND(N1160,4))</f>
        <v>#DIV/0!</v>
      </c>
      <c r="S1160" s="64" t="e">
        <f t="shared" ref="S1160:S1181" si="389">IF(ISBLANK(N1160),0,R1160*ROUND(O1160,2))</f>
        <v>#DIV/0!</v>
      </c>
      <c r="T1160" s="67" t="e">
        <f t="shared" ref="T1160:T1181" si="390">ROUND(Q1160,2)*R1160</f>
        <v>#DIV/0!</v>
      </c>
      <c r="U1160" s="64" t="e">
        <f t="shared" ref="U1160:U1181" si="391">R1160*dagenperjaar1</f>
        <v>#DIV/0!</v>
      </c>
      <c r="V1160" s="69" t="e">
        <f t="shared" ref="V1160:V1181" si="392">U1160*ROUND(Q1160,2)</f>
        <v>#DIV/0!</v>
      </c>
    </row>
    <row r="1161" spans="1:22" x14ac:dyDescent="0.3">
      <c r="A1161" s="61" t="s">
        <v>1502</v>
      </c>
      <c r="B1161" s="62" t="s">
        <v>317</v>
      </c>
      <c r="C1161" s="62" t="s">
        <v>841</v>
      </c>
      <c r="D1161" s="62" t="s">
        <v>1583</v>
      </c>
      <c r="E1161" s="63" t="s">
        <v>394</v>
      </c>
      <c r="F1161" s="62" t="s">
        <v>389</v>
      </c>
      <c r="G1161" s="62" t="s">
        <v>272</v>
      </c>
      <c r="H1161" s="62" t="s">
        <v>11</v>
      </c>
      <c r="I1161" s="62" t="s">
        <v>210</v>
      </c>
      <c r="J1161" s="63" t="s">
        <v>273</v>
      </c>
      <c r="K1161" s="62" t="s">
        <v>317</v>
      </c>
      <c r="L1161" s="64">
        <v>8.83</v>
      </c>
      <c r="M1161" s="64">
        <f t="shared" si="387"/>
        <v>8.83</v>
      </c>
      <c r="N1161" s="65">
        <f t="shared" ref="N1161:N1166" si="393">prodnorm42</f>
        <v>0</v>
      </c>
      <c r="O1161" s="66">
        <f t="shared" ref="O1161:O1166" si="394">dagwerk42</f>
        <v>0</v>
      </c>
      <c r="P1161" s="62" t="s">
        <v>40</v>
      </c>
      <c r="Q1161" s="67">
        <f t="shared" ref="Q1161:Q1166" si="395">uurtarief42</f>
        <v>0</v>
      </c>
      <c r="R1161" s="64" t="e">
        <f t="shared" si="388"/>
        <v>#DIV/0!</v>
      </c>
      <c r="S1161" s="64" t="e">
        <f t="shared" si="389"/>
        <v>#DIV/0!</v>
      </c>
      <c r="T1161" s="67" t="e">
        <f t="shared" si="390"/>
        <v>#DIV/0!</v>
      </c>
      <c r="U1161" s="64" t="e">
        <f t="shared" si="391"/>
        <v>#DIV/0!</v>
      </c>
      <c r="V1161" s="69" t="e">
        <f t="shared" si="392"/>
        <v>#DIV/0!</v>
      </c>
    </row>
    <row r="1162" spans="1:22" x14ac:dyDescent="0.3">
      <c r="A1162" s="61" t="s">
        <v>1502</v>
      </c>
      <c r="B1162" s="62" t="s">
        <v>317</v>
      </c>
      <c r="C1162" s="62" t="s">
        <v>841</v>
      </c>
      <c r="D1162" s="62" t="s">
        <v>1584</v>
      </c>
      <c r="E1162" s="63" t="s">
        <v>394</v>
      </c>
      <c r="F1162" s="62" t="s">
        <v>389</v>
      </c>
      <c r="G1162" s="62" t="s">
        <v>272</v>
      </c>
      <c r="H1162" s="62" t="s">
        <v>11</v>
      </c>
      <c r="I1162" s="62" t="s">
        <v>210</v>
      </c>
      <c r="J1162" s="63" t="s">
        <v>273</v>
      </c>
      <c r="K1162" s="62" t="s">
        <v>317</v>
      </c>
      <c r="L1162" s="64">
        <v>36.07</v>
      </c>
      <c r="M1162" s="64">
        <f t="shared" si="387"/>
        <v>36.07</v>
      </c>
      <c r="N1162" s="65">
        <f t="shared" si="393"/>
        <v>0</v>
      </c>
      <c r="O1162" s="66">
        <f t="shared" si="394"/>
        <v>0</v>
      </c>
      <c r="P1162" s="62" t="s">
        <v>40</v>
      </c>
      <c r="Q1162" s="67">
        <f t="shared" si="395"/>
        <v>0</v>
      </c>
      <c r="R1162" s="64" t="e">
        <f t="shared" si="388"/>
        <v>#DIV/0!</v>
      </c>
      <c r="S1162" s="64" t="e">
        <f t="shared" si="389"/>
        <v>#DIV/0!</v>
      </c>
      <c r="T1162" s="67" t="e">
        <f t="shared" si="390"/>
        <v>#DIV/0!</v>
      </c>
      <c r="U1162" s="64" t="e">
        <f t="shared" si="391"/>
        <v>#DIV/0!</v>
      </c>
      <c r="V1162" s="69" t="e">
        <f t="shared" si="392"/>
        <v>#DIV/0!</v>
      </c>
    </row>
    <row r="1163" spans="1:22" x14ac:dyDescent="0.3">
      <c r="A1163" s="61" t="s">
        <v>1502</v>
      </c>
      <c r="B1163" s="62" t="s">
        <v>317</v>
      </c>
      <c r="C1163" s="62" t="s">
        <v>841</v>
      </c>
      <c r="D1163" s="62" t="s">
        <v>1585</v>
      </c>
      <c r="E1163" s="63" t="s">
        <v>394</v>
      </c>
      <c r="F1163" s="62" t="s">
        <v>389</v>
      </c>
      <c r="G1163" s="62" t="s">
        <v>272</v>
      </c>
      <c r="H1163" s="62" t="s">
        <v>11</v>
      </c>
      <c r="I1163" s="62" t="s">
        <v>210</v>
      </c>
      <c r="J1163" s="63" t="s">
        <v>273</v>
      </c>
      <c r="K1163" s="62" t="s">
        <v>317</v>
      </c>
      <c r="L1163" s="64">
        <v>73.28</v>
      </c>
      <c r="M1163" s="64">
        <f t="shared" si="387"/>
        <v>73.28</v>
      </c>
      <c r="N1163" s="65">
        <f t="shared" si="393"/>
        <v>0</v>
      </c>
      <c r="O1163" s="66">
        <f t="shared" si="394"/>
        <v>0</v>
      </c>
      <c r="P1163" s="62" t="s">
        <v>40</v>
      </c>
      <c r="Q1163" s="67">
        <f t="shared" si="395"/>
        <v>0</v>
      </c>
      <c r="R1163" s="64" t="e">
        <f t="shared" si="388"/>
        <v>#DIV/0!</v>
      </c>
      <c r="S1163" s="64" t="e">
        <f t="shared" si="389"/>
        <v>#DIV/0!</v>
      </c>
      <c r="T1163" s="67" t="e">
        <f t="shared" si="390"/>
        <v>#DIV/0!</v>
      </c>
      <c r="U1163" s="64" t="e">
        <f t="shared" si="391"/>
        <v>#DIV/0!</v>
      </c>
      <c r="V1163" s="69" t="e">
        <f t="shared" si="392"/>
        <v>#DIV/0!</v>
      </c>
    </row>
    <row r="1164" spans="1:22" x14ac:dyDescent="0.3">
      <c r="A1164" s="61" t="s">
        <v>1502</v>
      </c>
      <c r="B1164" s="62" t="s">
        <v>317</v>
      </c>
      <c r="C1164" s="62" t="s">
        <v>841</v>
      </c>
      <c r="D1164" s="62" t="s">
        <v>1586</v>
      </c>
      <c r="E1164" s="63" t="s">
        <v>394</v>
      </c>
      <c r="F1164" s="62" t="s">
        <v>389</v>
      </c>
      <c r="G1164" s="62" t="s">
        <v>272</v>
      </c>
      <c r="H1164" s="62" t="s">
        <v>11</v>
      </c>
      <c r="I1164" s="62" t="s">
        <v>210</v>
      </c>
      <c r="J1164" s="63" t="s">
        <v>273</v>
      </c>
      <c r="K1164" s="62" t="s">
        <v>317</v>
      </c>
      <c r="L1164" s="64">
        <v>35.89</v>
      </c>
      <c r="M1164" s="64">
        <f t="shared" si="387"/>
        <v>35.89</v>
      </c>
      <c r="N1164" s="65">
        <f t="shared" si="393"/>
        <v>0</v>
      </c>
      <c r="O1164" s="66">
        <f t="shared" si="394"/>
        <v>0</v>
      </c>
      <c r="P1164" s="62" t="s">
        <v>40</v>
      </c>
      <c r="Q1164" s="67">
        <f t="shared" si="395"/>
        <v>0</v>
      </c>
      <c r="R1164" s="64" t="e">
        <f t="shared" si="388"/>
        <v>#DIV/0!</v>
      </c>
      <c r="S1164" s="64" t="e">
        <f t="shared" si="389"/>
        <v>#DIV/0!</v>
      </c>
      <c r="T1164" s="67" t="e">
        <f t="shared" si="390"/>
        <v>#DIV/0!</v>
      </c>
      <c r="U1164" s="64" t="e">
        <f t="shared" si="391"/>
        <v>#DIV/0!</v>
      </c>
      <c r="V1164" s="69" t="e">
        <f t="shared" si="392"/>
        <v>#DIV/0!</v>
      </c>
    </row>
    <row r="1165" spans="1:22" x14ac:dyDescent="0.3">
      <c r="A1165" s="61" t="s">
        <v>1502</v>
      </c>
      <c r="B1165" s="62" t="s">
        <v>317</v>
      </c>
      <c r="C1165" s="62" t="s">
        <v>841</v>
      </c>
      <c r="D1165" s="62" t="s">
        <v>1587</v>
      </c>
      <c r="E1165" s="63" t="s">
        <v>394</v>
      </c>
      <c r="F1165" s="62" t="s">
        <v>389</v>
      </c>
      <c r="G1165" s="62" t="s">
        <v>272</v>
      </c>
      <c r="H1165" s="62" t="s">
        <v>11</v>
      </c>
      <c r="I1165" s="62" t="s">
        <v>210</v>
      </c>
      <c r="J1165" s="63" t="s">
        <v>273</v>
      </c>
      <c r="K1165" s="62" t="s">
        <v>317</v>
      </c>
      <c r="L1165" s="64">
        <v>8.9</v>
      </c>
      <c r="M1165" s="64">
        <f t="shared" si="387"/>
        <v>8.9</v>
      </c>
      <c r="N1165" s="65">
        <f t="shared" si="393"/>
        <v>0</v>
      </c>
      <c r="O1165" s="66">
        <f t="shared" si="394"/>
        <v>0</v>
      </c>
      <c r="P1165" s="62" t="s">
        <v>40</v>
      </c>
      <c r="Q1165" s="67">
        <f t="shared" si="395"/>
        <v>0</v>
      </c>
      <c r="R1165" s="64" t="e">
        <f t="shared" si="388"/>
        <v>#DIV/0!</v>
      </c>
      <c r="S1165" s="64" t="e">
        <f t="shared" si="389"/>
        <v>#DIV/0!</v>
      </c>
      <c r="T1165" s="67" t="e">
        <f t="shared" si="390"/>
        <v>#DIV/0!</v>
      </c>
      <c r="U1165" s="64" t="e">
        <f t="shared" si="391"/>
        <v>#DIV/0!</v>
      </c>
      <c r="V1165" s="69" t="e">
        <f t="shared" si="392"/>
        <v>#DIV/0!</v>
      </c>
    </row>
    <row r="1166" spans="1:22" x14ac:dyDescent="0.3">
      <c r="A1166" s="61" t="s">
        <v>1502</v>
      </c>
      <c r="B1166" s="62" t="s">
        <v>317</v>
      </c>
      <c r="C1166" s="62" t="s">
        <v>841</v>
      </c>
      <c r="D1166" s="62" t="s">
        <v>1588</v>
      </c>
      <c r="E1166" s="63" t="s">
        <v>394</v>
      </c>
      <c r="F1166" s="62" t="s">
        <v>389</v>
      </c>
      <c r="G1166" s="62" t="s">
        <v>272</v>
      </c>
      <c r="H1166" s="62" t="s">
        <v>11</v>
      </c>
      <c r="I1166" s="62" t="s">
        <v>210</v>
      </c>
      <c r="J1166" s="63" t="s">
        <v>273</v>
      </c>
      <c r="K1166" s="62" t="s">
        <v>317</v>
      </c>
      <c r="L1166" s="64">
        <v>24.93</v>
      </c>
      <c r="M1166" s="64">
        <f t="shared" si="387"/>
        <v>24.93</v>
      </c>
      <c r="N1166" s="65">
        <f t="shared" si="393"/>
        <v>0</v>
      </c>
      <c r="O1166" s="66">
        <f t="shared" si="394"/>
        <v>0</v>
      </c>
      <c r="P1166" s="62" t="s">
        <v>40</v>
      </c>
      <c r="Q1166" s="67">
        <f t="shared" si="395"/>
        <v>0</v>
      </c>
      <c r="R1166" s="64" t="e">
        <f t="shared" si="388"/>
        <v>#DIV/0!</v>
      </c>
      <c r="S1166" s="64" t="e">
        <f t="shared" si="389"/>
        <v>#DIV/0!</v>
      </c>
      <c r="T1166" s="67" t="e">
        <f t="shared" si="390"/>
        <v>#DIV/0!</v>
      </c>
      <c r="U1166" s="64" t="e">
        <f t="shared" si="391"/>
        <v>#DIV/0!</v>
      </c>
      <c r="V1166" s="69" t="e">
        <f t="shared" si="392"/>
        <v>#DIV/0!</v>
      </c>
    </row>
    <row r="1167" spans="1:22" x14ac:dyDescent="0.3">
      <c r="A1167" s="61" t="s">
        <v>1502</v>
      </c>
      <c r="B1167" s="62" t="s">
        <v>317</v>
      </c>
      <c r="C1167" s="62" t="s">
        <v>841</v>
      </c>
      <c r="D1167" s="62" t="s">
        <v>1414</v>
      </c>
      <c r="E1167" s="63" t="s">
        <v>619</v>
      </c>
      <c r="F1167" s="62" t="s">
        <v>348</v>
      </c>
      <c r="G1167" s="62" t="s">
        <v>240</v>
      </c>
      <c r="H1167" s="62" t="s">
        <v>11</v>
      </c>
      <c r="I1167" s="62" t="s">
        <v>210</v>
      </c>
      <c r="J1167" s="63" t="s">
        <v>241</v>
      </c>
      <c r="K1167" s="62" t="s">
        <v>317</v>
      </c>
      <c r="L1167" s="64">
        <v>148.25</v>
      </c>
      <c r="M1167" s="64">
        <f t="shared" si="387"/>
        <v>148.25</v>
      </c>
      <c r="N1167" s="65">
        <f>prodnorm25</f>
        <v>0</v>
      </c>
      <c r="O1167" s="66">
        <f>dagwerk25</f>
        <v>0</v>
      </c>
      <c r="P1167" s="62" t="s">
        <v>40</v>
      </c>
      <c r="Q1167" s="67">
        <f>uurtarief25</f>
        <v>0</v>
      </c>
      <c r="R1167" s="64" t="e">
        <f t="shared" si="388"/>
        <v>#DIV/0!</v>
      </c>
      <c r="S1167" s="64" t="e">
        <f t="shared" si="389"/>
        <v>#DIV/0!</v>
      </c>
      <c r="T1167" s="67" t="e">
        <f t="shared" si="390"/>
        <v>#DIV/0!</v>
      </c>
      <c r="U1167" s="64" t="e">
        <f t="shared" si="391"/>
        <v>#DIV/0!</v>
      </c>
      <c r="V1167" s="69" t="e">
        <f t="shared" si="392"/>
        <v>#DIV/0!</v>
      </c>
    </row>
    <row r="1168" spans="1:22" x14ac:dyDescent="0.3">
      <c r="A1168" s="61" t="s">
        <v>1502</v>
      </c>
      <c r="B1168" s="62" t="s">
        <v>317</v>
      </c>
      <c r="C1168" s="62" t="s">
        <v>841</v>
      </c>
      <c r="D1168" s="62" t="s">
        <v>1416</v>
      </c>
      <c r="E1168" s="63" t="s">
        <v>391</v>
      </c>
      <c r="F1168" s="62" t="s">
        <v>389</v>
      </c>
      <c r="G1168" s="62" t="s">
        <v>234</v>
      </c>
      <c r="H1168" s="62" t="s">
        <v>14</v>
      </c>
      <c r="I1168" s="62" t="s">
        <v>210</v>
      </c>
      <c r="J1168" s="63" t="s">
        <v>235</v>
      </c>
      <c r="K1168" s="62" t="s">
        <v>317</v>
      </c>
      <c r="L1168" s="64">
        <v>57.41</v>
      </c>
      <c r="M1168" s="64">
        <f t="shared" si="387"/>
        <v>34.445999999999998</v>
      </c>
      <c r="N1168" s="65">
        <f>prodnorm22</f>
        <v>0</v>
      </c>
      <c r="O1168" s="66">
        <f>dagwerk22</f>
        <v>0</v>
      </c>
      <c r="P1168" s="62" t="s">
        <v>40</v>
      </c>
      <c r="Q1168" s="67">
        <f>uurtarief22</f>
        <v>0</v>
      </c>
      <c r="R1168" s="64" t="e">
        <f t="shared" si="388"/>
        <v>#DIV/0!</v>
      </c>
      <c r="S1168" s="64" t="e">
        <f t="shared" si="389"/>
        <v>#DIV/0!</v>
      </c>
      <c r="T1168" s="67" t="e">
        <f t="shared" si="390"/>
        <v>#DIV/0!</v>
      </c>
      <c r="U1168" s="64" t="e">
        <f t="shared" si="391"/>
        <v>#DIV/0!</v>
      </c>
      <c r="V1168" s="69" t="e">
        <f t="shared" si="392"/>
        <v>#DIV/0!</v>
      </c>
    </row>
    <row r="1169" spans="1:22" x14ac:dyDescent="0.3">
      <c r="A1169" s="61" t="s">
        <v>1502</v>
      </c>
      <c r="B1169" s="62" t="s">
        <v>317</v>
      </c>
      <c r="C1169" s="62" t="s">
        <v>841</v>
      </c>
      <c r="D1169" s="62" t="s">
        <v>1417</v>
      </c>
      <c r="E1169" s="63" t="s">
        <v>391</v>
      </c>
      <c r="F1169" s="62" t="s">
        <v>389</v>
      </c>
      <c r="G1169" s="62" t="s">
        <v>234</v>
      </c>
      <c r="H1169" s="62" t="s">
        <v>14</v>
      </c>
      <c r="I1169" s="62" t="s">
        <v>210</v>
      </c>
      <c r="J1169" s="63" t="s">
        <v>235</v>
      </c>
      <c r="K1169" s="62" t="s">
        <v>317</v>
      </c>
      <c r="L1169" s="64">
        <v>58.11</v>
      </c>
      <c r="M1169" s="64">
        <f t="shared" si="387"/>
        <v>34.866</v>
      </c>
      <c r="N1169" s="65">
        <f>prodnorm22</f>
        <v>0</v>
      </c>
      <c r="O1169" s="66">
        <f>dagwerk22</f>
        <v>0</v>
      </c>
      <c r="P1169" s="62" t="s">
        <v>40</v>
      </c>
      <c r="Q1169" s="67">
        <f>uurtarief22</f>
        <v>0</v>
      </c>
      <c r="R1169" s="64" t="e">
        <f t="shared" si="388"/>
        <v>#DIV/0!</v>
      </c>
      <c r="S1169" s="64" t="e">
        <f t="shared" si="389"/>
        <v>#DIV/0!</v>
      </c>
      <c r="T1169" s="67" t="e">
        <f t="shared" si="390"/>
        <v>#DIV/0!</v>
      </c>
      <c r="U1169" s="64" t="e">
        <f t="shared" si="391"/>
        <v>#DIV/0!</v>
      </c>
      <c r="V1169" s="69" t="e">
        <f t="shared" si="392"/>
        <v>#DIV/0!</v>
      </c>
    </row>
    <row r="1170" spans="1:22" x14ac:dyDescent="0.3">
      <c r="A1170" s="61" t="s">
        <v>1502</v>
      </c>
      <c r="B1170" s="62" t="s">
        <v>317</v>
      </c>
      <c r="C1170" s="62" t="s">
        <v>841</v>
      </c>
      <c r="D1170" s="62" t="s">
        <v>1418</v>
      </c>
      <c r="E1170" s="63" t="s">
        <v>391</v>
      </c>
      <c r="F1170" s="62" t="s">
        <v>389</v>
      </c>
      <c r="G1170" s="62" t="s">
        <v>234</v>
      </c>
      <c r="H1170" s="62" t="s">
        <v>14</v>
      </c>
      <c r="I1170" s="62" t="s">
        <v>210</v>
      </c>
      <c r="J1170" s="63" t="s">
        <v>235</v>
      </c>
      <c r="K1170" s="62" t="s">
        <v>317</v>
      </c>
      <c r="L1170" s="64">
        <v>58.04</v>
      </c>
      <c r="M1170" s="64">
        <f t="shared" si="387"/>
        <v>34.823999999999998</v>
      </c>
      <c r="N1170" s="65">
        <f>prodnorm22</f>
        <v>0</v>
      </c>
      <c r="O1170" s="66">
        <f>dagwerk22</f>
        <v>0</v>
      </c>
      <c r="P1170" s="62" t="s">
        <v>40</v>
      </c>
      <c r="Q1170" s="67">
        <f>uurtarief22</f>
        <v>0</v>
      </c>
      <c r="R1170" s="64" t="e">
        <f t="shared" si="388"/>
        <v>#DIV/0!</v>
      </c>
      <c r="S1170" s="64" t="e">
        <f t="shared" si="389"/>
        <v>#DIV/0!</v>
      </c>
      <c r="T1170" s="67" t="e">
        <f t="shared" si="390"/>
        <v>#DIV/0!</v>
      </c>
      <c r="U1170" s="64" t="e">
        <f t="shared" si="391"/>
        <v>#DIV/0!</v>
      </c>
      <c r="V1170" s="69" t="e">
        <f t="shared" si="392"/>
        <v>#DIV/0!</v>
      </c>
    </row>
    <row r="1171" spans="1:22" x14ac:dyDescent="0.3">
      <c r="A1171" s="61" t="s">
        <v>1502</v>
      </c>
      <c r="B1171" s="62" t="s">
        <v>317</v>
      </c>
      <c r="C1171" s="62" t="s">
        <v>841</v>
      </c>
      <c r="D1171" s="62" t="s">
        <v>1419</v>
      </c>
      <c r="E1171" s="63" t="s">
        <v>391</v>
      </c>
      <c r="F1171" s="62" t="s">
        <v>389</v>
      </c>
      <c r="G1171" s="62" t="s">
        <v>234</v>
      </c>
      <c r="H1171" s="62" t="s">
        <v>14</v>
      </c>
      <c r="I1171" s="62" t="s">
        <v>210</v>
      </c>
      <c r="J1171" s="63" t="s">
        <v>235</v>
      </c>
      <c r="K1171" s="62" t="s">
        <v>317</v>
      </c>
      <c r="L1171" s="64">
        <v>57.77</v>
      </c>
      <c r="M1171" s="64">
        <f t="shared" si="387"/>
        <v>34.661999999999999</v>
      </c>
      <c r="N1171" s="65">
        <f>prodnorm22</f>
        <v>0</v>
      </c>
      <c r="O1171" s="66">
        <f>dagwerk22</f>
        <v>0</v>
      </c>
      <c r="P1171" s="62" t="s">
        <v>40</v>
      </c>
      <c r="Q1171" s="67">
        <f>uurtarief22</f>
        <v>0</v>
      </c>
      <c r="R1171" s="64" t="e">
        <f t="shared" si="388"/>
        <v>#DIV/0!</v>
      </c>
      <c r="S1171" s="64" t="e">
        <f t="shared" si="389"/>
        <v>#DIV/0!</v>
      </c>
      <c r="T1171" s="67" t="e">
        <f t="shared" si="390"/>
        <v>#DIV/0!</v>
      </c>
      <c r="U1171" s="64" t="e">
        <f t="shared" si="391"/>
        <v>#DIV/0!</v>
      </c>
      <c r="V1171" s="69" t="e">
        <f t="shared" si="392"/>
        <v>#DIV/0!</v>
      </c>
    </row>
    <row r="1172" spans="1:22" x14ac:dyDescent="0.3">
      <c r="A1172" s="61" t="s">
        <v>1502</v>
      </c>
      <c r="B1172" s="62" t="s">
        <v>317</v>
      </c>
      <c r="C1172" s="62" t="s">
        <v>841</v>
      </c>
      <c r="D1172" s="62" t="s">
        <v>1420</v>
      </c>
      <c r="E1172" s="63" t="s">
        <v>391</v>
      </c>
      <c r="F1172" s="62" t="s">
        <v>389</v>
      </c>
      <c r="G1172" s="62" t="s">
        <v>234</v>
      </c>
      <c r="H1172" s="62" t="s">
        <v>14</v>
      </c>
      <c r="I1172" s="62" t="s">
        <v>210</v>
      </c>
      <c r="J1172" s="63" t="s">
        <v>235</v>
      </c>
      <c r="K1172" s="62" t="s">
        <v>317</v>
      </c>
      <c r="L1172" s="64">
        <v>58.11</v>
      </c>
      <c r="M1172" s="64">
        <f t="shared" si="387"/>
        <v>34.866</v>
      </c>
      <c r="N1172" s="65">
        <f>prodnorm22</f>
        <v>0</v>
      </c>
      <c r="O1172" s="66">
        <f>dagwerk22</f>
        <v>0</v>
      </c>
      <c r="P1172" s="62" t="s">
        <v>40</v>
      </c>
      <c r="Q1172" s="67">
        <f>uurtarief22</f>
        <v>0</v>
      </c>
      <c r="R1172" s="64" t="e">
        <f t="shared" si="388"/>
        <v>#DIV/0!</v>
      </c>
      <c r="S1172" s="64" t="e">
        <f t="shared" si="389"/>
        <v>#DIV/0!</v>
      </c>
      <c r="T1172" s="67" t="e">
        <f t="shared" si="390"/>
        <v>#DIV/0!</v>
      </c>
      <c r="U1172" s="64" t="e">
        <f t="shared" si="391"/>
        <v>#DIV/0!</v>
      </c>
      <c r="V1172" s="69" t="e">
        <f t="shared" si="392"/>
        <v>#DIV/0!</v>
      </c>
    </row>
    <row r="1173" spans="1:22" x14ac:dyDescent="0.3">
      <c r="A1173" s="61" t="s">
        <v>1502</v>
      </c>
      <c r="B1173" s="62" t="s">
        <v>317</v>
      </c>
      <c r="C1173" s="62" t="s">
        <v>841</v>
      </c>
      <c r="D1173" s="62" t="s">
        <v>1422</v>
      </c>
      <c r="E1173" s="63" t="s">
        <v>391</v>
      </c>
      <c r="F1173" s="62" t="s">
        <v>348</v>
      </c>
      <c r="G1173" s="62" t="s">
        <v>236</v>
      </c>
      <c r="H1173" s="62" t="s">
        <v>14</v>
      </c>
      <c r="I1173" s="62" t="s">
        <v>210</v>
      </c>
      <c r="J1173" s="63" t="s">
        <v>237</v>
      </c>
      <c r="K1173" s="62" t="s">
        <v>317</v>
      </c>
      <c r="L1173" s="64">
        <v>59.07</v>
      </c>
      <c r="M1173" s="64">
        <f t="shared" si="387"/>
        <v>35.442</v>
      </c>
      <c r="N1173" s="65">
        <f>prodnorm23</f>
        <v>0</v>
      </c>
      <c r="O1173" s="66">
        <f>dagwerk23</f>
        <v>0</v>
      </c>
      <c r="P1173" s="62" t="s">
        <v>40</v>
      </c>
      <c r="Q1173" s="67">
        <f>uurtarief23</f>
        <v>0</v>
      </c>
      <c r="R1173" s="64" t="e">
        <f t="shared" si="388"/>
        <v>#DIV/0!</v>
      </c>
      <c r="S1173" s="64" t="e">
        <f t="shared" si="389"/>
        <v>#DIV/0!</v>
      </c>
      <c r="T1173" s="67" t="e">
        <f t="shared" si="390"/>
        <v>#DIV/0!</v>
      </c>
      <c r="U1173" s="64" t="e">
        <f t="shared" si="391"/>
        <v>#DIV/0!</v>
      </c>
      <c r="V1173" s="69" t="e">
        <f t="shared" si="392"/>
        <v>#DIV/0!</v>
      </c>
    </row>
    <row r="1174" spans="1:22" x14ac:dyDescent="0.3">
      <c r="A1174" s="61" t="s">
        <v>1502</v>
      </c>
      <c r="B1174" s="62" t="s">
        <v>317</v>
      </c>
      <c r="C1174" s="62" t="s">
        <v>841</v>
      </c>
      <c r="D1174" s="62" t="s">
        <v>1589</v>
      </c>
      <c r="E1174" s="63" t="s">
        <v>1590</v>
      </c>
      <c r="F1174" s="62" t="s">
        <v>348</v>
      </c>
      <c r="G1174" s="62" t="s">
        <v>212</v>
      </c>
      <c r="H1174" s="62" t="s">
        <v>17</v>
      </c>
      <c r="I1174" s="62" t="s">
        <v>210</v>
      </c>
      <c r="J1174" s="63" t="s">
        <v>213</v>
      </c>
      <c r="K1174" s="62" t="s">
        <v>317</v>
      </c>
      <c r="L1174" s="64">
        <v>16.07</v>
      </c>
      <c r="M1174" s="64">
        <f t="shared" si="387"/>
        <v>3.2140000000000004</v>
      </c>
      <c r="N1174" s="65">
        <f>prodnorm11</f>
        <v>0</v>
      </c>
      <c r="O1174" s="66">
        <f>dagwerk11</f>
        <v>0</v>
      </c>
      <c r="P1174" s="62" t="s">
        <v>40</v>
      </c>
      <c r="Q1174" s="67">
        <f>uurtarief11</f>
        <v>0</v>
      </c>
      <c r="R1174" s="64" t="e">
        <f t="shared" si="388"/>
        <v>#DIV/0!</v>
      </c>
      <c r="S1174" s="64" t="e">
        <f t="shared" si="389"/>
        <v>#DIV/0!</v>
      </c>
      <c r="T1174" s="67" t="e">
        <f t="shared" si="390"/>
        <v>#DIV/0!</v>
      </c>
      <c r="U1174" s="64" t="e">
        <f t="shared" si="391"/>
        <v>#DIV/0!</v>
      </c>
      <c r="V1174" s="69" t="e">
        <f t="shared" si="392"/>
        <v>#DIV/0!</v>
      </c>
    </row>
    <row r="1175" spans="1:22" x14ac:dyDescent="0.3">
      <c r="A1175" s="61" t="s">
        <v>1502</v>
      </c>
      <c r="B1175" s="62" t="s">
        <v>317</v>
      </c>
      <c r="C1175" s="62" t="s">
        <v>841</v>
      </c>
      <c r="D1175" s="62" t="s">
        <v>1591</v>
      </c>
      <c r="E1175" s="63" t="s">
        <v>1592</v>
      </c>
      <c r="F1175" s="62" t="s">
        <v>348</v>
      </c>
      <c r="G1175" s="62" t="s">
        <v>212</v>
      </c>
      <c r="H1175" s="62" t="s">
        <v>17</v>
      </c>
      <c r="I1175" s="62" t="s">
        <v>210</v>
      </c>
      <c r="J1175" s="63" t="s">
        <v>213</v>
      </c>
      <c r="K1175" s="62" t="s">
        <v>317</v>
      </c>
      <c r="L1175" s="64">
        <v>20.22</v>
      </c>
      <c r="M1175" s="64">
        <f t="shared" si="387"/>
        <v>4.0439999999999996</v>
      </c>
      <c r="N1175" s="65">
        <f>prodnorm11</f>
        <v>0</v>
      </c>
      <c r="O1175" s="66">
        <f>dagwerk11</f>
        <v>0</v>
      </c>
      <c r="P1175" s="62" t="s">
        <v>40</v>
      </c>
      <c r="Q1175" s="67">
        <f>uurtarief11</f>
        <v>0</v>
      </c>
      <c r="R1175" s="64" t="e">
        <f t="shared" si="388"/>
        <v>#DIV/0!</v>
      </c>
      <c r="S1175" s="64" t="e">
        <f t="shared" si="389"/>
        <v>#DIV/0!</v>
      </c>
      <c r="T1175" s="67" t="e">
        <f t="shared" si="390"/>
        <v>#DIV/0!</v>
      </c>
      <c r="U1175" s="64" t="e">
        <f t="shared" si="391"/>
        <v>#DIV/0!</v>
      </c>
      <c r="V1175" s="69" t="e">
        <f t="shared" si="392"/>
        <v>#DIV/0!</v>
      </c>
    </row>
    <row r="1176" spans="1:22" x14ac:dyDescent="0.3">
      <c r="A1176" s="61" t="s">
        <v>1502</v>
      </c>
      <c r="B1176" s="62" t="s">
        <v>317</v>
      </c>
      <c r="C1176" s="62" t="s">
        <v>841</v>
      </c>
      <c r="D1176" s="62" t="s">
        <v>1593</v>
      </c>
      <c r="E1176" s="63" t="s">
        <v>1594</v>
      </c>
      <c r="F1176" s="62" t="s">
        <v>348</v>
      </c>
      <c r="G1176" s="62" t="s">
        <v>212</v>
      </c>
      <c r="H1176" s="62" t="s">
        <v>17</v>
      </c>
      <c r="I1176" s="62" t="s">
        <v>210</v>
      </c>
      <c r="J1176" s="63" t="s">
        <v>213</v>
      </c>
      <c r="K1176" s="62" t="s">
        <v>317</v>
      </c>
      <c r="L1176" s="64">
        <v>16.07</v>
      </c>
      <c r="M1176" s="64">
        <f t="shared" si="387"/>
        <v>3.2140000000000004</v>
      </c>
      <c r="N1176" s="65">
        <f>prodnorm11</f>
        <v>0</v>
      </c>
      <c r="O1176" s="66">
        <f>dagwerk11</f>
        <v>0</v>
      </c>
      <c r="P1176" s="62" t="s">
        <v>40</v>
      </c>
      <c r="Q1176" s="67">
        <f>uurtarief11</f>
        <v>0</v>
      </c>
      <c r="R1176" s="64" t="e">
        <f t="shared" si="388"/>
        <v>#DIV/0!</v>
      </c>
      <c r="S1176" s="64" t="e">
        <f t="shared" si="389"/>
        <v>#DIV/0!</v>
      </c>
      <c r="T1176" s="67" t="e">
        <f t="shared" si="390"/>
        <v>#DIV/0!</v>
      </c>
      <c r="U1176" s="64" t="e">
        <f t="shared" si="391"/>
        <v>#DIV/0!</v>
      </c>
      <c r="V1176" s="69" t="e">
        <f t="shared" si="392"/>
        <v>#DIV/0!</v>
      </c>
    </row>
    <row r="1177" spans="1:22" x14ac:dyDescent="0.3">
      <c r="A1177" s="61" t="s">
        <v>1502</v>
      </c>
      <c r="B1177" s="62" t="s">
        <v>317</v>
      </c>
      <c r="C1177" s="62" t="s">
        <v>841</v>
      </c>
      <c r="D1177" s="62" t="s">
        <v>1595</v>
      </c>
      <c r="E1177" s="63" t="s">
        <v>707</v>
      </c>
      <c r="F1177" s="62" t="s">
        <v>348</v>
      </c>
      <c r="G1177" s="62" t="s">
        <v>226</v>
      </c>
      <c r="H1177" s="62" t="s">
        <v>14</v>
      </c>
      <c r="I1177" s="62" t="s">
        <v>210</v>
      </c>
      <c r="J1177" s="63" t="s">
        <v>227</v>
      </c>
      <c r="K1177" s="62" t="s">
        <v>317</v>
      </c>
      <c r="L1177" s="64">
        <v>80.08</v>
      </c>
      <c r="M1177" s="64">
        <f t="shared" si="387"/>
        <v>48.047999999999995</v>
      </c>
      <c r="N1177" s="65">
        <f>prodnorm18</f>
        <v>0</v>
      </c>
      <c r="O1177" s="66">
        <f>dagwerk18</f>
        <v>0</v>
      </c>
      <c r="P1177" s="62" t="s">
        <v>40</v>
      </c>
      <c r="Q1177" s="67">
        <f>uurtarief18</f>
        <v>0</v>
      </c>
      <c r="R1177" s="64" t="e">
        <f t="shared" si="388"/>
        <v>#DIV/0!</v>
      </c>
      <c r="S1177" s="64" t="e">
        <f t="shared" si="389"/>
        <v>#DIV/0!</v>
      </c>
      <c r="T1177" s="67" t="e">
        <f t="shared" si="390"/>
        <v>#DIV/0!</v>
      </c>
      <c r="U1177" s="64" t="e">
        <f t="shared" si="391"/>
        <v>#DIV/0!</v>
      </c>
      <c r="V1177" s="69" t="e">
        <f t="shared" si="392"/>
        <v>#DIV/0!</v>
      </c>
    </row>
    <row r="1178" spans="1:22" x14ac:dyDescent="0.3">
      <c r="A1178" s="61" t="s">
        <v>1502</v>
      </c>
      <c r="B1178" s="62" t="s">
        <v>317</v>
      </c>
      <c r="C1178" s="62" t="s">
        <v>841</v>
      </c>
      <c r="D1178" s="62" t="s">
        <v>1596</v>
      </c>
      <c r="E1178" s="63" t="s">
        <v>707</v>
      </c>
      <c r="F1178" s="62" t="s">
        <v>348</v>
      </c>
      <c r="G1178" s="62" t="s">
        <v>226</v>
      </c>
      <c r="H1178" s="62" t="s">
        <v>14</v>
      </c>
      <c r="I1178" s="62" t="s">
        <v>210</v>
      </c>
      <c r="J1178" s="63" t="s">
        <v>227</v>
      </c>
      <c r="K1178" s="62" t="s">
        <v>317</v>
      </c>
      <c r="L1178" s="64">
        <v>16.09</v>
      </c>
      <c r="M1178" s="64">
        <f t="shared" si="387"/>
        <v>9.6539999999999999</v>
      </c>
      <c r="N1178" s="65">
        <f>prodnorm18</f>
        <v>0</v>
      </c>
      <c r="O1178" s="66">
        <f>dagwerk18</f>
        <v>0</v>
      </c>
      <c r="P1178" s="62" t="s">
        <v>40</v>
      </c>
      <c r="Q1178" s="67">
        <f>uurtarief18</f>
        <v>0</v>
      </c>
      <c r="R1178" s="64" t="e">
        <f t="shared" si="388"/>
        <v>#DIV/0!</v>
      </c>
      <c r="S1178" s="64" t="e">
        <f t="shared" si="389"/>
        <v>#DIV/0!</v>
      </c>
      <c r="T1178" s="67" t="e">
        <f t="shared" si="390"/>
        <v>#DIV/0!</v>
      </c>
      <c r="U1178" s="64" t="e">
        <f t="shared" si="391"/>
        <v>#DIV/0!</v>
      </c>
      <c r="V1178" s="69" t="e">
        <f t="shared" si="392"/>
        <v>#DIV/0!</v>
      </c>
    </row>
    <row r="1179" spans="1:22" x14ac:dyDescent="0.3">
      <c r="A1179" s="61" t="s">
        <v>1502</v>
      </c>
      <c r="B1179" s="62" t="s">
        <v>317</v>
      </c>
      <c r="C1179" s="62" t="s">
        <v>841</v>
      </c>
      <c r="D1179" s="62" t="s">
        <v>1597</v>
      </c>
      <c r="E1179" s="63" t="s">
        <v>707</v>
      </c>
      <c r="F1179" s="62" t="s">
        <v>348</v>
      </c>
      <c r="G1179" s="62" t="s">
        <v>226</v>
      </c>
      <c r="H1179" s="62" t="s">
        <v>14</v>
      </c>
      <c r="I1179" s="62" t="s">
        <v>210</v>
      </c>
      <c r="J1179" s="63" t="s">
        <v>227</v>
      </c>
      <c r="K1179" s="62" t="s">
        <v>317</v>
      </c>
      <c r="L1179" s="64">
        <v>20.8</v>
      </c>
      <c r="M1179" s="64">
        <f t="shared" si="387"/>
        <v>12.48</v>
      </c>
      <c r="N1179" s="65">
        <f>prodnorm18</f>
        <v>0</v>
      </c>
      <c r="O1179" s="66">
        <f>dagwerk18</f>
        <v>0</v>
      </c>
      <c r="P1179" s="62" t="s">
        <v>40</v>
      </c>
      <c r="Q1179" s="67">
        <f>uurtarief18</f>
        <v>0</v>
      </c>
      <c r="R1179" s="64" t="e">
        <f t="shared" si="388"/>
        <v>#DIV/0!</v>
      </c>
      <c r="S1179" s="64" t="e">
        <f t="shared" si="389"/>
        <v>#DIV/0!</v>
      </c>
      <c r="T1179" s="67" t="e">
        <f t="shared" si="390"/>
        <v>#DIV/0!</v>
      </c>
      <c r="U1179" s="64" t="e">
        <f t="shared" si="391"/>
        <v>#DIV/0!</v>
      </c>
      <c r="V1179" s="69" t="e">
        <f t="shared" si="392"/>
        <v>#DIV/0!</v>
      </c>
    </row>
    <row r="1180" spans="1:22" x14ac:dyDescent="0.3">
      <c r="A1180" s="61" t="s">
        <v>1502</v>
      </c>
      <c r="B1180" s="62" t="s">
        <v>317</v>
      </c>
      <c r="C1180" s="62" t="s">
        <v>841</v>
      </c>
      <c r="D1180" s="62" t="s">
        <v>1598</v>
      </c>
      <c r="E1180" s="63" t="s">
        <v>1599</v>
      </c>
      <c r="F1180" s="62" t="s">
        <v>348</v>
      </c>
      <c r="G1180" s="62" t="s">
        <v>212</v>
      </c>
      <c r="H1180" s="62" t="s">
        <v>17</v>
      </c>
      <c r="I1180" s="62" t="s">
        <v>210</v>
      </c>
      <c r="J1180" s="63" t="s">
        <v>213</v>
      </c>
      <c r="K1180" s="62" t="s">
        <v>317</v>
      </c>
      <c r="L1180" s="64">
        <v>28.21</v>
      </c>
      <c r="M1180" s="64">
        <f t="shared" si="387"/>
        <v>5.6420000000000003</v>
      </c>
      <c r="N1180" s="65">
        <f>prodnorm11</f>
        <v>0</v>
      </c>
      <c r="O1180" s="66">
        <f>dagwerk11</f>
        <v>0</v>
      </c>
      <c r="P1180" s="62" t="s">
        <v>40</v>
      </c>
      <c r="Q1180" s="67">
        <f>uurtarief11</f>
        <v>0</v>
      </c>
      <c r="R1180" s="64" t="e">
        <f t="shared" si="388"/>
        <v>#DIV/0!</v>
      </c>
      <c r="S1180" s="64" t="e">
        <f t="shared" si="389"/>
        <v>#DIV/0!</v>
      </c>
      <c r="T1180" s="67" t="e">
        <f t="shared" si="390"/>
        <v>#DIV/0!</v>
      </c>
      <c r="U1180" s="64" t="e">
        <f t="shared" si="391"/>
        <v>#DIV/0!</v>
      </c>
      <c r="V1180" s="69" t="e">
        <f t="shared" si="392"/>
        <v>#DIV/0!</v>
      </c>
    </row>
    <row r="1181" spans="1:22" x14ac:dyDescent="0.3">
      <c r="A1181" s="61" t="s">
        <v>1502</v>
      </c>
      <c r="B1181" s="62" t="s">
        <v>317</v>
      </c>
      <c r="C1181" s="62" t="s">
        <v>841</v>
      </c>
      <c r="D1181" s="62" t="s">
        <v>1600</v>
      </c>
      <c r="E1181" s="63" t="s">
        <v>1601</v>
      </c>
      <c r="F1181" s="62" t="s">
        <v>389</v>
      </c>
      <c r="G1181" s="62" t="s">
        <v>254</v>
      </c>
      <c r="H1181" s="62" t="s">
        <v>11</v>
      </c>
      <c r="I1181" s="62" t="s">
        <v>210</v>
      </c>
      <c r="J1181" s="63" t="s">
        <v>255</v>
      </c>
      <c r="K1181" s="62" t="s">
        <v>317</v>
      </c>
      <c r="L1181" s="64">
        <v>87.57</v>
      </c>
      <c r="M1181" s="64">
        <f t="shared" si="387"/>
        <v>87.57</v>
      </c>
      <c r="N1181" s="65">
        <f>prodnorm33</f>
        <v>0</v>
      </c>
      <c r="O1181" s="66">
        <f>dagwerk33</f>
        <v>0</v>
      </c>
      <c r="P1181" s="62" t="s">
        <v>40</v>
      </c>
      <c r="Q1181" s="67">
        <f>uurtarief33</f>
        <v>0</v>
      </c>
      <c r="R1181" s="64" t="e">
        <f t="shared" si="388"/>
        <v>#DIV/0!</v>
      </c>
      <c r="S1181" s="64" t="e">
        <f t="shared" si="389"/>
        <v>#DIV/0!</v>
      </c>
      <c r="T1181" s="67" t="e">
        <f t="shared" si="390"/>
        <v>#DIV/0!</v>
      </c>
      <c r="U1181" s="64" t="e">
        <f t="shared" si="391"/>
        <v>#DIV/0!</v>
      </c>
      <c r="V1181" s="69" t="e">
        <f t="shared" si="392"/>
        <v>#DIV/0!</v>
      </c>
    </row>
    <row r="1182" spans="1:22" x14ac:dyDescent="0.3">
      <c r="A1182" s="61" t="s">
        <v>1502</v>
      </c>
      <c r="B1182" s="62" t="s">
        <v>317</v>
      </c>
      <c r="C1182" s="62" t="s">
        <v>841</v>
      </c>
      <c r="D1182" s="62" t="s">
        <v>1602</v>
      </c>
      <c r="E1182" s="63" t="s">
        <v>1603</v>
      </c>
      <c r="F1182" s="62" t="s">
        <v>389</v>
      </c>
      <c r="G1182" s="62" t="s">
        <v>323</v>
      </c>
      <c r="H1182" s="62"/>
      <c r="I1182" s="62"/>
      <c r="J1182" s="62"/>
      <c r="K1182" s="62" t="s">
        <v>317</v>
      </c>
      <c r="L1182" s="64">
        <v>28.630000000000003</v>
      </c>
      <c r="M1182" s="64"/>
      <c r="N1182" s="65"/>
      <c r="O1182" s="66"/>
      <c r="P1182" s="62"/>
      <c r="Q1182" s="67"/>
      <c r="R1182" s="64"/>
      <c r="S1182" s="64"/>
      <c r="T1182" s="67"/>
      <c r="U1182" s="68"/>
      <c r="V1182" s="69"/>
    </row>
    <row r="1183" spans="1:22" x14ac:dyDescent="0.3">
      <c r="A1183" s="61" t="s">
        <v>1502</v>
      </c>
      <c r="B1183" s="62" t="s">
        <v>317</v>
      </c>
      <c r="C1183" s="62" t="s">
        <v>841</v>
      </c>
      <c r="D1183" s="62" t="s">
        <v>1604</v>
      </c>
      <c r="E1183" s="63" t="s">
        <v>1605</v>
      </c>
      <c r="F1183" s="62" t="s">
        <v>389</v>
      </c>
      <c r="G1183" s="62" t="s">
        <v>254</v>
      </c>
      <c r="H1183" s="62" t="s">
        <v>11</v>
      </c>
      <c r="I1183" s="62" t="s">
        <v>210</v>
      </c>
      <c r="J1183" s="63" t="s">
        <v>255</v>
      </c>
      <c r="K1183" s="62" t="s">
        <v>317</v>
      </c>
      <c r="L1183" s="64">
        <v>85.57</v>
      </c>
      <c r="M1183" s="64">
        <f t="shared" ref="M1183:M1191" si="396">L1183*VLOOKUP(H1183,dagsoorttabel1,2,FALSE)</f>
        <v>85.57</v>
      </c>
      <c r="N1183" s="65">
        <f>prodnorm33</f>
        <v>0</v>
      </c>
      <c r="O1183" s="66">
        <f>dagwerk33</f>
        <v>0</v>
      </c>
      <c r="P1183" s="62" t="s">
        <v>40</v>
      </c>
      <c r="Q1183" s="67">
        <f>uurtarief33</f>
        <v>0</v>
      </c>
      <c r="R1183" s="64" t="e">
        <f t="shared" ref="R1183:R1191" si="397">IF(ISBLANK(N1183),0,M1183/ROUND(N1183,4))</f>
        <v>#DIV/0!</v>
      </c>
      <c r="S1183" s="64" t="e">
        <f t="shared" ref="S1183:S1191" si="398">IF(ISBLANK(N1183),0,R1183*ROUND(O1183,2))</f>
        <v>#DIV/0!</v>
      </c>
      <c r="T1183" s="67" t="e">
        <f t="shared" ref="T1183:T1191" si="399">ROUND(Q1183,2)*R1183</f>
        <v>#DIV/0!</v>
      </c>
      <c r="U1183" s="64" t="e">
        <f t="shared" ref="U1183:U1191" si="400">R1183*dagenperjaar1</f>
        <v>#DIV/0!</v>
      </c>
      <c r="V1183" s="69" t="e">
        <f t="shared" ref="V1183:V1191" si="401">U1183*ROUND(Q1183,2)</f>
        <v>#DIV/0!</v>
      </c>
    </row>
    <row r="1184" spans="1:22" x14ac:dyDescent="0.3">
      <c r="A1184" s="61" t="s">
        <v>1502</v>
      </c>
      <c r="B1184" s="62" t="s">
        <v>317</v>
      </c>
      <c r="C1184" s="62" t="s">
        <v>841</v>
      </c>
      <c r="D1184" s="62" t="s">
        <v>1606</v>
      </c>
      <c r="E1184" s="63" t="s">
        <v>492</v>
      </c>
      <c r="F1184" s="62" t="s">
        <v>389</v>
      </c>
      <c r="G1184" s="62" t="s">
        <v>238</v>
      </c>
      <c r="H1184" s="62" t="s">
        <v>11</v>
      </c>
      <c r="I1184" s="62" t="s">
        <v>210</v>
      </c>
      <c r="J1184" s="63" t="s">
        <v>239</v>
      </c>
      <c r="K1184" s="62" t="s">
        <v>317</v>
      </c>
      <c r="L1184" s="64">
        <v>75.14</v>
      </c>
      <c r="M1184" s="64">
        <f t="shared" si="396"/>
        <v>75.14</v>
      </c>
      <c r="N1184" s="65">
        <f>prodnorm24</f>
        <v>0</v>
      </c>
      <c r="O1184" s="66">
        <f>dagwerk24</f>
        <v>0</v>
      </c>
      <c r="P1184" s="62" t="s">
        <v>40</v>
      </c>
      <c r="Q1184" s="67">
        <f>uurtarief24</f>
        <v>0</v>
      </c>
      <c r="R1184" s="64" t="e">
        <f t="shared" si="397"/>
        <v>#DIV/0!</v>
      </c>
      <c r="S1184" s="64" t="e">
        <f t="shared" si="398"/>
        <v>#DIV/0!</v>
      </c>
      <c r="T1184" s="67" t="e">
        <f t="shared" si="399"/>
        <v>#DIV/0!</v>
      </c>
      <c r="U1184" s="64" t="e">
        <f t="shared" si="400"/>
        <v>#DIV/0!</v>
      </c>
      <c r="V1184" s="69" t="e">
        <f t="shared" si="401"/>
        <v>#DIV/0!</v>
      </c>
    </row>
    <row r="1185" spans="1:22" x14ac:dyDescent="0.3">
      <c r="A1185" s="61" t="s">
        <v>1502</v>
      </c>
      <c r="B1185" s="62" t="s">
        <v>317</v>
      </c>
      <c r="C1185" s="62" t="s">
        <v>841</v>
      </c>
      <c r="D1185" s="62" t="s">
        <v>1607</v>
      </c>
      <c r="E1185" s="63" t="s">
        <v>619</v>
      </c>
      <c r="F1185" s="62" t="s">
        <v>389</v>
      </c>
      <c r="G1185" s="62" t="s">
        <v>238</v>
      </c>
      <c r="H1185" s="62" t="s">
        <v>11</v>
      </c>
      <c r="I1185" s="62" t="s">
        <v>210</v>
      </c>
      <c r="J1185" s="63" t="s">
        <v>239</v>
      </c>
      <c r="K1185" s="62" t="s">
        <v>317</v>
      </c>
      <c r="L1185" s="64">
        <v>21.2</v>
      </c>
      <c r="M1185" s="64">
        <f t="shared" si="396"/>
        <v>21.2</v>
      </c>
      <c r="N1185" s="65">
        <f>prodnorm24</f>
        <v>0</v>
      </c>
      <c r="O1185" s="66">
        <f>dagwerk24</f>
        <v>0</v>
      </c>
      <c r="P1185" s="62" t="s">
        <v>40</v>
      </c>
      <c r="Q1185" s="67">
        <f>uurtarief24</f>
        <v>0</v>
      </c>
      <c r="R1185" s="64" t="e">
        <f t="shared" si="397"/>
        <v>#DIV/0!</v>
      </c>
      <c r="S1185" s="64" t="e">
        <f t="shared" si="398"/>
        <v>#DIV/0!</v>
      </c>
      <c r="T1185" s="67" t="e">
        <f t="shared" si="399"/>
        <v>#DIV/0!</v>
      </c>
      <c r="U1185" s="64" t="e">
        <f t="shared" si="400"/>
        <v>#DIV/0!</v>
      </c>
      <c r="V1185" s="69" t="e">
        <f t="shared" si="401"/>
        <v>#DIV/0!</v>
      </c>
    </row>
    <row r="1186" spans="1:22" x14ac:dyDescent="0.3">
      <c r="A1186" s="61" t="s">
        <v>1502</v>
      </c>
      <c r="B1186" s="62" t="s">
        <v>317</v>
      </c>
      <c r="C1186" s="62" t="s">
        <v>841</v>
      </c>
      <c r="D1186" s="62" t="s">
        <v>1608</v>
      </c>
      <c r="E1186" s="63" t="s">
        <v>536</v>
      </c>
      <c r="F1186" s="62" t="s">
        <v>389</v>
      </c>
      <c r="G1186" s="62" t="s">
        <v>214</v>
      </c>
      <c r="H1186" s="62" t="s">
        <v>14</v>
      </c>
      <c r="I1186" s="62" t="s">
        <v>210</v>
      </c>
      <c r="J1186" s="63" t="s">
        <v>215</v>
      </c>
      <c r="K1186" s="62" t="s">
        <v>317</v>
      </c>
      <c r="L1186" s="64">
        <v>11.16</v>
      </c>
      <c r="M1186" s="64">
        <f t="shared" si="396"/>
        <v>6.6959999999999997</v>
      </c>
      <c r="N1186" s="65">
        <f>prodnorm12</f>
        <v>0</v>
      </c>
      <c r="O1186" s="66">
        <f>dagwerk12</f>
        <v>0</v>
      </c>
      <c r="P1186" s="62" t="s">
        <v>40</v>
      </c>
      <c r="Q1186" s="67">
        <f>uurtarief12</f>
        <v>0</v>
      </c>
      <c r="R1186" s="64" t="e">
        <f t="shared" si="397"/>
        <v>#DIV/0!</v>
      </c>
      <c r="S1186" s="64" t="e">
        <f t="shared" si="398"/>
        <v>#DIV/0!</v>
      </c>
      <c r="T1186" s="67" t="e">
        <f t="shared" si="399"/>
        <v>#DIV/0!</v>
      </c>
      <c r="U1186" s="64" t="e">
        <f t="shared" si="400"/>
        <v>#DIV/0!</v>
      </c>
      <c r="V1186" s="69" t="e">
        <f t="shared" si="401"/>
        <v>#DIV/0!</v>
      </c>
    </row>
    <row r="1187" spans="1:22" x14ac:dyDescent="0.3">
      <c r="A1187" s="61" t="s">
        <v>1502</v>
      </c>
      <c r="B1187" s="62" t="s">
        <v>317</v>
      </c>
      <c r="C1187" s="62" t="s">
        <v>841</v>
      </c>
      <c r="D1187" s="62" t="s">
        <v>1609</v>
      </c>
      <c r="E1187" s="63" t="s">
        <v>536</v>
      </c>
      <c r="F1187" s="62" t="s">
        <v>389</v>
      </c>
      <c r="G1187" s="62" t="s">
        <v>214</v>
      </c>
      <c r="H1187" s="62" t="s">
        <v>14</v>
      </c>
      <c r="I1187" s="62" t="s">
        <v>210</v>
      </c>
      <c r="J1187" s="63" t="s">
        <v>215</v>
      </c>
      <c r="K1187" s="62" t="s">
        <v>317</v>
      </c>
      <c r="L1187" s="64">
        <v>11.84</v>
      </c>
      <c r="M1187" s="64">
        <f t="shared" si="396"/>
        <v>7.1040000000000001</v>
      </c>
      <c r="N1187" s="65">
        <f>prodnorm12</f>
        <v>0</v>
      </c>
      <c r="O1187" s="66">
        <f>dagwerk12</f>
        <v>0</v>
      </c>
      <c r="P1187" s="62" t="s">
        <v>40</v>
      </c>
      <c r="Q1187" s="67">
        <f>uurtarief12</f>
        <v>0</v>
      </c>
      <c r="R1187" s="64" t="e">
        <f t="shared" si="397"/>
        <v>#DIV/0!</v>
      </c>
      <c r="S1187" s="64" t="e">
        <f t="shared" si="398"/>
        <v>#DIV/0!</v>
      </c>
      <c r="T1187" s="67" t="e">
        <f t="shared" si="399"/>
        <v>#DIV/0!</v>
      </c>
      <c r="U1187" s="64" t="e">
        <f t="shared" si="400"/>
        <v>#DIV/0!</v>
      </c>
      <c r="V1187" s="69" t="e">
        <f t="shared" si="401"/>
        <v>#DIV/0!</v>
      </c>
    </row>
    <row r="1188" spans="1:22" x14ac:dyDescent="0.3">
      <c r="A1188" s="61" t="s">
        <v>1502</v>
      </c>
      <c r="B1188" s="62" t="s">
        <v>317</v>
      </c>
      <c r="C1188" s="62" t="s">
        <v>841</v>
      </c>
      <c r="D1188" s="62" t="s">
        <v>1610</v>
      </c>
      <c r="E1188" s="63" t="s">
        <v>536</v>
      </c>
      <c r="F1188" s="62" t="s">
        <v>389</v>
      </c>
      <c r="G1188" s="62" t="s">
        <v>214</v>
      </c>
      <c r="H1188" s="62" t="s">
        <v>14</v>
      </c>
      <c r="I1188" s="62" t="s">
        <v>210</v>
      </c>
      <c r="J1188" s="63" t="s">
        <v>215</v>
      </c>
      <c r="K1188" s="62" t="s">
        <v>317</v>
      </c>
      <c r="L1188" s="64">
        <v>11.61</v>
      </c>
      <c r="M1188" s="64">
        <f t="shared" si="396"/>
        <v>6.9659999999999993</v>
      </c>
      <c r="N1188" s="65">
        <f>prodnorm12</f>
        <v>0</v>
      </c>
      <c r="O1188" s="66">
        <f>dagwerk12</f>
        <v>0</v>
      </c>
      <c r="P1188" s="62" t="s">
        <v>40</v>
      </c>
      <c r="Q1188" s="67">
        <f>uurtarief12</f>
        <v>0</v>
      </c>
      <c r="R1188" s="64" t="e">
        <f t="shared" si="397"/>
        <v>#DIV/0!</v>
      </c>
      <c r="S1188" s="64" t="e">
        <f t="shared" si="398"/>
        <v>#DIV/0!</v>
      </c>
      <c r="T1188" s="67" t="e">
        <f t="shared" si="399"/>
        <v>#DIV/0!</v>
      </c>
      <c r="U1188" s="64" t="e">
        <f t="shared" si="400"/>
        <v>#DIV/0!</v>
      </c>
      <c r="V1188" s="69" t="e">
        <f t="shared" si="401"/>
        <v>#DIV/0!</v>
      </c>
    </row>
    <row r="1189" spans="1:22" x14ac:dyDescent="0.3">
      <c r="A1189" s="61" t="s">
        <v>1502</v>
      </c>
      <c r="B1189" s="62" t="s">
        <v>317</v>
      </c>
      <c r="C1189" s="62" t="s">
        <v>841</v>
      </c>
      <c r="D1189" s="62" t="s">
        <v>1611</v>
      </c>
      <c r="E1189" s="63" t="s">
        <v>693</v>
      </c>
      <c r="F1189" s="62" t="s">
        <v>389</v>
      </c>
      <c r="G1189" s="62" t="s">
        <v>228</v>
      </c>
      <c r="H1189" s="62" t="s">
        <v>11</v>
      </c>
      <c r="I1189" s="62" t="s">
        <v>210</v>
      </c>
      <c r="J1189" s="63" t="s">
        <v>229</v>
      </c>
      <c r="K1189" s="62" t="s">
        <v>317</v>
      </c>
      <c r="L1189" s="64">
        <v>5.96</v>
      </c>
      <c r="M1189" s="64">
        <f t="shared" si="396"/>
        <v>5.96</v>
      </c>
      <c r="N1189" s="65">
        <f>prodnorm19</f>
        <v>0</v>
      </c>
      <c r="O1189" s="66">
        <f>dagwerk19</f>
        <v>0</v>
      </c>
      <c r="P1189" s="62" t="s">
        <v>40</v>
      </c>
      <c r="Q1189" s="67">
        <f>uurtarief19</f>
        <v>0</v>
      </c>
      <c r="R1189" s="64" t="e">
        <f t="shared" si="397"/>
        <v>#DIV/0!</v>
      </c>
      <c r="S1189" s="64" t="e">
        <f t="shared" si="398"/>
        <v>#DIV/0!</v>
      </c>
      <c r="T1189" s="67" t="e">
        <f t="shared" si="399"/>
        <v>#DIV/0!</v>
      </c>
      <c r="U1189" s="64" t="e">
        <f t="shared" si="400"/>
        <v>#DIV/0!</v>
      </c>
      <c r="V1189" s="69" t="e">
        <f t="shared" si="401"/>
        <v>#DIV/0!</v>
      </c>
    </row>
    <row r="1190" spans="1:22" x14ac:dyDescent="0.3">
      <c r="A1190" s="61" t="s">
        <v>1502</v>
      </c>
      <c r="B1190" s="62" t="s">
        <v>317</v>
      </c>
      <c r="C1190" s="62" t="s">
        <v>841</v>
      </c>
      <c r="D1190" s="62" t="s">
        <v>1612</v>
      </c>
      <c r="E1190" s="63" t="s">
        <v>352</v>
      </c>
      <c r="F1190" s="62" t="s">
        <v>432</v>
      </c>
      <c r="G1190" s="62" t="s">
        <v>266</v>
      </c>
      <c r="H1190" s="62" t="s">
        <v>11</v>
      </c>
      <c r="I1190" s="62" t="s">
        <v>210</v>
      </c>
      <c r="J1190" s="63" t="s">
        <v>267</v>
      </c>
      <c r="K1190" s="62" t="s">
        <v>317</v>
      </c>
      <c r="L1190" s="64">
        <v>7.05</v>
      </c>
      <c r="M1190" s="64">
        <f t="shared" si="396"/>
        <v>7.05</v>
      </c>
      <c r="N1190" s="65">
        <f>prodnorm39</f>
        <v>0</v>
      </c>
      <c r="O1190" s="66">
        <f>dagwerk39</f>
        <v>0</v>
      </c>
      <c r="P1190" s="62" t="s">
        <v>40</v>
      </c>
      <c r="Q1190" s="67">
        <f>uurtarief39</f>
        <v>0</v>
      </c>
      <c r="R1190" s="64" t="e">
        <f t="shared" si="397"/>
        <v>#DIV/0!</v>
      </c>
      <c r="S1190" s="64" t="e">
        <f t="shared" si="398"/>
        <v>#DIV/0!</v>
      </c>
      <c r="T1190" s="67" t="e">
        <f t="shared" si="399"/>
        <v>#DIV/0!</v>
      </c>
      <c r="U1190" s="64" t="e">
        <f t="shared" si="400"/>
        <v>#DIV/0!</v>
      </c>
      <c r="V1190" s="69" t="e">
        <f t="shared" si="401"/>
        <v>#DIV/0!</v>
      </c>
    </row>
    <row r="1191" spans="1:22" x14ac:dyDescent="0.3">
      <c r="A1191" s="61" t="s">
        <v>1502</v>
      </c>
      <c r="B1191" s="62" t="s">
        <v>317</v>
      </c>
      <c r="C1191" s="62" t="s">
        <v>841</v>
      </c>
      <c r="D1191" s="62" t="s">
        <v>1613</v>
      </c>
      <c r="E1191" s="63" t="s">
        <v>352</v>
      </c>
      <c r="F1191" s="62" t="s">
        <v>432</v>
      </c>
      <c r="G1191" s="62" t="s">
        <v>266</v>
      </c>
      <c r="H1191" s="62" t="s">
        <v>11</v>
      </c>
      <c r="I1191" s="62" t="s">
        <v>210</v>
      </c>
      <c r="J1191" s="63" t="s">
        <v>267</v>
      </c>
      <c r="K1191" s="62" t="s">
        <v>317</v>
      </c>
      <c r="L1191" s="64">
        <v>8.17</v>
      </c>
      <c r="M1191" s="64">
        <f t="shared" si="396"/>
        <v>8.17</v>
      </c>
      <c r="N1191" s="65">
        <f>prodnorm39</f>
        <v>0</v>
      </c>
      <c r="O1191" s="66">
        <f>dagwerk39</f>
        <v>0</v>
      </c>
      <c r="P1191" s="62" t="s">
        <v>40</v>
      </c>
      <c r="Q1191" s="67">
        <f>uurtarief39</f>
        <v>0</v>
      </c>
      <c r="R1191" s="64" t="e">
        <f t="shared" si="397"/>
        <v>#DIV/0!</v>
      </c>
      <c r="S1191" s="64" t="e">
        <f t="shared" si="398"/>
        <v>#DIV/0!</v>
      </c>
      <c r="T1191" s="67" t="e">
        <f t="shared" si="399"/>
        <v>#DIV/0!</v>
      </c>
      <c r="U1191" s="64" t="e">
        <f t="shared" si="400"/>
        <v>#DIV/0!</v>
      </c>
      <c r="V1191" s="69" t="e">
        <f t="shared" si="401"/>
        <v>#DIV/0!</v>
      </c>
    </row>
    <row r="1192" spans="1:22" x14ac:dyDescent="0.3">
      <c r="A1192" s="61" t="s">
        <v>1502</v>
      </c>
      <c r="B1192" s="62" t="s">
        <v>317</v>
      </c>
      <c r="C1192" s="62" t="s">
        <v>841</v>
      </c>
      <c r="D1192" s="62" t="s">
        <v>1614</v>
      </c>
      <c r="E1192" s="63" t="s">
        <v>374</v>
      </c>
      <c r="F1192" s="62" t="s">
        <v>389</v>
      </c>
      <c r="G1192" s="62" t="s">
        <v>323</v>
      </c>
      <c r="H1192" s="62"/>
      <c r="I1192" s="62"/>
      <c r="J1192" s="62"/>
      <c r="K1192" s="62" t="s">
        <v>317</v>
      </c>
      <c r="L1192" s="64">
        <v>5.08</v>
      </c>
      <c r="M1192" s="64"/>
      <c r="N1192" s="65"/>
      <c r="O1192" s="66"/>
      <c r="P1192" s="62"/>
      <c r="Q1192" s="67"/>
      <c r="R1192" s="64"/>
      <c r="S1192" s="64"/>
      <c r="T1192" s="67"/>
      <c r="U1192" s="68"/>
      <c r="V1192" s="69"/>
    </row>
    <row r="1193" spans="1:22" x14ac:dyDescent="0.3">
      <c r="A1193" s="61" t="s">
        <v>1502</v>
      </c>
      <c r="B1193" s="62" t="s">
        <v>317</v>
      </c>
      <c r="C1193" s="62" t="s">
        <v>841</v>
      </c>
      <c r="D1193" s="62" t="s">
        <v>1615</v>
      </c>
      <c r="E1193" s="63" t="s">
        <v>381</v>
      </c>
      <c r="F1193" s="62" t="s">
        <v>389</v>
      </c>
      <c r="G1193" s="62" t="s">
        <v>323</v>
      </c>
      <c r="H1193" s="62"/>
      <c r="I1193" s="62"/>
      <c r="J1193" s="62"/>
      <c r="K1193" s="62" t="s">
        <v>317</v>
      </c>
      <c r="L1193" s="64">
        <v>2.3699999999999997</v>
      </c>
      <c r="M1193" s="64"/>
      <c r="N1193" s="65"/>
      <c r="O1193" s="66"/>
      <c r="P1193" s="62"/>
      <c r="Q1193" s="67"/>
      <c r="R1193" s="64"/>
      <c r="S1193" s="64"/>
      <c r="T1193" s="67"/>
      <c r="U1193" s="68"/>
      <c r="V1193" s="69"/>
    </row>
    <row r="1194" spans="1:22" x14ac:dyDescent="0.3">
      <c r="A1194" s="61" t="s">
        <v>1502</v>
      </c>
      <c r="B1194" s="62" t="s">
        <v>317</v>
      </c>
      <c r="C1194" s="62" t="s">
        <v>841</v>
      </c>
      <c r="D1194" s="62" t="s">
        <v>1616</v>
      </c>
      <c r="E1194" s="63" t="s">
        <v>374</v>
      </c>
      <c r="F1194" s="62" t="s">
        <v>377</v>
      </c>
      <c r="G1194" s="62" t="s">
        <v>323</v>
      </c>
      <c r="H1194" s="62"/>
      <c r="I1194" s="62"/>
      <c r="J1194" s="62"/>
      <c r="K1194" s="62" t="s">
        <v>317</v>
      </c>
      <c r="L1194" s="64">
        <v>4.0999999999999996</v>
      </c>
      <c r="M1194" s="64"/>
      <c r="N1194" s="65"/>
      <c r="O1194" s="66"/>
      <c r="P1194" s="62"/>
      <c r="Q1194" s="67"/>
      <c r="R1194" s="64"/>
      <c r="S1194" s="64"/>
      <c r="T1194" s="67"/>
      <c r="U1194" s="68"/>
      <c r="V1194" s="69"/>
    </row>
    <row r="1195" spans="1:22" x14ac:dyDescent="0.3">
      <c r="A1195" s="61" t="s">
        <v>1502</v>
      </c>
      <c r="B1195" s="62" t="s">
        <v>317</v>
      </c>
      <c r="C1195" s="62" t="s">
        <v>841</v>
      </c>
      <c r="D1195" s="62" t="s">
        <v>1617</v>
      </c>
      <c r="E1195" s="63" t="s">
        <v>374</v>
      </c>
      <c r="F1195" s="62" t="s">
        <v>322</v>
      </c>
      <c r="G1195" s="62" t="s">
        <v>323</v>
      </c>
      <c r="H1195" s="62"/>
      <c r="I1195" s="62"/>
      <c r="J1195" s="62"/>
      <c r="K1195" s="62" t="s">
        <v>317</v>
      </c>
      <c r="L1195" s="64">
        <v>9.51</v>
      </c>
      <c r="M1195" s="64"/>
      <c r="N1195" s="65"/>
      <c r="O1195" s="66"/>
      <c r="P1195" s="62"/>
      <c r="Q1195" s="67"/>
      <c r="R1195" s="64"/>
      <c r="S1195" s="64"/>
      <c r="T1195" s="67"/>
      <c r="U1195" s="68"/>
      <c r="V1195" s="69"/>
    </row>
    <row r="1196" spans="1:22" x14ac:dyDescent="0.3">
      <c r="A1196" s="61" t="s">
        <v>1502</v>
      </c>
      <c r="B1196" s="62" t="s">
        <v>317</v>
      </c>
      <c r="C1196" s="62" t="s">
        <v>841</v>
      </c>
      <c r="D1196" s="62" t="s">
        <v>1618</v>
      </c>
      <c r="E1196" s="63" t="s">
        <v>374</v>
      </c>
      <c r="F1196" s="62" t="s">
        <v>377</v>
      </c>
      <c r="G1196" s="62" t="s">
        <v>323</v>
      </c>
      <c r="H1196" s="62"/>
      <c r="I1196" s="62"/>
      <c r="J1196" s="62"/>
      <c r="K1196" s="62" t="s">
        <v>317</v>
      </c>
      <c r="L1196" s="64">
        <v>3.7600000000000002</v>
      </c>
      <c r="M1196" s="64"/>
      <c r="N1196" s="65"/>
      <c r="O1196" s="66"/>
      <c r="P1196" s="62"/>
      <c r="Q1196" s="67"/>
      <c r="R1196" s="64"/>
      <c r="S1196" s="64"/>
      <c r="T1196" s="67"/>
      <c r="U1196" s="68"/>
      <c r="V1196" s="69"/>
    </row>
    <row r="1197" spans="1:22" x14ac:dyDescent="0.3">
      <c r="A1197" s="61" t="s">
        <v>1502</v>
      </c>
      <c r="B1197" s="62" t="s">
        <v>317</v>
      </c>
      <c r="C1197" s="62" t="s">
        <v>841</v>
      </c>
      <c r="D1197" s="62" t="s">
        <v>1619</v>
      </c>
      <c r="E1197" s="63" t="s">
        <v>1550</v>
      </c>
      <c r="F1197" s="62" t="s">
        <v>432</v>
      </c>
      <c r="G1197" s="62" t="s">
        <v>266</v>
      </c>
      <c r="H1197" s="62" t="s">
        <v>11</v>
      </c>
      <c r="I1197" s="62" t="s">
        <v>210</v>
      </c>
      <c r="J1197" s="63" t="s">
        <v>267</v>
      </c>
      <c r="K1197" s="62" t="s">
        <v>317</v>
      </c>
      <c r="L1197" s="64">
        <v>3.64</v>
      </c>
      <c r="M1197" s="64">
        <f>L1197*VLOOKUP(H1197,dagsoorttabel1,2,FALSE)</f>
        <v>3.64</v>
      </c>
      <c r="N1197" s="65">
        <f>prodnorm39</f>
        <v>0</v>
      </c>
      <c r="O1197" s="66">
        <f>dagwerk39</f>
        <v>0</v>
      </c>
      <c r="P1197" s="62" t="s">
        <v>40</v>
      </c>
      <c r="Q1197" s="67">
        <f>uurtarief39</f>
        <v>0</v>
      </c>
      <c r="R1197" s="64" t="e">
        <f>IF(ISBLANK(N1197),0,M1197/ROUND(N1197,4))</f>
        <v>#DIV/0!</v>
      </c>
      <c r="S1197" s="64" t="e">
        <f>IF(ISBLANK(N1197),0,R1197*ROUND(O1197,2))</f>
        <v>#DIV/0!</v>
      </c>
      <c r="T1197" s="67" t="e">
        <f>ROUND(Q1197,2)*R1197</f>
        <v>#DIV/0!</v>
      </c>
      <c r="U1197" s="64" t="e">
        <f>R1197*dagenperjaar1</f>
        <v>#DIV/0!</v>
      </c>
      <c r="V1197" s="69" t="e">
        <f>U1197*ROUND(Q1197,2)</f>
        <v>#DIV/0!</v>
      </c>
    </row>
    <row r="1198" spans="1:22" x14ac:dyDescent="0.3">
      <c r="A1198" s="61" t="s">
        <v>1502</v>
      </c>
      <c r="B1198" s="62" t="s">
        <v>317</v>
      </c>
      <c r="C1198" s="62" t="s">
        <v>841</v>
      </c>
      <c r="D1198" s="62" t="s">
        <v>1620</v>
      </c>
      <c r="E1198" s="63" t="s">
        <v>374</v>
      </c>
      <c r="F1198" s="62" t="s">
        <v>322</v>
      </c>
      <c r="G1198" s="62" t="s">
        <v>323</v>
      </c>
      <c r="H1198" s="62"/>
      <c r="I1198" s="62"/>
      <c r="J1198" s="62"/>
      <c r="K1198" s="62" t="s">
        <v>317</v>
      </c>
      <c r="L1198" s="64">
        <v>5.08</v>
      </c>
      <c r="M1198" s="64"/>
      <c r="N1198" s="65"/>
      <c r="O1198" s="66"/>
      <c r="P1198" s="62"/>
      <c r="Q1198" s="67"/>
      <c r="R1198" s="64"/>
      <c r="S1198" s="64"/>
      <c r="T1198" s="67"/>
      <c r="U1198" s="68"/>
      <c r="V1198" s="69"/>
    </row>
    <row r="1199" spans="1:22" x14ac:dyDescent="0.3">
      <c r="A1199" s="70" t="s">
        <v>1502</v>
      </c>
      <c r="B1199" s="71" t="s">
        <v>317</v>
      </c>
      <c r="C1199" s="71" t="s">
        <v>841</v>
      </c>
      <c r="D1199" s="71" t="s">
        <v>1621</v>
      </c>
      <c r="E1199" s="72" t="s">
        <v>352</v>
      </c>
      <c r="F1199" s="71" t="s">
        <v>432</v>
      </c>
      <c r="G1199" s="71" t="s">
        <v>266</v>
      </c>
      <c r="H1199" s="71" t="s">
        <v>11</v>
      </c>
      <c r="I1199" s="71" t="s">
        <v>210</v>
      </c>
      <c r="J1199" s="72" t="s">
        <v>267</v>
      </c>
      <c r="K1199" s="71" t="s">
        <v>317</v>
      </c>
      <c r="L1199" s="73">
        <v>6.42</v>
      </c>
      <c r="M1199" s="73">
        <f>L1199*VLOOKUP(H1199,dagsoorttabel1,2,FALSE)</f>
        <v>6.42</v>
      </c>
      <c r="N1199" s="74">
        <f>prodnorm39</f>
        <v>0</v>
      </c>
      <c r="O1199" s="75">
        <f>dagwerk39</f>
        <v>0</v>
      </c>
      <c r="P1199" s="71" t="s">
        <v>40</v>
      </c>
      <c r="Q1199" s="76">
        <f>uurtarief39</f>
        <v>0</v>
      </c>
      <c r="R1199" s="73" t="e">
        <f>IF(ISBLANK(N1199),0,M1199/ROUND(N1199,4))</f>
        <v>#DIV/0!</v>
      </c>
      <c r="S1199" s="73" t="e">
        <f>IF(ISBLANK(N1199),0,R1199*ROUND(O1199,2))</f>
        <v>#DIV/0!</v>
      </c>
      <c r="T1199" s="76" t="e">
        <f>ROUND(Q1199,2)*R1199</f>
        <v>#DIV/0!</v>
      </c>
      <c r="U1199" s="73" t="e">
        <f>R1199*dagenperjaar1</f>
        <v>#DIV/0!</v>
      </c>
      <c r="V1199" s="78" t="e">
        <f>U1199*ROUND(Q1199,2)</f>
        <v>#DIV/0!</v>
      </c>
    </row>
    <row r="1200" spans="1:22" x14ac:dyDescent="0.3">
      <c r="A1200" s="79" t="s">
        <v>1105</v>
      </c>
      <c r="B1200" s="43"/>
      <c r="C1200" s="43"/>
      <c r="D1200" s="43"/>
      <c r="E1200" s="43"/>
      <c r="F1200" s="43"/>
      <c r="G1200" s="43"/>
      <c r="H1200" s="43"/>
      <c r="I1200" s="43"/>
      <c r="J1200" s="43"/>
      <c r="K1200" s="43"/>
      <c r="L1200" s="43"/>
      <c r="M1200" s="43"/>
      <c r="N1200" s="43"/>
      <c r="O1200" s="43"/>
      <c r="P1200" s="43"/>
      <c r="Q1200" s="45" t="e">
        <f>IF(_xlfn.SINGLE(object6_urenjaar1)&gt;0,_xlfn.SINGLE(object6_prijsjaar1)/_xlfn.SINGLE(object6_urenjaar1),0)</f>
        <v>#DIV/0!</v>
      </c>
      <c r="R1200" s="44" t="e">
        <f>SUM(R1040:R1199)</f>
        <v>#DIV/0!</v>
      </c>
      <c r="S1200" s="44" t="e">
        <f>SUM(S1040:S1199)</f>
        <v>#DIV/0!</v>
      </c>
      <c r="T1200" s="45" t="e">
        <f>SUM(T1040:T1199)</f>
        <v>#DIV/0!</v>
      </c>
      <c r="U1200" s="44" t="e">
        <f>SUM(U1040:U1199)</f>
        <v>#DIV/0!</v>
      </c>
      <c r="V1200" s="46" t="e">
        <f>SUM(V1040:V1199)</f>
        <v>#DIV/0!</v>
      </c>
    </row>
    <row r="1201" spans="1:22" x14ac:dyDescent="0.3">
      <c r="A1201" s="52" t="s">
        <v>1622</v>
      </c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41"/>
    </row>
    <row r="1202" spans="1:22" x14ac:dyDescent="0.3">
      <c r="A1202" s="53" t="s">
        <v>1623</v>
      </c>
      <c r="B1202" s="54" t="s">
        <v>317</v>
      </c>
      <c r="C1202" s="54" t="s">
        <v>318</v>
      </c>
      <c r="D1202" s="54" t="s">
        <v>1108</v>
      </c>
      <c r="E1202" s="55" t="s">
        <v>1624</v>
      </c>
      <c r="F1202" s="54" t="s">
        <v>348</v>
      </c>
      <c r="G1202" s="54" t="s">
        <v>212</v>
      </c>
      <c r="H1202" s="54" t="s">
        <v>17</v>
      </c>
      <c r="I1202" s="54" t="s">
        <v>210</v>
      </c>
      <c r="J1202" s="55" t="s">
        <v>213</v>
      </c>
      <c r="K1202" s="54" t="s">
        <v>317</v>
      </c>
      <c r="L1202" s="56">
        <v>23.41</v>
      </c>
      <c r="M1202" s="56">
        <f>L1202*VLOOKUP(H1202,dagsoorttabel1,2,FALSE)</f>
        <v>4.6820000000000004</v>
      </c>
      <c r="N1202" s="57">
        <f>prodnorm11</f>
        <v>0</v>
      </c>
      <c r="O1202" s="58">
        <f>dagwerk11</f>
        <v>0</v>
      </c>
      <c r="P1202" s="54" t="s">
        <v>40</v>
      </c>
      <c r="Q1202" s="59">
        <f>uurtarief11</f>
        <v>0</v>
      </c>
      <c r="R1202" s="56" t="e">
        <f>IF(ISBLANK(N1202),0,M1202/ROUND(N1202,4))</f>
        <v>#DIV/0!</v>
      </c>
      <c r="S1202" s="56" t="e">
        <f>IF(ISBLANK(N1202),0,R1202*ROUND(O1202,2))</f>
        <v>#DIV/0!</v>
      </c>
      <c r="T1202" s="59" t="e">
        <f>ROUND(Q1202,2)*R1202</f>
        <v>#DIV/0!</v>
      </c>
      <c r="U1202" s="56" t="e">
        <f>R1202*dagenperjaar1</f>
        <v>#DIV/0!</v>
      </c>
      <c r="V1202" s="60" t="e">
        <f>U1202*ROUND(Q1202,2)</f>
        <v>#DIV/0!</v>
      </c>
    </row>
    <row r="1203" spans="1:22" x14ac:dyDescent="0.3">
      <c r="A1203" s="61" t="s">
        <v>1623</v>
      </c>
      <c r="B1203" s="62" t="s">
        <v>317</v>
      </c>
      <c r="C1203" s="62" t="s">
        <v>318</v>
      </c>
      <c r="D1203" s="62" t="s">
        <v>1109</v>
      </c>
      <c r="E1203" s="63" t="s">
        <v>624</v>
      </c>
      <c r="F1203" s="62" t="s">
        <v>331</v>
      </c>
      <c r="G1203" s="62" t="s">
        <v>276</v>
      </c>
      <c r="H1203" s="62" t="s">
        <v>11</v>
      </c>
      <c r="I1203" s="62" t="s">
        <v>210</v>
      </c>
      <c r="J1203" s="63" t="s">
        <v>277</v>
      </c>
      <c r="K1203" s="62" t="s">
        <v>317</v>
      </c>
      <c r="L1203" s="64">
        <v>7.48</v>
      </c>
      <c r="M1203" s="64">
        <f>L1203*VLOOKUP(H1203,dagsoorttabel1,2,FALSE)</f>
        <v>7.48</v>
      </c>
      <c r="N1203" s="65">
        <f>prodnorm44</f>
        <v>0</v>
      </c>
      <c r="O1203" s="66">
        <f>dagwerk44</f>
        <v>0</v>
      </c>
      <c r="P1203" s="62" t="s">
        <v>40</v>
      </c>
      <c r="Q1203" s="67">
        <f>uurtarief44</f>
        <v>0</v>
      </c>
      <c r="R1203" s="64" t="e">
        <f>IF(ISBLANK(N1203),0,M1203/ROUND(N1203,4))</f>
        <v>#DIV/0!</v>
      </c>
      <c r="S1203" s="64" t="e">
        <f>IF(ISBLANK(N1203),0,R1203*ROUND(O1203,2))</f>
        <v>#DIV/0!</v>
      </c>
      <c r="T1203" s="67" t="e">
        <f>ROUND(Q1203,2)*R1203</f>
        <v>#DIV/0!</v>
      </c>
      <c r="U1203" s="64" t="e">
        <f>R1203*dagenperjaar1</f>
        <v>#DIV/0!</v>
      </c>
      <c r="V1203" s="69" t="e">
        <f>U1203*ROUND(Q1203,2)</f>
        <v>#DIV/0!</v>
      </c>
    </row>
    <row r="1204" spans="1:22" x14ac:dyDescent="0.3">
      <c r="A1204" s="61" t="s">
        <v>1623</v>
      </c>
      <c r="B1204" s="62" t="s">
        <v>317</v>
      </c>
      <c r="C1204" s="62" t="s">
        <v>318</v>
      </c>
      <c r="D1204" s="62" t="s">
        <v>1112</v>
      </c>
      <c r="E1204" s="63" t="s">
        <v>374</v>
      </c>
      <c r="F1204" s="62" t="s">
        <v>331</v>
      </c>
      <c r="G1204" s="62" t="s">
        <v>323</v>
      </c>
      <c r="H1204" s="62"/>
      <c r="I1204" s="62"/>
      <c r="J1204" s="62"/>
      <c r="K1204" s="62" t="s">
        <v>317</v>
      </c>
      <c r="L1204" s="64">
        <v>0.38000000000000006</v>
      </c>
      <c r="M1204" s="64"/>
      <c r="N1204" s="65"/>
      <c r="O1204" s="66"/>
      <c r="P1204" s="62"/>
      <c r="Q1204" s="67"/>
      <c r="R1204" s="64"/>
      <c r="S1204" s="64"/>
      <c r="T1204" s="67"/>
      <c r="U1204" s="68"/>
      <c r="V1204" s="69"/>
    </row>
    <row r="1205" spans="1:22" x14ac:dyDescent="0.3">
      <c r="A1205" s="61" t="s">
        <v>1623</v>
      </c>
      <c r="B1205" s="62" t="s">
        <v>317</v>
      </c>
      <c r="C1205" s="62" t="s">
        <v>318</v>
      </c>
      <c r="D1205" s="62" t="s">
        <v>1113</v>
      </c>
      <c r="E1205" s="63" t="s">
        <v>356</v>
      </c>
      <c r="F1205" s="62" t="s">
        <v>348</v>
      </c>
      <c r="G1205" s="62" t="s">
        <v>212</v>
      </c>
      <c r="H1205" s="62" t="s">
        <v>17</v>
      </c>
      <c r="I1205" s="62" t="s">
        <v>210</v>
      </c>
      <c r="J1205" s="63" t="s">
        <v>213</v>
      </c>
      <c r="K1205" s="62" t="s">
        <v>317</v>
      </c>
      <c r="L1205" s="64">
        <v>12.639999999999999</v>
      </c>
      <c r="M1205" s="64">
        <f t="shared" ref="M1205:M1219" si="402">L1205*VLOOKUP(H1205,dagsoorttabel1,2,FALSE)</f>
        <v>2.528</v>
      </c>
      <c r="N1205" s="65">
        <f>prodnorm11</f>
        <v>0</v>
      </c>
      <c r="O1205" s="66">
        <f>dagwerk11</f>
        <v>0</v>
      </c>
      <c r="P1205" s="62" t="s">
        <v>40</v>
      </c>
      <c r="Q1205" s="67">
        <f>uurtarief11</f>
        <v>0</v>
      </c>
      <c r="R1205" s="64" t="e">
        <f t="shared" ref="R1205:R1219" si="403">IF(ISBLANK(N1205),0,M1205/ROUND(N1205,4))</f>
        <v>#DIV/0!</v>
      </c>
      <c r="S1205" s="64" t="e">
        <f t="shared" ref="S1205:S1219" si="404">IF(ISBLANK(N1205),0,R1205*ROUND(O1205,2))</f>
        <v>#DIV/0!</v>
      </c>
      <c r="T1205" s="67" t="e">
        <f t="shared" ref="T1205:T1219" si="405">ROUND(Q1205,2)*R1205</f>
        <v>#DIV/0!</v>
      </c>
      <c r="U1205" s="64" t="e">
        <f t="shared" ref="U1205:U1219" si="406">R1205*dagenperjaar1</f>
        <v>#DIV/0!</v>
      </c>
      <c r="V1205" s="69" t="e">
        <f t="shared" ref="V1205:V1219" si="407">U1205*ROUND(Q1205,2)</f>
        <v>#DIV/0!</v>
      </c>
    </row>
    <row r="1206" spans="1:22" x14ac:dyDescent="0.3">
      <c r="A1206" s="61" t="s">
        <v>1623</v>
      </c>
      <c r="B1206" s="62" t="s">
        <v>317</v>
      </c>
      <c r="C1206" s="62" t="s">
        <v>318</v>
      </c>
      <c r="D1206" s="62" t="s">
        <v>1114</v>
      </c>
      <c r="E1206" s="63" t="s">
        <v>1625</v>
      </c>
      <c r="F1206" s="62" t="s">
        <v>348</v>
      </c>
      <c r="G1206" s="62" t="s">
        <v>216</v>
      </c>
      <c r="H1206" s="62" t="s">
        <v>14</v>
      </c>
      <c r="I1206" s="62" t="s">
        <v>210</v>
      </c>
      <c r="J1206" s="63" t="s">
        <v>217</v>
      </c>
      <c r="K1206" s="62" t="s">
        <v>317</v>
      </c>
      <c r="L1206" s="64">
        <v>13.629999999999999</v>
      </c>
      <c r="M1206" s="64">
        <f t="shared" si="402"/>
        <v>8.177999999999999</v>
      </c>
      <c r="N1206" s="65">
        <f>prodnorm13</f>
        <v>0</v>
      </c>
      <c r="O1206" s="66">
        <f>dagwerk13</f>
        <v>0</v>
      </c>
      <c r="P1206" s="62" t="s">
        <v>40</v>
      </c>
      <c r="Q1206" s="67">
        <f>uurtarief13</f>
        <v>0</v>
      </c>
      <c r="R1206" s="64" t="e">
        <f t="shared" si="403"/>
        <v>#DIV/0!</v>
      </c>
      <c r="S1206" s="64" t="e">
        <f t="shared" si="404"/>
        <v>#DIV/0!</v>
      </c>
      <c r="T1206" s="67" t="e">
        <f t="shared" si="405"/>
        <v>#DIV/0!</v>
      </c>
      <c r="U1206" s="64" t="e">
        <f t="shared" si="406"/>
        <v>#DIV/0!</v>
      </c>
      <c r="V1206" s="69" t="e">
        <f t="shared" si="407"/>
        <v>#DIV/0!</v>
      </c>
    </row>
    <row r="1207" spans="1:22" x14ac:dyDescent="0.3">
      <c r="A1207" s="61" t="s">
        <v>1623</v>
      </c>
      <c r="B1207" s="62" t="s">
        <v>317</v>
      </c>
      <c r="C1207" s="62" t="s">
        <v>318</v>
      </c>
      <c r="D1207" s="62" t="s">
        <v>1116</v>
      </c>
      <c r="E1207" s="63" t="s">
        <v>1625</v>
      </c>
      <c r="F1207" s="62" t="s">
        <v>348</v>
      </c>
      <c r="G1207" s="62" t="s">
        <v>216</v>
      </c>
      <c r="H1207" s="62" t="s">
        <v>14</v>
      </c>
      <c r="I1207" s="62" t="s">
        <v>210</v>
      </c>
      <c r="J1207" s="63" t="s">
        <v>217</v>
      </c>
      <c r="K1207" s="62" t="s">
        <v>317</v>
      </c>
      <c r="L1207" s="64">
        <v>20.82</v>
      </c>
      <c r="M1207" s="64">
        <f t="shared" si="402"/>
        <v>12.491999999999999</v>
      </c>
      <c r="N1207" s="65">
        <f>prodnorm13</f>
        <v>0</v>
      </c>
      <c r="O1207" s="66">
        <f>dagwerk13</f>
        <v>0</v>
      </c>
      <c r="P1207" s="62" t="s">
        <v>40</v>
      </c>
      <c r="Q1207" s="67">
        <f>uurtarief13</f>
        <v>0</v>
      </c>
      <c r="R1207" s="64" t="e">
        <f t="shared" si="403"/>
        <v>#DIV/0!</v>
      </c>
      <c r="S1207" s="64" t="e">
        <f t="shared" si="404"/>
        <v>#DIV/0!</v>
      </c>
      <c r="T1207" s="67" t="e">
        <f t="shared" si="405"/>
        <v>#DIV/0!</v>
      </c>
      <c r="U1207" s="64" t="e">
        <f t="shared" si="406"/>
        <v>#DIV/0!</v>
      </c>
      <c r="V1207" s="69" t="e">
        <f t="shared" si="407"/>
        <v>#DIV/0!</v>
      </c>
    </row>
    <row r="1208" spans="1:22" x14ac:dyDescent="0.3">
      <c r="A1208" s="61" t="s">
        <v>1623</v>
      </c>
      <c r="B1208" s="62" t="s">
        <v>317</v>
      </c>
      <c r="C1208" s="62" t="s">
        <v>318</v>
      </c>
      <c r="D1208" s="62" t="s">
        <v>1119</v>
      </c>
      <c r="E1208" s="63" t="s">
        <v>394</v>
      </c>
      <c r="F1208" s="62" t="s">
        <v>331</v>
      </c>
      <c r="G1208" s="62" t="s">
        <v>272</v>
      </c>
      <c r="H1208" s="62" t="s">
        <v>11</v>
      </c>
      <c r="I1208" s="62" t="s">
        <v>210</v>
      </c>
      <c r="J1208" s="63" t="s">
        <v>273</v>
      </c>
      <c r="K1208" s="62" t="s">
        <v>317</v>
      </c>
      <c r="L1208" s="64">
        <v>18.82</v>
      </c>
      <c r="M1208" s="64">
        <f t="shared" si="402"/>
        <v>18.82</v>
      </c>
      <c r="N1208" s="65">
        <f>prodnorm42</f>
        <v>0</v>
      </c>
      <c r="O1208" s="66">
        <f>dagwerk42</f>
        <v>0</v>
      </c>
      <c r="P1208" s="62" t="s">
        <v>40</v>
      </c>
      <c r="Q1208" s="67">
        <f>uurtarief42</f>
        <v>0</v>
      </c>
      <c r="R1208" s="64" t="e">
        <f t="shared" si="403"/>
        <v>#DIV/0!</v>
      </c>
      <c r="S1208" s="64" t="e">
        <f t="shared" si="404"/>
        <v>#DIV/0!</v>
      </c>
      <c r="T1208" s="67" t="e">
        <f t="shared" si="405"/>
        <v>#DIV/0!</v>
      </c>
      <c r="U1208" s="64" t="e">
        <f t="shared" si="406"/>
        <v>#DIV/0!</v>
      </c>
      <c r="V1208" s="69" t="e">
        <f t="shared" si="407"/>
        <v>#DIV/0!</v>
      </c>
    </row>
    <row r="1209" spans="1:22" x14ac:dyDescent="0.3">
      <c r="A1209" s="61" t="s">
        <v>1623</v>
      </c>
      <c r="B1209" s="62" t="s">
        <v>317</v>
      </c>
      <c r="C1209" s="62" t="s">
        <v>318</v>
      </c>
      <c r="D1209" s="62" t="s">
        <v>1120</v>
      </c>
      <c r="E1209" s="63" t="s">
        <v>693</v>
      </c>
      <c r="F1209" s="62" t="s">
        <v>1626</v>
      </c>
      <c r="G1209" s="62" t="s">
        <v>228</v>
      </c>
      <c r="H1209" s="62" t="s">
        <v>11</v>
      </c>
      <c r="I1209" s="62" t="s">
        <v>210</v>
      </c>
      <c r="J1209" s="63" t="s">
        <v>229</v>
      </c>
      <c r="K1209" s="62" t="s">
        <v>317</v>
      </c>
      <c r="L1209" s="64">
        <v>3.8099999999999996</v>
      </c>
      <c r="M1209" s="64">
        <f t="shared" si="402"/>
        <v>3.8099999999999996</v>
      </c>
      <c r="N1209" s="65">
        <f>prodnorm19</f>
        <v>0</v>
      </c>
      <c r="O1209" s="66">
        <f>dagwerk19</f>
        <v>0</v>
      </c>
      <c r="P1209" s="62" t="s">
        <v>40</v>
      </c>
      <c r="Q1209" s="67">
        <f>uurtarief19</f>
        <v>0</v>
      </c>
      <c r="R1209" s="64" t="e">
        <f t="shared" si="403"/>
        <v>#DIV/0!</v>
      </c>
      <c r="S1209" s="64" t="e">
        <f t="shared" si="404"/>
        <v>#DIV/0!</v>
      </c>
      <c r="T1209" s="67" t="e">
        <f t="shared" si="405"/>
        <v>#DIV/0!</v>
      </c>
      <c r="U1209" s="64" t="e">
        <f t="shared" si="406"/>
        <v>#DIV/0!</v>
      </c>
      <c r="V1209" s="69" t="e">
        <f t="shared" si="407"/>
        <v>#DIV/0!</v>
      </c>
    </row>
    <row r="1210" spans="1:22" x14ac:dyDescent="0.3">
      <c r="A1210" s="61" t="s">
        <v>1623</v>
      </c>
      <c r="B1210" s="62" t="s">
        <v>317</v>
      </c>
      <c r="C1210" s="62" t="s">
        <v>318</v>
      </c>
      <c r="D1210" s="62" t="s">
        <v>1122</v>
      </c>
      <c r="E1210" s="63" t="s">
        <v>352</v>
      </c>
      <c r="F1210" s="62" t="s">
        <v>1118</v>
      </c>
      <c r="G1210" s="62" t="s">
        <v>266</v>
      </c>
      <c r="H1210" s="62" t="s">
        <v>11</v>
      </c>
      <c r="I1210" s="62" t="s">
        <v>210</v>
      </c>
      <c r="J1210" s="63" t="s">
        <v>267</v>
      </c>
      <c r="K1210" s="62" t="s">
        <v>317</v>
      </c>
      <c r="L1210" s="64">
        <v>1.62</v>
      </c>
      <c r="M1210" s="64">
        <f t="shared" si="402"/>
        <v>1.62</v>
      </c>
      <c r="N1210" s="65">
        <f>prodnorm39</f>
        <v>0</v>
      </c>
      <c r="O1210" s="66">
        <f>dagwerk39</f>
        <v>0</v>
      </c>
      <c r="P1210" s="62" t="s">
        <v>40</v>
      </c>
      <c r="Q1210" s="67">
        <f>uurtarief39</f>
        <v>0</v>
      </c>
      <c r="R1210" s="64" t="e">
        <f t="shared" si="403"/>
        <v>#DIV/0!</v>
      </c>
      <c r="S1210" s="64" t="e">
        <f t="shared" si="404"/>
        <v>#DIV/0!</v>
      </c>
      <c r="T1210" s="67" t="e">
        <f t="shared" si="405"/>
        <v>#DIV/0!</v>
      </c>
      <c r="U1210" s="64" t="e">
        <f t="shared" si="406"/>
        <v>#DIV/0!</v>
      </c>
      <c r="V1210" s="69" t="e">
        <f t="shared" si="407"/>
        <v>#DIV/0!</v>
      </c>
    </row>
    <row r="1211" spans="1:22" x14ac:dyDescent="0.3">
      <c r="A1211" s="61" t="s">
        <v>1623</v>
      </c>
      <c r="B1211" s="62" t="s">
        <v>317</v>
      </c>
      <c r="C1211" s="62" t="s">
        <v>318</v>
      </c>
      <c r="D1211" s="62" t="s">
        <v>1124</v>
      </c>
      <c r="E1211" s="63" t="s">
        <v>1117</v>
      </c>
      <c r="F1211" s="62" t="s">
        <v>1118</v>
      </c>
      <c r="G1211" s="62" t="s">
        <v>270</v>
      </c>
      <c r="H1211" s="62" t="s">
        <v>11</v>
      </c>
      <c r="I1211" s="62" t="s">
        <v>210</v>
      </c>
      <c r="J1211" s="63" t="s">
        <v>271</v>
      </c>
      <c r="K1211" s="62" t="s">
        <v>317</v>
      </c>
      <c r="L1211" s="64">
        <v>3.16</v>
      </c>
      <c r="M1211" s="64">
        <f t="shared" si="402"/>
        <v>3.16</v>
      </c>
      <c r="N1211" s="65">
        <f>prodnorm41</f>
        <v>0</v>
      </c>
      <c r="O1211" s="66">
        <f>dagwerk41</f>
        <v>0</v>
      </c>
      <c r="P1211" s="62" t="s">
        <v>40</v>
      </c>
      <c r="Q1211" s="67">
        <f>uurtarief41</f>
        <v>0</v>
      </c>
      <c r="R1211" s="64" t="e">
        <f t="shared" si="403"/>
        <v>#DIV/0!</v>
      </c>
      <c r="S1211" s="64" t="e">
        <f t="shared" si="404"/>
        <v>#DIV/0!</v>
      </c>
      <c r="T1211" s="67" t="e">
        <f t="shared" si="405"/>
        <v>#DIV/0!</v>
      </c>
      <c r="U1211" s="64" t="e">
        <f t="shared" si="406"/>
        <v>#DIV/0!</v>
      </c>
      <c r="V1211" s="69" t="e">
        <f t="shared" si="407"/>
        <v>#DIV/0!</v>
      </c>
    </row>
    <row r="1212" spans="1:22" x14ac:dyDescent="0.3">
      <c r="A1212" s="61" t="s">
        <v>1623</v>
      </c>
      <c r="B1212" s="62" t="s">
        <v>317</v>
      </c>
      <c r="C1212" s="62" t="s">
        <v>629</v>
      </c>
      <c r="D1212" s="62" t="s">
        <v>1127</v>
      </c>
      <c r="E1212" s="63" t="s">
        <v>1625</v>
      </c>
      <c r="F1212" s="62" t="s">
        <v>348</v>
      </c>
      <c r="G1212" s="62" t="s">
        <v>216</v>
      </c>
      <c r="H1212" s="62" t="s">
        <v>14</v>
      </c>
      <c r="I1212" s="62" t="s">
        <v>210</v>
      </c>
      <c r="J1212" s="63" t="s">
        <v>217</v>
      </c>
      <c r="K1212" s="62" t="s">
        <v>317</v>
      </c>
      <c r="L1212" s="64">
        <v>22.91</v>
      </c>
      <c r="M1212" s="64">
        <f t="shared" si="402"/>
        <v>13.746</v>
      </c>
      <c r="N1212" s="65">
        <f>prodnorm13</f>
        <v>0</v>
      </c>
      <c r="O1212" s="66">
        <f>dagwerk13</f>
        <v>0</v>
      </c>
      <c r="P1212" s="62" t="s">
        <v>40</v>
      </c>
      <c r="Q1212" s="67">
        <f>uurtarief13</f>
        <v>0</v>
      </c>
      <c r="R1212" s="64" t="e">
        <f t="shared" si="403"/>
        <v>#DIV/0!</v>
      </c>
      <c r="S1212" s="64" t="e">
        <f t="shared" si="404"/>
        <v>#DIV/0!</v>
      </c>
      <c r="T1212" s="67" t="e">
        <f t="shared" si="405"/>
        <v>#DIV/0!</v>
      </c>
      <c r="U1212" s="64" t="e">
        <f t="shared" si="406"/>
        <v>#DIV/0!</v>
      </c>
      <c r="V1212" s="69" t="e">
        <f t="shared" si="407"/>
        <v>#DIV/0!</v>
      </c>
    </row>
    <row r="1213" spans="1:22" x14ac:dyDescent="0.3">
      <c r="A1213" s="61" t="s">
        <v>1623</v>
      </c>
      <c r="B1213" s="62" t="s">
        <v>317</v>
      </c>
      <c r="C1213" s="62" t="s">
        <v>629</v>
      </c>
      <c r="D1213" s="62" t="s">
        <v>1128</v>
      </c>
      <c r="E1213" s="63" t="s">
        <v>1625</v>
      </c>
      <c r="F1213" s="62" t="s">
        <v>348</v>
      </c>
      <c r="G1213" s="62" t="s">
        <v>216</v>
      </c>
      <c r="H1213" s="62" t="s">
        <v>14</v>
      </c>
      <c r="I1213" s="62" t="s">
        <v>210</v>
      </c>
      <c r="J1213" s="63" t="s">
        <v>217</v>
      </c>
      <c r="K1213" s="62" t="s">
        <v>317</v>
      </c>
      <c r="L1213" s="64">
        <v>25.630000000000003</v>
      </c>
      <c r="M1213" s="64">
        <f t="shared" si="402"/>
        <v>15.378</v>
      </c>
      <c r="N1213" s="65">
        <f>prodnorm13</f>
        <v>0</v>
      </c>
      <c r="O1213" s="66">
        <f>dagwerk13</f>
        <v>0</v>
      </c>
      <c r="P1213" s="62" t="s">
        <v>40</v>
      </c>
      <c r="Q1213" s="67">
        <f>uurtarief13</f>
        <v>0</v>
      </c>
      <c r="R1213" s="64" t="e">
        <f t="shared" si="403"/>
        <v>#DIV/0!</v>
      </c>
      <c r="S1213" s="64" t="e">
        <f t="shared" si="404"/>
        <v>#DIV/0!</v>
      </c>
      <c r="T1213" s="67" t="e">
        <f t="shared" si="405"/>
        <v>#DIV/0!</v>
      </c>
      <c r="U1213" s="64" t="e">
        <f t="shared" si="406"/>
        <v>#DIV/0!</v>
      </c>
      <c r="V1213" s="69" t="e">
        <f t="shared" si="407"/>
        <v>#DIV/0!</v>
      </c>
    </row>
    <row r="1214" spans="1:22" x14ac:dyDescent="0.3">
      <c r="A1214" s="61" t="s">
        <v>1623</v>
      </c>
      <c r="B1214" s="62" t="s">
        <v>317</v>
      </c>
      <c r="C1214" s="62" t="s">
        <v>629</v>
      </c>
      <c r="D1214" s="62" t="s">
        <v>1129</v>
      </c>
      <c r="E1214" s="63" t="s">
        <v>400</v>
      </c>
      <c r="F1214" s="62" t="s">
        <v>348</v>
      </c>
      <c r="G1214" s="62" t="s">
        <v>216</v>
      </c>
      <c r="H1214" s="62" t="s">
        <v>14</v>
      </c>
      <c r="I1214" s="62" t="s">
        <v>210</v>
      </c>
      <c r="J1214" s="63" t="s">
        <v>217</v>
      </c>
      <c r="K1214" s="62" t="s">
        <v>317</v>
      </c>
      <c r="L1214" s="64">
        <v>13.93</v>
      </c>
      <c r="M1214" s="64">
        <f t="shared" si="402"/>
        <v>8.3579999999999988</v>
      </c>
      <c r="N1214" s="65">
        <f>prodnorm13</f>
        <v>0</v>
      </c>
      <c r="O1214" s="66">
        <f>dagwerk13</f>
        <v>0</v>
      </c>
      <c r="P1214" s="62" t="s">
        <v>40</v>
      </c>
      <c r="Q1214" s="67">
        <f>uurtarief13</f>
        <v>0</v>
      </c>
      <c r="R1214" s="64" t="e">
        <f t="shared" si="403"/>
        <v>#DIV/0!</v>
      </c>
      <c r="S1214" s="64" t="e">
        <f t="shared" si="404"/>
        <v>#DIV/0!</v>
      </c>
      <c r="T1214" s="67" t="e">
        <f t="shared" si="405"/>
        <v>#DIV/0!</v>
      </c>
      <c r="U1214" s="64" t="e">
        <f t="shared" si="406"/>
        <v>#DIV/0!</v>
      </c>
      <c r="V1214" s="69" t="e">
        <f t="shared" si="407"/>
        <v>#DIV/0!</v>
      </c>
    </row>
    <row r="1215" spans="1:22" x14ac:dyDescent="0.3">
      <c r="A1215" s="61" t="s">
        <v>1623</v>
      </c>
      <c r="B1215" s="62" t="s">
        <v>317</v>
      </c>
      <c r="C1215" s="62" t="s">
        <v>629</v>
      </c>
      <c r="D1215" s="62" t="s">
        <v>1130</v>
      </c>
      <c r="E1215" s="63" t="s">
        <v>400</v>
      </c>
      <c r="F1215" s="62" t="s">
        <v>348</v>
      </c>
      <c r="G1215" s="62" t="s">
        <v>216</v>
      </c>
      <c r="H1215" s="62" t="s">
        <v>14</v>
      </c>
      <c r="I1215" s="62" t="s">
        <v>210</v>
      </c>
      <c r="J1215" s="63" t="s">
        <v>217</v>
      </c>
      <c r="K1215" s="62" t="s">
        <v>317</v>
      </c>
      <c r="L1215" s="64">
        <v>16.21</v>
      </c>
      <c r="M1215" s="64">
        <f t="shared" si="402"/>
        <v>9.7260000000000009</v>
      </c>
      <c r="N1215" s="65">
        <f>prodnorm13</f>
        <v>0</v>
      </c>
      <c r="O1215" s="66">
        <f>dagwerk13</f>
        <v>0</v>
      </c>
      <c r="P1215" s="62" t="s">
        <v>40</v>
      </c>
      <c r="Q1215" s="67">
        <f>uurtarief13</f>
        <v>0</v>
      </c>
      <c r="R1215" s="64" t="e">
        <f t="shared" si="403"/>
        <v>#DIV/0!</v>
      </c>
      <c r="S1215" s="64" t="e">
        <f t="shared" si="404"/>
        <v>#DIV/0!</v>
      </c>
      <c r="T1215" s="67" t="e">
        <f t="shared" si="405"/>
        <v>#DIV/0!</v>
      </c>
      <c r="U1215" s="64" t="e">
        <f t="shared" si="406"/>
        <v>#DIV/0!</v>
      </c>
      <c r="V1215" s="69" t="e">
        <f t="shared" si="407"/>
        <v>#DIV/0!</v>
      </c>
    </row>
    <row r="1216" spans="1:22" x14ac:dyDescent="0.3">
      <c r="A1216" s="61" t="s">
        <v>1623</v>
      </c>
      <c r="B1216" s="62" t="s">
        <v>317</v>
      </c>
      <c r="C1216" s="62" t="s">
        <v>629</v>
      </c>
      <c r="D1216" s="62" t="s">
        <v>1131</v>
      </c>
      <c r="E1216" s="63" t="s">
        <v>394</v>
      </c>
      <c r="F1216" s="62" t="s">
        <v>348</v>
      </c>
      <c r="G1216" s="62" t="s">
        <v>274</v>
      </c>
      <c r="H1216" s="62" t="s">
        <v>11</v>
      </c>
      <c r="I1216" s="62" t="s">
        <v>210</v>
      </c>
      <c r="J1216" s="63" t="s">
        <v>275</v>
      </c>
      <c r="K1216" s="62" t="s">
        <v>317</v>
      </c>
      <c r="L1216" s="64">
        <v>9.49</v>
      </c>
      <c r="M1216" s="64">
        <f t="shared" si="402"/>
        <v>9.49</v>
      </c>
      <c r="N1216" s="65">
        <f>prodnorm43</f>
        <v>0</v>
      </c>
      <c r="O1216" s="66">
        <f>dagwerk43</f>
        <v>0</v>
      </c>
      <c r="P1216" s="62" t="s">
        <v>40</v>
      </c>
      <c r="Q1216" s="67">
        <f>uurtarief43</f>
        <v>0</v>
      </c>
      <c r="R1216" s="64" t="e">
        <f t="shared" si="403"/>
        <v>#DIV/0!</v>
      </c>
      <c r="S1216" s="64" t="e">
        <f t="shared" si="404"/>
        <v>#DIV/0!</v>
      </c>
      <c r="T1216" s="67" t="e">
        <f t="shared" si="405"/>
        <v>#DIV/0!</v>
      </c>
      <c r="U1216" s="64" t="e">
        <f t="shared" si="406"/>
        <v>#DIV/0!</v>
      </c>
      <c r="V1216" s="69" t="e">
        <f t="shared" si="407"/>
        <v>#DIV/0!</v>
      </c>
    </row>
    <row r="1217" spans="1:22" x14ac:dyDescent="0.3">
      <c r="A1217" s="61" t="s">
        <v>1623</v>
      </c>
      <c r="B1217" s="62" t="s">
        <v>317</v>
      </c>
      <c r="C1217" s="62" t="s">
        <v>629</v>
      </c>
      <c r="D1217" s="62" t="s">
        <v>1202</v>
      </c>
      <c r="E1217" s="63" t="s">
        <v>352</v>
      </c>
      <c r="F1217" s="62" t="s">
        <v>1118</v>
      </c>
      <c r="G1217" s="62" t="s">
        <v>266</v>
      </c>
      <c r="H1217" s="62" t="s">
        <v>11</v>
      </c>
      <c r="I1217" s="62" t="s">
        <v>210</v>
      </c>
      <c r="J1217" s="63" t="s">
        <v>267</v>
      </c>
      <c r="K1217" s="62" t="s">
        <v>317</v>
      </c>
      <c r="L1217" s="64">
        <v>1.3800000000000001</v>
      </c>
      <c r="M1217" s="64">
        <f t="shared" si="402"/>
        <v>1.3800000000000001</v>
      </c>
      <c r="N1217" s="65">
        <f>prodnorm39</f>
        <v>0</v>
      </c>
      <c r="O1217" s="66">
        <f>dagwerk39</f>
        <v>0</v>
      </c>
      <c r="P1217" s="62" t="s">
        <v>40</v>
      </c>
      <c r="Q1217" s="67">
        <f>uurtarief39</f>
        <v>0</v>
      </c>
      <c r="R1217" s="64" t="e">
        <f t="shared" si="403"/>
        <v>#DIV/0!</v>
      </c>
      <c r="S1217" s="64" t="e">
        <f t="shared" si="404"/>
        <v>#DIV/0!</v>
      </c>
      <c r="T1217" s="67" t="e">
        <f t="shared" si="405"/>
        <v>#DIV/0!</v>
      </c>
      <c r="U1217" s="64" t="e">
        <f t="shared" si="406"/>
        <v>#DIV/0!</v>
      </c>
      <c r="V1217" s="69" t="e">
        <f t="shared" si="407"/>
        <v>#DIV/0!</v>
      </c>
    </row>
    <row r="1218" spans="1:22" x14ac:dyDescent="0.3">
      <c r="A1218" s="61" t="s">
        <v>1623</v>
      </c>
      <c r="B1218" s="62" t="s">
        <v>317</v>
      </c>
      <c r="C1218" s="62" t="s">
        <v>629</v>
      </c>
      <c r="D1218" s="62" t="s">
        <v>1203</v>
      </c>
      <c r="E1218" s="63" t="s">
        <v>400</v>
      </c>
      <c r="F1218" s="62" t="s">
        <v>348</v>
      </c>
      <c r="G1218" s="62" t="s">
        <v>216</v>
      </c>
      <c r="H1218" s="62" t="s">
        <v>14</v>
      </c>
      <c r="I1218" s="62" t="s">
        <v>210</v>
      </c>
      <c r="J1218" s="63" t="s">
        <v>217</v>
      </c>
      <c r="K1218" s="62" t="s">
        <v>317</v>
      </c>
      <c r="L1218" s="64">
        <v>10.93</v>
      </c>
      <c r="M1218" s="64">
        <f t="shared" si="402"/>
        <v>6.5579999999999998</v>
      </c>
      <c r="N1218" s="65">
        <f>prodnorm13</f>
        <v>0</v>
      </c>
      <c r="O1218" s="66">
        <f>dagwerk13</f>
        <v>0</v>
      </c>
      <c r="P1218" s="62" t="s">
        <v>40</v>
      </c>
      <c r="Q1218" s="67">
        <f>uurtarief13</f>
        <v>0</v>
      </c>
      <c r="R1218" s="64" t="e">
        <f t="shared" si="403"/>
        <v>#DIV/0!</v>
      </c>
      <c r="S1218" s="64" t="e">
        <f t="shared" si="404"/>
        <v>#DIV/0!</v>
      </c>
      <c r="T1218" s="67" t="e">
        <f t="shared" si="405"/>
        <v>#DIV/0!</v>
      </c>
      <c r="U1218" s="64" t="e">
        <f t="shared" si="406"/>
        <v>#DIV/0!</v>
      </c>
      <c r="V1218" s="69" t="e">
        <f t="shared" si="407"/>
        <v>#DIV/0!</v>
      </c>
    </row>
    <row r="1219" spans="1:22" x14ac:dyDescent="0.3">
      <c r="A1219" s="61" t="s">
        <v>1623</v>
      </c>
      <c r="B1219" s="62" t="s">
        <v>317</v>
      </c>
      <c r="C1219" s="62" t="s">
        <v>629</v>
      </c>
      <c r="D1219" s="62" t="s">
        <v>1204</v>
      </c>
      <c r="E1219" s="63" t="s">
        <v>330</v>
      </c>
      <c r="F1219" s="62" t="s">
        <v>377</v>
      </c>
      <c r="G1219" s="62" t="s">
        <v>286</v>
      </c>
      <c r="H1219" s="62" t="s">
        <v>11</v>
      </c>
      <c r="I1219" s="62" t="s">
        <v>210</v>
      </c>
      <c r="J1219" s="63" t="s">
        <v>287</v>
      </c>
      <c r="K1219" s="62" t="s">
        <v>317</v>
      </c>
      <c r="L1219" s="64">
        <v>9.39</v>
      </c>
      <c r="M1219" s="64">
        <f t="shared" si="402"/>
        <v>9.39</v>
      </c>
      <c r="N1219" s="65">
        <f>prodnorm49</f>
        <v>0</v>
      </c>
      <c r="O1219" s="66">
        <f>dagwerk49</f>
        <v>0</v>
      </c>
      <c r="P1219" s="62" t="s">
        <v>40</v>
      </c>
      <c r="Q1219" s="67">
        <f>uurtarief49</f>
        <v>0</v>
      </c>
      <c r="R1219" s="64" t="e">
        <f t="shared" si="403"/>
        <v>#DIV/0!</v>
      </c>
      <c r="S1219" s="64" t="e">
        <f t="shared" si="404"/>
        <v>#DIV/0!</v>
      </c>
      <c r="T1219" s="67" t="e">
        <f t="shared" si="405"/>
        <v>#DIV/0!</v>
      </c>
      <c r="U1219" s="64" t="e">
        <f t="shared" si="406"/>
        <v>#DIV/0!</v>
      </c>
      <c r="V1219" s="69" t="e">
        <f t="shared" si="407"/>
        <v>#DIV/0!</v>
      </c>
    </row>
    <row r="1220" spans="1:22" x14ac:dyDescent="0.3">
      <c r="A1220" s="61" t="s">
        <v>1623</v>
      </c>
      <c r="B1220" s="62" t="s">
        <v>317</v>
      </c>
      <c r="C1220" s="62" t="s">
        <v>841</v>
      </c>
      <c r="D1220" s="62" t="s">
        <v>1414</v>
      </c>
      <c r="E1220" s="63" t="s">
        <v>383</v>
      </c>
      <c r="F1220" s="62" t="s">
        <v>348</v>
      </c>
      <c r="G1220" s="62" t="s">
        <v>323</v>
      </c>
      <c r="H1220" s="62"/>
      <c r="I1220" s="62"/>
      <c r="J1220" s="62"/>
      <c r="K1220" s="62" t="s">
        <v>317</v>
      </c>
      <c r="L1220" s="64">
        <v>28.759999999999998</v>
      </c>
      <c r="M1220" s="64"/>
      <c r="N1220" s="65"/>
      <c r="O1220" s="66"/>
      <c r="P1220" s="62"/>
      <c r="Q1220" s="67"/>
      <c r="R1220" s="64"/>
      <c r="S1220" s="64"/>
      <c r="T1220" s="67"/>
      <c r="U1220" s="68"/>
      <c r="V1220" s="69"/>
    </row>
    <row r="1221" spans="1:22" x14ac:dyDescent="0.3">
      <c r="A1221" s="61" t="s">
        <v>1623</v>
      </c>
      <c r="B1221" s="62" t="s">
        <v>317</v>
      </c>
      <c r="C1221" s="62" t="s">
        <v>841</v>
      </c>
      <c r="D1221" s="62" t="s">
        <v>1416</v>
      </c>
      <c r="E1221" s="63" t="s">
        <v>383</v>
      </c>
      <c r="F1221" s="62" t="s">
        <v>348</v>
      </c>
      <c r="G1221" s="62" t="s">
        <v>323</v>
      </c>
      <c r="H1221" s="62"/>
      <c r="I1221" s="62"/>
      <c r="J1221" s="62"/>
      <c r="K1221" s="62" t="s">
        <v>317</v>
      </c>
      <c r="L1221" s="64">
        <v>13.99</v>
      </c>
      <c r="M1221" s="64"/>
      <c r="N1221" s="65"/>
      <c r="O1221" s="66"/>
      <c r="P1221" s="62"/>
      <c r="Q1221" s="67"/>
      <c r="R1221" s="64"/>
      <c r="S1221" s="64"/>
      <c r="T1221" s="67"/>
      <c r="U1221" s="68"/>
      <c r="V1221" s="69"/>
    </row>
    <row r="1222" spans="1:22" x14ac:dyDescent="0.3">
      <c r="A1222" s="61" t="s">
        <v>1623</v>
      </c>
      <c r="B1222" s="62" t="s">
        <v>317</v>
      </c>
      <c r="C1222" s="62" t="s">
        <v>841</v>
      </c>
      <c r="D1222" s="62" t="s">
        <v>1417</v>
      </c>
      <c r="E1222" s="63" t="s">
        <v>383</v>
      </c>
      <c r="F1222" s="62" t="s">
        <v>348</v>
      </c>
      <c r="G1222" s="62" t="s">
        <v>323</v>
      </c>
      <c r="H1222" s="62"/>
      <c r="I1222" s="62"/>
      <c r="J1222" s="62"/>
      <c r="K1222" s="62" t="s">
        <v>317</v>
      </c>
      <c r="L1222" s="64">
        <v>17.830000000000002</v>
      </c>
      <c r="M1222" s="64"/>
      <c r="N1222" s="65"/>
      <c r="O1222" s="66"/>
      <c r="P1222" s="62"/>
      <c r="Q1222" s="67"/>
      <c r="R1222" s="64"/>
      <c r="S1222" s="64"/>
      <c r="T1222" s="67"/>
      <c r="U1222" s="68"/>
      <c r="V1222" s="69"/>
    </row>
    <row r="1223" spans="1:22" x14ac:dyDescent="0.3">
      <c r="A1223" s="61" t="s">
        <v>1623</v>
      </c>
      <c r="B1223" s="62" t="s">
        <v>317</v>
      </c>
      <c r="C1223" s="62" t="s">
        <v>841</v>
      </c>
      <c r="D1223" s="62" t="s">
        <v>1418</v>
      </c>
      <c r="E1223" s="63" t="s">
        <v>374</v>
      </c>
      <c r="F1223" s="62" t="s">
        <v>357</v>
      </c>
      <c r="G1223" s="62" t="s">
        <v>323</v>
      </c>
      <c r="H1223" s="62"/>
      <c r="I1223" s="62"/>
      <c r="J1223" s="62"/>
      <c r="K1223" s="62" t="s">
        <v>317</v>
      </c>
      <c r="L1223" s="64">
        <v>4.28</v>
      </c>
      <c r="M1223" s="64"/>
      <c r="N1223" s="65"/>
      <c r="O1223" s="66"/>
      <c r="P1223" s="62"/>
      <c r="Q1223" s="67"/>
      <c r="R1223" s="64"/>
      <c r="S1223" s="64"/>
      <c r="T1223" s="67"/>
      <c r="U1223" s="68"/>
      <c r="V1223" s="69"/>
    </row>
    <row r="1224" spans="1:22" x14ac:dyDescent="0.3">
      <c r="A1224" s="70" t="s">
        <v>1623</v>
      </c>
      <c r="B1224" s="71" t="s">
        <v>317</v>
      </c>
      <c r="C1224" s="71" t="s">
        <v>841</v>
      </c>
      <c r="D1224" s="71" t="s">
        <v>1419</v>
      </c>
      <c r="E1224" s="72" t="s">
        <v>330</v>
      </c>
      <c r="F1224" s="71" t="s">
        <v>1627</v>
      </c>
      <c r="G1224" s="71" t="s">
        <v>286</v>
      </c>
      <c r="H1224" s="71" t="s">
        <v>11</v>
      </c>
      <c r="I1224" s="71" t="s">
        <v>210</v>
      </c>
      <c r="J1224" s="72" t="s">
        <v>287</v>
      </c>
      <c r="K1224" s="71" t="s">
        <v>317</v>
      </c>
      <c r="L1224" s="73">
        <v>10.06</v>
      </c>
      <c r="M1224" s="73">
        <f>L1224*VLOOKUP(H1224,dagsoorttabel1,2,FALSE)</f>
        <v>10.06</v>
      </c>
      <c r="N1224" s="74">
        <f>prodnorm49</f>
        <v>0</v>
      </c>
      <c r="O1224" s="75">
        <f>dagwerk49</f>
        <v>0</v>
      </c>
      <c r="P1224" s="71" t="s">
        <v>40</v>
      </c>
      <c r="Q1224" s="76">
        <f>uurtarief49</f>
        <v>0</v>
      </c>
      <c r="R1224" s="73" t="e">
        <f>IF(ISBLANK(N1224),0,M1224/ROUND(N1224,4))</f>
        <v>#DIV/0!</v>
      </c>
      <c r="S1224" s="73" t="e">
        <f>IF(ISBLANK(N1224),0,R1224*ROUND(O1224,2))</f>
        <v>#DIV/0!</v>
      </c>
      <c r="T1224" s="76" t="e">
        <f>ROUND(Q1224,2)*R1224</f>
        <v>#DIV/0!</v>
      </c>
      <c r="U1224" s="73" t="e">
        <f>R1224*dagenperjaar1</f>
        <v>#DIV/0!</v>
      </c>
      <c r="V1224" s="78" t="e">
        <f>U1224*ROUND(Q1224,2)</f>
        <v>#DIV/0!</v>
      </c>
    </row>
    <row r="1225" spans="1:22" x14ac:dyDescent="0.3">
      <c r="A1225" s="79" t="s">
        <v>1105</v>
      </c>
      <c r="B1225" s="43"/>
      <c r="C1225" s="43"/>
      <c r="D1225" s="43"/>
      <c r="E1225" s="43"/>
      <c r="F1225" s="43"/>
      <c r="G1225" s="43"/>
      <c r="H1225" s="43"/>
      <c r="I1225" s="43"/>
      <c r="J1225" s="43"/>
      <c r="K1225" s="43"/>
      <c r="L1225" s="43"/>
      <c r="M1225" s="43"/>
      <c r="N1225" s="43"/>
      <c r="O1225" s="43"/>
      <c r="P1225" s="43"/>
      <c r="Q1225" s="45" t="e">
        <f>IF(_xlfn.SINGLE(object7_urenjaar1)&gt;0,_xlfn.SINGLE(object7_prijsjaar1)/_xlfn.SINGLE(object7_urenjaar1),0)</f>
        <v>#DIV/0!</v>
      </c>
      <c r="R1225" s="44" t="e">
        <f>SUM(R1202:R1224)</f>
        <v>#DIV/0!</v>
      </c>
      <c r="S1225" s="44" t="e">
        <f>SUM(S1202:S1224)</f>
        <v>#DIV/0!</v>
      </c>
      <c r="T1225" s="45" t="e">
        <f>SUM(T1202:T1224)</f>
        <v>#DIV/0!</v>
      </c>
      <c r="U1225" s="44" t="e">
        <f>SUM(U1202:U1224)</f>
        <v>#DIV/0!</v>
      </c>
      <c r="V1225" s="46" t="e">
        <f>SUM(V1202:V1224)</f>
        <v>#DIV/0!</v>
      </c>
    </row>
    <row r="1226" spans="1:22" x14ac:dyDescent="0.3">
      <c r="A1226" s="52" t="s">
        <v>1628</v>
      </c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41"/>
    </row>
    <row r="1227" spans="1:22" x14ac:dyDescent="0.3">
      <c r="A1227" s="53" t="s">
        <v>1629</v>
      </c>
      <c r="B1227" s="54" t="s">
        <v>1630</v>
      </c>
      <c r="C1227" s="54" t="s">
        <v>318</v>
      </c>
      <c r="D1227" s="54" t="s">
        <v>1631</v>
      </c>
      <c r="E1227" s="55" t="s">
        <v>512</v>
      </c>
      <c r="F1227" s="54" t="s">
        <v>331</v>
      </c>
      <c r="G1227" s="54" t="s">
        <v>323</v>
      </c>
      <c r="H1227" s="54"/>
      <c r="I1227" s="54"/>
      <c r="J1227" s="54"/>
      <c r="K1227" s="54" t="s">
        <v>317</v>
      </c>
      <c r="L1227" s="56">
        <v>20.55</v>
      </c>
      <c r="M1227" s="56"/>
      <c r="N1227" s="57"/>
      <c r="O1227" s="58"/>
      <c r="P1227" s="54"/>
      <c r="Q1227" s="59"/>
      <c r="R1227" s="56"/>
      <c r="S1227" s="56"/>
      <c r="T1227" s="59"/>
      <c r="U1227" s="80"/>
      <c r="V1227" s="60"/>
    </row>
    <row r="1228" spans="1:22" x14ac:dyDescent="0.3">
      <c r="A1228" s="61" t="s">
        <v>1629</v>
      </c>
      <c r="B1228" s="62" t="s">
        <v>1630</v>
      </c>
      <c r="C1228" s="62" t="s">
        <v>318</v>
      </c>
      <c r="D1228" s="62" t="s">
        <v>1632</v>
      </c>
      <c r="E1228" s="63" t="s">
        <v>512</v>
      </c>
      <c r="F1228" s="62" t="s">
        <v>331</v>
      </c>
      <c r="G1228" s="62" t="s">
        <v>323</v>
      </c>
      <c r="H1228" s="62"/>
      <c r="I1228" s="62"/>
      <c r="J1228" s="62"/>
      <c r="K1228" s="62" t="s">
        <v>317</v>
      </c>
      <c r="L1228" s="64">
        <v>16</v>
      </c>
      <c r="M1228" s="64"/>
      <c r="N1228" s="65"/>
      <c r="O1228" s="66"/>
      <c r="P1228" s="62"/>
      <c r="Q1228" s="67"/>
      <c r="R1228" s="64"/>
      <c r="S1228" s="64"/>
      <c r="T1228" s="67"/>
      <c r="U1228" s="68"/>
      <c r="V1228" s="69"/>
    </row>
    <row r="1229" spans="1:22" x14ac:dyDescent="0.3">
      <c r="A1229" s="61" t="s">
        <v>1629</v>
      </c>
      <c r="B1229" s="62" t="s">
        <v>1630</v>
      </c>
      <c r="C1229" s="62" t="s">
        <v>318</v>
      </c>
      <c r="D1229" s="62" t="s">
        <v>1633</v>
      </c>
      <c r="E1229" s="63" t="s">
        <v>512</v>
      </c>
      <c r="F1229" s="62" t="s">
        <v>331</v>
      </c>
      <c r="G1229" s="62" t="s">
        <v>323</v>
      </c>
      <c r="H1229" s="62"/>
      <c r="I1229" s="62"/>
      <c r="J1229" s="62"/>
      <c r="K1229" s="62" t="s">
        <v>317</v>
      </c>
      <c r="L1229" s="64">
        <v>32.75</v>
      </c>
      <c r="M1229" s="64"/>
      <c r="N1229" s="65"/>
      <c r="O1229" s="66"/>
      <c r="P1229" s="62"/>
      <c r="Q1229" s="67"/>
      <c r="R1229" s="64"/>
      <c r="S1229" s="64"/>
      <c r="T1229" s="67"/>
      <c r="U1229" s="68"/>
      <c r="V1229" s="69"/>
    </row>
    <row r="1230" spans="1:22" x14ac:dyDescent="0.3">
      <c r="A1230" s="61" t="s">
        <v>1629</v>
      </c>
      <c r="B1230" s="62" t="s">
        <v>1630</v>
      </c>
      <c r="C1230" s="62" t="s">
        <v>318</v>
      </c>
      <c r="D1230" s="62" t="s">
        <v>1634</v>
      </c>
      <c r="E1230" s="63" t="s">
        <v>512</v>
      </c>
      <c r="F1230" s="62" t="s">
        <v>331</v>
      </c>
      <c r="G1230" s="62" t="s">
        <v>323</v>
      </c>
      <c r="H1230" s="62"/>
      <c r="I1230" s="62"/>
      <c r="J1230" s="62"/>
      <c r="K1230" s="62" t="s">
        <v>317</v>
      </c>
      <c r="L1230" s="64">
        <v>17.8</v>
      </c>
      <c r="M1230" s="64"/>
      <c r="N1230" s="65"/>
      <c r="O1230" s="66"/>
      <c r="P1230" s="62"/>
      <c r="Q1230" s="67"/>
      <c r="R1230" s="64"/>
      <c r="S1230" s="64"/>
      <c r="T1230" s="67"/>
      <c r="U1230" s="68"/>
      <c r="V1230" s="69"/>
    </row>
    <row r="1231" spans="1:22" x14ac:dyDescent="0.3">
      <c r="A1231" s="61" t="s">
        <v>1629</v>
      </c>
      <c r="B1231" s="62" t="s">
        <v>1630</v>
      </c>
      <c r="C1231" s="62" t="s">
        <v>318</v>
      </c>
      <c r="D1231" s="62" t="s">
        <v>1635</v>
      </c>
      <c r="E1231" s="63" t="s">
        <v>707</v>
      </c>
      <c r="F1231" s="62" t="s">
        <v>348</v>
      </c>
      <c r="G1231" s="62" t="s">
        <v>226</v>
      </c>
      <c r="H1231" s="62" t="s">
        <v>14</v>
      </c>
      <c r="I1231" s="62" t="s">
        <v>210</v>
      </c>
      <c r="J1231" s="63" t="s">
        <v>227</v>
      </c>
      <c r="K1231" s="62" t="s">
        <v>317</v>
      </c>
      <c r="L1231" s="64">
        <v>47.54</v>
      </c>
      <c r="M1231" s="64">
        <f>L1231*VLOOKUP(H1231,dagsoorttabel1,2,FALSE)</f>
        <v>28.523999999999997</v>
      </c>
      <c r="N1231" s="65">
        <f>prodnorm18</f>
        <v>0</v>
      </c>
      <c r="O1231" s="66">
        <f>dagwerk18</f>
        <v>0</v>
      </c>
      <c r="P1231" s="62" t="s">
        <v>40</v>
      </c>
      <c r="Q1231" s="67">
        <f>uurtarief18</f>
        <v>0</v>
      </c>
      <c r="R1231" s="64" t="e">
        <f>IF(ISBLANK(N1231),0,M1231/ROUND(N1231,4))</f>
        <v>#DIV/0!</v>
      </c>
      <c r="S1231" s="64" t="e">
        <f>IF(ISBLANK(N1231),0,R1231*ROUND(O1231,2))</f>
        <v>#DIV/0!</v>
      </c>
      <c r="T1231" s="67" t="e">
        <f>ROUND(Q1231,2)*R1231</f>
        <v>#DIV/0!</v>
      </c>
      <c r="U1231" s="64" t="e">
        <f>R1231*dagenperjaar1</f>
        <v>#DIV/0!</v>
      </c>
      <c r="V1231" s="69" t="e">
        <f>U1231*ROUND(Q1231,2)</f>
        <v>#DIV/0!</v>
      </c>
    </row>
    <row r="1232" spans="1:22" x14ac:dyDescent="0.3">
      <c r="A1232" s="61" t="s">
        <v>1629</v>
      </c>
      <c r="B1232" s="62" t="s">
        <v>1630</v>
      </c>
      <c r="C1232" s="62" t="s">
        <v>318</v>
      </c>
      <c r="D1232" s="62" t="s">
        <v>1636</v>
      </c>
      <c r="E1232" s="63" t="s">
        <v>707</v>
      </c>
      <c r="F1232" s="62" t="s">
        <v>348</v>
      </c>
      <c r="G1232" s="62" t="s">
        <v>226</v>
      </c>
      <c r="H1232" s="62" t="s">
        <v>14</v>
      </c>
      <c r="I1232" s="62" t="s">
        <v>210</v>
      </c>
      <c r="J1232" s="63" t="s">
        <v>227</v>
      </c>
      <c r="K1232" s="62" t="s">
        <v>317</v>
      </c>
      <c r="L1232" s="64">
        <v>47.47</v>
      </c>
      <c r="M1232" s="64">
        <f>L1232*VLOOKUP(H1232,dagsoorttabel1,2,FALSE)</f>
        <v>28.481999999999999</v>
      </c>
      <c r="N1232" s="65">
        <f>prodnorm18</f>
        <v>0</v>
      </c>
      <c r="O1232" s="66">
        <f>dagwerk18</f>
        <v>0</v>
      </c>
      <c r="P1232" s="62" t="s">
        <v>40</v>
      </c>
      <c r="Q1232" s="67">
        <f>uurtarief18</f>
        <v>0</v>
      </c>
      <c r="R1232" s="64" t="e">
        <f>IF(ISBLANK(N1232),0,M1232/ROUND(N1232,4))</f>
        <v>#DIV/0!</v>
      </c>
      <c r="S1232" s="64" t="e">
        <f>IF(ISBLANK(N1232),0,R1232*ROUND(O1232,2))</f>
        <v>#DIV/0!</v>
      </c>
      <c r="T1232" s="67" t="e">
        <f>ROUND(Q1232,2)*R1232</f>
        <v>#DIV/0!</v>
      </c>
      <c r="U1232" s="64" t="e">
        <f>R1232*dagenperjaar1</f>
        <v>#DIV/0!</v>
      </c>
      <c r="V1232" s="69" t="e">
        <f>U1232*ROUND(Q1232,2)</f>
        <v>#DIV/0!</v>
      </c>
    </row>
    <row r="1233" spans="1:22" x14ac:dyDescent="0.3">
      <c r="A1233" s="61" t="s">
        <v>1629</v>
      </c>
      <c r="B1233" s="62" t="s">
        <v>1630</v>
      </c>
      <c r="C1233" s="62" t="s">
        <v>318</v>
      </c>
      <c r="D1233" s="62" t="s">
        <v>1637</v>
      </c>
      <c r="E1233" s="63" t="s">
        <v>1638</v>
      </c>
      <c r="F1233" s="62" t="s">
        <v>348</v>
      </c>
      <c r="G1233" s="62" t="s">
        <v>240</v>
      </c>
      <c r="H1233" s="62" t="s">
        <v>11</v>
      </c>
      <c r="I1233" s="62" t="s">
        <v>210</v>
      </c>
      <c r="J1233" s="63" t="s">
        <v>241</v>
      </c>
      <c r="K1233" s="62" t="s">
        <v>317</v>
      </c>
      <c r="L1233" s="64">
        <v>102.06</v>
      </c>
      <c r="M1233" s="64">
        <f>L1233*VLOOKUP(H1233,dagsoorttabel1,2,FALSE)</f>
        <v>102.06</v>
      </c>
      <c r="N1233" s="65">
        <f>prodnorm25</f>
        <v>0</v>
      </c>
      <c r="O1233" s="66">
        <f>dagwerk25</f>
        <v>0</v>
      </c>
      <c r="P1233" s="62" t="s">
        <v>40</v>
      </c>
      <c r="Q1233" s="67">
        <f>uurtarief25</f>
        <v>0</v>
      </c>
      <c r="R1233" s="64" t="e">
        <f>IF(ISBLANK(N1233),0,M1233/ROUND(N1233,4))</f>
        <v>#DIV/0!</v>
      </c>
      <c r="S1233" s="64" t="e">
        <f>IF(ISBLANK(N1233),0,R1233*ROUND(O1233,2))</f>
        <v>#DIV/0!</v>
      </c>
      <c r="T1233" s="67" t="e">
        <f>ROUND(Q1233,2)*R1233</f>
        <v>#DIV/0!</v>
      </c>
      <c r="U1233" s="64" t="e">
        <f>R1233*dagenperjaar1</f>
        <v>#DIV/0!</v>
      </c>
      <c r="V1233" s="69" t="e">
        <f>U1233*ROUND(Q1233,2)</f>
        <v>#DIV/0!</v>
      </c>
    </row>
    <row r="1234" spans="1:22" x14ac:dyDescent="0.3">
      <c r="A1234" s="61" t="s">
        <v>1629</v>
      </c>
      <c r="B1234" s="62" t="s">
        <v>1630</v>
      </c>
      <c r="C1234" s="62" t="s">
        <v>318</v>
      </c>
      <c r="D1234" s="62" t="s">
        <v>1639</v>
      </c>
      <c r="E1234" s="63" t="s">
        <v>413</v>
      </c>
      <c r="F1234" s="62" t="s">
        <v>348</v>
      </c>
      <c r="G1234" s="62" t="s">
        <v>236</v>
      </c>
      <c r="H1234" s="62" t="s">
        <v>14</v>
      </c>
      <c r="I1234" s="62" t="s">
        <v>210</v>
      </c>
      <c r="J1234" s="63" t="s">
        <v>237</v>
      </c>
      <c r="K1234" s="62" t="s">
        <v>317</v>
      </c>
      <c r="L1234" s="64">
        <v>48.56</v>
      </c>
      <c r="M1234" s="64">
        <f>L1234*VLOOKUP(H1234,dagsoorttabel1,2,FALSE)</f>
        <v>29.135999999999999</v>
      </c>
      <c r="N1234" s="65">
        <f>prodnorm23</f>
        <v>0</v>
      </c>
      <c r="O1234" s="66">
        <f>dagwerk23</f>
        <v>0</v>
      </c>
      <c r="P1234" s="62" t="s">
        <v>40</v>
      </c>
      <c r="Q1234" s="67">
        <f>uurtarief23</f>
        <v>0</v>
      </c>
      <c r="R1234" s="64" t="e">
        <f>IF(ISBLANK(N1234),0,M1234/ROUND(N1234,4))</f>
        <v>#DIV/0!</v>
      </c>
      <c r="S1234" s="64" t="e">
        <f>IF(ISBLANK(N1234),0,R1234*ROUND(O1234,2))</f>
        <v>#DIV/0!</v>
      </c>
      <c r="T1234" s="67" t="e">
        <f>ROUND(Q1234,2)*R1234</f>
        <v>#DIV/0!</v>
      </c>
      <c r="U1234" s="64" t="e">
        <f>R1234*dagenperjaar1</f>
        <v>#DIV/0!</v>
      </c>
      <c r="V1234" s="69" t="e">
        <f>U1234*ROUND(Q1234,2)</f>
        <v>#DIV/0!</v>
      </c>
    </row>
    <row r="1235" spans="1:22" x14ac:dyDescent="0.3">
      <c r="A1235" s="61" t="s">
        <v>1629</v>
      </c>
      <c r="B1235" s="62" t="s">
        <v>1630</v>
      </c>
      <c r="C1235" s="62" t="s">
        <v>318</v>
      </c>
      <c r="D1235" s="62" t="s">
        <v>1640</v>
      </c>
      <c r="E1235" s="63" t="s">
        <v>413</v>
      </c>
      <c r="F1235" s="62" t="s">
        <v>348</v>
      </c>
      <c r="G1235" s="62" t="s">
        <v>236</v>
      </c>
      <c r="H1235" s="62" t="s">
        <v>14</v>
      </c>
      <c r="I1235" s="62" t="s">
        <v>210</v>
      </c>
      <c r="J1235" s="63" t="s">
        <v>237</v>
      </c>
      <c r="K1235" s="62" t="s">
        <v>317</v>
      </c>
      <c r="L1235" s="64">
        <v>47.47</v>
      </c>
      <c r="M1235" s="64">
        <f>L1235*VLOOKUP(H1235,dagsoorttabel1,2,FALSE)</f>
        <v>28.481999999999999</v>
      </c>
      <c r="N1235" s="65">
        <f>prodnorm23</f>
        <v>0</v>
      </c>
      <c r="O1235" s="66">
        <f>dagwerk23</f>
        <v>0</v>
      </c>
      <c r="P1235" s="62" t="s">
        <v>40</v>
      </c>
      <c r="Q1235" s="67">
        <f>uurtarief23</f>
        <v>0</v>
      </c>
      <c r="R1235" s="64" t="e">
        <f>IF(ISBLANK(N1235),0,M1235/ROUND(N1235,4))</f>
        <v>#DIV/0!</v>
      </c>
      <c r="S1235" s="64" t="e">
        <f>IF(ISBLANK(N1235),0,R1235*ROUND(O1235,2))</f>
        <v>#DIV/0!</v>
      </c>
      <c r="T1235" s="67" t="e">
        <f>ROUND(Q1235,2)*R1235</f>
        <v>#DIV/0!</v>
      </c>
      <c r="U1235" s="64" t="e">
        <f>R1235*dagenperjaar1</f>
        <v>#DIV/0!</v>
      </c>
      <c r="V1235" s="69" t="e">
        <f>U1235*ROUND(Q1235,2)</f>
        <v>#DIV/0!</v>
      </c>
    </row>
    <row r="1236" spans="1:22" x14ac:dyDescent="0.3">
      <c r="A1236" s="61" t="s">
        <v>1629</v>
      </c>
      <c r="B1236" s="62" t="s">
        <v>1630</v>
      </c>
      <c r="C1236" s="62" t="s">
        <v>318</v>
      </c>
      <c r="D1236" s="62" t="s">
        <v>1641</v>
      </c>
      <c r="E1236" s="63" t="s">
        <v>374</v>
      </c>
      <c r="F1236" s="62" t="s">
        <v>331</v>
      </c>
      <c r="G1236" s="62" t="s">
        <v>323</v>
      </c>
      <c r="H1236" s="62"/>
      <c r="I1236" s="62"/>
      <c r="J1236" s="62"/>
      <c r="K1236" s="62" t="s">
        <v>317</v>
      </c>
      <c r="L1236" s="64">
        <v>6.74</v>
      </c>
      <c r="M1236" s="64"/>
      <c r="N1236" s="65"/>
      <c r="O1236" s="66"/>
      <c r="P1236" s="62"/>
      <c r="Q1236" s="67"/>
      <c r="R1236" s="64"/>
      <c r="S1236" s="64"/>
      <c r="T1236" s="67"/>
      <c r="U1236" s="68"/>
      <c r="V1236" s="69"/>
    </row>
    <row r="1237" spans="1:22" x14ac:dyDescent="0.3">
      <c r="A1237" s="61" t="s">
        <v>1629</v>
      </c>
      <c r="B1237" s="62" t="s">
        <v>1630</v>
      </c>
      <c r="C1237" s="62" t="s">
        <v>318</v>
      </c>
      <c r="D1237" s="62" t="s">
        <v>1642</v>
      </c>
      <c r="E1237" s="63" t="s">
        <v>374</v>
      </c>
      <c r="F1237" s="62" t="s">
        <v>331</v>
      </c>
      <c r="G1237" s="62" t="s">
        <v>323</v>
      </c>
      <c r="H1237" s="62"/>
      <c r="I1237" s="62"/>
      <c r="J1237" s="62"/>
      <c r="K1237" s="62" t="s">
        <v>317</v>
      </c>
      <c r="L1237" s="64">
        <v>1.48</v>
      </c>
      <c r="M1237" s="64"/>
      <c r="N1237" s="65"/>
      <c r="O1237" s="66"/>
      <c r="P1237" s="62"/>
      <c r="Q1237" s="67"/>
      <c r="R1237" s="64"/>
      <c r="S1237" s="64"/>
      <c r="T1237" s="67"/>
      <c r="U1237" s="68"/>
      <c r="V1237" s="69"/>
    </row>
    <row r="1238" spans="1:22" x14ac:dyDescent="0.3">
      <c r="A1238" s="61" t="s">
        <v>1629</v>
      </c>
      <c r="B1238" s="62" t="s">
        <v>1630</v>
      </c>
      <c r="C1238" s="62" t="s">
        <v>318</v>
      </c>
      <c r="D1238" s="62" t="s">
        <v>1643</v>
      </c>
      <c r="E1238" s="63" t="s">
        <v>369</v>
      </c>
      <c r="F1238" s="62" t="s">
        <v>353</v>
      </c>
      <c r="G1238" s="62" t="s">
        <v>323</v>
      </c>
      <c r="H1238" s="62"/>
      <c r="I1238" s="62"/>
      <c r="J1238" s="62"/>
      <c r="K1238" s="62" t="s">
        <v>317</v>
      </c>
      <c r="L1238" s="64">
        <v>4.6099999999999994</v>
      </c>
      <c r="M1238" s="64"/>
      <c r="N1238" s="65"/>
      <c r="O1238" s="66"/>
      <c r="P1238" s="62"/>
      <c r="Q1238" s="67"/>
      <c r="R1238" s="64"/>
      <c r="S1238" s="64"/>
      <c r="T1238" s="67"/>
      <c r="U1238" s="68"/>
      <c r="V1238" s="69"/>
    </row>
    <row r="1239" spans="1:22" x14ac:dyDescent="0.3">
      <c r="A1239" s="61" t="s">
        <v>1629</v>
      </c>
      <c r="B1239" s="62" t="s">
        <v>1630</v>
      </c>
      <c r="C1239" s="62" t="s">
        <v>318</v>
      </c>
      <c r="D1239" s="62" t="s">
        <v>1644</v>
      </c>
      <c r="E1239" s="63" t="s">
        <v>352</v>
      </c>
      <c r="F1239" s="62" t="s">
        <v>1118</v>
      </c>
      <c r="G1239" s="62" t="s">
        <v>266</v>
      </c>
      <c r="H1239" s="62" t="s">
        <v>11</v>
      </c>
      <c r="I1239" s="62" t="s">
        <v>210</v>
      </c>
      <c r="J1239" s="63" t="s">
        <v>267</v>
      </c>
      <c r="K1239" s="62" t="s">
        <v>317</v>
      </c>
      <c r="L1239" s="64">
        <v>7.98</v>
      </c>
      <c r="M1239" s="64">
        <f>L1239*VLOOKUP(H1239,dagsoorttabel1,2,FALSE)</f>
        <v>7.98</v>
      </c>
      <c r="N1239" s="65">
        <f>prodnorm39</f>
        <v>0</v>
      </c>
      <c r="O1239" s="66">
        <f>dagwerk39</f>
        <v>0</v>
      </c>
      <c r="P1239" s="62" t="s">
        <v>40</v>
      </c>
      <c r="Q1239" s="67">
        <f>uurtarief39</f>
        <v>0</v>
      </c>
      <c r="R1239" s="64" t="e">
        <f>IF(ISBLANK(N1239),0,M1239/ROUND(N1239,4))</f>
        <v>#DIV/0!</v>
      </c>
      <c r="S1239" s="64" t="e">
        <f>IF(ISBLANK(N1239),0,R1239*ROUND(O1239,2))</f>
        <v>#DIV/0!</v>
      </c>
      <c r="T1239" s="67" t="e">
        <f>ROUND(Q1239,2)*R1239</f>
        <v>#DIV/0!</v>
      </c>
      <c r="U1239" s="64" t="e">
        <f>R1239*dagenperjaar1</f>
        <v>#DIV/0!</v>
      </c>
      <c r="V1239" s="69" t="e">
        <f>U1239*ROUND(Q1239,2)</f>
        <v>#DIV/0!</v>
      </c>
    </row>
    <row r="1240" spans="1:22" x14ac:dyDescent="0.3">
      <c r="A1240" s="61" t="s">
        <v>1629</v>
      </c>
      <c r="B1240" s="62" t="s">
        <v>1630</v>
      </c>
      <c r="C1240" s="62" t="s">
        <v>318</v>
      </c>
      <c r="D1240" s="62" t="s">
        <v>1645</v>
      </c>
      <c r="E1240" s="63" t="s">
        <v>352</v>
      </c>
      <c r="F1240" s="62" t="s">
        <v>1118</v>
      </c>
      <c r="G1240" s="62" t="s">
        <v>266</v>
      </c>
      <c r="H1240" s="62" t="s">
        <v>11</v>
      </c>
      <c r="I1240" s="62" t="s">
        <v>210</v>
      </c>
      <c r="J1240" s="63" t="s">
        <v>267</v>
      </c>
      <c r="K1240" s="62" t="s">
        <v>317</v>
      </c>
      <c r="L1240" s="64">
        <v>7.9700000000000006</v>
      </c>
      <c r="M1240" s="64">
        <f>L1240*VLOOKUP(H1240,dagsoorttabel1,2,FALSE)</f>
        <v>7.9700000000000006</v>
      </c>
      <c r="N1240" s="65">
        <f>prodnorm39</f>
        <v>0</v>
      </c>
      <c r="O1240" s="66">
        <f>dagwerk39</f>
        <v>0</v>
      </c>
      <c r="P1240" s="62" t="s">
        <v>40</v>
      </c>
      <c r="Q1240" s="67">
        <f>uurtarief39</f>
        <v>0</v>
      </c>
      <c r="R1240" s="64" t="e">
        <f>IF(ISBLANK(N1240),0,M1240/ROUND(N1240,4))</f>
        <v>#DIV/0!</v>
      </c>
      <c r="S1240" s="64" t="e">
        <f>IF(ISBLANK(N1240),0,R1240*ROUND(O1240,2))</f>
        <v>#DIV/0!</v>
      </c>
      <c r="T1240" s="67" t="e">
        <f>ROUND(Q1240,2)*R1240</f>
        <v>#DIV/0!</v>
      </c>
      <c r="U1240" s="64" t="e">
        <f>R1240*dagenperjaar1</f>
        <v>#DIV/0!</v>
      </c>
      <c r="V1240" s="69" t="e">
        <f>U1240*ROUND(Q1240,2)</f>
        <v>#DIV/0!</v>
      </c>
    </row>
    <row r="1241" spans="1:22" x14ac:dyDescent="0.3">
      <c r="A1241" s="61" t="s">
        <v>1629</v>
      </c>
      <c r="B1241" s="62" t="s">
        <v>1630</v>
      </c>
      <c r="C1241" s="62" t="s">
        <v>318</v>
      </c>
      <c r="D1241" s="62" t="s">
        <v>1646</v>
      </c>
      <c r="E1241" s="63" t="s">
        <v>381</v>
      </c>
      <c r="F1241" s="62" t="s">
        <v>365</v>
      </c>
      <c r="G1241" s="62" t="s">
        <v>280</v>
      </c>
      <c r="H1241" s="62" t="s">
        <v>11</v>
      </c>
      <c r="I1241" s="62" t="s">
        <v>210</v>
      </c>
      <c r="J1241" s="63" t="s">
        <v>281</v>
      </c>
      <c r="K1241" s="62" t="s">
        <v>317</v>
      </c>
      <c r="L1241" s="64">
        <v>3.18</v>
      </c>
      <c r="M1241" s="64">
        <f>L1241*VLOOKUP(H1241,dagsoorttabel1,2,FALSE)</f>
        <v>3.18</v>
      </c>
      <c r="N1241" s="65">
        <f>prodnorm46</f>
        <v>0</v>
      </c>
      <c r="O1241" s="66">
        <f>dagwerk46</f>
        <v>0</v>
      </c>
      <c r="P1241" s="62" t="s">
        <v>40</v>
      </c>
      <c r="Q1241" s="67">
        <f>uurtarief46</f>
        <v>0</v>
      </c>
      <c r="R1241" s="64" t="e">
        <f>IF(ISBLANK(N1241),0,M1241/ROUND(N1241,4))</f>
        <v>#DIV/0!</v>
      </c>
      <c r="S1241" s="64" t="e">
        <f>IF(ISBLANK(N1241),0,R1241*ROUND(O1241,2))</f>
        <v>#DIV/0!</v>
      </c>
      <c r="T1241" s="67" t="e">
        <f>ROUND(Q1241,2)*R1241</f>
        <v>#DIV/0!</v>
      </c>
      <c r="U1241" s="64" t="e">
        <f>R1241*dagenperjaar1</f>
        <v>#DIV/0!</v>
      </c>
      <c r="V1241" s="69" t="e">
        <f>U1241*ROUND(Q1241,2)</f>
        <v>#DIV/0!</v>
      </c>
    </row>
    <row r="1242" spans="1:22" x14ac:dyDescent="0.3">
      <c r="A1242" s="61" t="s">
        <v>1629</v>
      </c>
      <c r="B1242" s="62" t="s">
        <v>1630</v>
      </c>
      <c r="C1242" s="62" t="s">
        <v>318</v>
      </c>
      <c r="D1242" s="62" t="s">
        <v>1647</v>
      </c>
      <c r="E1242" s="63" t="s">
        <v>374</v>
      </c>
      <c r="F1242" s="62" t="s">
        <v>1118</v>
      </c>
      <c r="G1242" s="62" t="s">
        <v>323</v>
      </c>
      <c r="H1242" s="62"/>
      <c r="I1242" s="62"/>
      <c r="J1242" s="62"/>
      <c r="K1242" s="62" t="s">
        <v>317</v>
      </c>
      <c r="L1242" s="64">
        <v>5.6199999999999992</v>
      </c>
      <c r="M1242" s="64"/>
      <c r="N1242" s="65"/>
      <c r="O1242" s="66"/>
      <c r="P1242" s="62"/>
      <c r="Q1242" s="67"/>
      <c r="R1242" s="64"/>
      <c r="S1242" s="64"/>
      <c r="T1242" s="67"/>
      <c r="U1242" s="68"/>
      <c r="V1242" s="69"/>
    </row>
    <row r="1243" spans="1:22" x14ac:dyDescent="0.3">
      <c r="A1243" s="61" t="s">
        <v>1629</v>
      </c>
      <c r="B1243" s="62" t="s">
        <v>1630</v>
      </c>
      <c r="C1243" s="62" t="s">
        <v>318</v>
      </c>
      <c r="D1243" s="62" t="s">
        <v>1648</v>
      </c>
      <c r="E1243" s="63" t="s">
        <v>352</v>
      </c>
      <c r="F1243" s="62" t="s">
        <v>1118</v>
      </c>
      <c r="G1243" s="62" t="s">
        <v>266</v>
      </c>
      <c r="H1243" s="62" t="s">
        <v>11</v>
      </c>
      <c r="I1243" s="62" t="s">
        <v>210</v>
      </c>
      <c r="J1243" s="63" t="s">
        <v>267</v>
      </c>
      <c r="K1243" s="62" t="s">
        <v>317</v>
      </c>
      <c r="L1243" s="64">
        <v>5.2700000000000005</v>
      </c>
      <c r="M1243" s="64">
        <f t="shared" ref="M1243:M1253" si="408">L1243*VLOOKUP(H1243,dagsoorttabel1,2,FALSE)</f>
        <v>5.2700000000000005</v>
      </c>
      <c r="N1243" s="65">
        <f>prodnorm39</f>
        <v>0</v>
      </c>
      <c r="O1243" s="66">
        <f>dagwerk39</f>
        <v>0</v>
      </c>
      <c r="P1243" s="62" t="s">
        <v>40</v>
      </c>
      <c r="Q1243" s="67">
        <f>uurtarief39</f>
        <v>0</v>
      </c>
      <c r="R1243" s="64" t="e">
        <f t="shared" ref="R1243:R1253" si="409">IF(ISBLANK(N1243),0,M1243/ROUND(N1243,4))</f>
        <v>#DIV/0!</v>
      </c>
      <c r="S1243" s="64" t="e">
        <f t="shared" ref="S1243:S1253" si="410">IF(ISBLANK(N1243),0,R1243*ROUND(O1243,2))</f>
        <v>#DIV/0!</v>
      </c>
      <c r="T1243" s="67" t="e">
        <f t="shared" ref="T1243:T1253" si="411">ROUND(Q1243,2)*R1243</f>
        <v>#DIV/0!</v>
      </c>
      <c r="U1243" s="64" t="e">
        <f t="shared" ref="U1243:U1253" si="412">R1243*dagenperjaar1</f>
        <v>#DIV/0!</v>
      </c>
      <c r="V1243" s="69" t="e">
        <f t="shared" ref="V1243:V1253" si="413">U1243*ROUND(Q1243,2)</f>
        <v>#DIV/0!</v>
      </c>
    </row>
    <row r="1244" spans="1:22" x14ac:dyDescent="0.3">
      <c r="A1244" s="61" t="s">
        <v>1629</v>
      </c>
      <c r="B1244" s="62" t="s">
        <v>1630</v>
      </c>
      <c r="C1244" s="62" t="s">
        <v>318</v>
      </c>
      <c r="D1244" s="62" t="s">
        <v>1649</v>
      </c>
      <c r="E1244" s="63" t="s">
        <v>394</v>
      </c>
      <c r="F1244" s="62" t="s">
        <v>331</v>
      </c>
      <c r="G1244" s="62" t="s">
        <v>272</v>
      </c>
      <c r="H1244" s="62" t="s">
        <v>11</v>
      </c>
      <c r="I1244" s="62" t="s">
        <v>210</v>
      </c>
      <c r="J1244" s="63" t="s">
        <v>273</v>
      </c>
      <c r="K1244" s="62" t="s">
        <v>317</v>
      </c>
      <c r="L1244" s="64">
        <v>93.19</v>
      </c>
      <c r="M1244" s="64">
        <f t="shared" si="408"/>
        <v>93.19</v>
      </c>
      <c r="N1244" s="65">
        <f>prodnorm42</f>
        <v>0</v>
      </c>
      <c r="O1244" s="66">
        <f>dagwerk42</f>
        <v>0</v>
      </c>
      <c r="P1244" s="62" t="s">
        <v>40</v>
      </c>
      <c r="Q1244" s="67">
        <f>uurtarief42</f>
        <v>0</v>
      </c>
      <c r="R1244" s="64" t="e">
        <f t="shared" si="409"/>
        <v>#DIV/0!</v>
      </c>
      <c r="S1244" s="64" t="e">
        <f t="shared" si="410"/>
        <v>#DIV/0!</v>
      </c>
      <c r="T1244" s="67" t="e">
        <f t="shared" si="411"/>
        <v>#DIV/0!</v>
      </c>
      <c r="U1244" s="64" t="e">
        <f t="shared" si="412"/>
        <v>#DIV/0!</v>
      </c>
      <c r="V1244" s="69" t="e">
        <f t="shared" si="413"/>
        <v>#DIV/0!</v>
      </c>
    </row>
    <row r="1245" spans="1:22" x14ac:dyDescent="0.3">
      <c r="A1245" s="61" t="s">
        <v>1629</v>
      </c>
      <c r="B1245" s="62" t="s">
        <v>1630</v>
      </c>
      <c r="C1245" s="62" t="s">
        <v>318</v>
      </c>
      <c r="D1245" s="62" t="s">
        <v>1650</v>
      </c>
      <c r="E1245" s="63" t="s">
        <v>394</v>
      </c>
      <c r="F1245" s="62" t="s">
        <v>331</v>
      </c>
      <c r="G1245" s="62" t="s">
        <v>272</v>
      </c>
      <c r="H1245" s="62" t="s">
        <v>11</v>
      </c>
      <c r="I1245" s="62" t="s">
        <v>210</v>
      </c>
      <c r="J1245" s="63" t="s">
        <v>273</v>
      </c>
      <c r="K1245" s="62" t="s">
        <v>317</v>
      </c>
      <c r="L1245" s="64">
        <v>12.01</v>
      </c>
      <c r="M1245" s="64">
        <f t="shared" si="408"/>
        <v>12.01</v>
      </c>
      <c r="N1245" s="65">
        <f>prodnorm42</f>
        <v>0</v>
      </c>
      <c r="O1245" s="66">
        <f>dagwerk42</f>
        <v>0</v>
      </c>
      <c r="P1245" s="62" t="s">
        <v>40</v>
      </c>
      <c r="Q1245" s="67">
        <f>uurtarief42</f>
        <v>0</v>
      </c>
      <c r="R1245" s="64" t="e">
        <f t="shared" si="409"/>
        <v>#DIV/0!</v>
      </c>
      <c r="S1245" s="64" t="e">
        <f t="shared" si="410"/>
        <v>#DIV/0!</v>
      </c>
      <c r="T1245" s="67" t="e">
        <f t="shared" si="411"/>
        <v>#DIV/0!</v>
      </c>
      <c r="U1245" s="64" t="e">
        <f t="shared" si="412"/>
        <v>#DIV/0!</v>
      </c>
      <c r="V1245" s="69" t="e">
        <f t="shared" si="413"/>
        <v>#DIV/0!</v>
      </c>
    </row>
    <row r="1246" spans="1:22" x14ac:dyDescent="0.3">
      <c r="A1246" s="61" t="s">
        <v>1629</v>
      </c>
      <c r="B1246" s="62" t="s">
        <v>1630</v>
      </c>
      <c r="C1246" s="62" t="s">
        <v>318</v>
      </c>
      <c r="D1246" s="62" t="s">
        <v>1651</v>
      </c>
      <c r="E1246" s="63" t="s">
        <v>624</v>
      </c>
      <c r="F1246" s="62" t="s">
        <v>1652</v>
      </c>
      <c r="G1246" s="62" t="s">
        <v>276</v>
      </c>
      <c r="H1246" s="62" t="s">
        <v>11</v>
      </c>
      <c r="I1246" s="62" t="s">
        <v>210</v>
      </c>
      <c r="J1246" s="63" t="s">
        <v>277</v>
      </c>
      <c r="K1246" s="62" t="s">
        <v>317</v>
      </c>
      <c r="L1246" s="64">
        <v>11.27</v>
      </c>
      <c r="M1246" s="64">
        <f t="shared" si="408"/>
        <v>11.27</v>
      </c>
      <c r="N1246" s="65">
        <f>prodnorm44</f>
        <v>0</v>
      </c>
      <c r="O1246" s="66">
        <f>dagwerk44</f>
        <v>0</v>
      </c>
      <c r="P1246" s="62" t="s">
        <v>40</v>
      </c>
      <c r="Q1246" s="67">
        <f>uurtarief44</f>
        <v>0</v>
      </c>
      <c r="R1246" s="64" t="e">
        <f t="shared" si="409"/>
        <v>#DIV/0!</v>
      </c>
      <c r="S1246" s="64" t="e">
        <f t="shared" si="410"/>
        <v>#DIV/0!</v>
      </c>
      <c r="T1246" s="67" t="e">
        <f t="shared" si="411"/>
        <v>#DIV/0!</v>
      </c>
      <c r="U1246" s="64" t="e">
        <f t="shared" si="412"/>
        <v>#DIV/0!</v>
      </c>
      <c r="V1246" s="69" t="e">
        <f t="shared" si="413"/>
        <v>#DIV/0!</v>
      </c>
    </row>
    <row r="1247" spans="1:22" x14ac:dyDescent="0.3">
      <c r="A1247" s="61" t="s">
        <v>1629</v>
      </c>
      <c r="B1247" s="62" t="s">
        <v>1630</v>
      </c>
      <c r="C1247" s="62" t="s">
        <v>629</v>
      </c>
      <c r="D1247" s="62" t="s">
        <v>1653</v>
      </c>
      <c r="E1247" s="63" t="s">
        <v>396</v>
      </c>
      <c r="F1247" s="62" t="s">
        <v>348</v>
      </c>
      <c r="G1247" s="62" t="s">
        <v>240</v>
      </c>
      <c r="H1247" s="62" t="s">
        <v>11</v>
      </c>
      <c r="I1247" s="62" t="s">
        <v>210</v>
      </c>
      <c r="J1247" s="63" t="s">
        <v>241</v>
      </c>
      <c r="K1247" s="62" t="s">
        <v>317</v>
      </c>
      <c r="L1247" s="64">
        <v>100.03</v>
      </c>
      <c r="M1247" s="64">
        <f t="shared" si="408"/>
        <v>100.03</v>
      </c>
      <c r="N1247" s="65">
        <f>prodnorm25</f>
        <v>0</v>
      </c>
      <c r="O1247" s="66">
        <f>dagwerk25</f>
        <v>0</v>
      </c>
      <c r="P1247" s="62" t="s">
        <v>40</v>
      </c>
      <c r="Q1247" s="67">
        <f>uurtarief25</f>
        <v>0</v>
      </c>
      <c r="R1247" s="64" t="e">
        <f t="shared" si="409"/>
        <v>#DIV/0!</v>
      </c>
      <c r="S1247" s="64" t="e">
        <f t="shared" si="410"/>
        <v>#DIV/0!</v>
      </c>
      <c r="T1247" s="67" t="e">
        <f t="shared" si="411"/>
        <v>#DIV/0!</v>
      </c>
      <c r="U1247" s="64" t="e">
        <f t="shared" si="412"/>
        <v>#DIV/0!</v>
      </c>
      <c r="V1247" s="69" t="e">
        <f t="shared" si="413"/>
        <v>#DIV/0!</v>
      </c>
    </row>
    <row r="1248" spans="1:22" x14ac:dyDescent="0.3">
      <c r="A1248" s="61" t="s">
        <v>1629</v>
      </c>
      <c r="B1248" s="62" t="s">
        <v>1630</v>
      </c>
      <c r="C1248" s="62" t="s">
        <v>629</v>
      </c>
      <c r="D1248" s="62" t="s">
        <v>1654</v>
      </c>
      <c r="E1248" s="63" t="s">
        <v>396</v>
      </c>
      <c r="F1248" s="62" t="s">
        <v>348</v>
      </c>
      <c r="G1248" s="62" t="s">
        <v>240</v>
      </c>
      <c r="H1248" s="62" t="s">
        <v>11</v>
      </c>
      <c r="I1248" s="62" t="s">
        <v>210</v>
      </c>
      <c r="J1248" s="63" t="s">
        <v>241</v>
      </c>
      <c r="K1248" s="62" t="s">
        <v>317</v>
      </c>
      <c r="L1248" s="64">
        <v>66.97</v>
      </c>
      <c r="M1248" s="64">
        <f t="shared" si="408"/>
        <v>66.97</v>
      </c>
      <c r="N1248" s="65">
        <f>prodnorm25</f>
        <v>0</v>
      </c>
      <c r="O1248" s="66">
        <f>dagwerk25</f>
        <v>0</v>
      </c>
      <c r="P1248" s="62" t="s">
        <v>40</v>
      </c>
      <c r="Q1248" s="67">
        <f>uurtarief25</f>
        <v>0</v>
      </c>
      <c r="R1248" s="64" t="e">
        <f t="shared" si="409"/>
        <v>#DIV/0!</v>
      </c>
      <c r="S1248" s="64" t="e">
        <f t="shared" si="410"/>
        <v>#DIV/0!</v>
      </c>
      <c r="T1248" s="67" t="e">
        <f t="shared" si="411"/>
        <v>#DIV/0!</v>
      </c>
      <c r="U1248" s="64" t="e">
        <f t="shared" si="412"/>
        <v>#DIV/0!</v>
      </c>
      <c r="V1248" s="69" t="e">
        <f t="shared" si="413"/>
        <v>#DIV/0!</v>
      </c>
    </row>
    <row r="1249" spans="1:22" x14ac:dyDescent="0.3">
      <c r="A1249" s="61" t="s">
        <v>1629</v>
      </c>
      <c r="B1249" s="62" t="s">
        <v>1630</v>
      </c>
      <c r="C1249" s="62" t="s">
        <v>629</v>
      </c>
      <c r="D1249" s="62" t="s">
        <v>1655</v>
      </c>
      <c r="E1249" s="63" t="s">
        <v>619</v>
      </c>
      <c r="F1249" s="62" t="s">
        <v>348</v>
      </c>
      <c r="G1249" s="62" t="s">
        <v>240</v>
      </c>
      <c r="H1249" s="62" t="s">
        <v>11</v>
      </c>
      <c r="I1249" s="62" t="s">
        <v>210</v>
      </c>
      <c r="J1249" s="63" t="s">
        <v>241</v>
      </c>
      <c r="K1249" s="62" t="s">
        <v>317</v>
      </c>
      <c r="L1249" s="64">
        <v>82.72</v>
      </c>
      <c r="M1249" s="64">
        <f t="shared" si="408"/>
        <v>82.72</v>
      </c>
      <c r="N1249" s="65">
        <f>prodnorm25</f>
        <v>0</v>
      </c>
      <c r="O1249" s="66">
        <f>dagwerk25</f>
        <v>0</v>
      </c>
      <c r="P1249" s="62" t="s">
        <v>40</v>
      </c>
      <c r="Q1249" s="67">
        <f>uurtarief25</f>
        <v>0</v>
      </c>
      <c r="R1249" s="64" t="e">
        <f t="shared" si="409"/>
        <v>#DIV/0!</v>
      </c>
      <c r="S1249" s="64" t="e">
        <f t="shared" si="410"/>
        <v>#DIV/0!</v>
      </c>
      <c r="T1249" s="67" t="e">
        <f t="shared" si="411"/>
        <v>#DIV/0!</v>
      </c>
      <c r="U1249" s="64" t="e">
        <f t="shared" si="412"/>
        <v>#DIV/0!</v>
      </c>
      <c r="V1249" s="69" t="e">
        <f t="shared" si="413"/>
        <v>#DIV/0!</v>
      </c>
    </row>
    <row r="1250" spans="1:22" x14ac:dyDescent="0.3">
      <c r="A1250" s="61" t="s">
        <v>1629</v>
      </c>
      <c r="B1250" s="62" t="s">
        <v>1630</v>
      </c>
      <c r="C1250" s="62" t="s">
        <v>629</v>
      </c>
      <c r="D1250" s="62" t="s">
        <v>1656</v>
      </c>
      <c r="E1250" s="63" t="s">
        <v>1657</v>
      </c>
      <c r="F1250" s="62" t="s">
        <v>348</v>
      </c>
      <c r="G1250" s="62" t="s">
        <v>212</v>
      </c>
      <c r="H1250" s="62" t="s">
        <v>17</v>
      </c>
      <c r="I1250" s="62" t="s">
        <v>210</v>
      </c>
      <c r="J1250" s="63" t="s">
        <v>213</v>
      </c>
      <c r="K1250" s="62" t="s">
        <v>317</v>
      </c>
      <c r="L1250" s="64">
        <v>12.52</v>
      </c>
      <c r="M1250" s="64">
        <f t="shared" si="408"/>
        <v>2.504</v>
      </c>
      <c r="N1250" s="65">
        <f>prodnorm11</f>
        <v>0</v>
      </c>
      <c r="O1250" s="66">
        <f>dagwerk11</f>
        <v>0</v>
      </c>
      <c r="P1250" s="62" t="s">
        <v>40</v>
      </c>
      <c r="Q1250" s="67">
        <f>uurtarief11</f>
        <v>0</v>
      </c>
      <c r="R1250" s="64" t="e">
        <f t="shared" si="409"/>
        <v>#DIV/0!</v>
      </c>
      <c r="S1250" s="64" t="e">
        <f t="shared" si="410"/>
        <v>#DIV/0!</v>
      </c>
      <c r="T1250" s="67" t="e">
        <f t="shared" si="411"/>
        <v>#DIV/0!</v>
      </c>
      <c r="U1250" s="64" t="e">
        <f t="shared" si="412"/>
        <v>#DIV/0!</v>
      </c>
      <c r="V1250" s="69" t="e">
        <f t="shared" si="413"/>
        <v>#DIV/0!</v>
      </c>
    </row>
    <row r="1251" spans="1:22" x14ac:dyDescent="0.3">
      <c r="A1251" s="61" t="s">
        <v>1629</v>
      </c>
      <c r="B1251" s="62" t="s">
        <v>1630</v>
      </c>
      <c r="C1251" s="62" t="s">
        <v>629</v>
      </c>
      <c r="D1251" s="62" t="s">
        <v>1658</v>
      </c>
      <c r="E1251" s="63" t="s">
        <v>413</v>
      </c>
      <c r="F1251" s="62" t="s">
        <v>348</v>
      </c>
      <c r="G1251" s="62" t="s">
        <v>236</v>
      </c>
      <c r="H1251" s="62" t="s">
        <v>14</v>
      </c>
      <c r="I1251" s="62" t="s">
        <v>210</v>
      </c>
      <c r="J1251" s="63" t="s">
        <v>237</v>
      </c>
      <c r="K1251" s="62" t="s">
        <v>317</v>
      </c>
      <c r="L1251" s="64">
        <v>47.339999999999996</v>
      </c>
      <c r="M1251" s="64">
        <f t="shared" si="408"/>
        <v>28.403999999999996</v>
      </c>
      <c r="N1251" s="65">
        <f>prodnorm23</f>
        <v>0</v>
      </c>
      <c r="O1251" s="66">
        <f>dagwerk23</f>
        <v>0</v>
      </c>
      <c r="P1251" s="62" t="s">
        <v>40</v>
      </c>
      <c r="Q1251" s="67">
        <f>uurtarief23</f>
        <v>0</v>
      </c>
      <c r="R1251" s="64" t="e">
        <f t="shared" si="409"/>
        <v>#DIV/0!</v>
      </c>
      <c r="S1251" s="64" t="e">
        <f t="shared" si="410"/>
        <v>#DIV/0!</v>
      </c>
      <c r="T1251" s="67" t="e">
        <f t="shared" si="411"/>
        <v>#DIV/0!</v>
      </c>
      <c r="U1251" s="64" t="e">
        <f t="shared" si="412"/>
        <v>#DIV/0!</v>
      </c>
      <c r="V1251" s="69" t="e">
        <f t="shared" si="413"/>
        <v>#DIV/0!</v>
      </c>
    </row>
    <row r="1252" spans="1:22" x14ac:dyDescent="0.3">
      <c r="A1252" s="61" t="s">
        <v>1629</v>
      </c>
      <c r="B1252" s="62" t="s">
        <v>1630</v>
      </c>
      <c r="C1252" s="62" t="s">
        <v>629</v>
      </c>
      <c r="D1252" s="62" t="s">
        <v>1659</v>
      </c>
      <c r="E1252" s="63" t="s">
        <v>352</v>
      </c>
      <c r="F1252" s="62" t="s">
        <v>1118</v>
      </c>
      <c r="G1252" s="62" t="s">
        <v>266</v>
      </c>
      <c r="H1252" s="62" t="s">
        <v>11</v>
      </c>
      <c r="I1252" s="62" t="s">
        <v>210</v>
      </c>
      <c r="J1252" s="63" t="s">
        <v>267</v>
      </c>
      <c r="K1252" s="62" t="s">
        <v>317</v>
      </c>
      <c r="L1252" s="64">
        <v>7.98</v>
      </c>
      <c r="M1252" s="64">
        <f t="shared" si="408"/>
        <v>7.98</v>
      </c>
      <c r="N1252" s="65">
        <f>prodnorm39</f>
        <v>0</v>
      </c>
      <c r="O1252" s="66">
        <f>dagwerk39</f>
        <v>0</v>
      </c>
      <c r="P1252" s="62" t="s">
        <v>40</v>
      </c>
      <c r="Q1252" s="67">
        <f>uurtarief39</f>
        <v>0</v>
      </c>
      <c r="R1252" s="64" t="e">
        <f t="shared" si="409"/>
        <v>#DIV/0!</v>
      </c>
      <c r="S1252" s="64" t="e">
        <f t="shared" si="410"/>
        <v>#DIV/0!</v>
      </c>
      <c r="T1252" s="67" t="e">
        <f t="shared" si="411"/>
        <v>#DIV/0!</v>
      </c>
      <c r="U1252" s="64" t="e">
        <f t="shared" si="412"/>
        <v>#DIV/0!</v>
      </c>
      <c r="V1252" s="69" t="e">
        <f t="shared" si="413"/>
        <v>#DIV/0!</v>
      </c>
    </row>
    <row r="1253" spans="1:22" x14ac:dyDescent="0.3">
      <c r="A1253" s="61" t="s">
        <v>1629</v>
      </c>
      <c r="B1253" s="62" t="s">
        <v>1630</v>
      </c>
      <c r="C1253" s="62" t="s">
        <v>629</v>
      </c>
      <c r="D1253" s="62" t="s">
        <v>1660</v>
      </c>
      <c r="E1253" s="63" t="s">
        <v>352</v>
      </c>
      <c r="F1253" s="62" t="s">
        <v>1118</v>
      </c>
      <c r="G1253" s="62" t="s">
        <v>266</v>
      </c>
      <c r="H1253" s="62" t="s">
        <v>11</v>
      </c>
      <c r="I1253" s="62" t="s">
        <v>210</v>
      </c>
      <c r="J1253" s="63" t="s">
        <v>267</v>
      </c>
      <c r="K1253" s="62" t="s">
        <v>317</v>
      </c>
      <c r="L1253" s="64">
        <v>7.9700000000000006</v>
      </c>
      <c r="M1253" s="64">
        <f t="shared" si="408"/>
        <v>7.9700000000000006</v>
      </c>
      <c r="N1253" s="65">
        <f>prodnorm39</f>
        <v>0</v>
      </c>
      <c r="O1253" s="66">
        <f>dagwerk39</f>
        <v>0</v>
      </c>
      <c r="P1253" s="62" t="s">
        <v>40</v>
      </c>
      <c r="Q1253" s="67">
        <f>uurtarief39</f>
        <v>0</v>
      </c>
      <c r="R1253" s="64" t="e">
        <f t="shared" si="409"/>
        <v>#DIV/0!</v>
      </c>
      <c r="S1253" s="64" t="e">
        <f t="shared" si="410"/>
        <v>#DIV/0!</v>
      </c>
      <c r="T1253" s="67" t="e">
        <f t="shared" si="411"/>
        <v>#DIV/0!</v>
      </c>
      <c r="U1253" s="64" t="e">
        <f t="shared" si="412"/>
        <v>#DIV/0!</v>
      </c>
      <c r="V1253" s="69" t="e">
        <f t="shared" si="413"/>
        <v>#DIV/0!</v>
      </c>
    </row>
    <row r="1254" spans="1:22" x14ac:dyDescent="0.3">
      <c r="A1254" s="61" t="s">
        <v>1629</v>
      </c>
      <c r="B1254" s="62" t="s">
        <v>1630</v>
      </c>
      <c r="C1254" s="62" t="s">
        <v>629</v>
      </c>
      <c r="D1254" s="62" t="s">
        <v>1661</v>
      </c>
      <c r="E1254" s="63" t="s">
        <v>381</v>
      </c>
      <c r="F1254" s="62" t="s">
        <v>640</v>
      </c>
      <c r="G1254" s="62" t="s">
        <v>323</v>
      </c>
      <c r="H1254" s="62"/>
      <c r="I1254" s="62"/>
      <c r="J1254" s="62"/>
      <c r="K1254" s="62" t="s">
        <v>317</v>
      </c>
      <c r="L1254" s="64">
        <v>3.18</v>
      </c>
      <c r="M1254" s="64"/>
      <c r="N1254" s="65"/>
      <c r="O1254" s="66"/>
      <c r="P1254" s="62"/>
      <c r="Q1254" s="67"/>
      <c r="R1254" s="64"/>
      <c r="S1254" s="64"/>
      <c r="T1254" s="67"/>
      <c r="U1254" s="68"/>
      <c r="V1254" s="69"/>
    </row>
    <row r="1255" spans="1:22" x14ac:dyDescent="0.3">
      <c r="A1255" s="61" t="s">
        <v>1629</v>
      </c>
      <c r="B1255" s="62" t="s">
        <v>1630</v>
      </c>
      <c r="C1255" s="62" t="s">
        <v>629</v>
      </c>
      <c r="D1255" s="62" t="s">
        <v>1662</v>
      </c>
      <c r="E1255" s="63" t="s">
        <v>321</v>
      </c>
      <c r="F1255" s="62" t="s">
        <v>1118</v>
      </c>
      <c r="G1255" s="62" t="s">
        <v>323</v>
      </c>
      <c r="H1255" s="62"/>
      <c r="I1255" s="62"/>
      <c r="J1255" s="62"/>
      <c r="K1255" s="62" t="s">
        <v>317</v>
      </c>
      <c r="L1255" s="64">
        <v>5.6099999999999994</v>
      </c>
      <c r="M1255" s="64"/>
      <c r="N1255" s="65"/>
      <c r="O1255" s="66"/>
      <c r="P1255" s="62"/>
      <c r="Q1255" s="67"/>
      <c r="R1255" s="64"/>
      <c r="S1255" s="64"/>
      <c r="T1255" s="67"/>
      <c r="U1255" s="68"/>
      <c r="V1255" s="69"/>
    </row>
    <row r="1256" spans="1:22" x14ac:dyDescent="0.3">
      <c r="A1256" s="61" t="s">
        <v>1629</v>
      </c>
      <c r="B1256" s="62" t="s">
        <v>1630</v>
      </c>
      <c r="C1256" s="62" t="s">
        <v>629</v>
      </c>
      <c r="D1256" s="62" t="s">
        <v>1663</v>
      </c>
      <c r="E1256" s="63" t="s">
        <v>352</v>
      </c>
      <c r="F1256" s="62" t="s">
        <v>1118</v>
      </c>
      <c r="G1256" s="62" t="s">
        <v>266</v>
      </c>
      <c r="H1256" s="62" t="s">
        <v>11</v>
      </c>
      <c r="I1256" s="62" t="s">
        <v>210</v>
      </c>
      <c r="J1256" s="63" t="s">
        <v>267</v>
      </c>
      <c r="K1256" s="62" t="s">
        <v>317</v>
      </c>
      <c r="L1256" s="64">
        <v>5.28</v>
      </c>
      <c r="M1256" s="64">
        <f>L1256*VLOOKUP(H1256,dagsoorttabel1,2,FALSE)</f>
        <v>5.28</v>
      </c>
      <c r="N1256" s="65">
        <f>prodnorm39</f>
        <v>0</v>
      </c>
      <c r="O1256" s="66">
        <f>dagwerk39</f>
        <v>0</v>
      </c>
      <c r="P1256" s="62" t="s">
        <v>40</v>
      </c>
      <c r="Q1256" s="67">
        <f>uurtarief39</f>
        <v>0</v>
      </c>
      <c r="R1256" s="64" t="e">
        <f>IF(ISBLANK(N1256),0,M1256/ROUND(N1256,4))</f>
        <v>#DIV/0!</v>
      </c>
      <c r="S1256" s="64" t="e">
        <f>IF(ISBLANK(N1256),0,R1256*ROUND(O1256,2))</f>
        <v>#DIV/0!</v>
      </c>
      <c r="T1256" s="67" t="e">
        <f>ROUND(Q1256,2)*R1256</f>
        <v>#DIV/0!</v>
      </c>
      <c r="U1256" s="64" t="e">
        <f>R1256*dagenperjaar1</f>
        <v>#DIV/0!</v>
      </c>
      <c r="V1256" s="69" t="e">
        <f>U1256*ROUND(Q1256,2)</f>
        <v>#DIV/0!</v>
      </c>
    </row>
    <row r="1257" spans="1:22" x14ac:dyDescent="0.3">
      <c r="A1257" s="61" t="s">
        <v>1629</v>
      </c>
      <c r="B1257" s="62" t="s">
        <v>1630</v>
      </c>
      <c r="C1257" s="62" t="s">
        <v>629</v>
      </c>
      <c r="D1257" s="62" t="s">
        <v>1664</v>
      </c>
      <c r="E1257" s="63" t="s">
        <v>330</v>
      </c>
      <c r="F1257" s="62" t="s">
        <v>1652</v>
      </c>
      <c r="G1257" s="62" t="s">
        <v>286</v>
      </c>
      <c r="H1257" s="62" t="s">
        <v>11</v>
      </c>
      <c r="I1257" s="62" t="s">
        <v>210</v>
      </c>
      <c r="J1257" s="63" t="s">
        <v>287</v>
      </c>
      <c r="K1257" s="62" t="s">
        <v>317</v>
      </c>
      <c r="L1257" s="64">
        <v>1.9600000000000002</v>
      </c>
      <c r="M1257" s="64">
        <f>L1257*VLOOKUP(H1257,dagsoorttabel1,2,FALSE)</f>
        <v>1.9600000000000002</v>
      </c>
      <c r="N1257" s="65">
        <f>prodnorm49</f>
        <v>0</v>
      </c>
      <c r="O1257" s="66">
        <f>dagwerk49</f>
        <v>0</v>
      </c>
      <c r="P1257" s="62" t="s">
        <v>40</v>
      </c>
      <c r="Q1257" s="67">
        <f>uurtarief49</f>
        <v>0</v>
      </c>
      <c r="R1257" s="64" t="e">
        <f>IF(ISBLANK(N1257),0,M1257/ROUND(N1257,4))</f>
        <v>#DIV/0!</v>
      </c>
      <c r="S1257" s="64" t="e">
        <f>IF(ISBLANK(N1257),0,R1257*ROUND(O1257,2))</f>
        <v>#DIV/0!</v>
      </c>
      <c r="T1257" s="67" t="e">
        <f>ROUND(Q1257,2)*R1257</f>
        <v>#DIV/0!</v>
      </c>
      <c r="U1257" s="64" t="e">
        <f>R1257*dagenperjaar1</f>
        <v>#DIV/0!</v>
      </c>
      <c r="V1257" s="69" t="e">
        <f>U1257*ROUND(Q1257,2)</f>
        <v>#DIV/0!</v>
      </c>
    </row>
    <row r="1258" spans="1:22" x14ac:dyDescent="0.3">
      <c r="A1258" s="61" t="s">
        <v>1629</v>
      </c>
      <c r="B1258" s="62" t="s">
        <v>1630</v>
      </c>
      <c r="C1258" s="62" t="s">
        <v>629</v>
      </c>
      <c r="D1258" s="62" t="s">
        <v>1665</v>
      </c>
      <c r="E1258" s="63" t="s">
        <v>394</v>
      </c>
      <c r="F1258" s="62" t="s">
        <v>331</v>
      </c>
      <c r="G1258" s="62" t="s">
        <v>272</v>
      </c>
      <c r="H1258" s="62" t="s">
        <v>11</v>
      </c>
      <c r="I1258" s="62" t="s">
        <v>210</v>
      </c>
      <c r="J1258" s="63" t="s">
        <v>273</v>
      </c>
      <c r="K1258" s="62" t="s">
        <v>317</v>
      </c>
      <c r="L1258" s="64">
        <v>88.86999999999999</v>
      </c>
      <c r="M1258" s="64">
        <f>L1258*VLOOKUP(H1258,dagsoorttabel1,2,FALSE)</f>
        <v>88.86999999999999</v>
      </c>
      <c r="N1258" s="65">
        <f>prodnorm42</f>
        <v>0</v>
      </c>
      <c r="O1258" s="66">
        <f>dagwerk42</f>
        <v>0</v>
      </c>
      <c r="P1258" s="62" t="s">
        <v>40</v>
      </c>
      <c r="Q1258" s="67">
        <f>uurtarief42</f>
        <v>0</v>
      </c>
      <c r="R1258" s="64" t="e">
        <f>IF(ISBLANK(N1258),0,M1258/ROUND(N1258,4))</f>
        <v>#DIV/0!</v>
      </c>
      <c r="S1258" s="64" t="e">
        <f>IF(ISBLANK(N1258),0,R1258*ROUND(O1258,2))</f>
        <v>#DIV/0!</v>
      </c>
      <c r="T1258" s="67" t="e">
        <f>ROUND(Q1258,2)*R1258</f>
        <v>#DIV/0!</v>
      </c>
      <c r="U1258" s="64" t="e">
        <f>R1258*dagenperjaar1</f>
        <v>#DIV/0!</v>
      </c>
      <c r="V1258" s="69" t="e">
        <f>U1258*ROUND(Q1258,2)</f>
        <v>#DIV/0!</v>
      </c>
    </row>
    <row r="1259" spans="1:22" x14ac:dyDescent="0.3">
      <c r="A1259" s="61" t="s">
        <v>1629</v>
      </c>
      <c r="B1259" s="62" t="s">
        <v>1630</v>
      </c>
      <c r="C1259" s="62" t="s">
        <v>629</v>
      </c>
      <c r="D1259" s="62" t="s">
        <v>1666</v>
      </c>
      <c r="E1259" s="63" t="s">
        <v>330</v>
      </c>
      <c r="F1259" s="62" t="s">
        <v>331</v>
      </c>
      <c r="G1259" s="62" t="s">
        <v>286</v>
      </c>
      <c r="H1259" s="62" t="s">
        <v>11</v>
      </c>
      <c r="I1259" s="62" t="s">
        <v>210</v>
      </c>
      <c r="J1259" s="63" t="s">
        <v>287</v>
      </c>
      <c r="K1259" s="62" t="s">
        <v>317</v>
      </c>
      <c r="L1259" s="64">
        <v>12.01</v>
      </c>
      <c r="M1259" s="64">
        <f>L1259*VLOOKUP(H1259,dagsoorttabel1,2,FALSE)</f>
        <v>12.01</v>
      </c>
      <c r="N1259" s="65">
        <f>prodnorm49</f>
        <v>0</v>
      </c>
      <c r="O1259" s="66">
        <f>dagwerk49</f>
        <v>0</v>
      </c>
      <c r="P1259" s="62" t="s">
        <v>40</v>
      </c>
      <c r="Q1259" s="67">
        <f>uurtarief49</f>
        <v>0</v>
      </c>
      <c r="R1259" s="64" t="e">
        <f>IF(ISBLANK(N1259),0,M1259/ROUND(N1259,4))</f>
        <v>#DIV/0!</v>
      </c>
      <c r="S1259" s="64" t="e">
        <f>IF(ISBLANK(N1259),0,R1259*ROUND(O1259,2))</f>
        <v>#DIV/0!</v>
      </c>
      <c r="T1259" s="67" t="e">
        <f>ROUND(Q1259,2)*R1259</f>
        <v>#DIV/0!</v>
      </c>
      <c r="U1259" s="64" t="e">
        <f>R1259*dagenperjaar1</f>
        <v>#DIV/0!</v>
      </c>
      <c r="V1259" s="69" t="e">
        <f>U1259*ROUND(Q1259,2)</f>
        <v>#DIV/0!</v>
      </c>
    </row>
    <row r="1260" spans="1:22" x14ac:dyDescent="0.3">
      <c r="A1260" s="61" t="s">
        <v>1629</v>
      </c>
      <c r="B1260" s="62" t="s">
        <v>1667</v>
      </c>
      <c r="C1260" s="62" t="s">
        <v>318</v>
      </c>
      <c r="D1260" s="62" t="s">
        <v>1668</v>
      </c>
      <c r="E1260" s="63" t="s">
        <v>624</v>
      </c>
      <c r="F1260" s="62" t="s">
        <v>1118</v>
      </c>
      <c r="G1260" s="62" t="s">
        <v>276</v>
      </c>
      <c r="H1260" s="62" t="s">
        <v>11</v>
      </c>
      <c r="I1260" s="62" t="s">
        <v>210</v>
      </c>
      <c r="J1260" s="63" t="s">
        <v>277</v>
      </c>
      <c r="K1260" s="62" t="s">
        <v>317</v>
      </c>
      <c r="L1260" s="64">
        <v>13.9</v>
      </c>
      <c r="M1260" s="64">
        <f>L1260*VLOOKUP(H1260,dagsoorttabel1,2,FALSE)</f>
        <v>13.9</v>
      </c>
      <c r="N1260" s="65">
        <f>prodnorm44</f>
        <v>0</v>
      </c>
      <c r="O1260" s="66">
        <f>dagwerk44</f>
        <v>0</v>
      </c>
      <c r="P1260" s="62" t="s">
        <v>40</v>
      </c>
      <c r="Q1260" s="67">
        <f>uurtarief44</f>
        <v>0</v>
      </c>
      <c r="R1260" s="64" t="e">
        <f>IF(ISBLANK(N1260),0,M1260/ROUND(N1260,4))</f>
        <v>#DIV/0!</v>
      </c>
      <c r="S1260" s="64" t="e">
        <f>IF(ISBLANK(N1260),0,R1260*ROUND(O1260,2))</f>
        <v>#DIV/0!</v>
      </c>
      <c r="T1260" s="67" t="e">
        <f>ROUND(Q1260,2)*R1260</f>
        <v>#DIV/0!</v>
      </c>
      <c r="U1260" s="64" t="e">
        <f>R1260*dagenperjaar1</f>
        <v>#DIV/0!</v>
      </c>
      <c r="V1260" s="69" t="e">
        <f>U1260*ROUND(Q1260,2)</f>
        <v>#DIV/0!</v>
      </c>
    </row>
    <row r="1261" spans="1:22" x14ac:dyDescent="0.3">
      <c r="A1261" s="61" t="s">
        <v>1629</v>
      </c>
      <c r="B1261" s="62" t="s">
        <v>1667</v>
      </c>
      <c r="C1261" s="62" t="s">
        <v>318</v>
      </c>
      <c r="D1261" s="62" t="s">
        <v>1669</v>
      </c>
      <c r="E1261" s="63" t="s">
        <v>374</v>
      </c>
      <c r="F1261" s="62" t="s">
        <v>331</v>
      </c>
      <c r="G1261" s="62" t="s">
        <v>323</v>
      </c>
      <c r="H1261" s="62"/>
      <c r="I1261" s="62"/>
      <c r="J1261" s="62"/>
      <c r="K1261" s="62" t="s">
        <v>317</v>
      </c>
      <c r="L1261" s="64">
        <v>5.74</v>
      </c>
      <c r="M1261" s="64"/>
      <c r="N1261" s="65"/>
      <c r="O1261" s="66"/>
      <c r="P1261" s="62"/>
      <c r="Q1261" s="67"/>
      <c r="R1261" s="64"/>
      <c r="S1261" s="64"/>
      <c r="T1261" s="67"/>
      <c r="U1261" s="68"/>
      <c r="V1261" s="69"/>
    </row>
    <row r="1262" spans="1:22" x14ac:dyDescent="0.3">
      <c r="A1262" s="61" t="s">
        <v>1629</v>
      </c>
      <c r="B1262" s="62" t="s">
        <v>1667</v>
      </c>
      <c r="C1262" s="62" t="s">
        <v>318</v>
      </c>
      <c r="D1262" s="62" t="s">
        <v>1670</v>
      </c>
      <c r="E1262" s="63" t="s">
        <v>374</v>
      </c>
      <c r="F1262" s="62" t="s">
        <v>331</v>
      </c>
      <c r="G1262" s="62" t="s">
        <v>323</v>
      </c>
      <c r="H1262" s="62"/>
      <c r="I1262" s="62"/>
      <c r="J1262" s="62"/>
      <c r="K1262" s="62" t="s">
        <v>317</v>
      </c>
      <c r="L1262" s="64">
        <v>10.209999999999999</v>
      </c>
      <c r="M1262" s="64"/>
      <c r="N1262" s="65"/>
      <c r="O1262" s="66"/>
      <c r="P1262" s="62"/>
      <c r="Q1262" s="67"/>
      <c r="R1262" s="64"/>
      <c r="S1262" s="64"/>
      <c r="T1262" s="67"/>
      <c r="U1262" s="68"/>
      <c r="V1262" s="69"/>
    </row>
    <row r="1263" spans="1:22" x14ac:dyDescent="0.3">
      <c r="A1263" s="61" t="s">
        <v>1629</v>
      </c>
      <c r="B1263" s="62" t="s">
        <v>1667</v>
      </c>
      <c r="C1263" s="62" t="s">
        <v>318</v>
      </c>
      <c r="D1263" s="62" t="s">
        <v>1671</v>
      </c>
      <c r="E1263" s="63" t="s">
        <v>321</v>
      </c>
      <c r="F1263" s="62" t="s">
        <v>331</v>
      </c>
      <c r="G1263" s="62" t="s">
        <v>323</v>
      </c>
      <c r="H1263" s="62"/>
      <c r="I1263" s="62"/>
      <c r="J1263" s="62"/>
      <c r="K1263" s="62" t="s">
        <v>317</v>
      </c>
      <c r="L1263" s="64">
        <v>46.53</v>
      </c>
      <c r="M1263" s="64"/>
      <c r="N1263" s="65"/>
      <c r="O1263" s="66"/>
      <c r="P1263" s="62"/>
      <c r="Q1263" s="67"/>
      <c r="R1263" s="64"/>
      <c r="S1263" s="64"/>
      <c r="T1263" s="67"/>
      <c r="U1263" s="68"/>
      <c r="V1263" s="69"/>
    </row>
    <row r="1264" spans="1:22" x14ac:dyDescent="0.3">
      <c r="A1264" s="61" t="s">
        <v>1629</v>
      </c>
      <c r="B1264" s="62" t="s">
        <v>1667</v>
      </c>
      <c r="C1264" s="62" t="s">
        <v>318</v>
      </c>
      <c r="D1264" s="62" t="s">
        <v>1672</v>
      </c>
      <c r="E1264" s="63" t="s">
        <v>369</v>
      </c>
      <c r="F1264" s="62" t="s">
        <v>1118</v>
      </c>
      <c r="G1264" s="62" t="s">
        <v>323</v>
      </c>
      <c r="H1264" s="62"/>
      <c r="I1264" s="62"/>
      <c r="J1264" s="62"/>
      <c r="K1264" s="62" t="s">
        <v>317</v>
      </c>
      <c r="L1264" s="64">
        <v>0.38000000000000006</v>
      </c>
      <c r="M1264" s="64"/>
      <c r="N1264" s="65"/>
      <c r="O1264" s="66"/>
      <c r="P1264" s="62"/>
      <c r="Q1264" s="67"/>
      <c r="R1264" s="64"/>
      <c r="S1264" s="64"/>
      <c r="T1264" s="67"/>
      <c r="U1264" s="68"/>
      <c r="V1264" s="69"/>
    </row>
    <row r="1265" spans="1:22" x14ac:dyDescent="0.3">
      <c r="A1265" s="61" t="s">
        <v>1629</v>
      </c>
      <c r="B1265" s="62" t="s">
        <v>1667</v>
      </c>
      <c r="C1265" s="62" t="s">
        <v>318</v>
      </c>
      <c r="D1265" s="62" t="s">
        <v>1673</v>
      </c>
      <c r="E1265" s="63" t="s">
        <v>352</v>
      </c>
      <c r="F1265" s="62" t="s">
        <v>1118</v>
      </c>
      <c r="G1265" s="62" t="s">
        <v>266</v>
      </c>
      <c r="H1265" s="62" t="s">
        <v>11</v>
      </c>
      <c r="I1265" s="62" t="s">
        <v>210</v>
      </c>
      <c r="J1265" s="63" t="s">
        <v>267</v>
      </c>
      <c r="K1265" s="62" t="s">
        <v>317</v>
      </c>
      <c r="L1265" s="64">
        <v>2.5</v>
      </c>
      <c r="M1265" s="64">
        <f>L1265*VLOOKUP(H1265,dagsoorttabel1,2,FALSE)</f>
        <v>2.5</v>
      </c>
      <c r="N1265" s="65">
        <f>prodnorm39</f>
        <v>0</v>
      </c>
      <c r="O1265" s="66">
        <f>dagwerk39</f>
        <v>0</v>
      </c>
      <c r="P1265" s="62" t="s">
        <v>40</v>
      </c>
      <c r="Q1265" s="67">
        <f>uurtarief39</f>
        <v>0</v>
      </c>
      <c r="R1265" s="64" t="e">
        <f>IF(ISBLANK(N1265),0,M1265/ROUND(N1265,4))</f>
        <v>#DIV/0!</v>
      </c>
      <c r="S1265" s="64" t="e">
        <f>IF(ISBLANK(N1265),0,R1265*ROUND(O1265,2))</f>
        <v>#DIV/0!</v>
      </c>
      <c r="T1265" s="67" t="e">
        <f>ROUND(Q1265,2)*R1265</f>
        <v>#DIV/0!</v>
      </c>
      <c r="U1265" s="64" t="e">
        <f>R1265*dagenperjaar1</f>
        <v>#DIV/0!</v>
      </c>
      <c r="V1265" s="69" t="e">
        <f>U1265*ROUND(Q1265,2)</f>
        <v>#DIV/0!</v>
      </c>
    </row>
    <row r="1266" spans="1:22" x14ac:dyDescent="0.3">
      <c r="A1266" s="61" t="s">
        <v>1629</v>
      </c>
      <c r="B1266" s="62" t="s">
        <v>1667</v>
      </c>
      <c r="C1266" s="62" t="s">
        <v>318</v>
      </c>
      <c r="D1266" s="62" t="s">
        <v>1674</v>
      </c>
      <c r="E1266" s="63" t="s">
        <v>352</v>
      </c>
      <c r="F1266" s="62" t="s">
        <v>1118</v>
      </c>
      <c r="G1266" s="62" t="s">
        <v>266</v>
      </c>
      <c r="H1266" s="62" t="s">
        <v>11</v>
      </c>
      <c r="I1266" s="62" t="s">
        <v>210</v>
      </c>
      <c r="J1266" s="63" t="s">
        <v>267</v>
      </c>
      <c r="K1266" s="62" t="s">
        <v>317</v>
      </c>
      <c r="L1266" s="64">
        <v>2.9</v>
      </c>
      <c r="M1266" s="64">
        <f>L1266*VLOOKUP(H1266,dagsoorttabel1,2,FALSE)</f>
        <v>2.9</v>
      </c>
      <c r="N1266" s="65">
        <f>prodnorm39</f>
        <v>0</v>
      </c>
      <c r="O1266" s="66">
        <f>dagwerk39</f>
        <v>0</v>
      </c>
      <c r="P1266" s="62" t="s">
        <v>40</v>
      </c>
      <c r="Q1266" s="67">
        <f>uurtarief39</f>
        <v>0</v>
      </c>
      <c r="R1266" s="64" t="e">
        <f>IF(ISBLANK(N1266),0,M1266/ROUND(N1266,4))</f>
        <v>#DIV/0!</v>
      </c>
      <c r="S1266" s="64" t="e">
        <f>IF(ISBLANK(N1266),0,R1266*ROUND(O1266,2))</f>
        <v>#DIV/0!</v>
      </c>
      <c r="T1266" s="67" t="e">
        <f>ROUND(Q1266,2)*R1266</f>
        <v>#DIV/0!</v>
      </c>
      <c r="U1266" s="64" t="e">
        <f>R1266*dagenperjaar1</f>
        <v>#DIV/0!</v>
      </c>
      <c r="V1266" s="69" t="e">
        <f>U1266*ROUND(Q1266,2)</f>
        <v>#DIV/0!</v>
      </c>
    </row>
    <row r="1267" spans="1:22" x14ac:dyDescent="0.3">
      <c r="A1267" s="61" t="s">
        <v>1629</v>
      </c>
      <c r="B1267" s="62" t="s">
        <v>1667</v>
      </c>
      <c r="C1267" s="62" t="s">
        <v>629</v>
      </c>
      <c r="D1267" s="62" t="s">
        <v>1675</v>
      </c>
      <c r="E1267" s="63" t="s">
        <v>394</v>
      </c>
      <c r="F1267" s="62" t="s">
        <v>365</v>
      </c>
      <c r="G1267" s="62" t="s">
        <v>272</v>
      </c>
      <c r="H1267" s="62" t="s">
        <v>11</v>
      </c>
      <c r="I1267" s="62" t="s">
        <v>210</v>
      </c>
      <c r="J1267" s="63" t="s">
        <v>273</v>
      </c>
      <c r="K1267" s="62" t="s">
        <v>317</v>
      </c>
      <c r="L1267" s="64">
        <v>15.229999999999999</v>
      </c>
      <c r="M1267" s="64">
        <f>L1267*VLOOKUP(H1267,dagsoorttabel1,2,FALSE)</f>
        <v>15.229999999999999</v>
      </c>
      <c r="N1267" s="65">
        <f>prodnorm42</f>
        <v>0</v>
      </c>
      <c r="O1267" s="66">
        <f>dagwerk42</f>
        <v>0</v>
      </c>
      <c r="P1267" s="62" t="s">
        <v>40</v>
      </c>
      <c r="Q1267" s="67">
        <f>uurtarief42</f>
        <v>0</v>
      </c>
      <c r="R1267" s="64" t="e">
        <f>IF(ISBLANK(N1267),0,M1267/ROUND(N1267,4))</f>
        <v>#DIV/0!</v>
      </c>
      <c r="S1267" s="64" t="e">
        <f>IF(ISBLANK(N1267),0,R1267*ROUND(O1267,2))</f>
        <v>#DIV/0!</v>
      </c>
      <c r="T1267" s="67" t="e">
        <f>ROUND(Q1267,2)*R1267</f>
        <v>#DIV/0!</v>
      </c>
      <c r="U1267" s="64" t="e">
        <f>R1267*dagenperjaar1</f>
        <v>#DIV/0!</v>
      </c>
      <c r="V1267" s="69" t="e">
        <f>U1267*ROUND(Q1267,2)</f>
        <v>#DIV/0!</v>
      </c>
    </row>
    <row r="1268" spans="1:22" x14ac:dyDescent="0.3">
      <c r="A1268" s="61" t="s">
        <v>1629</v>
      </c>
      <c r="B1268" s="62" t="s">
        <v>1667</v>
      </c>
      <c r="C1268" s="62" t="s">
        <v>629</v>
      </c>
      <c r="D1268" s="62" t="s">
        <v>1676</v>
      </c>
      <c r="E1268" s="63" t="s">
        <v>1677</v>
      </c>
      <c r="F1268" s="62" t="s">
        <v>377</v>
      </c>
      <c r="G1268" s="62" t="s">
        <v>254</v>
      </c>
      <c r="H1268" s="62" t="s">
        <v>11</v>
      </c>
      <c r="I1268" s="62" t="s">
        <v>210</v>
      </c>
      <c r="J1268" s="63" t="s">
        <v>255</v>
      </c>
      <c r="K1268" s="62" t="s">
        <v>317</v>
      </c>
      <c r="L1268" s="64">
        <v>38.730000000000004</v>
      </c>
      <c r="M1268" s="64">
        <f>L1268*VLOOKUP(H1268,dagsoorttabel1,2,FALSE)</f>
        <v>38.730000000000004</v>
      </c>
      <c r="N1268" s="65">
        <f>prodnorm33</f>
        <v>0</v>
      </c>
      <c r="O1268" s="66">
        <f>dagwerk33</f>
        <v>0</v>
      </c>
      <c r="P1268" s="62" t="s">
        <v>40</v>
      </c>
      <c r="Q1268" s="67">
        <f>uurtarief33</f>
        <v>0</v>
      </c>
      <c r="R1268" s="64" t="e">
        <f>IF(ISBLANK(N1268),0,M1268/ROUND(N1268,4))</f>
        <v>#DIV/0!</v>
      </c>
      <c r="S1268" s="64" t="e">
        <f>IF(ISBLANK(N1268),0,R1268*ROUND(O1268,2))</f>
        <v>#DIV/0!</v>
      </c>
      <c r="T1268" s="67" t="e">
        <f>ROUND(Q1268,2)*R1268</f>
        <v>#DIV/0!</v>
      </c>
      <c r="U1268" s="64" t="e">
        <f>R1268*dagenperjaar1</f>
        <v>#DIV/0!</v>
      </c>
      <c r="V1268" s="69" t="e">
        <f>U1268*ROUND(Q1268,2)</f>
        <v>#DIV/0!</v>
      </c>
    </row>
    <row r="1269" spans="1:22" x14ac:dyDescent="0.3">
      <c r="A1269" s="61" t="s">
        <v>1629</v>
      </c>
      <c r="B1269" s="62" t="s">
        <v>1667</v>
      </c>
      <c r="C1269" s="62" t="s">
        <v>629</v>
      </c>
      <c r="D1269" s="62" t="s">
        <v>1678</v>
      </c>
      <c r="E1269" s="63" t="s">
        <v>321</v>
      </c>
      <c r="F1269" s="62" t="s">
        <v>348</v>
      </c>
      <c r="G1269" s="62" t="s">
        <v>323</v>
      </c>
      <c r="H1269" s="62"/>
      <c r="I1269" s="62"/>
      <c r="J1269" s="62"/>
      <c r="K1269" s="62" t="s">
        <v>317</v>
      </c>
      <c r="L1269" s="64">
        <v>19.37</v>
      </c>
      <c r="M1269" s="64"/>
      <c r="N1269" s="65"/>
      <c r="O1269" s="66"/>
      <c r="P1269" s="62"/>
      <c r="Q1269" s="67"/>
      <c r="R1269" s="64"/>
      <c r="S1269" s="64"/>
      <c r="T1269" s="67"/>
      <c r="U1269" s="68"/>
      <c r="V1269" s="69"/>
    </row>
    <row r="1270" spans="1:22" x14ac:dyDescent="0.3">
      <c r="A1270" s="61" t="s">
        <v>1629</v>
      </c>
      <c r="B1270" s="62" t="s">
        <v>1667</v>
      </c>
      <c r="C1270" s="62" t="s">
        <v>629</v>
      </c>
      <c r="D1270" s="62" t="s">
        <v>1679</v>
      </c>
      <c r="E1270" s="63" t="s">
        <v>1680</v>
      </c>
      <c r="F1270" s="62" t="s">
        <v>348</v>
      </c>
      <c r="G1270" s="62" t="s">
        <v>256</v>
      </c>
      <c r="H1270" s="62" t="s">
        <v>11</v>
      </c>
      <c r="I1270" s="62" t="s">
        <v>210</v>
      </c>
      <c r="J1270" s="63" t="s">
        <v>257</v>
      </c>
      <c r="K1270" s="62" t="s">
        <v>317</v>
      </c>
      <c r="L1270" s="64">
        <v>127.67999999999999</v>
      </c>
      <c r="M1270" s="64">
        <f>L1270*VLOOKUP(H1270,dagsoorttabel1,2,FALSE)</f>
        <v>127.67999999999999</v>
      </c>
      <c r="N1270" s="65">
        <f>prodnorm34</f>
        <v>0</v>
      </c>
      <c r="O1270" s="66">
        <f>dagwerk34</f>
        <v>0</v>
      </c>
      <c r="P1270" s="62" t="s">
        <v>40</v>
      </c>
      <c r="Q1270" s="67">
        <f>uurtarief34</f>
        <v>0</v>
      </c>
      <c r="R1270" s="64" t="e">
        <f>IF(ISBLANK(N1270),0,M1270/ROUND(N1270,4))</f>
        <v>#DIV/0!</v>
      </c>
      <c r="S1270" s="64" t="e">
        <f>IF(ISBLANK(N1270),0,R1270*ROUND(O1270,2))</f>
        <v>#DIV/0!</v>
      </c>
      <c r="T1270" s="67" t="e">
        <f>ROUND(Q1270,2)*R1270</f>
        <v>#DIV/0!</v>
      </c>
      <c r="U1270" s="64" t="e">
        <f>R1270*dagenperjaar1</f>
        <v>#DIV/0!</v>
      </c>
      <c r="V1270" s="69" t="e">
        <f>U1270*ROUND(Q1270,2)</f>
        <v>#DIV/0!</v>
      </c>
    </row>
    <row r="1271" spans="1:22" x14ac:dyDescent="0.3">
      <c r="A1271" s="61" t="s">
        <v>1629</v>
      </c>
      <c r="B1271" s="62" t="s">
        <v>1667</v>
      </c>
      <c r="C1271" s="62" t="s">
        <v>629</v>
      </c>
      <c r="D1271" s="62" t="s">
        <v>1681</v>
      </c>
      <c r="E1271" s="63" t="s">
        <v>321</v>
      </c>
      <c r="F1271" s="62" t="s">
        <v>1118</v>
      </c>
      <c r="G1271" s="62" t="s">
        <v>323</v>
      </c>
      <c r="H1271" s="62"/>
      <c r="I1271" s="62"/>
      <c r="J1271" s="62"/>
      <c r="K1271" s="62" t="s">
        <v>317</v>
      </c>
      <c r="L1271" s="64">
        <v>0.85000000000000009</v>
      </c>
      <c r="M1271" s="64"/>
      <c r="N1271" s="65"/>
      <c r="O1271" s="66"/>
      <c r="P1271" s="62"/>
      <c r="Q1271" s="67"/>
      <c r="R1271" s="64"/>
      <c r="S1271" s="64"/>
      <c r="T1271" s="67"/>
      <c r="U1271" s="68"/>
      <c r="V1271" s="69"/>
    </row>
    <row r="1272" spans="1:22" x14ac:dyDescent="0.3">
      <c r="A1272" s="61" t="s">
        <v>1629</v>
      </c>
      <c r="B1272" s="62" t="s">
        <v>1667</v>
      </c>
      <c r="C1272" s="62" t="s">
        <v>629</v>
      </c>
      <c r="D1272" s="62" t="s">
        <v>1682</v>
      </c>
      <c r="E1272" s="63" t="s">
        <v>321</v>
      </c>
      <c r="F1272" s="62" t="s">
        <v>1118</v>
      </c>
      <c r="G1272" s="62" t="s">
        <v>323</v>
      </c>
      <c r="H1272" s="62"/>
      <c r="I1272" s="62"/>
      <c r="J1272" s="62"/>
      <c r="K1272" s="62" t="s">
        <v>317</v>
      </c>
      <c r="L1272" s="64">
        <v>0.95000000000000007</v>
      </c>
      <c r="M1272" s="64"/>
      <c r="N1272" s="65"/>
      <c r="O1272" s="66"/>
      <c r="P1272" s="62"/>
      <c r="Q1272" s="67"/>
      <c r="R1272" s="64"/>
      <c r="S1272" s="64"/>
      <c r="T1272" s="67"/>
      <c r="U1272" s="68"/>
      <c r="V1272" s="69"/>
    </row>
    <row r="1273" spans="1:22" x14ac:dyDescent="0.3">
      <c r="A1273" s="61" t="s">
        <v>1629</v>
      </c>
      <c r="B1273" s="62" t="s">
        <v>1667</v>
      </c>
      <c r="C1273" s="62" t="s">
        <v>629</v>
      </c>
      <c r="D1273" s="62" t="s">
        <v>1683</v>
      </c>
      <c r="E1273" s="63" t="s">
        <v>374</v>
      </c>
      <c r="F1273" s="62" t="s">
        <v>377</v>
      </c>
      <c r="G1273" s="62" t="s">
        <v>323</v>
      </c>
      <c r="H1273" s="62"/>
      <c r="I1273" s="62"/>
      <c r="J1273" s="62"/>
      <c r="K1273" s="62" t="s">
        <v>317</v>
      </c>
      <c r="L1273" s="64">
        <v>6.49</v>
      </c>
      <c r="M1273" s="64"/>
      <c r="N1273" s="65"/>
      <c r="O1273" s="66"/>
      <c r="P1273" s="62"/>
      <c r="Q1273" s="67"/>
      <c r="R1273" s="64"/>
      <c r="S1273" s="64"/>
      <c r="T1273" s="67"/>
      <c r="U1273" s="68"/>
      <c r="V1273" s="69"/>
    </row>
    <row r="1274" spans="1:22" x14ac:dyDescent="0.3">
      <c r="A1274" s="61" t="s">
        <v>1629</v>
      </c>
      <c r="B1274" s="62" t="s">
        <v>1667</v>
      </c>
      <c r="C1274" s="62" t="s">
        <v>629</v>
      </c>
      <c r="D1274" s="62" t="s">
        <v>1684</v>
      </c>
      <c r="E1274" s="63" t="s">
        <v>1685</v>
      </c>
      <c r="F1274" s="62" t="s">
        <v>1118</v>
      </c>
      <c r="G1274" s="62" t="s">
        <v>272</v>
      </c>
      <c r="H1274" s="62" t="s">
        <v>11</v>
      </c>
      <c r="I1274" s="62" t="s">
        <v>210</v>
      </c>
      <c r="J1274" s="63" t="s">
        <v>273</v>
      </c>
      <c r="K1274" s="62" t="s">
        <v>317</v>
      </c>
      <c r="L1274" s="64">
        <v>9.1</v>
      </c>
      <c r="M1274" s="64">
        <f>L1274*VLOOKUP(H1274,dagsoorttabel1,2,FALSE)</f>
        <v>9.1</v>
      </c>
      <c r="N1274" s="65">
        <f>prodnorm42</f>
        <v>0</v>
      </c>
      <c r="O1274" s="66">
        <f>dagwerk42</f>
        <v>0</v>
      </c>
      <c r="P1274" s="62" t="s">
        <v>40</v>
      </c>
      <c r="Q1274" s="67">
        <f>uurtarief42</f>
        <v>0</v>
      </c>
      <c r="R1274" s="64" t="e">
        <f>IF(ISBLANK(N1274),0,M1274/ROUND(N1274,4))</f>
        <v>#DIV/0!</v>
      </c>
      <c r="S1274" s="64" t="e">
        <f>IF(ISBLANK(N1274),0,R1274*ROUND(O1274,2))</f>
        <v>#DIV/0!</v>
      </c>
      <c r="T1274" s="67" t="e">
        <f>ROUND(Q1274,2)*R1274</f>
        <v>#DIV/0!</v>
      </c>
      <c r="U1274" s="64" t="e">
        <f>R1274*dagenperjaar1</f>
        <v>#DIV/0!</v>
      </c>
      <c r="V1274" s="69" t="e">
        <f>U1274*ROUND(Q1274,2)</f>
        <v>#DIV/0!</v>
      </c>
    </row>
    <row r="1275" spans="1:22" x14ac:dyDescent="0.3">
      <c r="A1275" s="61" t="s">
        <v>1629</v>
      </c>
      <c r="B1275" s="62" t="s">
        <v>1667</v>
      </c>
      <c r="C1275" s="62" t="s">
        <v>629</v>
      </c>
      <c r="D1275" s="62" t="s">
        <v>1686</v>
      </c>
      <c r="E1275" s="63" t="s">
        <v>321</v>
      </c>
      <c r="F1275" s="62" t="s">
        <v>1118</v>
      </c>
      <c r="G1275" s="62" t="s">
        <v>323</v>
      </c>
      <c r="H1275" s="62"/>
      <c r="I1275" s="62"/>
      <c r="J1275" s="62"/>
      <c r="K1275" s="62" t="s">
        <v>317</v>
      </c>
      <c r="L1275" s="64">
        <v>2.9699999999999998</v>
      </c>
      <c r="M1275" s="64"/>
      <c r="N1275" s="65"/>
      <c r="O1275" s="66"/>
      <c r="P1275" s="62"/>
      <c r="Q1275" s="67"/>
      <c r="R1275" s="64"/>
      <c r="S1275" s="64"/>
      <c r="T1275" s="67"/>
      <c r="U1275" s="68"/>
      <c r="V1275" s="69"/>
    </row>
    <row r="1276" spans="1:22" x14ac:dyDescent="0.3">
      <c r="A1276" s="61" t="s">
        <v>1629</v>
      </c>
      <c r="B1276" s="62" t="s">
        <v>1667</v>
      </c>
      <c r="C1276" s="62" t="s">
        <v>629</v>
      </c>
      <c r="D1276" s="62" t="s">
        <v>1687</v>
      </c>
      <c r="E1276" s="63" t="s">
        <v>321</v>
      </c>
      <c r="F1276" s="62" t="s">
        <v>348</v>
      </c>
      <c r="G1276" s="62" t="s">
        <v>323</v>
      </c>
      <c r="H1276" s="62"/>
      <c r="I1276" s="62"/>
      <c r="J1276" s="62"/>
      <c r="K1276" s="62" t="s">
        <v>317</v>
      </c>
      <c r="L1276" s="64">
        <v>1.9700000000000002</v>
      </c>
      <c r="M1276" s="64"/>
      <c r="N1276" s="65"/>
      <c r="O1276" s="66"/>
      <c r="P1276" s="62"/>
      <c r="Q1276" s="67"/>
      <c r="R1276" s="64"/>
      <c r="S1276" s="64"/>
      <c r="T1276" s="67"/>
      <c r="U1276" s="68"/>
      <c r="V1276" s="69"/>
    </row>
    <row r="1277" spans="1:22" x14ac:dyDescent="0.3">
      <c r="A1277" s="61" t="s">
        <v>1629</v>
      </c>
      <c r="B1277" s="62" t="s">
        <v>1667</v>
      </c>
      <c r="C1277" s="62" t="s">
        <v>629</v>
      </c>
      <c r="D1277" s="62" t="s">
        <v>1688</v>
      </c>
      <c r="E1277" s="63" t="s">
        <v>1685</v>
      </c>
      <c r="F1277" s="62" t="s">
        <v>1118</v>
      </c>
      <c r="G1277" s="62" t="s">
        <v>272</v>
      </c>
      <c r="H1277" s="62" t="s">
        <v>11</v>
      </c>
      <c r="I1277" s="62" t="s">
        <v>210</v>
      </c>
      <c r="J1277" s="63" t="s">
        <v>273</v>
      </c>
      <c r="K1277" s="62" t="s">
        <v>317</v>
      </c>
      <c r="L1277" s="64">
        <v>3.9499999999999997</v>
      </c>
      <c r="M1277" s="64">
        <f>L1277*VLOOKUP(H1277,dagsoorttabel1,2,FALSE)</f>
        <v>3.9499999999999997</v>
      </c>
      <c r="N1277" s="65">
        <f>prodnorm42</f>
        <v>0</v>
      </c>
      <c r="O1277" s="66">
        <f>dagwerk42</f>
        <v>0</v>
      </c>
      <c r="P1277" s="62" t="s">
        <v>40</v>
      </c>
      <c r="Q1277" s="67">
        <f>uurtarief42</f>
        <v>0</v>
      </c>
      <c r="R1277" s="64" t="e">
        <f>IF(ISBLANK(N1277),0,M1277/ROUND(N1277,4))</f>
        <v>#DIV/0!</v>
      </c>
      <c r="S1277" s="64" t="e">
        <f>IF(ISBLANK(N1277),0,R1277*ROUND(O1277,2))</f>
        <v>#DIV/0!</v>
      </c>
      <c r="T1277" s="67" t="e">
        <f>ROUND(Q1277,2)*R1277</f>
        <v>#DIV/0!</v>
      </c>
      <c r="U1277" s="64" t="e">
        <f>R1277*dagenperjaar1</f>
        <v>#DIV/0!</v>
      </c>
      <c r="V1277" s="69" t="e">
        <f>U1277*ROUND(Q1277,2)</f>
        <v>#DIV/0!</v>
      </c>
    </row>
    <row r="1278" spans="1:22" x14ac:dyDescent="0.3">
      <c r="A1278" s="61" t="s">
        <v>1629</v>
      </c>
      <c r="B1278" s="62" t="s">
        <v>1689</v>
      </c>
      <c r="C1278" s="62" t="s">
        <v>318</v>
      </c>
      <c r="D1278" s="62" t="s">
        <v>1690</v>
      </c>
      <c r="E1278" s="63" t="s">
        <v>512</v>
      </c>
      <c r="F1278" s="62" t="s">
        <v>331</v>
      </c>
      <c r="G1278" s="62" t="s">
        <v>323</v>
      </c>
      <c r="H1278" s="62"/>
      <c r="I1278" s="62"/>
      <c r="J1278" s="62"/>
      <c r="K1278" s="62" t="s">
        <v>317</v>
      </c>
      <c r="L1278" s="64">
        <v>14.31</v>
      </c>
      <c r="M1278" s="64"/>
      <c r="N1278" s="65"/>
      <c r="O1278" s="66"/>
      <c r="P1278" s="62"/>
      <c r="Q1278" s="67"/>
      <c r="R1278" s="64"/>
      <c r="S1278" s="64"/>
      <c r="T1278" s="67"/>
      <c r="U1278" s="68"/>
      <c r="V1278" s="69"/>
    </row>
    <row r="1279" spans="1:22" x14ac:dyDescent="0.3">
      <c r="A1279" s="61" t="s">
        <v>1629</v>
      </c>
      <c r="B1279" s="62" t="s">
        <v>1689</v>
      </c>
      <c r="C1279" s="62" t="s">
        <v>318</v>
      </c>
      <c r="D1279" s="62" t="s">
        <v>1691</v>
      </c>
      <c r="E1279" s="63" t="s">
        <v>509</v>
      </c>
      <c r="F1279" s="62" t="s">
        <v>331</v>
      </c>
      <c r="G1279" s="62" t="s">
        <v>286</v>
      </c>
      <c r="H1279" s="62" t="s">
        <v>11</v>
      </c>
      <c r="I1279" s="62" t="s">
        <v>210</v>
      </c>
      <c r="J1279" s="63" t="s">
        <v>287</v>
      </c>
      <c r="K1279" s="62" t="s">
        <v>317</v>
      </c>
      <c r="L1279" s="64">
        <v>2.21</v>
      </c>
      <c r="M1279" s="64">
        <f>L1279*VLOOKUP(H1279,dagsoorttabel1,2,FALSE)</f>
        <v>2.21</v>
      </c>
      <c r="N1279" s="65">
        <f>prodnorm49</f>
        <v>0</v>
      </c>
      <c r="O1279" s="66">
        <f>dagwerk49</f>
        <v>0</v>
      </c>
      <c r="P1279" s="62" t="s">
        <v>40</v>
      </c>
      <c r="Q1279" s="67">
        <f>uurtarief49</f>
        <v>0</v>
      </c>
      <c r="R1279" s="64" t="e">
        <f>IF(ISBLANK(N1279),0,M1279/ROUND(N1279,4))</f>
        <v>#DIV/0!</v>
      </c>
      <c r="S1279" s="64" t="e">
        <f>IF(ISBLANK(N1279),0,R1279*ROUND(O1279,2))</f>
        <v>#DIV/0!</v>
      </c>
      <c r="T1279" s="67" t="e">
        <f>ROUND(Q1279,2)*R1279</f>
        <v>#DIV/0!</v>
      </c>
      <c r="U1279" s="64" t="e">
        <f>R1279*dagenperjaar1</f>
        <v>#DIV/0!</v>
      </c>
      <c r="V1279" s="69" t="e">
        <f>U1279*ROUND(Q1279,2)</f>
        <v>#DIV/0!</v>
      </c>
    </row>
    <row r="1280" spans="1:22" x14ac:dyDescent="0.3">
      <c r="A1280" s="61" t="s">
        <v>1629</v>
      </c>
      <c r="B1280" s="62" t="s">
        <v>1689</v>
      </c>
      <c r="C1280" s="62" t="s">
        <v>318</v>
      </c>
      <c r="D1280" s="62" t="s">
        <v>1692</v>
      </c>
      <c r="E1280" s="63" t="s">
        <v>512</v>
      </c>
      <c r="F1280" s="62" t="s">
        <v>331</v>
      </c>
      <c r="G1280" s="62" t="s">
        <v>323</v>
      </c>
      <c r="H1280" s="62"/>
      <c r="I1280" s="62"/>
      <c r="J1280" s="62"/>
      <c r="K1280" s="62" t="s">
        <v>317</v>
      </c>
      <c r="L1280" s="64">
        <v>15.639999999999999</v>
      </c>
      <c r="M1280" s="64"/>
      <c r="N1280" s="65"/>
      <c r="O1280" s="66"/>
      <c r="P1280" s="62"/>
      <c r="Q1280" s="67"/>
      <c r="R1280" s="64"/>
      <c r="S1280" s="64"/>
      <c r="T1280" s="67"/>
      <c r="U1280" s="68"/>
      <c r="V1280" s="69"/>
    </row>
    <row r="1281" spans="1:22" x14ac:dyDescent="0.3">
      <c r="A1281" s="61" t="s">
        <v>1629</v>
      </c>
      <c r="B1281" s="62" t="s">
        <v>1689</v>
      </c>
      <c r="C1281" s="62" t="s">
        <v>318</v>
      </c>
      <c r="D1281" s="62" t="s">
        <v>1693</v>
      </c>
      <c r="E1281" s="63" t="s">
        <v>512</v>
      </c>
      <c r="F1281" s="62" t="s">
        <v>331</v>
      </c>
      <c r="G1281" s="62" t="s">
        <v>323</v>
      </c>
      <c r="H1281" s="62"/>
      <c r="I1281" s="62"/>
      <c r="J1281" s="62"/>
      <c r="K1281" s="62" t="s">
        <v>317</v>
      </c>
      <c r="L1281" s="64">
        <v>30.45</v>
      </c>
      <c r="M1281" s="64"/>
      <c r="N1281" s="65"/>
      <c r="O1281" s="66"/>
      <c r="P1281" s="62"/>
      <c r="Q1281" s="67"/>
      <c r="R1281" s="64"/>
      <c r="S1281" s="64"/>
      <c r="T1281" s="67"/>
      <c r="U1281" s="68"/>
      <c r="V1281" s="69"/>
    </row>
    <row r="1282" spans="1:22" x14ac:dyDescent="0.3">
      <c r="A1282" s="61" t="s">
        <v>1629</v>
      </c>
      <c r="B1282" s="62" t="s">
        <v>1689</v>
      </c>
      <c r="C1282" s="62" t="s">
        <v>318</v>
      </c>
      <c r="D1282" s="62" t="s">
        <v>1694</v>
      </c>
      <c r="E1282" s="63" t="s">
        <v>624</v>
      </c>
      <c r="F1282" s="62" t="s">
        <v>357</v>
      </c>
      <c r="G1282" s="62" t="s">
        <v>276</v>
      </c>
      <c r="H1282" s="62" t="s">
        <v>11</v>
      </c>
      <c r="I1282" s="62" t="s">
        <v>210</v>
      </c>
      <c r="J1282" s="63" t="s">
        <v>277</v>
      </c>
      <c r="K1282" s="62" t="s">
        <v>317</v>
      </c>
      <c r="L1282" s="64">
        <v>24.759999999999998</v>
      </c>
      <c r="M1282" s="64">
        <f t="shared" ref="M1282:M1299" si="414">L1282*VLOOKUP(H1282,dagsoorttabel1,2,FALSE)</f>
        <v>24.759999999999998</v>
      </c>
      <c r="N1282" s="65">
        <f>prodnorm44</f>
        <v>0</v>
      </c>
      <c r="O1282" s="66">
        <f>dagwerk44</f>
        <v>0</v>
      </c>
      <c r="P1282" s="62" t="s">
        <v>40</v>
      </c>
      <c r="Q1282" s="67">
        <f>uurtarief44</f>
        <v>0</v>
      </c>
      <c r="R1282" s="64" t="e">
        <f t="shared" ref="R1282:R1299" si="415">IF(ISBLANK(N1282),0,M1282/ROUND(N1282,4))</f>
        <v>#DIV/0!</v>
      </c>
      <c r="S1282" s="64" t="e">
        <f t="shared" ref="S1282:S1299" si="416">IF(ISBLANK(N1282),0,R1282*ROUND(O1282,2))</f>
        <v>#DIV/0!</v>
      </c>
      <c r="T1282" s="67" t="e">
        <f t="shared" ref="T1282:T1299" si="417">ROUND(Q1282,2)*R1282</f>
        <v>#DIV/0!</v>
      </c>
      <c r="U1282" s="64" t="e">
        <f t="shared" ref="U1282:U1299" si="418">R1282*dagenperjaar1</f>
        <v>#DIV/0!</v>
      </c>
      <c r="V1282" s="69" t="e">
        <f t="shared" ref="V1282:V1299" si="419">U1282*ROUND(Q1282,2)</f>
        <v>#DIV/0!</v>
      </c>
    </row>
    <row r="1283" spans="1:22" x14ac:dyDescent="0.3">
      <c r="A1283" s="61" t="s">
        <v>1629</v>
      </c>
      <c r="B1283" s="62" t="s">
        <v>1689</v>
      </c>
      <c r="C1283" s="62" t="s">
        <v>318</v>
      </c>
      <c r="D1283" s="62" t="s">
        <v>1695</v>
      </c>
      <c r="E1283" s="63" t="s">
        <v>356</v>
      </c>
      <c r="F1283" s="62" t="s">
        <v>1696</v>
      </c>
      <c r="G1283" s="62" t="s">
        <v>212</v>
      </c>
      <c r="H1283" s="62" t="s">
        <v>17</v>
      </c>
      <c r="I1283" s="62" t="s">
        <v>210</v>
      </c>
      <c r="J1283" s="63" t="s">
        <v>213</v>
      </c>
      <c r="K1283" s="62" t="s">
        <v>317</v>
      </c>
      <c r="L1283" s="64">
        <v>11.04</v>
      </c>
      <c r="M1283" s="64">
        <f t="shared" si="414"/>
        <v>2.2079999999999997</v>
      </c>
      <c r="N1283" s="65">
        <f>prodnorm11</f>
        <v>0</v>
      </c>
      <c r="O1283" s="66">
        <f>dagwerk11</f>
        <v>0</v>
      </c>
      <c r="P1283" s="62" t="s">
        <v>40</v>
      </c>
      <c r="Q1283" s="67">
        <f>uurtarief11</f>
        <v>0</v>
      </c>
      <c r="R1283" s="64" t="e">
        <f t="shared" si="415"/>
        <v>#DIV/0!</v>
      </c>
      <c r="S1283" s="64" t="e">
        <f t="shared" si="416"/>
        <v>#DIV/0!</v>
      </c>
      <c r="T1283" s="67" t="e">
        <f t="shared" si="417"/>
        <v>#DIV/0!</v>
      </c>
      <c r="U1283" s="64" t="e">
        <f t="shared" si="418"/>
        <v>#DIV/0!</v>
      </c>
      <c r="V1283" s="69" t="e">
        <f t="shared" si="419"/>
        <v>#DIV/0!</v>
      </c>
    </row>
    <row r="1284" spans="1:22" x14ac:dyDescent="0.3">
      <c r="A1284" s="61" t="s">
        <v>1629</v>
      </c>
      <c r="B1284" s="62" t="s">
        <v>1689</v>
      </c>
      <c r="C1284" s="62" t="s">
        <v>318</v>
      </c>
      <c r="D1284" s="62" t="s">
        <v>1697</v>
      </c>
      <c r="E1284" s="63" t="s">
        <v>330</v>
      </c>
      <c r="F1284" s="62" t="s">
        <v>1698</v>
      </c>
      <c r="G1284" s="62" t="s">
        <v>286</v>
      </c>
      <c r="H1284" s="62" t="s">
        <v>11</v>
      </c>
      <c r="I1284" s="62" t="s">
        <v>210</v>
      </c>
      <c r="J1284" s="63" t="s">
        <v>287</v>
      </c>
      <c r="K1284" s="62" t="s">
        <v>317</v>
      </c>
      <c r="L1284" s="64">
        <v>5.8599999999999994</v>
      </c>
      <c r="M1284" s="64">
        <f t="shared" si="414"/>
        <v>5.8599999999999994</v>
      </c>
      <c r="N1284" s="65">
        <f>prodnorm49</f>
        <v>0</v>
      </c>
      <c r="O1284" s="66">
        <f>dagwerk49</f>
        <v>0</v>
      </c>
      <c r="P1284" s="62" t="s">
        <v>40</v>
      </c>
      <c r="Q1284" s="67">
        <f>uurtarief49</f>
        <v>0</v>
      </c>
      <c r="R1284" s="64" t="e">
        <f t="shared" si="415"/>
        <v>#DIV/0!</v>
      </c>
      <c r="S1284" s="64" t="e">
        <f t="shared" si="416"/>
        <v>#DIV/0!</v>
      </c>
      <c r="T1284" s="67" t="e">
        <f t="shared" si="417"/>
        <v>#DIV/0!</v>
      </c>
      <c r="U1284" s="64" t="e">
        <f t="shared" si="418"/>
        <v>#DIV/0!</v>
      </c>
      <c r="V1284" s="69" t="e">
        <f t="shared" si="419"/>
        <v>#DIV/0!</v>
      </c>
    </row>
    <row r="1285" spans="1:22" x14ac:dyDescent="0.3">
      <c r="A1285" s="61" t="s">
        <v>1629</v>
      </c>
      <c r="B1285" s="62" t="s">
        <v>1689</v>
      </c>
      <c r="C1285" s="62" t="s">
        <v>318</v>
      </c>
      <c r="D1285" s="62" t="s">
        <v>1699</v>
      </c>
      <c r="E1285" s="63" t="s">
        <v>394</v>
      </c>
      <c r="F1285" s="62" t="s">
        <v>365</v>
      </c>
      <c r="G1285" s="62" t="s">
        <v>272</v>
      </c>
      <c r="H1285" s="62" t="s">
        <v>11</v>
      </c>
      <c r="I1285" s="62" t="s">
        <v>210</v>
      </c>
      <c r="J1285" s="63" t="s">
        <v>273</v>
      </c>
      <c r="K1285" s="62" t="s">
        <v>317</v>
      </c>
      <c r="L1285" s="64">
        <v>9.69</v>
      </c>
      <c r="M1285" s="64">
        <f t="shared" si="414"/>
        <v>9.69</v>
      </c>
      <c r="N1285" s="65">
        <f>prodnorm42</f>
        <v>0</v>
      </c>
      <c r="O1285" s="66">
        <f>dagwerk42</f>
        <v>0</v>
      </c>
      <c r="P1285" s="62" t="s">
        <v>40</v>
      </c>
      <c r="Q1285" s="67">
        <f>uurtarief42</f>
        <v>0</v>
      </c>
      <c r="R1285" s="64" t="e">
        <f t="shared" si="415"/>
        <v>#DIV/0!</v>
      </c>
      <c r="S1285" s="64" t="e">
        <f t="shared" si="416"/>
        <v>#DIV/0!</v>
      </c>
      <c r="T1285" s="67" t="e">
        <f t="shared" si="417"/>
        <v>#DIV/0!</v>
      </c>
      <c r="U1285" s="64" t="e">
        <f t="shared" si="418"/>
        <v>#DIV/0!</v>
      </c>
      <c r="V1285" s="69" t="e">
        <f t="shared" si="419"/>
        <v>#DIV/0!</v>
      </c>
    </row>
    <row r="1286" spans="1:22" x14ac:dyDescent="0.3">
      <c r="A1286" s="61" t="s">
        <v>1629</v>
      </c>
      <c r="B1286" s="62" t="s">
        <v>1689</v>
      </c>
      <c r="C1286" s="62" t="s">
        <v>318</v>
      </c>
      <c r="D1286" s="62" t="s">
        <v>1700</v>
      </c>
      <c r="E1286" s="63" t="s">
        <v>868</v>
      </c>
      <c r="F1286" s="62" t="s">
        <v>348</v>
      </c>
      <c r="G1286" s="62" t="s">
        <v>216</v>
      </c>
      <c r="H1286" s="62" t="s">
        <v>14</v>
      </c>
      <c r="I1286" s="62" t="s">
        <v>210</v>
      </c>
      <c r="J1286" s="63" t="s">
        <v>217</v>
      </c>
      <c r="K1286" s="62" t="s">
        <v>317</v>
      </c>
      <c r="L1286" s="64">
        <v>6.71</v>
      </c>
      <c r="M1286" s="64">
        <f t="shared" si="414"/>
        <v>4.0259999999999998</v>
      </c>
      <c r="N1286" s="65">
        <f>prodnorm13</f>
        <v>0</v>
      </c>
      <c r="O1286" s="66">
        <f>dagwerk13</f>
        <v>0</v>
      </c>
      <c r="P1286" s="62" t="s">
        <v>40</v>
      </c>
      <c r="Q1286" s="67">
        <f>uurtarief13</f>
        <v>0</v>
      </c>
      <c r="R1286" s="64" t="e">
        <f t="shared" si="415"/>
        <v>#DIV/0!</v>
      </c>
      <c r="S1286" s="64" t="e">
        <f t="shared" si="416"/>
        <v>#DIV/0!</v>
      </c>
      <c r="T1286" s="67" t="e">
        <f t="shared" si="417"/>
        <v>#DIV/0!</v>
      </c>
      <c r="U1286" s="64" t="e">
        <f t="shared" si="418"/>
        <v>#DIV/0!</v>
      </c>
      <c r="V1286" s="69" t="e">
        <f t="shared" si="419"/>
        <v>#DIV/0!</v>
      </c>
    </row>
    <row r="1287" spans="1:22" ht="28.8" x14ac:dyDescent="0.3">
      <c r="A1287" s="61" t="s">
        <v>1629</v>
      </c>
      <c r="B1287" s="62" t="s">
        <v>1689</v>
      </c>
      <c r="C1287" s="62" t="s">
        <v>318</v>
      </c>
      <c r="D1287" s="62" t="s">
        <v>1701</v>
      </c>
      <c r="E1287" s="63" t="s">
        <v>1702</v>
      </c>
      <c r="F1287" s="62" t="s">
        <v>365</v>
      </c>
      <c r="G1287" s="62" t="s">
        <v>248</v>
      </c>
      <c r="H1287" s="62" t="s">
        <v>11</v>
      </c>
      <c r="I1287" s="62" t="s">
        <v>210</v>
      </c>
      <c r="J1287" s="63" t="s">
        <v>249</v>
      </c>
      <c r="K1287" s="62" t="s">
        <v>317</v>
      </c>
      <c r="L1287" s="64">
        <v>94.25</v>
      </c>
      <c r="M1287" s="64">
        <f t="shared" si="414"/>
        <v>94.25</v>
      </c>
      <c r="N1287" s="65">
        <f>prodnorm30</f>
        <v>0</v>
      </c>
      <c r="O1287" s="66">
        <f>dagwerk30</f>
        <v>0</v>
      </c>
      <c r="P1287" s="62" t="s">
        <v>40</v>
      </c>
      <c r="Q1287" s="67">
        <f>uurtarief30</f>
        <v>0</v>
      </c>
      <c r="R1287" s="64" t="e">
        <f t="shared" si="415"/>
        <v>#DIV/0!</v>
      </c>
      <c r="S1287" s="64" t="e">
        <f t="shared" si="416"/>
        <v>#DIV/0!</v>
      </c>
      <c r="T1287" s="67" t="e">
        <f t="shared" si="417"/>
        <v>#DIV/0!</v>
      </c>
      <c r="U1287" s="64" t="e">
        <f t="shared" si="418"/>
        <v>#DIV/0!</v>
      </c>
      <c r="V1287" s="69" t="e">
        <f t="shared" si="419"/>
        <v>#DIV/0!</v>
      </c>
    </row>
    <row r="1288" spans="1:22" x14ac:dyDescent="0.3">
      <c r="A1288" s="61" t="s">
        <v>1629</v>
      </c>
      <c r="B1288" s="62" t="s">
        <v>1689</v>
      </c>
      <c r="C1288" s="62" t="s">
        <v>318</v>
      </c>
      <c r="D1288" s="62" t="s">
        <v>1703</v>
      </c>
      <c r="E1288" s="63" t="s">
        <v>536</v>
      </c>
      <c r="F1288" s="62" t="s">
        <v>348</v>
      </c>
      <c r="G1288" s="62" t="s">
        <v>216</v>
      </c>
      <c r="H1288" s="62" t="s">
        <v>14</v>
      </c>
      <c r="I1288" s="62" t="s">
        <v>210</v>
      </c>
      <c r="J1288" s="63" t="s">
        <v>217</v>
      </c>
      <c r="K1288" s="62" t="s">
        <v>317</v>
      </c>
      <c r="L1288" s="64">
        <v>11.65</v>
      </c>
      <c r="M1288" s="64">
        <f t="shared" si="414"/>
        <v>6.99</v>
      </c>
      <c r="N1288" s="65">
        <f>prodnorm13</f>
        <v>0</v>
      </c>
      <c r="O1288" s="66">
        <f>dagwerk13</f>
        <v>0</v>
      </c>
      <c r="P1288" s="62" t="s">
        <v>40</v>
      </c>
      <c r="Q1288" s="67">
        <f>uurtarief13</f>
        <v>0</v>
      </c>
      <c r="R1288" s="64" t="e">
        <f t="shared" si="415"/>
        <v>#DIV/0!</v>
      </c>
      <c r="S1288" s="64" t="e">
        <f t="shared" si="416"/>
        <v>#DIV/0!</v>
      </c>
      <c r="T1288" s="67" t="e">
        <f t="shared" si="417"/>
        <v>#DIV/0!</v>
      </c>
      <c r="U1288" s="64" t="e">
        <f t="shared" si="418"/>
        <v>#DIV/0!</v>
      </c>
      <c r="V1288" s="69" t="e">
        <f t="shared" si="419"/>
        <v>#DIV/0!</v>
      </c>
    </row>
    <row r="1289" spans="1:22" x14ac:dyDescent="0.3">
      <c r="A1289" s="61" t="s">
        <v>1629</v>
      </c>
      <c r="B1289" s="62" t="s">
        <v>1689</v>
      </c>
      <c r="C1289" s="62" t="s">
        <v>318</v>
      </c>
      <c r="D1289" s="62" t="s">
        <v>1704</v>
      </c>
      <c r="E1289" s="63" t="s">
        <v>394</v>
      </c>
      <c r="F1289" s="62" t="s">
        <v>348</v>
      </c>
      <c r="G1289" s="62" t="s">
        <v>274</v>
      </c>
      <c r="H1289" s="62" t="s">
        <v>11</v>
      </c>
      <c r="I1289" s="62" t="s">
        <v>210</v>
      </c>
      <c r="J1289" s="63" t="s">
        <v>275</v>
      </c>
      <c r="K1289" s="62" t="s">
        <v>317</v>
      </c>
      <c r="L1289" s="64">
        <v>49.03</v>
      </c>
      <c r="M1289" s="64">
        <f t="shared" si="414"/>
        <v>49.03</v>
      </c>
      <c r="N1289" s="65">
        <f>prodnorm43</f>
        <v>0</v>
      </c>
      <c r="O1289" s="66">
        <f>dagwerk43</f>
        <v>0</v>
      </c>
      <c r="P1289" s="62" t="s">
        <v>40</v>
      </c>
      <c r="Q1289" s="67">
        <f>uurtarief43</f>
        <v>0</v>
      </c>
      <c r="R1289" s="64" t="e">
        <f t="shared" si="415"/>
        <v>#DIV/0!</v>
      </c>
      <c r="S1289" s="64" t="e">
        <f t="shared" si="416"/>
        <v>#DIV/0!</v>
      </c>
      <c r="T1289" s="67" t="e">
        <f t="shared" si="417"/>
        <v>#DIV/0!</v>
      </c>
      <c r="U1289" s="64" t="e">
        <f t="shared" si="418"/>
        <v>#DIV/0!</v>
      </c>
      <c r="V1289" s="69" t="e">
        <f t="shared" si="419"/>
        <v>#DIV/0!</v>
      </c>
    </row>
    <row r="1290" spans="1:22" x14ac:dyDescent="0.3">
      <c r="A1290" s="61" t="s">
        <v>1629</v>
      </c>
      <c r="B1290" s="62" t="s">
        <v>1689</v>
      </c>
      <c r="C1290" s="62" t="s">
        <v>318</v>
      </c>
      <c r="D1290" s="62" t="s">
        <v>1705</v>
      </c>
      <c r="E1290" s="63" t="s">
        <v>359</v>
      </c>
      <c r="F1290" s="62" t="s">
        <v>348</v>
      </c>
      <c r="G1290" s="62" t="s">
        <v>212</v>
      </c>
      <c r="H1290" s="62" t="s">
        <v>17</v>
      </c>
      <c r="I1290" s="62" t="s">
        <v>210</v>
      </c>
      <c r="J1290" s="63" t="s">
        <v>213</v>
      </c>
      <c r="K1290" s="62" t="s">
        <v>317</v>
      </c>
      <c r="L1290" s="64">
        <v>29.02</v>
      </c>
      <c r="M1290" s="64">
        <f t="shared" si="414"/>
        <v>5.8040000000000003</v>
      </c>
      <c r="N1290" s="65">
        <f>prodnorm11</f>
        <v>0</v>
      </c>
      <c r="O1290" s="66">
        <f>dagwerk11</f>
        <v>0</v>
      </c>
      <c r="P1290" s="62" t="s">
        <v>40</v>
      </c>
      <c r="Q1290" s="67">
        <f>uurtarief11</f>
        <v>0</v>
      </c>
      <c r="R1290" s="64" t="e">
        <f t="shared" si="415"/>
        <v>#DIV/0!</v>
      </c>
      <c r="S1290" s="64" t="e">
        <f t="shared" si="416"/>
        <v>#DIV/0!</v>
      </c>
      <c r="T1290" s="67" t="e">
        <f t="shared" si="417"/>
        <v>#DIV/0!</v>
      </c>
      <c r="U1290" s="64" t="e">
        <f t="shared" si="418"/>
        <v>#DIV/0!</v>
      </c>
      <c r="V1290" s="69" t="e">
        <f t="shared" si="419"/>
        <v>#DIV/0!</v>
      </c>
    </row>
    <row r="1291" spans="1:22" x14ac:dyDescent="0.3">
      <c r="A1291" s="61" t="s">
        <v>1629</v>
      </c>
      <c r="B1291" s="62" t="s">
        <v>1689</v>
      </c>
      <c r="C1291" s="62" t="s">
        <v>318</v>
      </c>
      <c r="D1291" s="62" t="s">
        <v>1706</v>
      </c>
      <c r="E1291" s="63" t="s">
        <v>356</v>
      </c>
      <c r="F1291" s="62" t="s">
        <v>348</v>
      </c>
      <c r="G1291" s="62" t="s">
        <v>212</v>
      </c>
      <c r="H1291" s="62" t="s">
        <v>17</v>
      </c>
      <c r="I1291" s="62" t="s">
        <v>210</v>
      </c>
      <c r="J1291" s="63" t="s">
        <v>213</v>
      </c>
      <c r="K1291" s="62" t="s">
        <v>317</v>
      </c>
      <c r="L1291" s="64">
        <v>16.650000000000002</v>
      </c>
      <c r="M1291" s="64">
        <f t="shared" si="414"/>
        <v>3.3300000000000005</v>
      </c>
      <c r="N1291" s="65">
        <f>prodnorm11</f>
        <v>0</v>
      </c>
      <c r="O1291" s="66">
        <f>dagwerk11</f>
        <v>0</v>
      </c>
      <c r="P1291" s="62" t="s">
        <v>40</v>
      </c>
      <c r="Q1291" s="67">
        <f>uurtarief11</f>
        <v>0</v>
      </c>
      <c r="R1291" s="64" t="e">
        <f t="shared" si="415"/>
        <v>#DIV/0!</v>
      </c>
      <c r="S1291" s="64" t="e">
        <f t="shared" si="416"/>
        <v>#DIV/0!</v>
      </c>
      <c r="T1291" s="67" t="e">
        <f t="shared" si="417"/>
        <v>#DIV/0!</v>
      </c>
      <c r="U1291" s="64" t="e">
        <f t="shared" si="418"/>
        <v>#DIV/0!</v>
      </c>
      <c r="V1291" s="69" t="e">
        <f t="shared" si="419"/>
        <v>#DIV/0!</v>
      </c>
    </row>
    <row r="1292" spans="1:22" x14ac:dyDescent="0.3">
      <c r="A1292" s="61" t="s">
        <v>1629</v>
      </c>
      <c r="B1292" s="62" t="s">
        <v>1689</v>
      </c>
      <c r="C1292" s="62" t="s">
        <v>318</v>
      </c>
      <c r="D1292" s="62" t="s">
        <v>1707</v>
      </c>
      <c r="E1292" s="63" t="s">
        <v>356</v>
      </c>
      <c r="F1292" s="62" t="s">
        <v>348</v>
      </c>
      <c r="G1292" s="62" t="s">
        <v>212</v>
      </c>
      <c r="H1292" s="62" t="s">
        <v>17</v>
      </c>
      <c r="I1292" s="62" t="s">
        <v>210</v>
      </c>
      <c r="J1292" s="63" t="s">
        <v>213</v>
      </c>
      <c r="K1292" s="62" t="s">
        <v>317</v>
      </c>
      <c r="L1292" s="64">
        <v>14.92</v>
      </c>
      <c r="M1292" s="64">
        <f t="shared" si="414"/>
        <v>2.984</v>
      </c>
      <c r="N1292" s="65">
        <f>prodnorm11</f>
        <v>0</v>
      </c>
      <c r="O1292" s="66">
        <f>dagwerk11</f>
        <v>0</v>
      </c>
      <c r="P1292" s="62" t="s">
        <v>40</v>
      </c>
      <c r="Q1292" s="67">
        <f>uurtarief11</f>
        <v>0</v>
      </c>
      <c r="R1292" s="64" t="e">
        <f t="shared" si="415"/>
        <v>#DIV/0!</v>
      </c>
      <c r="S1292" s="64" t="e">
        <f t="shared" si="416"/>
        <v>#DIV/0!</v>
      </c>
      <c r="T1292" s="67" t="e">
        <f t="shared" si="417"/>
        <v>#DIV/0!</v>
      </c>
      <c r="U1292" s="64" t="e">
        <f t="shared" si="418"/>
        <v>#DIV/0!</v>
      </c>
      <c r="V1292" s="69" t="e">
        <f t="shared" si="419"/>
        <v>#DIV/0!</v>
      </c>
    </row>
    <row r="1293" spans="1:22" x14ac:dyDescent="0.3">
      <c r="A1293" s="61" t="s">
        <v>1629</v>
      </c>
      <c r="B1293" s="62" t="s">
        <v>1689</v>
      </c>
      <c r="C1293" s="62" t="s">
        <v>318</v>
      </c>
      <c r="D1293" s="62" t="s">
        <v>1708</v>
      </c>
      <c r="E1293" s="63" t="s">
        <v>1709</v>
      </c>
      <c r="F1293" s="62" t="s">
        <v>335</v>
      </c>
      <c r="G1293" s="62" t="s">
        <v>266</v>
      </c>
      <c r="H1293" s="62" t="s">
        <v>11</v>
      </c>
      <c r="I1293" s="62" t="s">
        <v>210</v>
      </c>
      <c r="J1293" s="63" t="s">
        <v>267</v>
      </c>
      <c r="K1293" s="62" t="s">
        <v>317</v>
      </c>
      <c r="L1293" s="64">
        <v>8.32</v>
      </c>
      <c r="M1293" s="64">
        <f t="shared" si="414"/>
        <v>8.32</v>
      </c>
      <c r="N1293" s="65">
        <f>prodnorm39</f>
        <v>0</v>
      </c>
      <c r="O1293" s="66">
        <f>dagwerk39</f>
        <v>0</v>
      </c>
      <c r="P1293" s="62" t="s">
        <v>40</v>
      </c>
      <c r="Q1293" s="67">
        <f>uurtarief39</f>
        <v>0</v>
      </c>
      <c r="R1293" s="64" t="e">
        <f t="shared" si="415"/>
        <v>#DIV/0!</v>
      </c>
      <c r="S1293" s="64" t="e">
        <f t="shared" si="416"/>
        <v>#DIV/0!</v>
      </c>
      <c r="T1293" s="67" t="e">
        <f t="shared" si="417"/>
        <v>#DIV/0!</v>
      </c>
      <c r="U1293" s="64" t="e">
        <f t="shared" si="418"/>
        <v>#DIV/0!</v>
      </c>
      <c r="V1293" s="69" t="e">
        <f t="shared" si="419"/>
        <v>#DIV/0!</v>
      </c>
    </row>
    <row r="1294" spans="1:22" x14ac:dyDescent="0.3">
      <c r="A1294" s="61" t="s">
        <v>1629</v>
      </c>
      <c r="B1294" s="62" t="s">
        <v>1689</v>
      </c>
      <c r="C1294" s="62" t="s">
        <v>318</v>
      </c>
      <c r="D1294" s="62" t="s">
        <v>1710</v>
      </c>
      <c r="E1294" s="63" t="s">
        <v>352</v>
      </c>
      <c r="F1294" s="62" t="s">
        <v>335</v>
      </c>
      <c r="G1294" s="62" t="s">
        <v>266</v>
      </c>
      <c r="H1294" s="62" t="s">
        <v>11</v>
      </c>
      <c r="I1294" s="62" t="s">
        <v>210</v>
      </c>
      <c r="J1294" s="63" t="s">
        <v>267</v>
      </c>
      <c r="K1294" s="62" t="s">
        <v>317</v>
      </c>
      <c r="L1294" s="64">
        <v>10.11</v>
      </c>
      <c r="M1294" s="64">
        <f t="shared" si="414"/>
        <v>10.11</v>
      </c>
      <c r="N1294" s="65">
        <f>prodnorm39</f>
        <v>0</v>
      </c>
      <c r="O1294" s="66">
        <f>dagwerk39</f>
        <v>0</v>
      </c>
      <c r="P1294" s="62" t="s">
        <v>40</v>
      </c>
      <c r="Q1294" s="67">
        <f>uurtarief39</f>
        <v>0</v>
      </c>
      <c r="R1294" s="64" t="e">
        <f t="shared" si="415"/>
        <v>#DIV/0!</v>
      </c>
      <c r="S1294" s="64" t="e">
        <f t="shared" si="416"/>
        <v>#DIV/0!</v>
      </c>
      <c r="T1294" s="67" t="e">
        <f t="shared" si="417"/>
        <v>#DIV/0!</v>
      </c>
      <c r="U1294" s="64" t="e">
        <f t="shared" si="418"/>
        <v>#DIV/0!</v>
      </c>
      <c r="V1294" s="69" t="e">
        <f t="shared" si="419"/>
        <v>#DIV/0!</v>
      </c>
    </row>
    <row r="1295" spans="1:22" x14ac:dyDescent="0.3">
      <c r="A1295" s="61" t="s">
        <v>1629</v>
      </c>
      <c r="B1295" s="62" t="s">
        <v>1689</v>
      </c>
      <c r="C1295" s="62" t="s">
        <v>318</v>
      </c>
      <c r="D1295" s="62" t="s">
        <v>1711</v>
      </c>
      <c r="E1295" s="63" t="s">
        <v>352</v>
      </c>
      <c r="F1295" s="62" t="s">
        <v>335</v>
      </c>
      <c r="G1295" s="62" t="s">
        <v>266</v>
      </c>
      <c r="H1295" s="62" t="s">
        <v>11</v>
      </c>
      <c r="I1295" s="62" t="s">
        <v>210</v>
      </c>
      <c r="J1295" s="63" t="s">
        <v>267</v>
      </c>
      <c r="K1295" s="62" t="s">
        <v>317</v>
      </c>
      <c r="L1295" s="64">
        <v>6.14</v>
      </c>
      <c r="M1295" s="64">
        <f t="shared" si="414"/>
        <v>6.14</v>
      </c>
      <c r="N1295" s="65">
        <f>prodnorm39</f>
        <v>0</v>
      </c>
      <c r="O1295" s="66">
        <f>dagwerk39</f>
        <v>0</v>
      </c>
      <c r="P1295" s="62" t="s">
        <v>40</v>
      </c>
      <c r="Q1295" s="67">
        <f>uurtarief39</f>
        <v>0</v>
      </c>
      <c r="R1295" s="64" t="e">
        <f t="shared" si="415"/>
        <v>#DIV/0!</v>
      </c>
      <c r="S1295" s="64" t="e">
        <f t="shared" si="416"/>
        <v>#DIV/0!</v>
      </c>
      <c r="T1295" s="67" t="e">
        <f t="shared" si="417"/>
        <v>#DIV/0!</v>
      </c>
      <c r="U1295" s="64" t="e">
        <f t="shared" si="418"/>
        <v>#DIV/0!</v>
      </c>
      <c r="V1295" s="69" t="e">
        <f t="shared" si="419"/>
        <v>#DIV/0!</v>
      </c>
    </row>
    <row r="1296" spans="1:22" x14ac:dyDescent="0.3">
      <c r="A1296" s="61" t="s">
        <v>1629</v>
      </c>
      <c r="B1296" s="62" t="s">
        <v>1689</v>
      </c>
      <c r="C1296" s="62" t="s">
        <v>318</v>
      </c>
      <c r="D1296" s="62" t="s">
        <v>1712</v>
      </c>
      <c r="E1296" s="63" t="s">
        <v>1404</v>
      </c>
      <c r="F1296" s="62" t="s">
        <v>1713</v>
      </c>
      <c r="G1296" s="62" t="s">
        <v>224</v>
      </c>
      <c r="H1296" s="62" t="s">
        <v>14</v>
      </c>
      <c r="I1296" s="62" t="s">
        <v>210</v>
      </c>
      <c r="J1296" s="63" t="s">
        <v>225</v>
      </c>
      <c r="K1296" s="62" t="s">
        <v>317</v>
      </c>
      <c r="L1296" s="64">
        <v>60.54</v>
      </c>
      <c r="M1296" s="64">
        <f t="shared" si="414"/>
        <v>36.323999999999998</v>
      </c>
      <c r="N1296" s="65">
        <f>prodnorm17</f>
        <v>0</v>
      </c>
      <c r="O1296" s="66">
        <f>dagwerk17</f>
        <v>0</v>
      </c>
      <c r="P1296" s="62" t="s">
        <v>40</v>
      </c>
      <c r="Q1296" s="67">
        <f>uurtarief17</f>
        <v>0</v>
      </c>
      <c r="R1296" s="64" t="e">
        <f t="shared" si="415"/>
        <v>#DIV/0!</v>
      </c>
      <c r="S1296" s="64" t="e">
        <f t="shared" si="416"/>
        <v>#DIV/0!</v>
      </c>
      <c r="T1296" s="67" t="e">
        <f t="shared" si="417"/>
        <v>#DIV/0!</v>
      </c>
      <c r="U1296" s="64" t="e">
        <f t="shared" si="418"/>
        <v>#DIV/0!</v>
      </c>
      <c r="V1296" s="69" t="e">
        <f t="shared" si="419"/>
        <v>#DIV/0!</v>
      </c>
    </row>
    <row r="1297" spans="1:22" x14ac:dyDescent="0.3">
      <c r="A1297" s="61" t="s">
        <v>1629</v>
      </c>
      <c r="B1297" s="62" t="s">
        <v>1689</v>
      </c>
      <c r="C1297" s="62" t="s">
        <v>318</v>
      </c>
      <c r="D1297" s="62" t="s">
        <v>1714</v>
      </c>
      <c r="E1297" s="63" t="s">
        <v>381</v>
      </c>
      <c r="F1297" s="62" t="s">
        <v>365</v>
      </c>
      <c r="G1297" s="62" t="s">
        <v>280</v>
      </c>
      <c r="H1297" s="62" t="s">
        <v>11</v>
      </c>
      <c r="I1297" s="62" t="s">
        <v>210</v>
      </c>
      <c r="J1297" s="63" t="s">
        <v>281</v>
      </c>
      <c r="K1297" s="62" t="s">
        <v>317</v>
      </c>
      <c r="L1297" s="64">
        <v>3.25</v>
      </c>
      <c r="M1297" s="64">
        <f t="shared" si="414"/>
        <v>3.25</v>
      </c>
      <c r="N1297" s="65">
        <f>prodnorm46</f>
        <v>0</v>
      </c>
      <c r="O1297" s="66">
        <f>dagwerk46</f>
        <v>0</v>
      </c>
      <c r="P1297" s="62" t="s">
        <v>40</v>
      </c>
      <c r="Q1297" s="67">
        <f>uurtarief46</f>
        <v>0</v>
      </c>
      <c r="R1297" s="64" t="e">
        <f t="shared" si="415"/>
        <v>#DIV/0!</v>
      </c>
      <c r="S1297" s="64" t="e">
        <f t="shared" si="416"/>
        <v>#DIV/0!</v>
      </c>
      <c r="T1297" s="67" t="e">
        <f t="shared" si="417"/>
        <v>#DIV/0!</v>
      </c>
      <c r="U1297" s="64" t="e">
        <f t="shared" si="418"/>
        <v>#DIV/0!</v>
      </c>
      <c r="V1297" s="69" t="e">
        <f t="shared" si="419"/>
        <v>#DIV/0!</v>
      </c>
    </row>
    <row r="1298" spans="1:22" x14ac:dyDescent="0.3">
      <c r="A1298" s="61" t="s">
        <v>1629</v>
      </c>
      <c r="B1298" s="62" t="s">
        <v>1689</v>
      </c>
      <c r="C1298" s="62" t="s">
        <v>318</v>
      </c>
      <c r="D1298" s="62" t="s">
        <v>1715</v>
      </c>
      <c r="E1298" s="63" t="s">
        <v>356</v>
      </c>
      <c r="F1298" s="62" t="s">
        <v>348</v>
      </c>
      <c r="G1298" s="62" t="s">
        <v>212</v>
      </c>
      <c r="H1298" s="62" t="s">
        <v>17</v>
      </c>
      <c r="I1298" s="62" t="s">
        <v>210</v>
      </c>
      <c r="J1298" s="63" t="s">
        <v>213</v>
      </c>
      <c r="K1298" s="62" t="s">
        <v>317</v>
      </c>
      <c r="L1298" s="64">
        <v>22.979999999999997</v>
      </c>
      <c r="M1298" s="64">
        <f t="shared" si="414"/>
        <v>4.5959999999999992</v>
      </c>
      <c r="N1298" s="65">
        <f>prodnorm11</f>
        <v>0</v>
      </c>
      <c r="O1298" s="66">
        <f>dagwerk11</f>
        <v>0</v>
      </c>
      <c r="P1298" s="62" t="s">
        <v>40</v>
      </c>
      <c r="Q1298" s="67">
        <f>uurtarief11</f>
        <v>0</v>
      </c>
      <c r="R1298" s="64" t="e">
        <f t="shared" si="415"/>
        <v>#DIV/0!</v>
      </c>
      <c r="S1298" s="64" t="e">
        <f t="shared" si="416"/>
        <v>#DIV/0!</v>
      </c>
      <c r="T1298" s="67" t="e">
        <f t="shared" si="417"/>
        <v>#DIV/0!</v>
      </c>
      <c r="U1298" s="64" t="e">
        <f t="shared" si="418"/>
        <v>#DIV/0!</v>
      </c>
      <c r="V1298" s="69" t="e">
        <f t="shared" si="419"/>
        <v>#DIV/0!</v>
      </c>
    </row>
    <row r="1299" spans="1:22" x14ac:dyDescent="0.3">
      <c r="A1299" s="61" t="s">
        <v>1629</v>
      </c>
      <c r="B1299" s="62" t="s">
        <v>1689</v>
      </c>
      <c r="C1299" s="62" t="s">
        <v>318</v>
      </c>
      <c r="D1299" s="62" t="s">
        <v>1716</v>
      </c>
      <c r="E1299" s="63" t="s">
        <v>356</v>
      </c>
      <c r="F1299" s="62" t="s">
        <v>348</v>
      </c>
      <c r="G1299" s="62" t="s">
        <v>212</v>
      </c>
      <c r="H1299" s="62" t="s">
        <v>17</v>
      </c>
      <c r="I1299" s="62" t="s">
        <v>210</v>
      </c>
      <c r="J1299" s="63" t="s">
        <v>213</v>
      </c>
      <c r="K1299" s="62" t="s">
        <v>317</v>
      </c>
      <c r="L1299" s="64">
        <v>23.479999999999997</v>
      </c>
      <c r="M1299" s="64">
        <f t="shared" si="414"/>
        <v>4.6959999999999997</v>
      </c>
      <c r="N1299" s="65">
        <f>prodnorm11</f>
        <v>0</v>
      </c>
      <c r="O1299" s="66">
        <f>dagwerk11</f>
        <v>0</v>
      </c>
      <c r="P1299" s="62" t="s">
        <v>40</v>
      </c>
      <c r="Q1299" s="67">
        <f>uurtarief11</f>
        <v>0</v>
      </c>
      <c r="R1299" s="64" t="e">
        <f t="shared" si="415"/>
        <v>#DIV/0!</v>
      </c>
      <c r="S1299" s="64" t="e">
        <f t="shared" si="416"/>
        <v>#DIV/0!</v>
      </c>
      <c r="T1299" s="67" t="e">
        <f t="shared" si="417"/>
        <v>#DIV/0!</v>
      </c>
      <c r="U1299" s="64" t="e">
        <f t="shared" si="418"/>
        <v>#DIV/0!</v>
      </c>
      <c r="V1299" s="69" t="e">
        <f t="shared" si="419"/>
        <v>#DIV/0!</v>
      </c>
    </row>
    <row r="1300" spans="1:22" x14ac:dyDescent="0.3">
      <c r="A1300" s="61" t="s">
        <v>1629</v>
      </c>
      <c r="B1300" s="62" t="s">
        <v>1689</v>
      </c>
      <c r="C1300" s="62" t="s">
        <v>318</v>
      </c>
      <c r="D1300" s="62" t="s">
        <v>1717</v>
      </c>
      <c r="E1300" s="63" t="s">
        <v>321</v>
      </c>
      <c r="F1300" s="62" t="s">
        <v>1626</v>
      </c>
      <c r="G1300" s="62" t="s">
        <v>323</v>
      </c>
      <c r="H1300" s="62"/>
      <c r="I1300" s="62"/>
      <c r="J1300" s="62"/>
      <c r="K1300" s="62" t="s">
        <v>317</v>
      </c>
      <c r="L1300" s="64">
        <v>16.97</v>
      </c>
      <c r="M1300" s="64"/>
      <c r="N1300" s="65"/>
      <c r="O1300" s="66"/>
      <c r="P1300" s="62"/>
      <c r="Q1300" s="67"/>
      <c r="R1300" s="64"/>
      <c r="S1300" s="64"/>
      <c r="T1300" s="67"/>
      <c r="U1300" s="68"/>
      <c r="V1300" s="69"/>
    </row>
    <row r="1301" spans="1:22" x14ac:dyDescent="0.3">
      <c r="A1301" s="61" t="s">
        <v>1629</v>
      </c>
      <c r="B1301" s="62" t="s">
        <v>1689</v>
      </c>
      <c r="C1301" s="62" t="s">
        <v>318</v>
      </c>
      <c r="D1301" s="62" t="s">
        <v>1718</v>
      </c>
      <c r="E1301" s="63" t="s">
        <v>1268</v>
      </c>
      <c r="F1301" s="62" t="s">
        <v>365</v>
      </c>
      <c r="G1301" s="62" t="s">
        <v>286</v>
      </c>
      <c r="H1301" s="62" t="s">
        <v>11</v>
      </c>
      <c r="I1301" s="62" t="s">
        <v>210</v>
      </c>
      <c r="J1301" s="63" t="s">
        <v>287</v>
      </c>
      <c r="K1301" s="62" t="s">
        <v>317</v>
      </c>
      <c r="L1301" s="64">
        <v>2.21</v>
      </c>
      <c r="M1301" s="64">
        <f>L1301*VLOOKUP(H1301,dagsoorttabel1,2,FALSE)</f>
        <v>2.21</v>
      </c>
      <c r="N1301" s="65">
        <f>prodnorm49</f>
        <v>0</v>
      </c>
      <c r="O1301" s="66">
        <f>dagwerk49</f>
        <v>0</v>
      </c>
      <c r="P1301" s="62" t="s">
        <v>40</v>
      </c>
      <c r="Q1301" s="67">
        <f>uurtarief49</f>
        <v>0</v>
      </c>
      <c r="R1301" s="64" t="e">
        <f>IF(ISBLANK(N1301),0,M1301/ROUND(N1301,4))</f>
        <v>#DIV/0!</v>
      </c>
      <c r="S1301" s="64" t="e">
        <f>IF(ISBLANK(N1301),0,R1301*ROUND(O1301,2))</f>
        <v>#DIV/0!</v>
      </c>
      <c r="T1301" s="67" t="e">
        <f>ROUND(Q1301,2)*R1301</f>
        <v>#DIV/0!</v>
      </c>
      <c r="U1301" s="64" t="e">
        <f>R1301*dagenperjaar1</f>
        <v>#DIV/0!</v>
      </c>
      <c r="V1301" s="69" t="e">
        <f>U1301*ROUND(Q1301,2)</f>
        <v>#DIV/0!</v>
      </c>
    </row>
    <row r="1302" spans="1:22" x14ac:dyDescent="0.3">
      <c r="A1302" s="61" t="s">
        <v>1629</v>
      </c>
      <c r="B1302" s="62" t="s">
        <v>1689</v>
      </c>
      <c r="C1302" s="62" t="s">
        <v>318</v>
      </c>
      <c r="D1302" s="62" t="s">
        <v>1719</v>
      </c>
      <c r="E1302" s="63" t="s">
        <v>1720</v>
      </c>
      <c r="F1302" s="62" t="s">
        <v>348</v>
      </c>
      <c r="G1302" s="62" t="s">
        <v>212</v>
      </c>
      <c r="H1302" s="62" t="s">
        <v>17</v>
      </c>
      <c r="I1302" s="62" t="s">
        <v>210</v>
      </c>
      <c r="J1302" s="63" t="s">
        <v>213</v>
      </c>
      <c r="K1302" s="62" t="s">
        <v>317</v>
      </c>
      <c r="L1302" s="64">
        <v>9.08</v>
      </c>
      <c r="M1302" s="64">
        <f>L1302*VLOOKUP(H1302,dagsoorttabel1,2,FALSE)</f>
        <v>1.8160000000000001</v>
      </c>
      <c r="N1302" s="65">
        <f>prodnorm11</f>
        <v>0</v>
      </c>
      <c r="O1302" s="66">
        <f>dagwerk11</f>
        <v>0</v>
      </c>
      <c r="P1302" s="62" t="s">
        <v>40</v>
      </c>
      <c r="Q1302" s="67">
        <f>uurtarief11</f>
        <v>0</v>
      </c>
      <c r="R1302" s="64" t="e">
        <f>IF(ISBLANK(N1302),0,M1302/ROUND(N1302,4))</f>
        <v>#DIV/0!</v>
      </c>
      <c r="S1302" s="64" t="e">
        <f>IF(ISBLANK(N1302),0,R1302*ROUND(O1302,2))</f>
        <v>#DIV/0!</v>
      </c>
      <c r="T1302" s="67" t="e">
        <f>ROUND(Q1302,2)*R1302</f>
        <v>#DIV/0!</v>
      </c>
      <c r="U1302" s="64" t="e">
        <f>R1302*dagenperjaar1</f>
        <v>#DIV/0!</v>
      </c>
      <c r="V1302" s="69" t="e">
        <f>U1302*ROUND(Q1302,2)</f>
        <v>#DIV/0!</v>
      </c>
    </row>
    <row r="1303" spans="1:22" x14ac:dyDescent="0.3">
      <c r="A1303" s="61" t="s">
        <v>1629</v>
      </c>
      <c r="B1303" s="62" t="s">
        <v>1689</v>
      </c>
      <c r="C1303" s="62" t="s">
        <v>318</v>
      </c>
      <c r="D1303" s="62" t="s">
        <v>1721</v>
      </c>
      <c r="E1303" s="63" t="s">
        <v>321</v>
      </c>
      <c r="F1303" s="62" t="s">
        <v>1118</v>
      </c>
      <c r="G1303" s="62" t="s">
        <v>323</v>
      </c>
      <c r="H1303" s="62"/>
      <c r="I1303" s="62"/>
      <c r="J1303" s="62"/>
      <c r="K1303" s="62" t="s">
        <v>317</v>
      </c>
      <c r="L1303" s="64">
        <v>1.08</v>
      </c>
      <c r="M1303" s="64"/>
      <c r="N1303" s="65"/>
      <c r="O1303" s="66"/>
      <c r="P1303" s="62"/>
      <c r="Q1303" s="67"/>
      <c r="R1303" s="64"/>
      <c r="S1303" s="64"/>
      <c r="T1303" s="67"/>
      <c r="U1303" s="68"/>
      <c r="V1303" s="69"/>
    </row>
    <row r="1304" spans="1:22" x14ac:dyDescent="0.3">
      <c r="A1304" s="61" t="s">
        <v>1629</v>
      </c>
      <c r="B1304" s="62" t="s">
        <v>1689</v>
      </c>
      <c r="C1304" s="62" t="s">
        <v>318</v>
      </c>
      <c r="D1304" s="62" t="s">
        <v>1722</v>
      </c>
      <c r="E1304" s="63" t="s">
        <v>1723</v>
      </c>
      <c r="F1304" s="62" t="s">
        <v>348</v>
      </c>
      <c r="G1304" s="62" t="s">
        <v>284</v>
      </c>
      <c r="H1304" s="62" t="s">
        <v>11</v>
      </c>
      <c r="I1304" s="62" t="s">
        <v>210</v>
      </c>
      <c r="J1304" s="63" t="s">
        <v>285</v>
      </c>
      <c r="K1304" s="62" t="s">
        <v>317</v>
      </c>
      <c r="L1304" s="64">
        <v>34.54</v>
      </c>
      <c r="M1304" s="64">
        <f>L1304*VLOOKUP(H1304,dagsoorttabel1,2,FALSE)</f>
        <v>34.54</v>
      </c>
      <c r="N1304" s="65">
        <f>prodnorm48</f>
        <v>0</v>
      </c>
      <c r="O1304" s="66">
        <f>dagwerk48</f>
        <v>0</v>
      </c>
      <c r="P1304" s="62" t="s">
        <v>40</v>
      </c>
      <c r="Q1304" s="67">
        <f>uurtarief48</f>
        <v>0</v>
      </c>
      <c r="R1304" s="64" t="e">
        <f>IF(ISBLANK(N1304),0,M1304/ROUND(N1304,4))</f>
        <v>#DIV/0!</v>
      </c>
      <c r="S1304" s="64" t="e">
        <f>IF(ISBLANK(N1304),0,R1304*ROUND(O1304,2))</f>
        <v>#DIV/0!</v>
      </c>
      <c r="T1304" s="67" t="e">
        <f>ROUND(Q1304,2)*R1304</f>
        <v>#DIV/0!</v>
      </c>
      <c r="U1304" s="64" t="e">
        <f>R1304*dagenperjaar1</f>
        <v>#DIV/0!</v>
      </c>
      <c r="V1304" s="69" t="e">
        <f>U1304*ROUND(Q1304,2)</f>
        <v>#DIV/0!</v>
      </c>
    </row>
    <row r="1305" spans="1:22" x14ac:dyDescent="0.3">
      <c r="A1305" s="61" t="s">
        <v>1629</v>
      </c>
      <c r="B1305" s="62" t="s">
        <v>1689</v>
      </c>
      <c r="C1305" s="62" t="s">
        <v>318</v>
      </c>
      <c r="D1305" s="62" t="s">
        <v>1724</v>
      </c>
      <c r="E1305" s="63" t="s">
        <v>1725</v>
      </c>
      <c r="F1305" s="62" t="s">
        <v>357</v>
      </c>
      <c r="G1305" s="62" t="s">
        <v>230</v>
      </c>
      <c r="H1305" s="62" t="s">
        <v>11</v>
      </c>
      <c r="I1305" s="62" t="s">
        <v>210</v>
      </c>
      <c r="J1305" s="63" t="s">
        <v>231</v>
      </c>
      <c r="K1305" s="62" t="s">
        <v>317</v>
      </c>
      <c r="L1305" s="64">
        <v>25.27</v>
      </c>
      <c r="M1305" s="64">
        <f>L1305*VLOOKUP(H1305,dagsoorttabel1,2,FALSE)</f>
        <v>25.27</v>
      </c>
      <c r="N1305" s="65">
        <f>prodnorm20</f>
        <v>0</v>
      </c>
      <c r="O1305" s="66">
        <f>dagwerk20</f>
        <v>0</v>
      </c>
      <c r="P1305" s="62" t="s">
        <v>40</v>
      </c>
      <c r="Q1305" s="67">
        <f>uurtarief20</f>
        <v>0</v>
      </c>
      <c r="R1305" s="64" t="e">
        <f>IF(ISBLANK(N1305),0,M1305/ROUND(N1305,4))</f>
        <v>#DIV/0!</v>
      </c>
      <c r="S1305" s="64" t="e">
        <f>IF(ISBLANK(N1305),0,R1305*ROUND(O1305,2))</f>
        <v>#DIV/0!</v>
      </c>
      <c r="T1305" s="67" t="e">
        <f>ROUND(Q1305,2)*R1305</f>
        <v>#DIV/0!</v>
      </c>
      <c r="U1305" s="64" t="e">
        <f>R1305*dagenperjaar1</f>
        <v>#DIV/0!</v>
      </c>
      <c r="V1305" s="69" t="e">
        <f>U1305*ROUND(Q1305,2)</f>
        <v>#DIV/0!</v>
      </c>
    </row>
    <row r="1306" spans="1:22" x14ac:dyDescent="0.3">
      <c r="A1306" s="61" t="s">
        <v>1629</v>
      </c>
      <c r="B1306" s="62" t="s">
        <v>1689</v>
      </c>
      <c r="C1306" s="62" t="s">
        <v>318</v>
      </c>
      <c r="D1306" s="62" t="s">
        <v>1726</v>
      </c>
      <c r="E1306" s="63" t="s">
        <v>1162</v>
      </c>
      <c r="F1306" s="62" t="s">
        <v>357</v>
      </c>
      <c r="G1306" s="62" t="s">
        <v>220</v>
      </c>
      <c r="H1306" s="62" t="s">
        <v>11</v>
      </c>
      <c r="I1306" s="62" t="s">
        <v>210</v>
      </c>
      <c r="J1306" s="63" t="s">
        <v>221</v>
      </c>
      <c r="K1306" s="62" t="s">
        <v>317</v>
      </c>
      <c r="L1306" s="64">
        <v>188.26999999999998</v>
      </c>
      <c r="M1306" s="64">
        <f>L1306*VLOOKUP(H1306,dagsoorttabel1,2,FALSE)</f>
        <v>188.26999999999998</v>
      </c>
      <c r="N1306" s="65">
        <f>prodnorm15</f>
        <v>0</v>
      </c>
      <c r="O1306" s="66">
        <f>dagwerk15</f>
        <v>0</v>
      </c>
      <c r="P1306" s="62" t="s">
        <v>40</v>
      </c>
      <c r="Q1306" s="67">
        <f>uurtarief15</f>
        <v>0</v>
      </c>
      <c r="R1306" s="64" t="e">
        <f>IF(ISBLANK(N1306),0,M1306/ROUND(N1306,4))</f>
        <v>#DIV/0!</v>
      </c>
      <c r="S1306" s="64" t="e">
        <f>IF(ISBLANK(N1306),0,R1306*ROUND(O1306,2))</f>
        <v>#DIV/0!</v>
      </c>
      <c r="T1306" s="67" t="e">
        <f>ROUND(Q1306,2)*R1306</f>
        <v>#DIV/0!</v>
      </c>
      <c r="U1306" s="64" t="e">
        <f>R1306*dagenperjaar1</f>
        <v>#DIV/0!</v>
      </c>
      <c r="V1306" s="69" t="e">
        <f>U1306*ROUND(Q1306,2)</f>
        <v>#DIV/0!</v>
      </c>
    </row>
    <row r="1307" spans="1:22" x14ac:dyDescent="0.3">
      <c r="A1307" s="61" t="s">
        <v>1629</v>
      </c>
      <c r="B1307" s="62" t="s">
        <v>1689</v>
      </c>
      <c r="C1307" s="62" t="s">
        <v>318</v>
      </c>
      <c r="D1307" s="62" t="s">
        <v>1727</v>
      </c>
      <c r="E1307" s="63" t="s">
        <v>1162</v>
      </c>
      <c r="F1307" s="62" t="s">
        <v>357</v>
      </c>
      <c r="G1307" s="62" t="s">
        <v>220</v>
      </c>
      <c r="H1307" s="62" t="s">
        <v>11</v>
      </c>
      <c r="I1307" s="62" t="s">
        <v>210</v>
      </c>
      <c r="J1307" s="63" t="s">
        <v>221</v>
      </c>
      <c r="K1307" s="62" t="s">
        <v>317</v>
      </c>
      <c r="L1307" s="64">
        <v>125.41000000000001</v>
      </c>
      <c r="M1307" s="64">
        <f>L1307*VLOOKUP(H1307,dagsoorttabel1,2,FALSE)</f>
        <v>125.41000000000001</v>
      </c>
      <c r="N1307" s="65">
        <f>prodnorm15</f>
        <v>0</v>
      </c>
      <c r="O1307" s="66">
        <f>dagwerk15</f>
        <v>0</v>
      </c>
      <c r="P1307" s="62" t="s">
        <v>40</v>
      </c>
      <c r="Q1307" s="67">
        <f>uurtarief15</f>
        <v>0</v>
      </c>
      <c r="R1307" s="64" t="e">
        <f>IF(ISBLANK(N1307),0,M1307/ROUND(N1307,4))</f>
        <v>#DIV/0!</v>
      </c>
      <c r="S1307" s="64" t="e">
        <f>IF(ISBLANK(N1307),0,R1307*ROUND(O1307,2))</f>
        <v>#DIV/0!</v>
      </c>
      <c r="T1307" s="67" t="e">
        <f>ROUND(Q1307,2)*R1307</f>
        <v>#DIV/0!</v>
      </c>
      <c r="U1307" s="64" t="e">
        <f>R1307*dagenperjaar1</f>
        <v>#DIV/0!</v>
      </c>
      <c r="V1307" s="69" t="e">
        <f>U1307*ROUND(Q1307,2)</f>
        <v>#DIV/0!</v>
      </c>
    </row>
    <row r="1308" spans="1:22" x14ac:dyDescent="0.3">
      <c r="A1308" s="61" t="s">
        <v>1629</v>
      </c>
      <c r="B1308" s="62" t="s">
        <v>1689</v>
      </c>
      <c r="C1308" s="62" t="s">
        <v>318</v>
      </c>
      <c r="D1308" s="62" t="s">
        <v>1728</v>
      </c>
      <c r="E1308" s="63" t="s">
        <v>1729</v>
      </c>
      <c r="F1308" s="62" t="s">
        <v>1118</v>
      </c>
      <c r="G1308" s="62" t="s">
        <v>323</v>
      </c>
      <c r="H1308" s="62"/>
      <c r="I1308" s="62"/>
      <c r="J1308" s="62"/>
      <c r="K1308" s="62" t="s">
        <v>317</v>
      </c>
      <c r="L1308" s="64">
        <v>33.17</v>
      </c>
      <c r="M1308" s="64"/>
      <c r="N1308" s="65"/>
      <c r="O1308" s="66"/>
      <c r="P1308" s="62"/>
      <c r="Q1308" s="67"/>
      <c r="R1308" s="64"/>
      <c r="S1308" s="64"/>
      <c r="T1308" s="67"/>
      <c r="U1308" s="68"/>
      <c r="V1308" s="69"/>
    </row>
    <row r="1309" spans="1:22" x14ac:dyDescent="0.3">
      <c r="A1309" s="61" t="s">
        <v>1629</v>
      </c>
      <c r="B1309" s="62" t="s">
        <v>1689</v>
      </c>
      <c r="C1309" s="62" t="s">
        <v>318</v>
      </c>
      <c r="D1309" s="62" t="s">
        <v>1730</v>
      </c>
      <c r="E1309" s="63" t="s">
        <v>321</v>
      </c>
      <c r="F1309" s="62" t="s">
        <v>1118</v>
      </c>
      <c r="G1309" s="62" t="s">
        <v>323</v>
      </c>
      <c r="H1309" s="62"/>
      <c r="I1309" s="62"/>
      <c r="J1309" s="62"/>
      <c r="K1309" s="62" t="s">
        <v>317</v>
      </c>
      <c r="L1309" s="64">
        <v>11.88</v>
      </c>
      <c r="M1309" s="64"/>
      <c r="N1309" s="65"/>
      <c r="O1309" s="66"/>
      <c r="P1309" s="62"/>
      <c r="Q1309" s="67"/>
      <c r="R1309" s="64"/>
      <c r="S1309" s="64"/>
      <c r="T1309" s="67"/>
      <c r="U1309" s="68"/>
      <c r="V1309" s="69"/>
    </row>
    <row r="1310" spans="1:22" x14ac:dyDescent="0.3">
      <c r="A1310" s="61" t="s">
        <v>1629</v>
      </c>
      <c r="B1310" s="62" t="s">
        <v>1689</v>
      </c>
      <c r="C1310" s="62" t="s">
        <v>318</v>
      </c>
      <c r="D1310" s="62" t="s">
        <v>1731</v>
      </c>
      <c r="E1310" s="63" t="s">
        <v>1115</v>
      </c>
      <c r="F1310" s="62" t="s">
        <v>1118</v>
      </c>
      <c r="G1310" s="62" t="s">
        <v>323</v>
      </c>
      <c r="H1310" s="62"/>
      <c r="I1310" s="62"/>
      <c r="J1310" s="62"/>
      <c r="K1310" s="62" t="s">
        <v>317</v>
      </c>
      <c r="L1310" s="64">
        <v>2.4299999999999997</v>
      </c>
      <c r="M1310" s="64"/>
      <c r="N1310" s="65"/>
      <c r="O1310" s="66"/>
      <c r="P1310" s="62"/>
      <c r="Q1310" s="67"/>
      <c r="R1310" s="64"/>
      <c r="S1310" s="64"/>
      <c r="T1310" s="67"/>
      <c r="U1310" s="68"/>
      <c r="V1310" s="69"/>
    </row>
    <row r="1311" spans="1:22" x14ac:dyDescent="0.3">
      <c r="A1311" s="61" t="s">
        <v>1629</v>
      </c>
      <c r="B1311" s="62" t="s">
        <v>1689</v>
      </c>
      <c r="C1311" s="62" t="s">
        <v>318</v>
      </c>
      <c r="D1311" s="62" t="s">
        <v>1732</v>
      </c>
      <c r="E1311" s="63" t="s">
        <v>394</v>
      </c>
      <c r="F1311" s="62" t="s">
        <v>331</v>
      </c>
      <c r="G1311" s="62" t="s">
        <v>272</v>
      </c>
      <c r="H1311" s="62" t="s">
        <v>11</v>
      </c>
      <c r="I1311" s="62" t="s">
        <v>210</v>
      </c>
      <c r="J1311" s="63" t="s">
        <v>273</v>
      </c>
      <c r="K1311" s="62" t="s">
        <v>317</v>
      </c>
      <c r="L1311" s="64">
        <v>14.67</v>
      </c>
      <c r="M1311" s="64">
        <f>L1311*VLOOKUP(H1311,dagsoorttabel1,2,FALSE)</f>
        <v>14.67</v>
      </c>
      <c r="N1311" s="65">
        <f>prodnorm42</f>
        <v>0</v>
      </c>
      <c r="O1311" s="66">
        <f>dagwerk42</f>
        <v>0</v>
      </c>
      <c r="P1311" s="62" t="s">
        <v>40</v>
      </c>
      <c r="Q1311" s="67">
        <f>uurtarief42</f>
        <v>0</v>
      </c>
      <c r="R1311" s="64" t="e">
        <f>IF(ISBLANK(N1311),0,M1311/ROUND(N1311,4))</f>
        <v>#DIV/0!</v>
      </c>
      <c r="S1311" s="64" t="e">
        <f>IF(ISBLANK(N1311),0,R1311*ROUND(O1311,2))</f>
        <v>#DIV/0!</v>
      </c>
      <c r="T1311" s="67" t="e">
        <f>ROUND(Q1311,2)*R1311</f>
        <v>#DIV/0!</v>
      </c>
      <c r="U1311" s="64" t="e">
        <f>R1311*dagenperjaar1</f>
        <v>#DIV/0!</v>
      </c>
      <c r="V1311" s="69" t="e">
        <f>U1311*ROUND(Q1311,2)</f>
        <v>#DIV/0!</v>
      </c>
    </row>
    <row r="1312" spans="1:22" x14ac:dyDescent="0.3">
      <c r="A1312" s="61" t="s">
        <v>1629</v>
      </c>
      <c r="B1312" s="62" t="s">
        <v>1689</v>
      </c>
      <c r="C1312" s="62" t="s">
        <v>318</v>
      </c>
      <c r="D1312" s="62" t="s">
        <v>1733</v>
      </c>
      <c r="E1312" s="63" t="s">
        <v>330</v>
      </c>
      <c r="F1312" s="62" t="s">
        <v>322</v>
      </c>
      <c r="G1312" s="62" t="s">
        <v>286</v>
      </c>
      <c r="H1312" s="62" t="s">
        <v>11</v>
      </c>
      <c r="I1312" s="62" t="s">
        <v>210</v>
      </c>
      <c r="J1312" s="63" t="s">
        <v>287</v>
      </c>
      <c r="K1312" s="62" t="s">
        <v>317</v>
      </c>
      <c r="L1312" s="64">
        <v>4.05</v>
      </c>
      <c r="M1312" s="64">
        <f>L1312*VLOOKUP(H1312,dagsoorttabel1,2,FALSE)</f>
        <v>4.05</v>
      </c>
      <c r="N1312" s="65">
        <f>prodnorm49</f>
        <v>0</v>
      </c>
      <c r="O1312" s="66">
        <f>dagwerk49</f>
        <v>0</v>
      </c>
      <c r="P1312" s="62" t="s">
        <v>40</v>
      </c>
      <c r="Q1312" s="67">
        <f>uurtarief49</f>
        <v>0</v>
      </c>
      <c r="R1312" s="64" t="e">
        <f>IF(ISBLANK(N1312),0,M1312/ROUND(N1312,4))</f>
        <v>#DIV/0!</v>
      </c>
      <c r="S1312" s="64" t="e">
        <f>IF(ISBLANK(N1312),0,R1312*ROUND(O1312,2))</f>
        <v>#DIV/0!</v>
      </c>
      <c r="T1312" s="67" t="e">
        <f>ROUND(Q1312,2)*R1312</f>
        <v>#DIV/0!</v>
      </c>
      <c r="U1312" s="64" t="e">
        <f>R1312*dagenperjaar1</f>
        <v>#DIV/0!</v>
      </c>
      <c r="V1312" s="69" t="e">
        <f>U1312*ROUND(Q1312,2)</f>
        <v>#DIV/0!</v>
      </c>
    </row>
    <row r="1313" spans="1:22" x14ac:dyDescent="0.3">
      <c r="A1313" s="61" t="s">
        <v>1629</v>
      </c>
      <c r="B1313" s="62" t="s">
        <v>1689</v>
      </c>
      <c r="C1313" s="62" t="s">
        <v>318</v>
      </c>
      <c r="D1313" s="62" t="s">
        <v>1734</v>
      </c>
      <c r="E1313" s="63" t="s">
        <v>1735</v>
      </c>
      <c r="F1313" s="62" t="s">
        <v>353</v>
      </c>
      <c r="G1313" s="62" t="s">
        <v>323</v>
      </c>
      <c r="H1313" s="62"/>
      <c r="I1313" s="62"/>
      <c r="J1313" s="62"/>
      <c r="K1313" s="62" t="s">
        <v>317</v>
      </c>
      <c r="L1313" s="64">
        <v>49.849999999999994</v>
      </c>
      <c r="M1313" s="64"/>
      <c r="N1313" s="65"/>
      <c r="O1313" s="66"/>
      <c r="P1313" s="62"/>
      <c r="Q1313" s="67"/>
      <c r="R1313" s="64"/>
      <c r="S1313" s="64"/>
      <c r="T1313" s="67"/>
      <c r="U1313" s="68"/>
      <c r="V1313" s="69"/>
    </row>
    <row r="1314" spans="1:22" x14ac:dyDescent="0.3">
      <c r="A1314" s="61" t="s">
        <v>1629</v>
      </c>
      <c r="B1314" s="62" t="s">
        <v>1689</v>
      </c>
      <c r="C1314" s="62" t="s">
        <v>318</v>
      </c>
      <c r="D1314" s="62" t="s">
        <v>1736</v>
      </c>
      <c r="E1314" s="63" t="s">
        <v>536</v>
      </c>
      <c r="F1314" s="62" t="s">
        <v>348</v>
      </c>
      <c r="G1314" s="62" t="s">
        <v>216</v>
      </c>
      <c r="H1314" s="62" t="s">
        <v>14</v>
      </c>
      <c r="I1314" s="62" t="s">
        <v>210</v>
      </c>
      <c r="J1314" s="63" t="s">
        <v>217</v>
      </c>
      <c r="K1314" s="62" t="s">
        <v>317</v>
      </c>
      <c r="L1314" s="64">
        <v>11.61</v>
      </c>
      <c r="M1314" s="64">
        <f>L1314*VLOOKUP(H1314,dagsoorttabel1,2,FALSE)</f>
        <v>6.9659999999999993</v>
      </c>
      <c r="N1314" s="65">
        <f>prodnorm13</f>
        <v>0</v>
      </c>
      <c r="O1314" s="66">
        <f>dagwerk13</f>
        <v>0</v>
      </c>
      <c r="P1314" s="62" t="s">
        <v>40</v>
      </c>
      <c r="Q1314" s="67">
        <f>uurtarief13</f>
        <v>0</v>
      </c>
      <c r="R1314" s="64" t="e">
        <f>IF(ISBLANK(N1314),0,M1314/ROUND(N1314,4))</f>
        <v>#DIV/0!</v>
      </c>
      <c r="S1314" s="64" t="e">
        <f>IF(ISBLANK(N1314),0,R1314*ROUND(O1314,2))</f>
        <v>#DIV/0!</v>
      </c>
      <c r="T1314" s="67" t="e">
        <f>ROUND(Q1314,2)*R1314</f>
        <v>#DIV/0!</v>
      </c>
      <c r="U1314" s="64" t="e">
        <f>R1314*dagenperjaar1</f>
        <v>#DIV/0!</v>
      </c>
      <c r="V1314" s="69" t="e">
        <f>U1314*ROUND(Q1314,2)</f>
        <v>#DIV/0!</v>
      </c>
    </row>
    <row r="1315" spans="1:22" x14ac:dyDescent="0.3">
      <c r="A1315" s="61" t="s">
        <v>1629</v>
      </c>
      <c r="B1315" s="62" t="s">
        <v>1689</v>
      </c>
      <c r="C1315" s="62" t="s">
        <v>318</v>
      </c>
      <c r="D1315" s="62" t="s">
        <v>1737</v>
      </c>
      <c r="E1315" s="63" t="s">
        <v>394</v>
      </c>
      <c r="F1315" s="62" t="s">
        <v>1118</v>
      </c>
      <c r="G1315" s="62" t="s">
        <v>272</v>
      </c>
      <c r="H1315" s="62" t="s">
        <v>11</v>
      </c>
      <c r="I1315" s="62" t="s">
        <v>210</v>
      </c>
      <c r="J1315" s="63" t="s">
        <v>273</v>
      </c>
      <c r="K1315" s="62" t="s">
        <v>317</v>
      </c>
      <c r="L1315" s="64">
        <v>34.260000000000005</v>
      </c>
      <c r="M1315" s="64">
        <f>L1315*VLOOKUP(H1315,dagsoorttabel1,2,FALSE)</f>
        <v>34.260000000000005</v>
      </c>
      <c r="N1315" s="65">
        <f>prodnorm42</f>
        <v>0</v>
      </c>
      <c r="O1315" s="66">
        <f>dagwerk42</f>
        <v>0</v>
      </c>
      <c r="P1315" s="62" t="s">
        <v>40</v>
      </c>
      <c r="Q1315" s="67">
        <f>uurtarief42</f>
        <v>0</v>
      </c>
      <c r="R1315" s="64" t="e">
        <f>IF(ISBLANK(N1315),0,M1315/ROUND(N1315,4))</f>
        <v>#DIV/0!</v>
      </c>
      <c r="S1315" s="64" t="e">
        <f>IF(ISBLANK(N1315),0,R1315*ROUND(O1315,2))</f>
        <v>#DIV/0!</v>
      </c>
      <c r="T1315" s="67" t="e">
        <f>ROUND(Q1315,2)*R1315</f>
        <v>#DIV/0!</v>
      </c>
      <c r="U1315" s="64" t="e">
        <f>R1315*dagenperjaar1</f>
        <v>#DIV/0!</v>
      </c>
      <c r="V1315" s="69" t="e">
        <f>U1315*ROUND(Q1315,2)</f>
        <v>#DIV/0!</v>
      </c>
    </row>
    <row r="1316" spans="1:22" ht="28.8" x14ac:dyDescent="0.3">
      <c r="A1316" s="61" t="s">
        <v>1629</v>
      </c>
      <c r="B1316" s="62" t="s">
        <v>1689</v>
      </c>
      <c r="C1316" s="62" t="s">
        <v>318</v>
      </c>
      <c r="D1316" s="62" t="s">
        <v>1738</v>
      </c>
      <c r="E1316" s="63" t="s">
        <v>1156</v>
      </c>
      <c r="F1316" s="62" t="s">
        <v>1118</v>
      </c>
      <c r="G1316" s="62" t="s">
        <v>246</v>
      </c>
      <c r="H1316" s="62" t="s">
        <v>20</v>
      </c>
      <c r="I1316" s="62" t="s">
        <v>210</v>
      </c>
      <c r="J1316" s="63" t="s">
        <v>247</v>
      </c>
      <c r="K1316" s="62" t="s">
        <v>317</v>
      </c>
      <c r="L1316" s="64">
        <v>2.68</v>
      </c>
      <c r="M1316" s="64">
        <f>L1316*VLOOKUP(H1316,dagsoorttabel1,2,FALSE)</f>
        <v>0.12761904761904763</v>
      </c>
      <c r="N1316" s="65">
        <f>prodnorm28</f>
        <v>0</v>
      </c>
      <c r="O1316" s="66">
        <f>dagwerk28</f>
        <v>0</v>
      </c>
      <c r="P1316" s="62" t="s">
        <v>40</v>
      </c>
      <c r="Q1316" s="67">
        <f>uurtarief28</f>
        <v>0</v>
      </c>
      <c r="R1316" s="64" t="e">
        <f>IF(ISBLANK(N1316),0,M1316/ROUND(N1316,4))</f>
        <v>#DIV/0!</v>
      </c>
      <c r="S1316" s="64" t="e">
        <f>IF(ISBLANK(N1316),0,R1316*ROUND(O1316,2))</f>
        <v>#DIV/0!</v>
      </c>
      <c r="T1316" s="67" t="e">
        <f>ROUND(Q1316,2)*R1316</f>
        <v>#DIV/0!</v>
      </c>
      <c r="U1316" s="64" t="e">
        <f>R1316*dagenperjaar1</f>
        <v>#DIV/0!</v>
      </c>
      <c r="V1316" s="69" t="e">
        <f>U1316*ROUND(Q1316,2)</f>
        <v>#DIV/0!</v>
      </c>
    </row>
    <row r="1317" spans="1:22" x14ac:dyDescent="0.3">
      <c r="A1317" s="61" t="s">
        <v>1629</v>
      </c>
      <c r="B1317" s="62" t="s">
        <v>1689</v>
      </c>
      <c r="C1317" s="62" t="s">
        <v>318</v>
      </c>
      <c r="D1317" s="62" t="s">
        <v>1739</v>
      </c>
      <c r="E1317" s="63" t="s">
        <v>356</v>
      </c>
      <c r="F1317" s="62" t="s">
        <v>1118</v>
      </c>
      <c r="G1317" s="62" t="s">
        <v>323</v>
      </c>
      <c r="H1317" s="62"/>
      <c r="I1317" s="62"/>
      <c r="J1317" s="62"/>
      <c r="K1317" s="62" t="s">
        <v>317</v>
      </c>
      <c r="L1317" s="64">
        <v>0.9</v>
      </c>
      <c r="M1317" s="64"/>
      <c r="N1317" s="65"/>
      <c r="O1317" s="66"/>
      <c r="P1317" s="62"/>
      <c r="Q1317" s="67"/>
      <c r="R1317" s="64"/>
      <c r="S1317" s="64"/>
      <c r="T1317" s="67"/>
      <c r="U1317" s="68"/>
      <c r="V1317" s="69"/>
    </row>
    <row r="1318" spans="1:22" x14ac:dyDescent="0.3">
      <c r="A1318" s="61" t="s">
        <v>1629</v>
      </c>
      <c r="B1318" s="62" t="s">
        <v>1689</v>
      </c>
      <c r="C1318" s="62" t="s">
        <v>318</v>
      </c>
      <c r="D1318" s="62" t="s">
        <v>1740</v>
      </c>
      <c r="E1318" s="63" t="s">
        <v>1741</v>
      </c>
      <c r="F1318" s="62" t="s">
        <v>1118</v>
      </c>
      <c r="G1318" s="62" t="s">
        <v>262</v>
      </c>
      <c r="H1318" s="62" t="s">
        <v>11</v>
      </c>
      <c r="I1318" s="62" t="s">
        <v>210</v>
      </c>
      <c r="J1318" s="63" t="s">
        <v>263</v>
      </c>
      <c r="K1318" s="62" t="s">
        <v>317</v>
      </c>
      <c r="L1318" s="64">
        <v>3.66</v>
      </c>
      <c r="M1318" s="64">
        <f>L1318*VLOOKUP(H1318,dagsoorttabel1,2,FALSE)</f>
        <v>3.66</v>
      </c>
      <c r="N1318" s="65">
        <f>prodnorm37</f>
        <v>0</v>
      </c>
      <c r="O1318" s="66">
        <f>dagwerk37</f>
        <v>0</v>
      </c>
      <c r="P1318" s="62" t="s">
        <v>40</v>
      </c>
      <c r="Q1318" s="67">
        <f>uurtarief37</f>
        <v>0</v>
      </c>
      <c r="R1318" s="64" t="e">
        <f>IF(ISBLANK(N1318),0,M1318/ROUND(N1318,4))</f>
        <v>#DIV/0!</v>
      </c>
      <c r="S1318" s="64" t="e">
        <f>IF(ISBLANK(N1318),0,R1318*ROUND(O1318,2))</f>
        <v>#DIV/0!</v>
      </c>
      <c r="T1318" s="67" t="e">
        <f>ROUND(Q1318,2)*R1318</f>
        <v>#DIV/0!</v>
      </c>
      <c r="U1318" s="64" t="e">
        <f>R1318*dagenperjaar1</f>
        <v>#DIV/0!</v>
      </c>
      <c r="V1318" s="69" t="e">
        <f>U1318*ROUND(Q1318,2)</f>
        <v>#DIV/0!</v>
      </c>
    </row>
    <row r="1319" spans="1:22" x14ac:dyDescent="0.3">
      <c r="A1319" s="61" t="s">
        <v>1629</v>
      </c>
      <c r="B1319" s="62" t="s">
        <v>1689</v>
      </c>
      <c r="C1319" s="62" t="s">
        <v>318</v>
      </c>
      <c r="D1319" s="62" t="s">
        <v>1742</v>
      </c>
      <c r="E1319" s="63" t="s">
        <v>1142</v>
      </c>
      <c r="F1319" s="62" t="s">
        <v>1118</v>
      </c>
      <c r="G1319" s="62" t="s">
        <v>266</v>
      </c>
      <c r="H1319" s="62" t="s">
        <v>11</v>
      </c>
      <c r="I1319" s="62" t="s">
        <v>210</v>
      </c>
      <c r="J1319" s="63" t="s">
        <v>267</v>
      </c>
      <c r="K1319" s="62" t="s">
        <v>317</v>
      </c>
      <c r="L1319" s="64">
        <v>7.45</v>
      </c>
      <c r="M1319" s="64">
        <f>L1319*VLOOKUP(H1319,dagsoorttabel1,2,FALSE)</f>
        <v>7.45</v>
      </c>
      <c r="N1319" s="65">
        <f>prodnorm39</f>
        <v>0</v>
      </c>
      <c r="O1319" s="66">
        <f>dagwerk39</f>
        <v>0</v>
      </c>
      <c r="P1319" s="62" t="s">
        <v>40</v>
      </c>
      <c r="Q1319" s="67">
        <f>uurtarief39</f>
        <v>0</v>
      </c>
      <c r="R1319" s="64" t="e">
        <f>IF(ISBLANK(N1319),0,M1319/ROUND(N1319,4))</f>
        <v>#DIV/0!</v>
      </c>
      <c r="S1319" s="64" t="e">
        <f>IF(ISBLANK(N1319),0,R1319*ROUND(O1319,2))</f>
        <v>#DIV/0!</v>
      </c>
      <c r="T1319" s="67" t="e">
        <f>ROUND(Q1319,2)*R1319</f>
        <v>#DIV/0!</v>
      </c>
      <c r="U1319" s="64" t="e">
        <f>R1319*dagenperjaar1</f>
        <v>#DIV/0!</v>
      </c>
      <c r="V1319" s="69" t="e">
        <f>U1319*ROUND(Q1319,2)</f>
        <v>#DIV/0!</v>
      </c>
    </row>
    <row r="1320" spans="1:22" x14ac:dyDescent="0.3">
      <c r="A1320" s="61" t="s">
        <v>1629</v>
      </c>
      <c r="B1320" s="62" t="s">
        <v>1689</v>
      </c>
      <c r="C1320" s="62" t="s">
        <v>318</v>
      </c>
      <c r="D1320" s="62" t="s">
        <v>1743</v>
      </c>
      <c r="E1320" s="63" t="s">
        <v>356</v>
      </c>
      <c r="F1320" s="62" t="s">
        <v>348</v>
      </c>
      <c r="G1320" s="62" t="s">
        <v>212</v>
      </c>
      <c r="H1320" s="62" t="s">
        <v>17</v>
      </c>
      <c r="I1320" s="62" t="s">
        <v>210</v>
      </c>
      <c r="J1320" s="63" t="s">
        <v>213</v>
      </c>
      <c r="K1320" s="62" t="s">
        <v>317</v>
      </c>
      <c r="L1320" s="64">
        <v>20.05</v>
      </c>
      <c r="M1320" s="64">
        <f>L1320*VLOOKUP(H1320,dagsoorttabel1,2,FALSE)</f>
        <v>4.0100000000000007</v>
      </c>
      <c r="N1320" s="65">
        <f>prodnorm11</f>
        <v>0</v>
      </c>
      <c r="O1320" s="66">
        <f>dagwerk11</f>
        <v>0</v>
      </c>
      <c r="P1320" s="62" t="s">
        <v>40</v>
      </c>
      <c r="Q1320" s="67">
        <f>uurtarief11</f>
        <v>0</v>
      </c>
      <c r="R1320" s="64" t="e">
        <f>IF(ISBLANK(N1320),0,M1320/ROUND(N1320,4))</f>
        <v>#DIV/0!</v>
      </c>
      <c r="S1320" s="64" t="e">
        <f>IF(ISBLANK(N1320),0,R1320*ROUND(O1320,2))</f>
        <v>#DIV/0!</v>
      </c>
      <c r="T1320" s="67" t="e">
        <f>ROUND(Q1320,2)*R1320</f>
        <v>#DIV/0!</v>
      </c>
      <c r="U1320" s="64" t="e">
        <f>R1320*dagenperjaar1</f>
        <v>#DIV/0!</v>
      </c>
      <c r="V1320" s="69" t="e">
        <f>U1320*ROUND(Q1320,2)</f>
        <v>#DIV/0!</v>
      </c>
    </row>
    <row r="1321" spans="1:22" x14ac:dyDescent="0.3">
      <c r="A1321" s="61" t="s">
        <v>1629</v>
      </c>
      <c r="B1321" s="62" t="s">
        <v>1689</v>
      </c>
      <c r="C1321" s="62" t="s">
        <v>318</v>
      </c>
      <c r="D1321" s="62" t="s">
        <v>1744</v>
      </c>
      <c r="E1321" s="63" t="s">
        <v>707</v>
      </c>
      <c r="F1321" s="62" t="s">
        <v>365</v>
      </c>
      <c r="G1321" s="62" t="s">
        <v>224</v>
      </c>
      <c r="H1321" s="62" t="s">
        <v>14</v>
      </c>
      <c r="I1321" s="62" t="s">
        <v>210</v>
      </c>
      <c r="J1321" s="63" t="s">
        <v>225</v>
      </c>
      <c r="K1321" s="62" t="s">
        <v>317</v>
      </c>
      <c r="L1321" s="64">
        <v>46.37</v>
      </c>
      <c r="M1321" s="64">
        <f>L1321*VLOOKUP(H1321,dagsoorttabel1,2,FALSE)</f>
        <v>27.821999999999999</v>
      </c>
      <c r="N1321" s="65">
        <f>prodnorm17</f>
        <v>0</v>
      </c>
      <c r="O1321" s="66">
        <f>dagwerk17</f>
        <v>0</v>
      </c>
      <c r="P1321" s="62" t="s">
        <v>40</v>
      </c>
      <c r="Q1321" s="67">
        <f>uurtarief17</f>
        <v>0</v>
      </c>
      <c r="R1321" s="64" t="e">
        <f>IF(ISBLANK(N1321),0,M1321/ROUND(N1321,4))</f>
        <v>#DIV/0!</v>
      </c>
      <c r="S1321" s="64" t="e">
        <f>IF(ISBLANK(N1321),0,R1321*ROUND(O1321,2))</f>
        <v>#DIV/0!</v>
      </c>
      <c r="T1321" s="67" t="e">
        <f>ROUND(Q1321,2)*R1321</f>
        <v>#DIV/0!</v>
      </c>
      <c r="U1321" s="64" t="e">
        <f>R1321*dagenperjaar1</f>
        <v>#DIV/0!</v>
      </c>
      <c r="V1321" s="69" t="e">
        <f>U1321*ROUND(Q1321,2)</f>
        <v>#DIV/0!</v>
      </c>
    </row>
    <row r="1322" spans="1:22" x14ac:dyDescent="0.3">
      <c r="A1322" s="61" t="s">
        <v>1629</v>
      </c>
      <c r="B1322" s="62" t="s">
        <v>1689</v>
      </c>
      <c r="C1322" s="62" t="s">
        <v>318</v>
      </c>
      <c r="D1322" s="62" t="s">
        <v>1745</v>
      </c>
      <c r="E1322" s="63" t="s">
        <v>1268</v>
      </c>
      <c r="F1322" s="62" t="s">
        <v>1626</v>
      </c>
      <c r="G1322" s="62" t="s">
        <v>286</v>
      </c>
      <c r="H1322" s="62" t="s">
        <v>11</v>
      </c>
      <c r="I1322" s="62" t="s">
        <v>210</v>
      </c>
      <c r="J1322" s="63" t="s">
        <v>287</v>
      </c>
      <c r="K1322" s="62" t="s">
        <v>317</v>
      </c>
      <c r="L1322" s="64">
        <v>7.78</v>
      </c>
      <c r="M1322" s="64">
        <f>L1322*VLOOKUP(H1322,dagsoorttabel1,2,FALSE)</f>
        <v>7.78</v>
      </c>
      <c r="N1322" s="65">
        <f>prodnorm49</f>
        <v>0</v>
      </c>
      <c r="O1322" s="66">
        <f>dagwerk49</f>
        <v>0</v>
      </c>
      <c r="P1322" s="62" t="s">
        <v>40</v>
      </c>
      <c r="Q1322" s="67">
        <f>uurtarief49</f>
        <v>0</v>
      </c>
      <c r="R1322" s="64" t="e">
        <f>IF(ISBLANK(N1322),0,M1322/ROUND(N1322,4))</f>
        <v>#DIV/0!</v>
      </c>
      <c r="S1322" s="64" t="e">
        <f>IF(ISBLANK(N1322),0,R1322*ROUND(O1322,2))</f>
        <v>#DIV/0!</v>
      </c>
      <c r="T1322" s="67" t="e">
        <f>ROUND(Q1322,2)*R1322</f>
        <v>#DIV/0!</v>
      </c>
      <c r="U1322" s="64" t="e">
        <f>R1322*dagenperjaar1</f>
        <v>#DIV/0!</v>
      </c>
      <c r="V1322" s="69" t="e">
        <f>U1322*ROUND(Q1322,2)</f>
        <v>#DIV/0!</v>
      </c>
    </row>
    <row r="1323" spans="1:22" x14ac:dyDescent="0.3">
      <c r="A1323" s="61" t="s">
        <v>1629</v>
      </c>
      <c r="B1323" s="62" t="s">
        <v>1689</v>
      </c>
      <c r="C1323" s="62" t="s">
        <v>318</v>
      </c>
      <c r="D1323" s="62" t="s">
        <v>1746</v>
      </c>
      <c r="E1323" s="63" t="s">
        <v>321</v>
      </c>
      <c r="F1323" s="62" t="s">
        <v>1118</v>
      </c>
      <c r="G1323" s="62" t="s">
        <v>323</v>
      </c>
      <c r="H1323" s="62"/>
      <c r="I1323" s="62"/>
      <c r="J1323" s="62"/>
      <c r="K1323" s="62" t="s">
        <v>317</v>
      </c>
      <c r="L1323" s="64">
        <v>0.30000000000000004</v>
      </c>
      <c r="M1323" s="64"/>
      <c r="N1323" s="65"/>
      <c r="O1323" s="66"/>
      <c r="P1323" s="62"/>
      <c r="Q1323" s="67"/>
      <c r="R1323" s="64"/>
      <c r="S1323" s="64"/>
      <c r="T1323" s="67"/>
      <c r="U1323" s="68"/>
      <c r="V1323" s="69"/>
    </row>
    <row r="1324" spans="1:22" x14ac:dyDescent="0.3">
      <c r="A1324" s="61" t="s">
        <v>1629</v>
      </c>
      <c r="B1324" s="62" t="s">
        <v>1689</v>
      </c>
      <c r="C1324" s="62" t="s">
        <v>318</v>
      </c>
      <c r="D1324" s="62" t="s">
        <v>1747</v>
      </c>
      <c r="E1324" s="63" t="s">
        <v>356</v>
      </c>
      <c r="F1324" s="62" t="s">
        <v>348</v>
      </c>
      <c r="G1324" s="62" t="s">
        <v>212</v>
      </c>
      <c r="H1324" s="62" t="s">
        <v>17</v>
      </c>
      <c r="I1324" s="62" t="s">
        <v>210</v>
      </c>
      <c r="J1324" s="63" t="s">
        <v>213</v>
      </c>
      <c r="K1324" s="62" t="s">
        <v>317</v>
      </c>
      <c r="L1324" s="64">
        <v>11.09</v>
      </c>
      <c r="M1324" s="64">
        <f>L1324*VLOOKUP(H1324,dagsoorttabel1,2,FALSE)</f>
        <v>2.218</v>
      </c>
      <c r="N1324" s="65">
        <f>prodnorm11</f>
        <v>0</v>
      </c>
      <c r="O1324" s="66">
        <f>dagwerk11</f>
        <v>0</v>
      </c>
      <c r="P1324" s="62" t="s">
        <v>40</v>
      </c>
      <c r="Q1324" s="67">
        <f>uurtarief11</f>
        <v>0</v>
      </c>
      <c r="R1324" s="64" t="e">
        <f>IF(ISBLANK(N1324),0,M1324/ROUND(N1324,4))</f>
        <v>#DIV/0!</v>
      </c>
      <c r="S1324" s="64" t="e">
        <f>IF(ISBLANK(N1324),0,R1324*ROUND(O1324,2))</f>
        <v>#DIV/0!</v>
      </c>
      <c r="T1324" s="67" t="e">
        <f>ROUND(Q1324,2)*R1324</f>
        <v>#DIV/0!</v>
      </c>
      <c r="U1324" s="64" t="e">
        <f>R1324*dagenperjaar1</f>
        <v>#DIV/0!</v>
      </c>
      <c r="V1324" s="69" t="e">
        <f>U1324*ROUND(Q1324,2)</f>
        <v>#DIV/0!</v>
      </c>
    </row>
    <row r="1325" spans="1:22" x14ac:dyDescent="0.3">
      <c r="A1325" s="61" t="s">
        <v>1629</v>
      </c>
      <c r="B1325" s="62" t="s">
        <v>1689</v>
      </c>
      <c r="C1325" s="62" t="s">
        <v>318</v>
      </c>
      <c r="D1325" s="62" t="s">
        <v>1748</v>
      </c>
      <c r="E1325" s="63" t="s">
        <v>1749</v>
      </c>
      <c r="F1325" s="62" t="s">
        <v>1118</v>
      </c>
      <c r="G1325" s="62" t="s">
        <v>323</v>
      </c>
      <c r="H1325" s="62"/>
      <c r="I1325" s="62"/>
      <c r="J1325" s="62"/>
      <c r="K1325" s="62" t="s">
        <v>317</v>
      </c>
      <c r="L1325" s="64">
        <v>2.69</v>
      </c>
      <c r="M1325" s="64"/>
      <c r="N1325" s="65"/>
      <c r="O1325" s="66"/>
      <c r="P1325" s="62"/>
      <c r="Q1325" s="67"/>
      <c r="R1325" s="64"/>
      <c r="S1325" s="64"/>
      <c r="T1325" s="67"/>
      <c r="U1325" s="68"/>
      <c r="V1325" s="69"/>
    </row>
    <row r="1326" spans="1:22" x14ac:dyDescent="0.3">
      <c r="A1326" s="61" t="s">
        <v>1629</v>
      </c>
      <c r="B1326" s="62" t="s">
        <v>1689</v>
      </c>
      <c r="C1326" s="62" t="s">
        <v>318</v>
      </c>
      <c r="D1326" s="62" t="s">
        <v>1750</v>
      </c>
      <c r="E1326" s="63" t="s">
        <v>321</v>
      </c>
      <c r="F1326" s="62" t="s">
        <v>365</v>
      </c>
      <c r="G1326" s="62" t="s">
        <v>323</v>
      </c>
      <c r="H1326" s="62"/>
      <c r="I1326" s="62"/>
      <c r="J1326" s="62"/>
      <c r="K1326" s="62" t="s">
        <v>317</v>
      </c>
      <c r="L1326" s="64">
        <v>17.57</v>
      </c>
      <c r="M1326" s="64"/>
      <c r="N1326" s="65"/>
      <c r="O1326" s="66"/>
      <c r="P1326" s="62"/>
      <c r="Q1326" s="67"/>
      <c r="R1326" s="64"/>
      <c r="S1326" s="64"/>
      <c r="T1326" s="67"/>
      <c r="U1326" s="68"/>
      <c r="V1326" s="69"/>
    </row>
    <row r="1327" spans="1:22" x14ac:dyDescent="0.3">
      <c r="A1327" s="61" t="s">
        <v>1629</v>
      </c>
      <c r="B1327" s="62" t="s">
        <v>1689</v>
      </c>
      <c r="C1327" s="62" t="s">
        <v>318</v>
      </c>
      <c r="D1327" s="62" t="s">
        <v>1751</v>
      </c>
      <c r="E1327" s="63" t="s">
        <v>321</v>
      </c>
      <c r="F1327" s="62" t="s">
        <v>322</v>
      </c>
      <c r="G1327" s="62" t="s">
        <v>323</v>
      </c>
      <c r="H1327" s="62"/>
      <c r="I1327" s="62"/>
      <c r="J1327" s="62"/>
      <c r="K1327" s="62" t="s">
        <v>317</v>
      </c>
      <c r="L1327" s="64">
        <v>13.54</v>
      </c>
      <c r="M1327" s="64"/>
      <c r="N1327" s="65"/>
      <c r="O1327" s="66"/>
      <c r="P1327" s="62"/>
      <c r="Q1327" s="67"/>
      <c r="R1327" s="64"/>
      <c r="S1327" s="64"/>
      <c r="T1327" s="67"/>
      <c r="U1327" s="68"/>
      <c r="V1327" s="69"/>
    </row>
    <row r="1328" spans="1:22" x14ac:dyDescent="0.3">
      <c r="A1328" s="61" t="s">
        <v>1629</v>
      </c>
      <c r="B1328" s="62" t="s">
        <v>1689</v>
      </c>
      <c r="C1328" s="62" t="s">
        <v>318</v>
      </c>
      <c r="D1328" s="62" t="s">
        <v>1752</v>
      </c>
      <c r="E1328" s="63" t="s">
        <v>321</v>
      </c>
      <c r="F1328" s="62" t="s">
        <v>322</v>
      </c>
      <c r="G1328" s="62" t="s">
        <v>323</v>
      </c>
      <c r="H1328" s="62"/>
      <c r="I1328" s="62"/>
      <c r="J1328" s="62"/>
      <c r="K1328" s="62" t="s">
        <v>317</v>
      </c>
      <c r="L1328" s="64">
        <v>9.8600000000000012</v>
      </c>
      <c r="M1328" s="64"/>
      <c r="N1328" s="65"/>
      <c r="O1328" s="66"/>
      <c r="P1328" s="62"/>
      <c r="Q1328" s="67"/>
      <c r="R1328" s="64"/>
      <c r="S1328" s="64"/>
      <c r="T1328" s="67"/>
      <c r="U1328" s="68"/>
      <c r="V1328" s="69"/>
    </row>
    <row r="1329" spans="1:22" x14ac:dyDescent="0.3">
      <c r="A1329" s="61" t="s">
        <v>1629</v>
      </c>
      <c r="B1329" s="62" t="s">
        <v>1689</v>
      </c>
      <c r="C1329" s="62" t="s">
        <v>629</v>
      </c>
      <c r="D1329" s="62" t="s">
        <v>1753</v>
      </c>
      <c r="E1329" s="63" t="s">
        <v>1754</v>
      </c>
      <c r="F1329" s="62" t="s">
        <v>365</v>
      </c>
      <c r="G1329" s="62" t="s">
        <v>248</v>
      </c>
      <c r="H1329" s="62" t="s">
        <v>11</v>
      </c>
      <c r="I1329" s="62" t="s">
        <v>210</v>
      </c>
      <c r="J1329" s="63" t="s">
        <v>249</v>
      </c>
      <c r="K1329" s="62" t="s">
        <v>317</v>
      </c>
      <c r="L1329" s="64">
        <v>155.26999999999998</v>
      </c>
      <c r="M1329" s="64">
        <f>L1329*VLOOKUP(H1329,dagsoorttabel1,2,FALSE)</f>
        <v>155.26999999999998</v>
      </c>
      <c r="N1329" s="65">
        <f>prodnorm30</f>
        <v>0</v>
      </c>
      <c r="O1329" s="66">
        <f>dagwerk30</f>
        <v>0</v>
      </c>
      <c r="P1329" s="62" t="s">
        <v>40</v>
      </c>
      <c r="Q1329" s="67">
        <f>uurtarief30</f>
        <v>0</v>
      </c>
      <c r="R1329" s="64" t="e">
        <f>IF(ISBLANK(N1329),0,M1329/ROUND(N1329,4))</f>
        <v>#DIV/0!</v>
      </c>
      <c r="S1329" s="64" t="e">
        <f>IF(ISBLANK(N1329),0,R1329*ROUND(O1329,2))</f>
        <v>#DIV/0!</v>
      </c>
      <c r="T1329" s="67" t="e">
        <f>ROUND(Q1329,2)*R1329</f>
        <v>#DIV/0!</v>
      </c>
      <c r="U1329" s="64" t="e">
        <f>R1329*dagenperjaar1</f>
        <v>#DIV/0!</v>
      </c>
      <c r="V1329" s="69" t="e">
        <f>U1329*ROUND(Q1329,2)</f>
        <v>#DIV/0!</v>
      </c>
    </row>
    <row r="1330" spans="1:22" x14ac:dyDescent="0.3">
      <c r="A1330" s="61" t="s">
        <v>1629</v>
      </c>
      <c r="B1330" s="62" t="s">
        <v>1689</v>
      </c>
      <c r="C1330" s="62" t="s">
        <v>629</v>
      </c>
      <c r="D1330" s="62" t="s">
        <v>1755</v>
      </c>
      <c r="E1330" s="63" t="s">
        <v>1268</v>
      </c>
      <c r="F1330" s="62" t="s">
        <v>335</v>
      </c>
      <c r="G1330" s="62" t="s">
        <v>286</v>
      </c>
      <c r="H1330" s="62" t="s">
        <v>11</v>
      </c>
      <c r="I1330" s="62" t="s">
        <v>210</v>
      </c>
      <c r="J1330" s="63" t="s">
        <v>287</v>
      </c>
      <c r="K1330" s="62" t="s">
        <v>317</v>
      </c>
      <c r="L1330" s="64">
        <v>5.83</v>
      </c>
      <c r="M1330" s="64">
        <f>L1330*VLOOKUP(H1330,dagsoorttabel1,2,FALSE)</f>
        <v>5.83</v>
      </c>
      <c r="N1330" s="65">
        <f>prodnorm49</f>
        <v>0</v>
      </c>
      <c r="O1330" s="66">
        <f>dagwerk49</f>
        <v>0</v>
      </c>
      <c r="P1330" s="62" t="s">
        <v>40</v>
      </c>
      <c r="Q1330" s="67">
        <f>uurtarief49</f>
        <v>0</v>
      </c>
      <c r="R1330" s="64" t="e">
        <f>IF(ISBLANK(N1330),0,M1330/ROUND(N1330,4))</f>
        <v>#DIV/0!</v>
      </c>
      <c r="S1330" s="64" t="e">
        <f>IF(ISBLANK(N1330),0,R1330*ROUND(O1330,2))</f>
        <v>#DIV/0!</v>
      </c>
      <c r="T1330" s="67" t="e">
        <f>ROUND(Q1330,2)*R1330</f>
        <v>#DIV/0!</v>
      </c>
      <c r="U1330" s="64" t="e">
        <f>R1330*dagenperjaar1</f>
        <v>#DIV/0!</v>
      </c>
      <c r="V1330" s="69" t="e">
        <f>U1330*ROUND(Q1330,2)</f>
        <v>#DIV/0!</v>
      </c>
    </row>
    <row r="1331" spans="1:22" x14ac:dyDescent="0.3">
      <c r="A1331" s="61" t="s">
        <v>1629</v>
      </c>
      <c r="B1331" s="62" t="s">
        <v>1689</v>
      </c>
      <c r="C1331" s="62" t="s">
        <v>629</v>
      </c>
      <c r="D1331" s="62" t="s">
        <v>1756</v>
      </c>
      <c r="E1331" s="63" t="s">
        <v>369</v>
      </c>
      <c r="F1331" s="62" t="s">
        <v>1118</v>
      </c>
      <c r="G1331" s="62" t="s">
        <v>323</v>
      </c>
      <c r="H1331" s="62"/>
      <c r="I1331" s="62"/>
      <c r="J1331" s="62"/>
      <c r="K1331" s="62" t="s">
        <v>317</v>
      </c>
      <c r="L1331" s="64">
        <v>2.02</v>
      </c>
      <c r="M1331" s="64"/>
      <c r="N1331" s="65"/>
      <c r="O1331" s="66"/>
      <c r="P1331" s="62"/>
      <c r="Q1331" s="67"/>
      <c r="R1331" s="64"/>
      <c r="S1331" s="64"/>
      <c r="T1331" s="67"/>
      <c r="U1331" s="68"/>
      <c r="V1331" s="69"/>
    </row>
    <row r="1332" spans="1:22" x14ac:dyDescent="0.3">
      <c r="A1332" s="61" t="s">
        <v>1629</v>
      </c>
      <c r="B1332" s="62" t="s">
        <v>1689</v>
      </c>
      <c r="C1332" s="62" t="s">
        <v>629</v>
      </c>
      <c r="D1332" s="62" t="s">
        <v>1757</v>
      </c>
      <c r="E1332" s="63" t="s">
        <v>394</v>
      </c>
      <c r="F1332" s="62" t="s">
        <v>1118</v>
      </c>
      <c r="G1332" s="62" t="s">
        <v>272</v>
      </c>
      <c r="H1332" s="62" t="s">
        <v>11</v>
      </c>
      <c r="I1332" s="62" t="s">
        <v>210</v>
      </c>
      <c r="J1332" s="63" t="s">
        <v>273</v>
      </c>
      <c r="K1332" s="62" t="s">
        <v>317</v>
      </c>
      <c r="L1332" s="64">
        <v>47.449999999999996</v>
      </c>
      <c r="M1332" s="64">
        <f>L1332*VLOOKUP(H1332,dagsoorttabel1,2,FALSE)</f>
        <v>47.449999999999996</v>
      </c>
      <c r="N1332" s="65">
        <f>prodnorm42</f>
        <v>0</v>
      </c>
      <c r="O1332" s="66">
        <f>dagwerk42</f>
        <v>0</v>
      </c>
      <c r="P1332" s="62" t="s">
        <v>40</v>
      </c>
      <c r="Q1332" s="67">
        <f>uurtarief42</f>
        <v>0</v>
      </c>
      <c r="R1332" s="64" t="e">
        <f>IF(ISBLANK(N1332),0,M1332/ROUND(N1332,4))</f>
        <v>#DIV/0!</v>
      </c>
      <c r="S1332" s="64" t="e">
        <f>IF(ISBLANK(N1332),0,R1332*ROUND(O1332,2))</f>
        <v>#DIV/0!</v>
      </c>
      <c r="T1332" s="67" t="e">
        <f>ROUND(Q1332,2)*R1332</f>
        <v>#DIV/0!</v>
      </c>
      <c r="U1332" s="64" t="e">
        <f>R1332*dagenperjaar1</f>
        <v>#DIV/0!</v>
      </c>
      <c r="V1332" s="69" t="e">
        <f>U1332*ROUND(Q1332,2)</f>
        <v>#DIV/0!</v>
      </c>
    </row>
    <row r="1333" spans="1:22" x14ac:dyDescent="0.3">
      <c r="A1333" s="61" t="s">
        <v>1629</v>
      </c>
      <c r="B1333" s="62" t="s">
        <v>1689</v>
      </c>
      <c r="C1333" s="62" t="s">
        <v>629</v>
      </c>
      <c r="D1333" s="62" t="s">
        <v>1758</v>
      </c>
      <c r="E1333" s="63" t="s">
        <v>381</v>
      </c>
      <c r="F1333" s="62" t="s">
        <v>365</v>
      </c>
      <c r="G1333" s="62" t="s">
        <v>323</v>
      </c>
      <c r="H1333" s="62"/>
      <c r="I1333" s="62"/>
      <c r="J1333" s="62"/>
      <c r="K1333" s="62" t="s">
        <v>317</v>
      </c>
      <c r="L1333" s="64">
        <v>2.7</v>
      </c>
      <c r="M1333" s="64"/>
      <c r="N1333" s="65"/>
      <c r="O1333" s="66"/>
      <c r="P1333" s="62"/>
      <c r="Q1333" s="67"/>
      <c r="R1333" s="64"/>
      <c r="S1333" s="64"/>
      <c r="T1333" s="67"/>
      <c r="U1333" s="68"/>
      <c r="V1333" s="69"/>
    </row>
    <row r="1334" spans="1:22" x14ac:dyDescent="0.3">
      <c r="A1334" s="61" t="s">
        <v>1629</v>
      </c>
      <c r="B1334" s="62" t="s">
        <v>1689</v>
      </c>
      <c r="C1334" s="62" t="s">
        <v>629</v>
      </c>
      <c r="D1334" s="62" t="s">
        <v>1759</v>
      </c>
      <c r="E1334" s="63" t="s">
        <v>396</v>
      </c>
      <c r="F1334" s="62" t="s">
        <v>348</v>
      </c>
      <c r="G1334" s="62" t="s">
        <v>240</v>
      </c>
      <c r="H1334" s="62" t="s">
        <v>11</v>
      </c>
      <c r="I1334" s="62" t="s">
        <v>210</v>
      </c>
      <c r="J1334" s="63" t="s">
        <v>241</v>
      </c>
      <c r="K1334" s="62" t="s">
        <v>317</v>
      </c>
      <c r="L1334" s="64">
        <v>60.61</v>
      </c>
      <c r="M1334" s="64">
        <f t="shared" ref="M1334:M1343" si="420">L1334*VLOOKUP(H1334,dagsoorttabel1,2,FALSE)</f>
        <v>60.61</v>
      </c>
      <c r="N1334" s="65">
        <f>prodnorm25</f>
        <v>0</v>
      </c>
      <c r="O1334" s="66">
        <f>dagwerk25</f>
        <v>0</v>
      </c>
      <c r="P1334" s="62" t="s">
        <v>40</v>
      </c>
      <c r="Q1334" s="67">
        <f>uurtarief25</f>
        <v>0</v>
      </c>
      <c r="R1334" s="64" t="e">
        <f t="shared" ref="R1334:R1343" si="421">IF(ISBLANK(N1334),0,M1334/ROUND(N1334,4))</f>
        <v>#DIV/0!</v>
      </c>
      <c r="S1334" s="64" t="e">
        <f t="shared" ref="S1334:S1343" si="422">IF(ISBLANK(N1334),0,R1334*ROUND(O1334,2))</f>
        <v>#DIV/0!</v>
      </c>
      <c r="T1334" s="67" t="e">
        <f t="shared" ref="T1334:T1343" si="423">ROUND(Q1334,2)*R1334</f>
        <v>#DIV/0!</v>
      </c>
      <c r="U1334" s="64" t="e">
        <f t="shared" ref="U1334:U1343" si="424">R1334*dagenperjaar1</f>
        <v>#DIV/0!</v>
      </c>
      <c r="V1334" s="69" t="e">
        <f t="shared" ref="V1334:V1343" si="425">U1334*ROUND(Q1334,2)</f>
        <v>#DIV/0!</v>
      </c>
    </row>
    <row r="1335" spans="1:22" x14ac:dyDescent="0.3">
      <c r="A1335" s="61" t="s">
        <v>1629</v>
      </c>
      <c r="B1335" s="62" t="s">
        <v>1689</v>
      </c>
      <c r="C1335" s="62" t="s">
        <v>629</v>
      </c>
      <c r="D1335" s="62" t="s">
        <v>1760</v>
      </c>
      <c r="E1335" s="63" t="s">
        <v>578</v>
      </c>
      <c r="F1335" s="62" t="s">
        <v>335</v>
      </c>
      <c r="G1335" s="62" t="s">
        <v>266</v>
      </c>
      <c r="H1335" s="62" t="s">
        <v>11</v>
      </c>
      <c r="I1335" s="62" t="s">
        <v>210</v>
      </c>
      <c r="J1335" s="63" t="s">
        <v>267</v>
      </c>
      <c r="K1335" s="62" t="s">
        <v>317</v>
      </c>
      <c r="L1335" s="64">
        <v>10.67</v>
      </c>
      <c r="M1335" s="64">
        <f t="shared" si="420"/>
        <v>10.67</v>
      </c>
      <c r="N1335" s="65">
        <f>prodnorm39</f>
        <v>0</v>
      </c>
      <c r="O1335" s="66">
        <f>dagwerk39</f>
        <v>0</v>
      </c>
      <c r="P1335" s="62" t="s">
        <v>40</v>
      </c>
      <c r="Q1335" s="67">
        <f>uurtarief39</f>
        <v>0</v>
      </c>
      <c r="R1335" s="64" t="e">
        <f t="shared" si="421"/>
        <v>#DIV/0!</v>
      </c>
      <c r="S1335" s="64" t="e">
        <f t="shared" si="422"/>
        <v>#DIV/0!</v>
      </c>
      <c r="T1335" s="67" t="e">
        <f t="shared" si="423"/>
        <v>#DIV/0!</v>
      </c>
      <c r="U1335" s="64" t="e">
        <f t="shared" si="424"/>
        <v>#DIV/0!</v>
      </c>
      <c r="V1335" s="69" t="e">
        <f t="shared" si="425"/>
        <v>#DIV/0!</v>
      </c>
    </row>
    <row r="1336" spans="1:22" x14ac:dyDescent="0.3">
      <c r="A1336" s="61" t="s">
        <v>1629</v>
      </c>
      <c r="B1336" s="62" t="s">
        <v>1689</v>
      </c>
      <c r="C1336" s="62" t="s">
        <v>629</v>
      </c>
      <c r="D1336" s="62" t="s">
        <v>1761</v>
      </c>
      <c r="E1336" s="63" t="s">
        <v>413</v>
      </c>
      <c r="F1336" s="62" t="s">
        <v>365</v>
      </c>
      <c r="G1336" s="62" t="s">
        <v>234</v>
      </c>
      <c r="H1336" s="62" t="s">
        <v>14</v>
      </c>
      <c r="I1336" s="62" t="s">
        <v>210</v>
      </c>
      <c r="J1336" s="63" t="s">
        <v>235</v>
      </c>
      <c r="K1336" s="62" t="s">
        <v>317</v>
      </c>
      <c r="L1336" s="64">
        <v>60.660000000000004</v>
      </c>
      <c r="M1336" s="64">
        <f t="shared" si="420"/>
        <v>36.396000000000001</v>
      </c>
      <c r="N1336" s="65">
        <f>prodnorm22</f>
        <v>0</v>
      </c>
      <c r="O1336" s="66">
        <f>dagwerk22</f>
        <v>0</v>
      </c>
      <c r="P1336" s="62" t="s">
        <v>40</v>
      </c>
      <c r="Q1336" s="67">
        <f>uurtarief22</f>
        <v>0</v>
      </c>
      <c r="R1336" s="64" t="e">
        <f t="shared" si="421"/>
        <v>#DIV/0!</v>
      </c>
      <c r="S1336" s="64" t="e">
        <f t="shared" si="422"/>
        <v>#DIV/0!</v>
      </c>
      <c r="T1336" s="67" t="e">
        <f t="shared" si="423"/>
        <v>#DIV/0!</v>
      </c>
      <c r="U1336" s="64" t="e">
        <f t="shared" si="424"/>
        <v>#DIV/0!</v>
      </c>
      <c r="V1336" s="69" t="e">
        <f t="shared" si="425"/>
        <v>#DIV/0!</v>
      </c>
    </row>
    <row r="1337" spans="1:22" x14ac:dyDescent="0.3">
      <c r="A1337" s="61" t="s">
        <v>1629</v>
      </c>
      <c r="B1337" s="62" t="s">
        <v>1689</v>
      </c>
      <c r="C1337" s="62" t="s">
        <v>629</v>
      </c>
      <c r="D1337" s="62" t="s">
        <v>1762</v>
      </c>
      <c r="E1337" s="63" t="s">
        <v>413</v>
      </c>
      <c r="F1337" s="62" t="s">
        <v>365</v>
      </c>
      <c r="G1337" s="62" t="s">
        <v>234</v>
      </c>
      <c r="H1337" s="62" t="s">
        <v>14</v>
      </c>
      <c r="I1337" s="62" t="s">
        <v>210</v>
      </c>
      <c r="J1337" s="63" t="s">
        <v>235</v>
      </c>
      <c r="K1337" s="62" t="s">
        <v>317</v>
      </c>
      <c r="L1337" s="64">
        <v>48.17</v>
      </c>
      <c r="M1337" s="64">
        <f t="shared" si="420"/>
        <v>28.902000000000001</v>
      </c>
      <c r="N1337" s="65">
        <f>prodnorm22</f>
        <v>0</v>
      </c>
      <c r="O1337" s="66">
        <f>dagwerk22</f>
        <v>0</v>
      </c>
      <c r="P1337" s="62" t="s">
        <v>40</v>
      </c>
      <c r="Q1337" s="67">
        <f>uurtarief22</f>
        <v>0</v>
      </c>
      <c r="R1337" s="64" t="e">
        <f t="shared" si="421"/>
        <v>#DIV/0!</v>
      </c>
      <c r="S1337" s="64" t="e">
        <f t="shared" si="422"/>
        <v>#DIV/0!</v>
      </c>
      <c r="T1337" s="67" t="e">
        <f t="shared" si="423"/>
        <v>#DIV/0!</v>
      </c>
      <c r="U1337" s="64" t="e">
        <f t="shared" si="424"/>
        <v>#DIV/0!</v>
      </c>
      <c r="V1337" s="69" t="e">
        <f t="shared" si="425"/>
        <v>#DIV/0!</v>
      </c>
    </row>
    <row r="1338" spans="1:22" x14ac:dyDescent="0.3">
      <c r="A1338" s="61" t="s">
        <v>1629</v>
      </c>
      <c r="B1338" s="62" t="s">
        <v>1689</v>
      </c>
      <c r="C1338" s="62" t="s">
        <v>629</v>
      </c>
      <c r="D1338" s="62" t="s">
        <v>1763</v>
      </c>
      <c r="E1338" s="63" t="s">
        <v>1268</v>
      </c>
      <c r="F1338" s="62" t="s">
        <v>1118</v>
      </c>
      <c r="G1338" s="62" t="s">
        <v>286</v>
      </c>
      <c r="H1338" s="62" t="s">
        <v>11</v>
      </c>
      <c r="I1338" s="62" t="s">
        <v>210</v>
      </c>
      <c r="J1338" s="63" t="s">
        <v>287</v>
      </c>
      <c r="K1338" s="62" t="s">
        <v>317</v>
      </c>
      <c r="L1338" s="64">
        <v>14.450000000000001</v>
      </c>
      <c r="M1338" s="64">
        <f t="shared" si="420"/>
        <v>14.450000000000001</v>
      </c>
      <c r="N1338" s="65">
        <f>prodnorm49</f>
        <v>0</v>
      </c>
      <c r="O1338" s="66">
        <f>dagwerk49</f>
        <v>0</v>
      </c>
      <c r="P1338" s="62" t="s">
        <v>40</v>
      </c>
      <c r="Q1338" s="67">
        <f>uurtarief49</f>
        <v>0</v>
      </c>
      <c r="R1338" s="64" t="e">
        <f t="shared" si="421"/>
        <v>#DIV/0!</v>
      </c>
      <c r="S1338" s="64" t="e">
        <f t="shared" si="422"/>
        <v>#DIV/0!</v>
      </c>
      <c r="T1338" s="67" t="e">
        <f t="shared" si="423"/>
        <v>#DIV/0!</v>
      </c>
      <c r="U1338" s="64" t="e">
        <f t="shared" si="424"/>
        <v>#DIV/0!</v>
      </c>
      <c r="V1338" s="69" t="e">
        <f t="shared" si="425"/>
        <v>#DIV/0!</v>
      </c>
    </row>
    <row r="1339" spans="1:22" x14ac:dyDescent="0.3">
      <c r="A1339" s="61" t="s">
        <v>1629</v>
      </c>
      <c r="B1339" s="62" t="s">
        <v>1689</v>
      </c>
      <c r="C1339" s="62" t="s">
        <v>629</v>
      </c>
      <c r="D1339" s="62" t="s">
        <v>1764</v>
      </c>
      <c r="E1339" s="63" t="s">
        <v>394</v>
      </c>
      <c r="F1339" s="62" t="s">
        <v>1118</v>
      </c>
      <c r="G1339" s="62" t="s">
        <v>272</v>
      </c>
      <c r="H1339" s="62" t="s">
        <v>11</v>
      </c>
      <c r="I1339" s="62" t="s">
        <v>210</v>
      </c>
      <c r="J1339" s="63" t="s">
        <v>273</v>
      </c>
      <c r="K1339" s="62" t="s">
        <v>317</v>
      </c>
      <c r="L1339" s="64">
        <v>35.339999999999996</v>
      </c>
      <c r="M1339" s="64">
        <f t="shared" si="420"/>
        <v>35.339999999999996</v>
      </c>
      <c r="N1339" s="65">
        <f>prodnorm42</f>
        <v>0</v>
      </c>
      <c r="O1339" s="66">
        <f>dagwerk42</f>
        <v>0</v>
      </c>
      <c r="P1339" s="62" t="s">
        <v>40</v>
      </c>
      <c r="Q1339" s="67">
        <f>uurtarief42</f>
        <v>0</v>
      </c>
      <c r="R1339" s="64" t="e">
        <f t="shared" si="421"/>
        <v>#DIV/0!</v>
      </c>
      <c r="S1339" s="64" t="e">
        <f t="shared" si="422"/>
        <v>#DIV/0!</v>
      </c>
      <c r="T1339" s="67" t="e">
        <f t="shared" si="423"/>
        <v>#DIV/0!</v>
      </c>
      <c r="U1339" s="64" t="e">
        <f t="shared" si="424"/>
        <v>#DIV/0!</v>
      </c>
      <c r="V1339" s="69" t="e">
        <f t="shared" si="425"/>
        <v>#DIV/0!</v>
      </c>
    </row>
    <row r="1340" spans="1:22" x14ac:dyDescent="0.3">
      <c r="A1340" s="61" t="s">
        <v>1629</v>
      </c>
      <c r="B1340" s="62" t="s">
        <v>1689</v>
      </c>
      <c r="C1340" s="62" t="s">
        <v>629</v>
      </c>
      <c r="D1340" s="62" t="s">
        <v>1765</v>
      </c>
      <c r="E1340" s="63" t="s">
        <v>578</v>
      </c>
      <c r="F1340" s="62" t="s">
        <v>1118</v>
      </c>
      <c r="G1340" s="62" t="s">
        <v>266</v>
      </c>
      <c r="H1340" s="62" t="s">
        <v>11</v>
      </c>
      <c r="I1340" s="62" t="s">
        <v>210</v>
      </c>
      <c r="J1340" s="63" t="s">
        <v>267</v>
      </c>
      <c r="K1340" s="62" t="s">
        <v>317</v>
      </c>
      <c r="L1340" s="64">
        <v>4.42</v>
      </c>
      <c r="M1340" s="64">
        <f t="shared" si="420"/>
        <v>4.42</v>
      </c>
      <c r="N1340" s="65">
        <f>prodnorm39</f>
        <v>0</v>
      </c>
      <c r="O1340" s="66">
        <f>dagwerk39</f>
        <v>0</v>
      </c>
      <c r="P1340" s="62" t="s">
        <v>40</v>
      </c>
      <c r="Q1340" s="67">
        <f>uurtarief39</f>
        <v>0</v>
      </c>
      <c r="R1340" s="64" t="e">
        <f t="shared" si="421"/>
        <v>#DIV/0!</v>
      </c>
      <c r="S1340" s="64" t="e">
        <f t="shared" si="422"/>
        <v>#DIV/0!</v>
      </c>
      <c r="T1340" s="67" t="e">
        <f t="shared" si="423"/>
        <v>#DIV/0!</v>
      </c>
      <c r="U1340" s="64" t="e">
        <f t="shared" si="424"/>
        <v>#DIV/0!</v>
      </c>
      <c r="V1340" s="69" t="e">
        <f t="shared" si="425"/>
        <v>#DIV/0!</v>
      </c>
    </row>
    <row r="1341" spans="1:22" x14ac:dyDescent="0.3">
      <c r="A1341" s="61" t="s">
        <v>1629</v>
      </c>
      <c r="B1341" s="62" t="s">
        <v>1689</v>
      </c>
      <c r="C1341" s="62" t="s">
        <v>629</v>
      </c>
      <c r="D1341" s="62" t="s">
        <v>1766</v>
      </c>
      <c r="E1341" s="63" t="s">
        <v>578</v>
      </c>
      <c r="F1341" s="62" t="s">
        <v>1118</v>
      </c>
      <c r="G1341" s="62" t="s">
        <v>266</v>
      </c>
      <c r="H1341" s="62" t="s">
        <v>11</v>
      </c>
      <c r="I1341" s="62" t="s">
        <v>210</v>
      </c>
      <c r="J1341" s="63" t="s">
        <v>267</v>
      </c>
      <c r="K1341" s="62" t="s">
        <v>317</v>
      </c>
      <c r="L1341" s="64">
        <v>16.259999999999998</v>
      </c>
      <c r="M1341" s="64">
        <f t="shared" si="420"/>
        <v>16.259999999999998</v>
      </c>
      <c r="N1341" s="65">
        <f>prodnorm39</f>
        <v>0</v>
      </c>
      <c r="O1341" s="66">
        <f>dagwerk39</f>
        <v>0</v>
      </c>
      <c r="P1341" s="62" t="s">
        <v>40</v>
      </c>
      <c r="Q1341" s="67">
        <f>uurtarief39</f>
        <v>0</v>
      </c>
      <c r="R1341" s="64" t="e">
        <f t="shared" si="421"/>
        <v>#DIV/0!</v>
      </c>
      <c r="S1341" s="64" t="e">
        <f t="shared" si="422"/>
        <v>#DIV/0!</v>
      </c>
      <c r="T1341" s="67" t="e">
        <f t="shared" si="423"/>
        <v>#DIV/0!</v>
      </c>
      <c r="U1341" s="64" t="e">
        <f t="shared" si="424"/>
        <v>#DIV/0!</v>
      </c>
      <c r="V1341" s="69" t="e">
        <f t="shared" si="425"/>
        <v>#DIV/0!</v>
      </c>
    </row>
    <row r="1342" spans="1:22" x14ac:dyDescent="0.3">
      <c r="A1342" s="61" t="s">
        <v>1629</v>
      </c>
      <c r="B1342" s="62" t="s">
        <v>1689</v>
      </c>
      <c r="C1342" s="62" t="s">
        <v>629</v>
      </c>
      <c r="D1342" s="62" t="s">
        <v>1767</v>
      </c>
      <c r="E1342" s="63" t="s">
        <v>396</v>
      </c>
      <c r="F1342" s="62" t="s">
        <v>348</v>
      </c>
      <c r="G1342" s="62" t="s">
        <v>240</v>
      </c>
      <c r="H1342" s="62" t="s">
        <v>11</v>
      </c>
      <c r="I1342" s="62" t="s">
        <v>210</v>
      </c>
      <c r="J1342" s="63" t="s">
        <v>241</v>
      </c>
      <c r="K1342" s="62" t="s">
        <v>317</v>
      </c>
      <c r="L1342" s="64">
        <v>48.160000000000004</v>
      </c>
      <c r="M1342" s="64">
        <f t="shared" si="420"/>
        <v>48.160000000000004</v>
      </c>
      <c r="N1342" s="65">
        <f>prodnorm25</f>
        <v>0</v>
      </c>
      <c r="O1342" s="66">
        <f>dagwerk25</f>
        <v>0</v>
      </c>
      <c r="P1342" s="62" t="s">
        <v>40</v>
      </c>
      <c r="Q1342" s="67">
        <f>uurtarief25</f>
        <v>0</v>
      </c>
      <c r="R1342" s="64" t="e">
        <f t="shared" si="421"/>
        <v>#DIV/0!</v>
      </c>
      <c r="S1342" s="64" t="e">
        <f t="shared" si="422"/>
        <v>#DIV/0!</v>
      </c>
      <c r="T1342" s="67" t="e">
        <f t="shared" si="423"/>
        <v>#DIV/0!</v>
      </c>
      <c r="U1342" s="64" t="e">
        <f t="shared" si="424"/>
        <v>#DIV/0!</v>
      </c>
      <c r="V1342" s="69" t="e">
        <f t="shared" si="425"/>
        <v>#DIV/0!</v>
      </c>
    </row>
    <row r="1343" spans="1:22" x14ac:dyDescent="0.3">
      <c r="A1343" s="61" t="s">
        <v>1629</v>
      </c>
      <c r="B1343" s="62" t="s">
        <v>1689</v>
      </c>
      <c r="C1343" s="62" t="s">
        <v>629</v>
      </c>
      <c r="D1343" s="62" t="s">
        <v>1768</v>
      </c>
      <c r="E1343" s="63" t="s">
        <v>455</v>
      </c>
      <c r="F1343" s="62" t="s">
        <v>357</v>
      </c>
      <c r="G1343" s="62" t="s">
        <v>250</v>
      </c>
      <c r="H1343" s="62" t="s">
        <v>11</v>
      </c>
      <c r="I1343" s="62" t="s">
        <v>210</v>
      </c>
      <c r="J1343" s="63" t="s">
        <v>251</v>
      </c>
      <c r="K1343" s="62" t="s">
        <v>317</v>
      </c>
      <c r="L1343" s="64">
        <v>99.28</v>
      </c>
      <c r="M1343" s="64">
        <f t="shared" si="420"/>
        <v>99.28</v>
      </c>
      <c r="N1343" s="65">
        <f>prodnorm31</f>
        <v>0</v>
      </c>
      <c r="O1343" s="66">
        <f>dagwerk31</f>
        <v>0</v>
      </c>
      <c r="P1343" s="62" t="s">
        <v>40</v>
      </c>
      <c r="Q1343" s="67">
        <f>uurtarief31</f>
        <v>0</v>
      </c>
      <c r="R1343" s="64" t="e">
        <f t="shared" si="421"/>
        <v>#DIV/0!</v>
      </c>
      <c r="S1343" s="64" t="e">
        <f t="shared" si="422"/>
        <v>#DIV/0!</v>
      </c>
      <c r="T1343" s="67" t="e">
        <f t="shared" si="423"/>
        <v>#DIV/0!</v>
      </c>
      <c r="U1343" s="64" t="e">
        <f t="shared" si="424"/>
        <v>#DIV/0!</v>
      </c>
      <c r="V1343" s="69" t="e">
        <f t="shared" si="425"/>
        <v>#DIV/0!</v>
      </c>
    </row>
    <row r="1344" spans="1:22" x14ac:dyDescent="0.3">
      <c r="A1344" s="61" t="s">
        <v>1629</v>
      </c>
      <c r="B1344" s="62" t="s">
        <v>1689</v>
      </c>
      <c r="C1344" s="62" t="s">
        <v>629</v>
      </c>
      <c r="D1344" s="62" t="s">
        <v>1769</v>
      </c>
      <c r="E1344" s="63" t="s">
        <v>321</v>
      </c>
      <c r="F1344" s="62" t="s">
        <v>365</v>
      </c>
      <c r="G1344" s="62" t="s">
        <v>323</v>
      </c>
      <c r="H1344" s="62"/>
      <c r="I1344" s="62"/>
      <c r="J1344" s="62"/>
      <c r="K1344" s="62" t="s">
        <v>317</v>
      </c>
      <c r="L1344" s="64">
        <v>8.1999999999999993</v>
      </c>
      <c r="M1344" s="64"/>
      <c r="N1344" s="65"/>
      <c r="O1344" s="66"/>
      <c r="P1344" s="62"/>
      <c r="Q1344" s="67"/>
      <c r="R1344" s="64"/>
      <c r="S1344" s="64"/>
      <c r="T1344" s="67"/>
      <c r="U1344" s="68"/>
      <c r="V1344" s="69"/>
    </row>
    <row r="1345" spans="1:22" x14ac:dyDescent="0.3">
      <c r="A1345" s="61" t="s">
        <v>1629</v>
      </c>
      <c r="B1345" s="62" t="s">
        <v>1689</v>
      </c>
      <c r="C1345" s="62" t="s">
        <v>629</v>
      </c>
      <c r="D1345" s="62" t="s">
        <v>1770</v>
      </c>
      <c r="E1345" s="63" t="s">
        <v>1117</v>
      </c>
      <c r="F1345" s="62" t="s">
        <v>1118</v>
      </c>
      <c r="G1345" s="62" t="s">
        <v>270</v>
      </c>
      <c r="H1345" s="62" t="s">
        <v>11</v>
      </c>
      <c r="I1345" s="62" t="s">
        <v>210</v>
      </c>
      <c r="J1345" s="63" t="s">
        <v>271</v>
      </c>
      <c r="K1345" s="62" t="s">
        <v>317</v>
      </c>
      <c r="L1345" s="64">
        <v>14.81</v>
      </c>
      <c r="M1345" s="64">
        <f>L1345*VLOOKUP(H1345,dagsoorttabel1,2,FALSE)</f>
        <v>14.81</v>
      </c>
      <c r="N1345" s="65">
        <f>prodnorm41</f>
        <v>0</v>
      </c>
      <c r="O1345" s="66">
        <f>dagwerk41</f>
        <v>0</v>
      </c>
      <c r="P1345" s="62" t="s">
        <v>40</v>
      </c>
      <c r="Q1345" s="67">
        <f>uurtarief41</f>
        <v>0</v>
      </c>
      <c r="R1345" s="64" t="e">
        <f>IF(ISBLANK(N1345),0,M1345/ROUND(N1345,4))</f>
        <v>#DIV/0!</v>
      </c>
      <c r="S1345" s="64" t="e">
        <f>IF(ISBLANK(N1345),0,R1345*ROUND(O1345,2))</f>
        <v>#DIV/0!</v>
      </c>
      <c r="T1345" s="67" t="e">
        <f>ROUND(Q1345,2)*R1345</f>
        <v>#DIV/0!</v>
      </c>
      <c r="U1345" s="64" t="e">
        <f>R1345*dagenperjaar1</f>
        <v>#DIV/0!</v>
      </c>
      <c r="V1345" s="69" t="e">
        <f>U1345*ROUND(Q1345,2)</f>
        <v>#DIV/0!</v>
      </c>
    </row>
    <row r="1346" spans="1:22" x14ac:dyDescent="0.3">
      <c r="A1346" s="61" t="s">
        <v>1629</v>
      </c>
      <c r="B1346" s="62" t="s">
        <v>1689</v>
      </c>
      <c r="C1346" s="62" t="s">
        <v>629</v>
      </c>
      <c r="D1346" s="62" t="s">
        <v>1771</v>
      </c>
      <c r="E1346" s="63" t="s">
        <v>321</v>
      </c>
      <c r="F1346" s="62" t="s">
        <v>1118</v>
      </c>
      <c r="G1346" s="62" t="s">
        <v>323</v>
      </c>
      <c r="H1346" s="62"/>
      <c r="I1346" s="62"/>
      <c r="J1346" s="62"/>
      <c r="K1346" s="62" t="s">
        <v>317</v>
      </c>
      <c r="L1346" s="64">
        <v>5.34</v>
      </c>
      <c r="M1346" s="64"/>
      <c r="N1346" s="65"/>
      <c r="O1346" s="66"/>
      <c r="P1346" s="62"/>
      <c r="Q1346" s="67"/>
      <c r="R1346" s="64"/>
      <c r="S1346" s="64"/>
      <c r="T1346" s="67"/>
      <c r="U1346" s="68"/>
      <c r="V1346" s="69"/>
    </row>
    <row r="1347" spans="1:22" x14ac:dyDescent="0.3">
      <c r="A1347" s="61" t="s">
        <v>1629</v>
      </c>
      <c r="B1347" s="62" t="s">
        <v>1689</v>
      </c>
      <c r="C1347" s="62" t="s">
        <v>629</v>
      </c>
      <c r="D1347" s="62" t="s">
        <v>1772</v>
      </c>
      <c r="E1347" s="63" t="s">
        <v>396</v>
      </c>
      <c r="F1347" s="62" t="s">
        <v>357</v>
      </c>
      <c r="G1347" s="62" t="s">
        <v>238</v>
      </c>
      <c r="H1347" s="62" t="s">
        <v>11</v>
      </c>
      <c r="I1347" s="62" t="s">
        <v>210</v>
      </c>
      <c r="J1347" s="63" t="s">
        <v>239</v>
      </c>
      <c r="K1347" s="62" t="s">
        <v>317</v>
      </c>
      <c r="L1347" s="64">
        <v>79.7</v>
      </c>
      <c r="M1347" s="64">
        <f>L1347*VLOOKUP(H1347,dagsoorttabel1,2,FALSE)</f>
        <v>79.7</v>
      </c>
      <c r="N1347" s="65">
        <f>prodnorm24</f>
        <v>0</v>
      </c>
      <c r="O1347" s="66">
        <f>dagwerk24</f>
        <v>0</v>
      </c>
      <c r="P1347" s="62" t="s">
        <v>40</v>
      </c>
      <c r="Q1347" s="67">
        <f>uurtarief24</f>
        <v>0</v>
      </c>
      <c r="R1347" s="64" t="e">
        <f>IF(ISBLANK(N1347),0,M1347/ROUND(N1347,4))</f>
        <v>#DIV/0!</v>
      </c>
      <c r="S1347" s="64" t="e">
        <f>IF(ISBLANK(N1347),0,R1347*ROUND(O1347,2))</f>
        <v>#DIV/0!</v>
      </c>
      <c r="T1347" s="67" t="e">
        <f>ROUND(Q1347,2)*R1347</f>
        <v>#DIV/0!</v>
      </c>
      <c r="U1347" s="64" t="e">
        <f>R1347*dagenperjaar1</f>
        <v>#DIV/0!</v>
      </c>
      <c r="V1347" s="69" t="e">
        <f>U1347*ROUND(Q1347,2)</f>
        <v>#DIV/0!</v>
      </c>
    </row>
    <row r="1348" spans="1:22" x14ac:dyDescent="0.3">
      <c r="A1348" s="61" t="s">
        <v>1629</v>
      </c>
      <c r="B1348" s="62" t="s">
        <v>1689</v>
      </c>
      <c r="C1348" s="62" t="s">
        <v>629</v>
      </c>
      <c r="D1348" s="62" t="s">
        <v>1773</v>
      </c>
      <c r="E1348" s="63" t="s">
        <v>1749</v>
      </c>
      <c r="F1348" s="62" t="s">
        <v>1118</v>
      </c>
      <c r="G1348" s="62" t="s">
        <v>323</v>
      </c>
      <c r="H1348" s="62"/>
      <c r="I1348" s="62"/>
      <c r="J1348" s="62"/>
      <c r="K1348" s="62" t="s">
        <v>317</v>
      </c>
      <c r="L1348" s="64">
        <v>3.67</v>
      </c>
      <c r="M1348" s="64"/>
      <c r="N1348" s="65"/>
      <c r="O1348" s="66"/>
      <c r="P1348" s="62"/>
      <c r="Q1348" s="67"/>
      <c r="R1348" s="64"/>
      <c r="S1348" s="64"/>
      <c r="T1348" s="67"/>
      <c r="U1348" s="68"/>
      <c r="V1348" s="69"/>
    </row>
    <row r="1349" spans="1:22" x14ac:dyDescent="0.3">
      <c r="A1349" s="61" t="s">
        <v>1629</v>
      </c>
      <c r="B1349" s="62" t="s">
        <v>1689</v>
      </c>
      <c r="C1349" s="62" t="s">
        <v>629</v>
      </c>
      <c r="D1349" s="62" t="s">
        <v>1774</v>
      </c>
      <c r="E1349" s="63" t="s">
        <v>413</v>
      </c>
      <c r="F1349" s="62" t="s">
        <v>365</v>
      </c>
      <c r="G1349" s="62" t="s">
        <v>234</v>
      </c>
      <c r="H1349" s="62" t="s">
        <v>14</v>
      </c>
      <c r="I1349" s="62" t="s">
        <v>210</v>
      </c>
      <c r="J1349" s="63" t="s">
        <v>235</v>
      </c>
      <c r="K1349" s="62" t="s">
        <v>317</v>
      </c>
      <c r="L1349" s="64">
        <v>78.86999999999999</v>
      </c>
      <c r="M1349" s="64">
        <f t="shared" ref="M1349:M1359" si="426">L1349*VLOOKUP(H1349,dagsoorttabel1,2,FALSE)</f>
        <v>47.321999999999996</v>
      </c>
      <c r="N1349" s="65">
        <f>prodnorm22</f>
        <v>0</v>
      </c>
      <c r="O1349" s="66">
        <f>dagwerk22</f>
        <v>0</v>
      </c>
      <c r="P1349" s="62" t="s">
        <v>40</v>
      </c>
      <c r="Q1349" s="67">
        <f>uurtarief22</f>
        <v>0</v>
      </c>
      <c r="R1349" s="64" t="e">
        <f t="shared" ref="R1349:R1359" si="427">IF(ISBLANK(N1349),0,M1349/ROUND(N1349,4))</f>
        <v>#DIV/0!</v>
      </c>
      <c r="S1349" s="64" t="e">
        <f t="shared" ref="S1349:S1359" si="428">IF(ISBLANK(N1349),0,R1349*ROUND(O1349,2))</f>
        <v>#DIV/0!</v>
      </c>
      <c r="T1349" s="67" t="e">
        <f t="shared" ref="T1349:T1359" si="429">ROUND(Q1349,2)*R1349</f>
        <v>#DIV/0!</v>
      </c>
      <c r="U1349" s="64" t="e">
        <f t="shared" ref="U1349:U1359" si="430">R1349*dagenperjaar1</f>
        <v>#DIV/0!</v>
      </c>
      <c r="V1349" s="69" t="e">
        <f t="shared" ref="V1349:V1359" si="431">U1349*ROUND(Q1349,2)</f>
        <v>#DIV/0!</v>
      </c>
    </row>
    <row r="1350" spans="1:22" x14ac:dyDescent="0.3">
      <c r="A1350" s="61" t="s">
        <v>1629</v>
      </c>
      <c r="B1350" s="62" t="s">
        <v>1689</v>
      </c>
      <c r="C1350" s="62" t="s">
        <v>629</v>
      </c>
      <c r="D1350" s="62" t="s">
        <v>1775</v>
      </c>
      <c r="E1350" s="63" t="s">
        <v>394</v>
      </c>
      <c r="F1350" s="62" t="s">
        <v>1118</v>
      </c>
      <c r="G1350" s="62" t="s">
        <v>272</v>
      </c>
      <c r="H1350" s="62" t="s">
        <v>11</v>
      </c>
      <c r="I1350" s="62" t="s">
        <v>210</v>
      </c>
      <c r="J1350" s="63" t="s">
        <v>273</v>
      </c>
      <c r="K1350" s="62" t="s">
        <v>317</v>
      </c>
      <c r="L1350" s="64">
        <v>70.03</v>
      </c>
      <c r="M1350" s="64">
        <f t="shared" si="426"/>
        <v>70.03</v>
      </c>
      <c r="N1350" s="65">
        <f>prodnorm42</f>
        <v>0</v>
      </c>
      <c r="O1350" s="66">
        <f>dagwerk42</f>
        <v>0</v>
      </c>
      <c r="P1350" s="62" t="s">
        <v>40</v>
      </c>
      <c r="Q1350" s="67">
        <f>uurtarief42</f>
        <v>0</v>
      </c>
      <c r="R1350" s="64" t="e">
        <f t="shared" si="427"/>
        <v>#DIV/0!</v>
      </c>
      <c r="S1350" s="64" t="e">
        <f t="shared" si="428"/>
        <v>#DIV/0!</v>
      </c>
      <c r="T1350" s="67" t="e">
        <f t="shared" si="429"/>
        <v>#DIV/0!</v>
      </c>
      <c r="U1350" s="64" t="e">
        <f t="shared" si="430"/>
        <v>#DIV/0!</v>
      </c>
      <c r="V1350" s="69" t="e">
        <f t="shared" si="431"/>
        <v>#DIV/0!</v>
      </c>
    </row>
    <row r="1351" spans="1:22" x14ac:dyDescent="0.3">
      <c r="A1351" s="61" t="s">
        <v>1629</v>
      </c>
      <c r="B1351" s="62" t="s">
        <v>1689</v>
      </c>
      <c r="C1351" s="62" t="s">
        <v>629</v>
      </c>
      <c r="D1351" s="62" t="s">
        <v>1776</v>
      </c>
      <c r="E1351" s="63" t="s">
        <v>352</v>
      </c>
      <c r="F1351" s="62" t="s">
        <v>1118</v>
      </c>
      <c r="G1351" s="62" t="s">
        <v>266</v>
      </c>
      <c r="H1351" s="62" t="s">
        <v>11</v>
      </c>
      <c r="I1351" s="62" t="s">
        <v>210</v>
      </c>
      <c r="J1351" s="63" t="s">
        <v>267</v>
      </c>
      <c r="K1351" s="62" t="s">
        <v>317</v>
      </c>
      <c r="L1351" s="64">
        <v>0.8</v>
      </c>
      <c r="M1351" s="64">
        <f t="shared" si="426"/>
        <v>0.8</v>
      </c>
      <c r="N1351" s="65">
        <f>prodnorm39</f>
        <v>0</v>
      </c>
      <c r="O1351" s="66">
        <f>dagwerk39</f>
        <v>0</v>
      </c>
      <c r="P1351" s="62" t="s">
        <v>40</v>
      </c>
      <c r="Q1351" s="67">
        <f>uurtarief39</f>
        <v>0</v>
      </c>
      <c r="R1351" s="64" t="e">
        <f t="shared" si="427"/>
        <v>#DIV/0!</v>
      </c>
      <c r="S1351" s="64" t="e">
        <f t="shared" si="428"/>
        <v>#DIV/0!</v>
      </c>
      <c r="T1351" s="67" t="e">
        <f t="shared" si="429"/>
        <v>#DIV/0!</v>
      </c>
      <c r="U1351" s="64" t="e">
        <f t="shared" si="430"/>
        <v>#DIV/0!</v>
      </c>
      <c r="V1351" s="69" t="e">
        <f t="shared" si="431"/>
        <v>#DIV/0!</v>
      </c>
    </row>
    <row r="1352" spans="1:22" x14ac:dyDescent="0.3">
      <c r="A1352" s="61" t="s">
        <v>1629</v>
      </c>
      <c r="B1352" s="62" t="s">
        <v>1689</v>
      </c>
      <c r="C1352" s="62" t="s">
        <v>629</v>
      </c>
      <c r="D1352" s="62" t="s">
        <v>1777</v>
      </c>
      <c r="E1352" s="63" t="s">
        <v>352</v>
      </c>
      <c r="F1352" s="62" t="s">
        <v>1118</v>
      </c>
      <c r="G1352" s="62" t="s">
        <v>266</v>
      </c>
      <c r="H1352" s="62" t="s">
        <v>11</v>
      </c>
      <c r="I1352" s="62" t="s">
        <v>210</v>
      </c>
      <c r="J1352" s="63" t="s">
        <v>267</v>
      </c>
      <c r="K1352" s="62" t="s">
        <v>317</v>
      </c>
      <c r="L1352" s="64">
        <v>0.8</v>
      </c>
      <c r="M1352" s="64">
        <f t="shared" si="426"/>
        <v>0.8</v>
      </c>
      <c r="N1352" s="65">
        <f>prodnorm39</f>
        <v>0</v>
      </c>
      <c r="O1352" s="66">
        <f>dagwerk39</f>
        <v>0</v>
      </c>
      <c r="P1352" s="62" t="s">
        <v>40</v>
      </c>
      <c r="Q1352" s="67">
        <f>uurtarief39</f>
        <v>0</v>
      </c>
      <c r="R1352" s="64" t="e">
        <f t="shared" si="427"/>
        <v>#DIV/0!</v>
      </c>
      <c r="S1352" s="64" t="e">
        <f t="shared" si="428"/>
        <v>#DIV/0!</v>
      </c>
      <c r="T1352" s="67" t="e">
        <f t="shared" si="429"/>
        <v>#DIV/0!</v>
      </c>
      <c r="U1352" s="64" t="e">
        <f t="shared" si="430"/>
        <v>#DIV/0!</v>
      </c>
      <c r="V1352" s="69" t="e">
        <f t="shared" si="431"/>
        <v>#DIV/0!</v>
      </c>
    </row>
    <row r="1353" spans="1:22" x14ac:dyDescent="0.3">
      <c r="A1353" s="61" t="s">
        <v>1629</v>
      </c>
      <c r="B1353" s="62" t="s">
        <v>1689</v>
      </c>
      <c r="C1353" s="62" t="s">
        <v>629</v>
      </c>
      <c r="D1353" s="62" t="s">
        <v>1778</v>
      </c>
      <c r="E1353" s="63" t="s">
        <v>352</v>
      </c>
      <c r="F1353" s="62" t="s">
        <v>1118</v>
      </c>
      <c r="G1353" s="62" t="s">
        <v>266</v>
      </c>
      <c r="H1353" s="62" t="s">
        <v>11</v>
      </c>
      <c r="I1353" s="62" t="s">
        <v>210</v>
      </c>
      <c r="J1353" s="63" t="s">
        <v>267</v>
      </c>
      <c r="K1353" s="62" t="s">
        <v>317</v>
      </c>
      <c r="L1353" s="64">
        <v>0.5</v>
      </c>
      <c r="M1353" s="64">
        <f t="shared" si="426"/>
        <v>0.5</v>
      </c>
      <c r="N1353" s="65">
        <f>prodnorm39</f>
        <v>0</v>
      </c>
      <c r="O1353" s="66">
        <f>dagwerk39</f>
        <v>0</v>
      </c>
      <c r="P1353" s="62" t="s">
        <v>40</v>
      </c>
      <c r="Q1353" s="67">
        <f>uurtarief39</f>
        <v>0</v>
      </c>
      <c r="R1353" s="64" t="e">
        <f t="shared" si="427"/>
        <v>#DIV/0!</v>
      </c>
      <c r="S1353" s="64" t="e">
        <f t="shared" si="428"/>
        <v>#DIV/0!</v>
      </c>
      <c r="T1353" s="67" t="e">
        <f t="shared" si="429"/>
        <v>#DIV/0!</v>
      </c>
      <c r="U1353" s="64" t="e">
        <f t="shared" si="430"/>
        <v>#DIV/0!</v>
      </c>
      <c r="V1353" s="69" t="e">
        <f t="shared" si="431"/>
        <v>#DIV/0!</v>
      </c>
    </row>
    <row r="1354" spans="1:22" x14ac:dyDescent="0.3">
      <c r="A1354" s="61" t="s">
        <v>1629</v>
      </c>
      <c r="B1354" s="62" t="s">
        <v>1689</v>
      </c>
      <c r="C1354" s="62" t="s">
        <v>629</v>
      </c>
      <c r="D1354" s="62" t="s">
        <v>1779</v>
      </c>
      <c r="E1354" s="63" t="s">
        <v>330</v>
      </c>
      <c r="F1354" s="62" t="s">
        <v>1118</v>
      </c>
      <c r="G1354" s="62" t="s">
        <v>286</v>
      </c>
      <c r="H1354" s="62" t="s">
        <v>11</v>
      </c>
      <c r="I1354" s="62" t="s">
        <v>210</v>
      </c>
      <c r="J1354" s="63" t="s">
        <v>287</v>
      </c>
      <c r="K1354" s="62" t="s">
        <v>317</v>
      </c>
      <c r="L1354" s="64">
        <v>12.370000000000001</v>
      </c>
      <c r="M1354" s="64">
        <f t="shared" si="426"/>
        <v>12.370000000000001</v>
      </c>
      <c r="N1354" s="65">
        <f>prodnorm49</f>
        <v>0</v>
      </c>
      <c r="O1354" s="66">
        <f>dagwerk49</f>
        <v>0</v>
      </c>
      <c r="P1354" s="62" t="s">
        <v>40</v>
      </c>
      <c r="Q1354" s="67">
        <f>uurtarief49</f>
        <v>0</v>
      </c>
      <c r="R1354" s="64" t="e">
        <f t="shared" si="427"/>
        <v>#DIV/0!</v>
      </c>
      <c r="S1354" s="64" t="e">
        <f t="shared" si="428"/>
        <v>#DIV/0!</v>
      </c>
      <c r="T1354" s="67" t="e">
        <f t="shared" si="429"/>
        <v>#DIV/0!</v>
      </c>
      <c r="U1354" s="64" t="e">
        <f t="shared" si="430"/>
        <v>#DIV/0!</v>
      </c>
      <c r="V1354" s="69" t="e">
        <f t="shared" si="431"/>
        <v>#DIV/0!</v>
      </c>
    </row>
    <row r="1355" spans="1:22" x14ac:dyDescent="0.3">
      <c r="A1355" s="61" t="s">
        <v>1629</v>
      </c>
      <c r="B1355" s="62" t="s">
        <v>1689</v>
      </c>
      <c r="C1355" s="62" t="s">
        <v>841</v>
      </c>
      <c r="D1355" s="62" t="s">
        <v>1780</v>
      </c>
      <c r="E1355" s="63" t="s">
        <v>613</v>
      </c>
      <c r="F1355" s="62" t="s">
        <v>1118</v>
      </c>
      <c r="G1355" s="62" t="s">
        <v>272</v>
      </c>
      <c r="H1355" s="62" t="s">
        <v>11</v>
      </c>
      <c r="I1355" s="62" t="s">
        <v>210</v>
      </c>
      <c r="J1355" s="63" t="s">
        <v>273</v>
      </c>
      <c r="K1355" s="62" t="s">
        <v>317</v>
      </c>
      <c r="L1355" s="64">
        <v>12.33</v>
      </c>
      <c r="M1355" s="64">
        <f t="shared" si="426"/>
        <v>12.33</v>
      </c>
      <c r="N1355" s="65">
        <f>prodnorm42</f>
        <v>0</v>
      </c>
      <c r="O1355" s="66">
        <f>dagwerk42</f>
        <v>0</v>
      </c>
      <c r="P1355" s="62" t="s">
        <v>40</v>
      </c>
      <c r="Q1355" s="67">
        <f>uurtarief42</f>
        <v>0</v>
      </c>
      <c r="R1355" s="64" t="e">
        <f t="shared" si="427"/>
        <v>#DIV/0!</v>
      </c>
      <c r="S1355" s="64" t="e">
        <f t="shared" si="428"/>
        <v>#DIV/0!</v>
      </c>
      <c r="T1355" s="67" t="e">
        <f t="shared" si="429"/>
        <v>#DIV/0!</v>
      </c>
      <c r="U1355" s="64" t="e">
        <f t="shared" si="430"/>
        <v>#DIV/0!</v>
      </c>
      <c r="V1355" s="69" t="e">
        <f t="shared" si="431"/>
        <v>#DIV/0!</v>
      </c>
    </row>
    <row r="1356" spans="1:22" x14ac:dyDescent="0.3">
      <c r="A1356" s="61" t="s">
        <v>1629</v>
      </c>
      <c r="B1356" s="62" t="s">
        <v>1689</v>
      </c>
      <c r="C1356" s="62" t="s">
        <v>841</v>
      </c>
      <c r="D1356" s="62" t="s">
        <v>1781</v>
      </c>
      <c r="E1356" s="63" t="s">
        <v>578</v>
      </c>
      <c r="F1356" s="62" t="s">
        <v>1118</v>
      </c>
      <c r="G1356" s="62" t="s">
        <v>266</v>
      </c>
      <c r="H1356" s="62" t="s">
        <v>11</v>
      </c>
      <c r="I1356" s="62" t="s">
        <v>210</v>
      </c>
      <c r="J1356" s="63" t="s">
        <v>267</v>
      </c>
      <c r="K1356" s="62" t="s">
        <v>317</v>
      </c>
      <c r="L1356" s="64">
        <v>0.8</v>
      </c>
      <c r="M1356" s="64">
        <f t="shared" si="426"/>
        <v>0.8</v>
      </c>
      <c r="N1356" s="65">
        <f>prodnorm39</f>
        <v>0</v>
      </c>
      <c r="O1356" s="66">
        <f>dagwerk39</f>
        <v>0</v>
      </c>
      <c r="P1356" s="62" t="s">
        <v>40</v>
      </c>
      <c r="Q1356" s="67">
        <f>uurtarief39</f>
        <v>0</v>
      </c>
      <c r="R1356" s="64" t="e">
        <f t="shared" si="427"/>
        <v>#DIV/0!</v>
      </c>
      <c r="S1356" s="64" t="e">
        <f t="shared" si="428"/>
        <v>#DIV/0!</v>
      </c>
      <c r="T1356" s="67" t="e">
        <f t="shared" si="429"/>
        <v>#DIV/0!</v>
      </c>
      <c r="U1356" s="64" t="e">
        <f t="shared" si="430"/>
        <v>#DIV/0!</v>
      </c>
      <c r="V1356" s="69" t="e">
        <f t="shared" si="431"/>
        <v>#DIV/0!</v>
      </c>
    </row>
    <row r="1357" spans="1:22" x14ac:dyDescent="0.3">
      <c r="A1357" s="61" t="s">
        <v>1629</v>
      </c>
      <c r="B1357" s="62" t="s">
        <v>1689</v>
      </c>
      <c r="C1357" s="62" t="s">
        <v>841</v>
      </c>
      <c r="D1357" s="62" t="s">
        <v>1782</v>
      </c>
      <c r="E1357" s="63" t="s">
        <v>578</v>
      </c>
      <c r="F1357" s="62" t="s">
        <v>1118</v>
      </c>
      <c r="G1357" s="62" t="s">
        <v>266</v>
      </c>
      <c r="H1357" s="62" t="s">
        <v>11</v>
      </c>
      <c r="I1357" s="62" t="s">
        <v>210</v>
      </c>
      <c r="J1357" s="63" t="s">
        <v>267</v>
      </c>
      <c r="K1357" s="62" t="s">
        <v>317</v>
      </c>
      <c r="L1357" s="64">
        <v>0.8</v>
      </c>
      <c r="M1357" s="64">
        <f t="shared" si="426"/>
        <v>0.8</v>
      </c>
      <c r="N1357" s="65">
        <f>prodnorm39</f>
        <v>0</v>
      </c>
      <c r="O1357" s="66">
        <f>dagwerk39</f>
        <v>0</v>
      </c>
      <c r="P1357" s="62" t="s">
        <v>40</v>
      </c>
      <c r="Q1357" s="67">
        <f>uurtarief39</f>
        <v>0</v>
      </c>
      <c r="R1357" s="64" t="e">
        <f t="shared" si="427"/>
        <v>#DIV/0!</v>
      </c>
      <c r="S1357" s="64" t="e">
        <f t="shared" si="428"/>
        <v>#DIV/0!</v>
      </c>
      <c r="T1357" s="67" t="e">
        <f t="shared" si="429"/>
        <v>#DIV/0!</v>
      </c>
      <c r="U1357" s="64" t="e">
        <f t="shared" si="430"/>
        <v>#DIV/0!</v>
      </c>
      <c r="V1357" s="69" t="e">
        <f t="shared" si="431"/>
        <v>#DIV/0!</v>
      </c>
    </row>
    <row r="1358" spans="1:22" x14ac:dyDescent="0.3">
      <c r="A1358" s="61" t="s">
        <v>1629</v>
      </c>
      <c r="B1358" s="62" t="s">
        <v>1689</v>
      </c>
      <c r="C1358" s="62" t="s">
        <v>841</v>
      </c>
      <c r="D1358" s="62" t="s">
        <v>1783</v>
      </c>
      <c r="E1358" s="63" t="s">
        <v>1268</v>
      </c>
      <c r="F1358" s="62" t="s">
        <v>377</v>
      </c>
      <c r="G1358" s="62" t="s">
        <v>286</v>
      </c>
      <c r="H1358" s="62" t="s">
        <v>11</v>
      </c>
      <c r="I1358" s="62" t="s">
        <v>210</v>
      </c>
      <c r="J1358" s="63" t="s">
        <v>287</v>
      </c>
      <c r="K1358" s="62" t="s">
        <v>317</v>
      </c>
      <c r="L1358" s="64">
        <v>3.82</v>
      </c>
      <c r="M1358" s="64">
        <f t="shared" si="426"/>
        <v>3.82</v>
      </c>
      <c r="N1358" s="65">
        <f>prodnorm49</f>
        <v>0</v>
      </c>
      <c r="O1358" s="66">
        <f>dagwerk49</f>
        <v>0</v>
      </c>
      <c r="P1358" s="62" t="s">
        <v>40</v>
      </c>
      <c r="Q1358" s="67">
        <f>uurtarief49</f>
        <v>0</v>
      </c>
      <c r="R1358" s="64" t="e">
        <f t="shared" si="427"/>
        <v>#DIV/0!</v>
      </c>
      <c r="S1358" s="64" t="e">
        <f t="shared" si="428"/>
        <v>#DIV/0!</v>
      </c>
      <c r="T1358" s="67" t="e">
        <f t="shared" si="429"/>
        <v>#DIV/0!</v>
      </c>
      <c r="U1358" s="64" t="e">
        <f t="shared" si="430"/>
        <v>#DIV/0!</v>
      </c>
      <c r="V1358" s="69" t="e">
        <f t="shared" si="431"/>
        <v>#DIV/0!</v>
      </c>
    </row>
    <row r="1359" spans="1:22" x14ac:dyDescent="0.3">
      <c r="A1359" s="61" t="s">
        <v>1629</v>
      </c>
      <c r="B1359" s="62" t="s">
        <v>1689</v>
      </c>
      <c r="C1359" s="62" t="s">
        <v>841</v>
      </c>
      <c r="D1359" s="62" t="s">
        <v>1784</v>
      </c>
      <c r="E1359" s="63" t="s">
        <v>509</v>
      </c>
      <c r="F1359" s="62" t="s">
        <v>331</v>
      </c>
      <c r="G1359" s="62" t="s">
        <v>286</v>
      </c>
      <c r="H1359" s="62" t="s">
        <v>11</v>
      </c>
      <c r="I1359" s="62" t="s">
        <v>210</v>
      </c>
      <c r="J1359" s="63" t="s">
        <v>287</v>
      </c>
      <c r="K1359" s="62" t="s">
        <v>317</v>
      </c>
      <c r="L1359" s="64">
        <v>7.6099999999999994</v>
      </c>
      <c r="M1359" s="64">
        <f t="shared" si="426"/>
        <v>7.6099999999999994</v>
      </c>
      <c r="N1359" s="65">
        <f>prodnorm49</f>
        <v>0</v>
      </c>
      <c r="O1359" s="66">
        <f>dagwerk49</f>
        <v>0</v>
      </c>
      <c r="P1359" s="62" t="s">
        <v>40</v>
      </c>
      <c r="Q1359" s="67">
        <f>uurtarief49</f>
        <v>0</v>
      </c>
      <c r="R1359" s="64" t="e">
        <f t="shared" si="427"/>
        <v>#DIV/0!</v>
      </c>
      <c r="S1359" s="64" t="e">
        <f t="shared" si="428"/>
        <v>#DIV/0!</v>
      </c>
      <c r="T1359" s="67" t="e">
        <f t="shared" si="429"/>
        <v>#DIV/0!</v>
      </c>
      <c r="U1359" s="64" t="e">
        <f t="shared" si="430"/>
        <v>#DIV/0!</v>
      </c>
      <c r="V1359" s="69" t="e">
        <f t="shared" si="431"/>
        <v>#DIV/0!</v>
      </c>
    </row>
    <row r="1360" spans="1:22" x14ac:dyDescent="0.3">
      <c r="A1360" s="61" t="s">
        <v>1629</v>
      </c>
      <c r="B1360" s="62" t="s">
        <v>1689</v>
      </c>
      <c r="C1360" s="62" t="s">
        <v>841</v>
      </c>
      <c r="D1360" s="62" t="s">
        <v>1785</v>
      </c>
      <c r="E1360" s="63" t="s">
        <v>369</v>
      </c>
      <c r="F1360" s="62" t="s">
        <v>348</v>
      </c>
      <c r="G1360" s="62" t="s">
        <v>323</v>
      </c>
      <c r="H1360" s="62"/>
      <c r="I1360" s="62"/>
      <c r="J1360" s="62"/>
      <c r="K1360" s="62" t="s">
        <v>317</v>
      </c>
      <c r="L1360" s="64">
        <v>9.5</v>
      </c>
      <c r="M1360" s="64"/>
      <c r="N1360" s="65"/>
      <c r="O1360" s="66"/>
      <c r="P1360" s="62"/>
      <c r="Q1360" s="67"/>
      <c r="R1360" s="64"/>
      <c r="S1360" s="64"/>
      <c r="T1360" s="67"/>
      <c r="U1360" s="68"/>
      <c r="V1360" s="69"/>
    </row>
    <row r="1361" spans="1:22" x14ac:dyDescent="0.3">
      <c r="A1361" s="61" t="s">
        <v>1629</v>
      </c>
      <c r="B1361" s="62" t="s">
        <v>1689</v>
      </c>
      <c r="C1361" s="62" t="s">
        <v>841</v>
      </c>
      <c r="D1361" s="62" t="s">
        <v>1786</v>
      </c>
      <c r="E1361" s="63" t="s">
        <v>396</v>
      </c>
      <c r="F1361" s="62" t="s">
        <v>365</v>
      </c>
      <c r="G1361" s="62" t="s">
        <v>238</v>
      </c>
      <c r="H1361" s="62" t="s">
        <v>11</v>
      </c>
      <c r="I1361" s="62" t="s">
        <v>210</v>
      </c>
      <c r="J1361" s="63" t="s">
        <v>239</v>
      </c>
      <c r="K1361" s="62" t="s">
        <v>317</v>
      </c>
      <c r="L1361" s="64">
        <v>79.81</v>
      </c>
      <c r="M1361" s="64">
        <f>L1361*VLOOKUP(H1361,dagsoorttabel1,2,FALSE)</f>
        <v>79.81</v>
      </c>
      <c r="N1361" s="65">
        <f>prodnorm24</f>
        <v>0</v>
      </c>
      <c r="O1361" s="66">
        <f>dagwerk24</f>
        <v>0</v>
      </c>
      <c r="P1361" s="62" t="s">
        <v>40</v>
      </c>
      <c r="Q1361" s="67">
        <f>uurtarief24</f>
        <v>0</v>
      </c>
      <c r="R1361" s="64" t="e">
        <f>IF(ISBLANK(N1361),0,M1361/ROUND(N1361,4))</f>
        <v>#DIV/0!</v>
      </c>
      <c r="S1361" s="64" t="e">
        <f>IF(ISBLANK(N1361),0,R1361*ROUND(O1361,2))</f>
        <v>#DIV/0!</v>
      </c>
      <c r="T1361" s="67" t="e">
        <f>ROUND(Q1361,2)*R1361</f>
        <v>#DIV/0!</v>
      </c>
      <c r="U1361" s="64" t="e">
        <f>R1361*dagenperjaar1</f>
        <v>#DIV/0!</v>
      </c>
      <c r="V1361" s="69" t="e">
        <f>U1361*ROUND(Q1361,2)</f>
        <v>#DIV/0!</v>
      </c>
    </row>
    <row r="1362" spans="1:22" x14ac:dyDescent="0.3">
      <c r="A1362" s="61" t="s">
        <v>1629</v>
      </c>
      <c r="B1362" s="62" t="s">
        <v>1689</v>
      </c>
      <c r="C1362" s="62" t="s">
        <v>841</v>
      </c>
      <c r="D1362" s="62" t="s">
        <v>1787</v>
      </c>
      <c r="E1362" s="63" t="s">
        <v>396</v>
      </c>
      <c r="F1362" s="62" t="s">
        <v>365</v>
      </c>
      <c r="G1362" s="62" t="s">
        <v>238</v>
      </c>
      <c r="H1362" s="62" t="s">
        <v>11</v>
      </c>
      <c r="I1362" s="62" t="s">
        <v>210</v>
      </c>
      <c r="J1362" s="63" t="s">
        <v>239</v>
      </c>
      <c r="K1362" s="62" t="s">
        <v>317</v>
      </c>
      <c r="L1362" s="64">
        <v>78.849999999999994</v>
      </c>
      <c r="M1362" s="64">
        <f>L1362*VLOOKUP(H1362,dagsoorttabel1,2,FALSE)</f>
        <v>78.849999999999994</v>
      </c>
      <c r="N1362" s="65">
        <f>prodnorm24</f>
        <v>0</v>
      </c>
      <c r="O1362" s="66">
        <f>dagwerk24</f>
        <v>0</v>
      </c>
      <c r="P1362" s="62" t="s">
        <v>40</v>
      </c>
      <c r="Q1362" s="67">
        <f>uurtarief24</f>
        <v>0</v>
      </c>
      <c r="R1362" s="64" t="e">
        <f>IF(ISBLANK(N1362),0,M1362/ROUND(N1362,4))</f>
        <v>#DIV/0!</v>
      </c>
      <c r="S1362" s="64" t="e">
        <f>IF(ISBLANK(N1362),0,R1362*ROUND(O1362,2))</f>
        <v>#DIV/0!</v>
      </c>
      <c r="T1362" s="67" t="e">
        <f>ROUND(Q1362,2)*R1362</f>
        <v>#DIV/0!</v>
      </c>
      <c r="U1362" s="64" t="e">
        <f>R1362*dagenperjaar1</f>
        <v>#DIV/0!</v>
      </c>
      <c r="V1362" s="69" t="e">
        <f>U1362*ROUND(Q1362,2)</f>
        <v>#DIV/0!</v>
      </c>
    </row>
    <row r="1363" spans="1:22" x14ac:dyDescent="0.3">
      <c r="A1363" s="61" t="s">
        <v>1629</v>
      </c>
      <c r="B1363" s="62" t="s">
        <v>1689</v>
      </c>
      <c r="C1363" s="62" t="s">
        <v>841</v>
      </c>
      <c r="D1363" s="62" t="s">
        <v>1788</v>
      </c>
      <c r="E1363" s="63" t="s">
        <v>613</v>
      </c>
      <c r="F1363" s="62" t="s">
        <v>365</v>
      </c>
      <c r="G1363" s="62" t="s">
        <v>272</v>
      </c>
      <c r="H1363" s="62" t="s">
        <v>11</v>
      </c>
      <c r="I1363" s="62" t="s">
        <v>210</v>
      </c>
      <c r="J1363" s="63" t="s">
        <v>273</v>
      </c>
      <c r="K1363" s="62" t="s">
        <v>317</v>
      </c>
      <c r="L1363" s="64">
        <v>5.1199999999999992</v>
      </c>
      <c r="M1363" s="64">
        <f>L1363*VLOOKUP(H1363,dagsoorttabel1,2,FALSE)</f>
        <v>5.1199999999999992</v>
      </c>
      <c r="N1363" s="65">
        <f>prodnorm42</f>
        <v>0</v>
      </c>
      <c r="O1363" s="66">
        <f>dagwerk42</f>
        <v>0</v>
      </c>
      <c r="P1363" s="62" t="s">
        <v>40</v>
      </c>
      <c r="Q1363" s="67">
        <f>uurtarief42</f>
        <v>0</v>
      </c>
      <c r="R1363" s="64" t="e">
        <f>IF(ISBLANK(N1363),0,M1363/ROUND(N1363,4))</f>
        <v>#DIV/0!</v>
      </c>
      <c r="S1363" s="64" t="e">
        <f>IF(ISBLANK(N1363),0,R1363*ROUND(O1363,2))</f>
        <v>#DIV/0!</v>
      </c>
      <c r="T1363" s="67" t="e">
        <f>ROUND(Q1363,2)*R1363</f>
        <v>#DIV/0!</v>
      </c>
      <c r="U1363" s="64" t="e">
        <f>R1363*dagenperjaar1</f>
        <v>#DIV/0!</v>
      </c>
      <c r="V1363" s="69" t="e">
        <f>U1363*ROUND(Q1363,2)</f>
        <v>#DIV/0!</v>
      </c>
    </row>
    <row r="1364" spans="1:22" x14ac:dyDescent="0.3">
      <c r="A1364" s="61" t="s">
        <v>1629</v>
      </c>
      <c r="B1364" s="62" t="s">
        <v>1689</v>
      </c>
      <c r="C1364" s="62" t="s">
        <v>841</v>
      </c>
      <c r="D1364" s="62" t="s">
        <v>1789</v>
      </c>
      <c r="E1364" s="63" t="s">
        <v>1790</v>
      </c>
      <c r="F1364" s="62" t="s">
        <v>365</v>
      </c>
      <c r="G1364" s="62" t="s">
        <v>323</v>
      </c>
      <c r="H1364" s="62"/>
      <c r="I1364" s="62"/>
      <c r="J1364" s="62"/>
      <c r="K1364" s="62" t="s">
        <v>317</v>
      </c>
      <c r="L1364" s="64">
        <v>7.6099999999999994</v>
      </c>
      <c r="M1364" s="64"/>
      <c r="N1364" s="65"/>
      <c r="O1364" s="66"/>
      <c r="P1364" s="62"/>
      <c r="Q1364" s="67"/>
      <c r="R1364" s="64"/>
      <c r="S1364" s="64"/>
      <c r="T1364" s="67"/>
      <c r="U1364" s="68"/>
      <c r="V1364" s="69"/>
    </row>
    <row r="1365" spans="1:22" x14ac:dyDescent="0.3">
      <c r="A1365" s="61" t="s">
        <v>1629</v>
      </c>
      <c r="B1365" s="62" t="s">
        <v>1689</v>
      </c>
      <c r="C1365" s="62" t="s">
        <v>841</v>
      </c>
      <c r="D1365" s="62" t="s">
        <v>1791</v>
      </c>
      <c r="E1365" s="63" t="s">
        <v>1792</v>
      </c>
      <c r="F1365" s="62" t="s">
        <v>1793</v>
      </c>
      <c r="G1365" s="62" t="s">
        <v>272</v>
      </c>
      <c r="H1365" s="62" t="s">
        <v>11</v>
      </c>
      <c r="I1365" s="62" t="s">
        <v>210</v>
      </c>
      <c r="J1365" s="63" t="s">
        <v>273</v>
      </c>
      <c r="K1365" s="62" t="s">
        <v>317</v>
      </c>
      <c r="L1365" s="64">
        <v>11.629999999999999</v>
      </c>
      <c r="M1365" s="64">
        <f>L1365*VLOOKUP(H1365,dagsoorttabel1,2,FALSE)</f>
        <v>11.629999999999999</v>
      </c>
      <c r="N1365" s="65">
        <f>prodnorm42</f>
        <v>0</v>
      </c>
      <c r="O1365" s="66">
        <f>dagwerk42</f>
        <v>0</v>
      </c>
      <c r="P1365" s="62" t="s">
        <v>40</v>
      </c>
      <c r="Q1365" s="67">
        <f>uurtarief42</f>
        <v>0</v>
      </c>
      <c r="R1365" s="64" t="e">
        <f>IF(ISBLANK(N1365),0,M1365/ROUND(N1365,4))</f>
        <v>#DIV/0!</v>
      </c>
      <c r="S1365" s="64" t="e">
        <f>IF(ISBLANK(N1365),0,R1365*ROUND(O1365,2))</f>
        <v>#DIV/0!</v>
      </c>
      <c r="T1365" s="67" t="e">
        <f>ROUND(Q1365,2)*R1365</f>
        <v>#DIV/0!</v>
      </c>
      <c r="U1365" s="64" t="e">
        <f>R1365*dagenperjaar1</f>
        <v>#DIV/0!</v>
      </c>
      <c r="V1365" s="69" t="e">
        <f>U1365*ROUND(Q1365,2)</f>
        <v>#DIV/0!</v>
      </c>
    </row>
    <row r="1366" spans="1:22" x14ac:dyDescent="0.3">
      <c r="A1366" s="61" t="s">
        <v>1629</v>
      </c>
      <c r="B1366" s="62" t="s">
        <v>1689</v>
      </c>
      <c r="C1366" s="62" t="s">
        <v>841</v>
      </c>
      <c r="D1366" s="62" t="s">
        <v>1794</v>
      </c>
      <c r="E1366" s="63" t="s">
        <v>1657</v>
      </c>
      <c r="F1366" s="62" t="s">
        <v>348</v>
      </c>
      <c r="G1366" s="62" t="s">
        <v>212</v>
      </c>
      <c r="H1366" s="62" t="s">
        <v>17</v>
      </c>
      <c r="I1366" s="62" t="s">
        <v>210</v>
      </c>
      <c r="J1366" s="63" t="s">
        <v>213</v>
      </c>
      <c r="K1366" s="62" t="s">
        <v>317</v>
      </c>
      <c r="L1366" s="64">
        <v>8.39</v>
      </c>
      <c r="M1366" s="64">
        <f>L1366*VLOOKUP(H1366,dagsoorttabel1,2,FALSE)</f>
        <v>1.6780000000000002</v>
      </c>
      <c r="N1366" s="65">
        <f>prodnorm11</f>
        <v>0</v>
      </c>
      <c r="O1366" s="66">
        <f>dagwerk11</f>
        <v>0</v>
      </c>
      <c r="P1366" s="62" t="s">
        <v>40</v>
      </c>
      <c r="Q1366" s="67">
        <f>uurtarief11</f>
        <v>0</v>
      </c>
      <c r="R1366" s="64" t="e">
        <f>IF(ISBLANK(N1366),0,M1366/ROUND(N1366,4))</f>
        <v>#DIV/0!</v>
      </c>
      <c r="S1366" s="64" t="e">
        <f>IF(ISBLANK(N1366),0,R1366*ROUND(O1366,2))</f>
        <v>#DIV/0!</v>
      </c>
      <c r="T1366" s="67" t="e">
        <f>ROUND(Q1366,2)*R1366</f>
        <v>#DIV/0!</v>
      </c>
      <c r="U1366" s="64" t="e">
        <f>R1366*dagenperjaar1</f>
        <v>#DIV/0!</v>
      </c>
      <c r="V1366" s="69" t="e">
        <f>U1366*ROUND(Q1366,2)</f>
        <v>#DIV/0!</v>
      </c>
    </row>
    <row r="1367" spans="1:22" x14ac:dyDescent="0.3">
      <c r="A1367" s="61" t="s">
        <v>1629</v>
      </c>
      <c r="B1367" s="62" t="s">
        <v>1689</v>
      </c>
      <c r="C1367" s="62" t="s">
        <v>841</v>
      </c>
      <c r="D1367" s="62" t="s">
        <v>1795</v>
      </c>
      <c r="E1367" s="63" t="s">
        <v>613</v>
      </c>
      <c r="F1367" s="62" t="s">
        <v>365</v>
      </c>
      <c r="G1367" s="62" t="s">
        <v>272</v>
      </c>
      <c r="H1367" s="62" t="s">
        <v>11</v>
      </c>
      <c r="I1367" s="62" t="s">
        <v>210</v>
      </c>
      <c r="J1367" s="63" t="s">
        <v>273</v>
      </c>
      <c r="K1367" s="62" t="s">
        <v>317</v>
      </c>
      <c r="L1367" s="64">
        <v>52.43</v>
      </c>
      <c r="M1367" s="64">
        <f>L1367*VLOOKUP(H1367,dagsoorttabel1,2,FALSE)</f>
        <v>52.43</v>
      </c>
      <c r="N1367" s="65">
        <f>prodnorm42</f>
        <v>0</v>
      </c>
      <c r="O1367" s="66">
        <f>dagwerk42</f>
        <v>0</v>
      </c>
      <c r="P1367" s="62" t="s">
        <v>40</v>
      </c>
      <c r="Q1367" s="67">
        <f>uurtarief42</f>
        <v>0</v>
      </c>
      <c r="R1367" s="64" t="e">
        <f>IF(ISBLANK(N1367),0,M1367/ROUND(N1367,4))</f>
        <v>#DIV/0!</v>
      </c>
      <c r="S1367" s="64" t="e">
        <f>IF(ISBLANK(N1367),0,R1367*ROUND(O1367,2))</f>
        <v>#DIV/0!</v>
      </c>
      <c r="T1367" s="67" t="e">
        <f>ROUND(Q1367,2)*R1367</f>
        <v>#DIV/0!</v>
      </c>
      <c r="U1367" s="64" t="e">
        <f>R1367*dagenperjaar1</f>
        <v>#DIV/0!</v>
      </c>
      <c r="V1367" s="69" t="e">
        <f>U1367*ROUND(Q1367,2)</f>
        <v>#DIV/0!</v>
      </c>
    </row>
    <row r="1368" spans="1:22" x14ac:dyDescent="0.3">
      <c r="A1368" s="61" t="s">
        <v>1629</v>
      </c>
      <c r="B1368" s="62" t="s">
        <v>1689</v>
      </c>
      <c r="C1368" s="62" t="s">
        <v>841</v>
      </c>
      <c r="D1368" s="62" t="s">
        <v>1796</v>
      </c>
      <c r="E1368" s="63" t="s">
        <v>1797</v>
      </c>
      <c r="F1368" s="62" t="s">
        <v>365</v>
      </c>
      <c r="G1368" s="62" t="s">
        <v>238</v>
      </c>
      <c r="H1368" s="62" t="s">
        <v>11</v>
      </c>
      <c r="I1368" s="62" t="s">
        <v>210</v>
      </c>
      <c r="J1368" s="63" t="s">
        <v>239</v>
      </c>
      <c r="K1368" s="62" t="s">
        <v>317</v>
      </c>
      <c r="L1368" s="64">
        <v>47.96</v>
      </c>
      <c r="M1368" s="64">
        <f>L1368*VLOOKUP(H1368,dagsoorttabel1,2,FALSE)</f>
        <v>47.96</v>
      </c>
      <c r="N1368" s="65">
        <f>prodnorm24</f>
        <v>0</v>
      </c>
      <c r="O1368" s="66">
        <f>dagwerk24</f>
        <v>0</v>
      </c>
      <c r="P1368" s="62" t="s">
        <v>40</v>
      </c>
      <c r="Q1368" s="67">
        <f>uurtarief24</f>
        <v>0</v>
      </c>
      <c r="R1368" s="64" t="e">
        <f>IF(ISBLANK(N1368),0,M1368/ROUND(N1368,4))</f>
        <v>#DIV/0!</v>
      </c>
      <c r="S1368" s="64" t="e">
        <f>IF(ISBLANK(N1368),0,R1368*ROUND(O1368,2))</f>
        <v>#DIV/0!</v>
      </c>
      <c r="T1368" s="67" t="e">
        <f>ROUND(Q1368,2)*R1368</f>
        <v>#DIV/0!</v>
      </c>
      <c r="U1368" s="64" t="e">
        <f>R1368*dagenperjaar1</f>
        <v>#DIV/0!</v>
      </c>
      <c r="V1368" s="69" t="e">
        <f>U1368*ROUND(Q1368,2)</f>
        <v>#DIV/0!</v>
      </c>
    </row>
    <row r="1369" spans="1:22" x14ac:dyDescent="0.3">
      <c r="A1369" s="61" t="s">
        <v>1629</v>
      </c>
      <c r="B1369" s="62" t="s">
        <v>1689</v>
      </c>
      <c r="C1369" s="62" t="s">
        <v>841</v>
      </c>
      <c r="D1369" s="62" t="s">
        <v>1798</v>
      </c>
      <c r="E1369" s="63" t="s">
        <v>1797</v>
      </c>
      <c r="F1369" s="62" t="s">
        <v>348</v>
      </c>
      <c r="G1369" s="62" t="s">
        <v>240</v>
      </c>
      <c r="H1369" s="62" t="s">
        <v>11</v>
      </c>
      <c r="I1369" s="62" t="s">
        <v>210</v>
      </c>
      <c r="J1369" s="63" t="s">
        <v>241</v>
      </c>
      <c r="K1369" s="62" t="s">
        <v>317</v>
      </c>
      <c r="L1369" s="64">
        <v>50.98</v>
      </c>
      <c r="M1369" s="64">
        <f>L1369*VLOOKUP(H1369,dagsoorttabel1,2,FALSE)</f>
        <v>50.98</v>
      </c>
      <c r="N1369" s="65">
        <f>prodnorm25</f>
        <v>0</v>
      </c>
      <c r="O1369" s="66">
        <f>dagwerk25</f>
        <v>0</v>
      </c>
      <c r="P1369" s="62" t="s">
        <v>40</v>
      </c>
      <c r="Q1369" s="67">
        <f>uurtarief25</f>
        <v>0</v>
      </c>
      <c r="R1369" s="64" t="e">
        <f>IF(ISBLANK(N1369),0,M1369/ROUND(N1369,4))</f>
        <v>#DIV/0!</v>
      </c>
      <c r="S1369" s="64" t="e">
        <f>IF(ISBLANK(N1369),0,R1369*ROUND(O1369,2))</f>
        <v>#DIV/0!</v>
      </c>
      <c r="T1369" s="67" t="e">
        <f>ROUND(Q1369,2)*R1369</f>
        <v>#DIV/0!</v>
      </c>
      <c r="U1369" s="64" t="e">
        <f>R1369*dagenperjaar1</f>
        <v>#DIV/0!</v>
      </c>
      <c r="V1369" s="69" t="e">
        <f>U1369*ROUND(Q1369,2)</f>
        <v>#DIV/0!</v>
      </c>
    </row>
    <row r="1370" spans="1:22" x14ac:dyDescent="0.3">
      <c r="A1370" s="61" t="s">
        <v>1629</v>
      </c>
      <c r="B1370" s="62" t="s">
        <v>1689</v>
      </c>
      <c r="C1370" s="62" t="s">
        <v>841</v>
      </c>
      <c r="D1370" s="62" t="s">
        <v>1799</v>
      </c>
      <c r="E1370" s="63" t="s">
        <v>381</v>
      </c>
      <c r="F1370" s="62" t="s">
        <v>365</v>
      </c>
      <c r="G1370" s="62" t="s">
        <v>323</v>
      </c>
      <c r="H1370" s="62"/>
      <c r="I1370" s="62"/>
      <c r="J1370" s="62"/>
      <c r="K1370" s="62" t="s">
        <v>317</v>
      </c>
      <c r="L1370" s="64">
        <v>2.9</v>
      </c>
      <c r="M1370" s="64"/>
      <c r="N1370" s="65"/>
      <c r="O1370" s="66"/>
      <c r="P1370" s="62"/>
      <c r="Q1370" s="67"/>
      <c r="R1370" s="64"/>
      <c r="S1370" s="64"/>
      <c r="T1370" s="67"/>
      <c r="U1370" s="68"/>
      <c r="V1370" s="69"/>
    </row>
    <row r="1371" spans="1:22" x14ac:dyDescent="0.3">
      <c r="A1371" s="61" t="s">
        <v>1629</v>
      </c>
      <c r="B1371" s="62" t="s">
        <v>1689</v>
      </c>
      <c r="C1371" s="62" t="s">
        <v>841</v>
      </c>
      <c r="D1371" s="62" t="s">
        <v>1800</v>
      </c>
      <c r="E1371" s="63" t="s">
        <v>391</v>
      </c>
      <c r="F1371" s="62" t="s">
        <v>365</v>
      </c>
      <c r="G1371" s="62" t="s">
        <v>234</v>
      </c>
      <c r="H1371" s="62" t="s">
        <v>14</v>
      </c>
      <c r="I1371" s="62" t="s">
        <v>210</v>
      </c>
      <c r="J1371" s="63" t="s">
        <v>235</v>
      </c>
      <c r="K1371" s="62" t="s">
        <v>317</v>
      </c>
      <c r="L1371" s="64">
        <v>65.88</v>
      </c>
      <c r="M1371" s="64">
        <f>L1371*VLOOKUP(H1371,dagsoorttabel1,2,FALSE)</f>
        <v>39.527999999999999</v>
      </c>
      <c r="N1371" s="65">
        <f>prodnorm22</f>
        <v>0</v>
      </c>
      <c r="O1371" s="66">
        <f>dagwerk22</f>
        <v>0</v>
      </c>
      <c r="P1371" s="62" t="s">
        <v>40</v>
      </c>
      <c r="Q1371" s="67">
        <f>uurtarief22</f>
        <v>0</v>
      </c>
      <c r="R1371" s="64" t="e">
        <f>IF(ISBLANK(N1371),0,M1371/ROUND(N1371,4))</f>
        <v>#DIV/0!</v>
      </c>
      <c r="S1371" s="64" t="e">
        <f>IF(ISBLANK(N1371),0,R1371*ROUND(O1371,2))</f>
        <v>#DIV/0!</v>
      </c>
      <c r="T1371" s="67" t="e">
        <f>ROUND(Q1371,2)*R1371</f>
        <v>#DIV/0!</v>
      </c>
      <c r="U1371" s="64" t="e">
        <f>R1371*dagenperjaar1</f>
        <v>#DIV/0!</v>
      </c>
      <c r="V1371" s="69" t="e">
        <f>U1371*ROUND(Q1371,2)</f>
        <v>#DIV/0!</v>
      </c>
    </row>
    <row r="1372" spans="1:22" x14ac:dyDescent="0.3">
      <c r="A1372" s="61" t="s">
        <v>1629</v>
      </c>
      <c r="B1372" s="62" t="s">
        <v>1689</v>
      </c>
      <c r="C1372" s="62" t="s">
        <v>841</v>
      </c>
      <c r="D1372" s="62" t="s">
        <v>1801</v>
      </c>
      <c r="E1372" s="63" t="s">
        <v>391</v>
      </c>
      <c r="F1372" s="62" t="s">
        <v>365</v>
      </c>
      <c r="G1372" s="62" t="s">
        <v>234</v>
      </c>
      <c r="H1372" s="62" t="s">
        <v>14</v>
      </c>
      <c r="I1372" s="62" t="s">
        <v>210</v>
      </c>
      <c r="J1372" s="63" t="s">
        <v>235</v>
      </c>
      <c r="K1372" s="62" t="s">
        <v>317</v>
      </c>
      <c r="L1372" s="64">
        <v>95.7</v>
      </c>
      <c r="M1372" s="64">
        <f>L1372*VLOOKUP(H1372,dagsoorttabel1,2,FALSE)</f>
        <v>57.42</v>
      </c>
      <c r="N1372" s="65">
        <f>prodnorm22</f>
        <v>0</v>
      </c>
      <c r="O1372" s="66">
        <f>dagwerk22</f>
        <v>0</v>
      </c>
      <c r="P1372" s="62" t="s">
        <v>40</v>
      </c>
      <c r="Q1372" s="67">
        <f>uurtarief22</f>
        <v>0</v>
      </c>
      <c r="R1372" s="64" t="e">
        <f>IF(ISBLANK(N1372),0,M1372/ROUND(N1372,4))</f>
        <v>#DIV/0!</v>
      </c>
      <c r="S1372" s="64" t="e">
        <f>IF(ISBLANK(N1372),0,R1372*ROUND(O1372,2))</f>
        <v>#DIV/0!</v>
      </c>
      <c r="T1372" s="67" t="e">
        <f>ROUND(Q1372,2)*R1372</f>
        <v>#DIV/0!</v>
      </c>
      <c r="U1372" s="64" t="e">
        <f>R1372*dagenperjaar1</f>
        <v>#DIV/0!</v>
      </c>
      <c r="V1372" s="69" t="e">
        <f>U1372*ROUND(Q1372,2)</f>
        <v>#DIV/0!</v>
      </c>
    </row>
    <row r="1373" spans="1:22" x14ac:dyDescent="0.3">
      <c r="A1373" s="61" t="s">
        <v>1629</v>
      </c>
      <c r="B1373" s="62" t="s">
        <v>1689</v>
      </c>
      <c r="C1373" s="62" t="s">
        <v>841</v>
      </c>
      <c r="D1373" s="62" t="s">
        <v>1802</v>
      </c>
      <c r="E1373" s="63" t="s">
        <v>394</v>
      </c>
      <c r="F1373" s="62" t="s">
        <v>365</v>
      </c>
      <c r="G1373" s="62" t="s">
        <v>272</v>
      </c>
      <c r="H1373" s="62" t="s">
        <v>11</v>
      </c>
      <c r="I1373" s="62" t="s">
        <v>210</v>
      </c>
      <c r="J1373" s="63" t="s">
        <v>273</v>
      </c>
      <c r="K1373" s="62" t="s">
        <v>317</v>
      </c>
      <c r="L1373" s="64">
        <v>44.53</v>
      </c>
      <c r="M1373" s="64">
        <f>L1373*VLOOKUP(H1373,dagsoorttabel1,2,FALSE)</f>
        <v>44.53</v>
      </c>
      <c r="N1373" s="65">
        <f>prodnorm42</f>
        <v>0</v>
      </c>
      <c r="O1373" s="66">
        <f>dagwerk42</f>
        <v>0</v>
      </c>
      <c r="P1373" s="62" t="s">
        <v>40</v>
      </c>
      <c r="Q1373" s="67">
        <f>uurtarief42</f>
        <v>0</v>
      </c>
      <c r="R1373" s="64" t="e">
        <f>IF(ISBLANK(N1373),0,M1373/ROUND(N1373,4))</f>
        <v>#DIV/0!</v>
      </c>
      <c r="S1373" s="64" t="e">
        <f>IF(ISBLANK(N1373),0,R1373*ROUND(O1373,2))</f>
        <v>#DIV/0!</v>
      </c>
      <c r="T1373" s="67" t="e">
        <f>ROUND(Q1373,2)*R1373</f>
        <v>#DIV/0!</v>
      </c>
      <c r="U1373" s="64" t="e">
        <f>R1373*dagenperjaar1</f>
        <v>#DIV/0!</v>
      </c>
      <c r="V1373" s="69" t="e">
        <f>U1373*ROUND(Q1373,2)</f>
        <v>#DIV/0!</v>
      </c>
    </row>
    <row r="1374" spans="1:22" ht="28.8" x14ac:dyDescent="0.3">
      <c r="A1374" s="61" t="s">
        <v>1629</v>
      </c>
      <c r="B1374" s="62" t="s">
        <v>1689</v>
      </c>
      <c r="C1374" s="62" t="s">
        <v>841</v>
      </c>
      <c r="D1374" s="62" t="s">
        <v>1803</v>
      </c>
      <c r="E1374" s="63" t="s">
        <v>1804</v>
      </c>
      <c r="F1374" s="62" t="s">
        <v>365</v>
      </c>
      <c r="G1374" s="62" t="s">
        <v>254</v>
      </c>
      <c r="H1374" s="62" t="s">
        <v>11</v>
      </c>
      <c r="I1374" s="62" t="s">
        <v>210</v>
      </c>
      <c r="J1374" s="63" t="s">
        <v>255</v>
      </c>
      <c r="K1374" s="62" t="s">
        <v>317</v>
      </c>
      <c r="L1374" s="64">
        <v>19.610000000000003</v>
      </c>
      <c r="M1374" s="64">
        <f>L1374*VLOOKUP(H1374,dagsoorttabel1,2,FALSE)</f>
        <v>19.610000000000003</v>
      </c>
      <c r="N1374" s="65">
        <f>prodnorm33</f>
        <v>0</v>
      </c>
      <c r="O1374" s="66">
        <f>dagwerk33</f>
        <v>0</v>
      </c>
      <c r="P1374" s="62" t="s">
        <v>40</v>
      </c>
      <c r="Q1374" s="67">
        <f>uurtarief33</f>
        <v>0</v>
      </c>
      <c r="R1374" s="64" t="e">
        <f>IF(ISBLANK(N1374),0,M1374/ROUND(N1374,4))</f>
        <v>#DIV/0!</v>
      </c>
      <c r="S1374" s="64" t="e">
        <f>IF(ISBLANK(N1374),0,R1374*ROUND(O1374,2))</f>
        <v>#DIV/0!</v>
      </c>
      <c r="T1374" s="67" t="e">
        <f>ROUND(Q1374,2)*R1374</f>
        <v>#DIV/0!</v>
      </c>
      <c r="U1374" s="64" t="e">
        <f>R1374*dagenperjaar1</f>
        <v>#DIV/0!</v>
      </c>
      <c r="V1374" s="69" t="e">
        <f>U1374*ROUND(Q1374,2)</f>
        <v>#DIV/0!</v>
      </c>
    </row>
    <row r="1375" spans="1:22" x14ac:dyDescent="0.3">
      <c r="A1375" s="61" t="s">
        <v>1629</v>
      </c>
      <c r="B1375" s="62" t="s">
        <v>1689</v>
      </c>
      <c r="C1375" s="62" t="s">
        <v>841</v>
      </c>
      <c r="D1375" s="62" t="s">
        <v>1805</v>
      </c>
      <c r="E1375" s="63" t="s">
        <v>613</v>
      </c>
      <c r="F1375" s="62" t="s">
        <v>1118</v>
      </c>
      <c r="G1375" s="62" t="s">
        <v>272</v>
      </c>
      <c r="H1375" s="62" t="s">
        <v>11</v>
      </c>
      <c r="I1375" s="62" t="s">
        <v>210</v>
      </c>
      <c r="J1375" s="63" t="s">
        <v>273</v>
      </c>
      <c r="K1375" s="62" t="s">
        <v>317</v>
      </c>
      <c r="L1375" s="64">
        <v>8.65</v>
      </c>
      <c r="M1375" s="64">
        <f>L1375*VLOOKUP(H1375,dagsoorttabel1,2,FALSE)</f>
        <v>8.65</v>
      </c>
      <c r="N1375" s="65">
        <f>prodnorm42</f>
        <v>0</v>
      </c>
      <c r="O1375" s="66">
        <f>dagwerk42</f>
        <v>0</v>
      </c>
      <c r="P1375" s="62" t="s">
        <v>40</v>
      </c>
      <c r="Q1375" s="67">
        <f>uurtarief42</f>
        <v>0</v>
      </c>
      <c r="R1375" s="64" t="e">
        <f>IF(ISBLANK(N1375),0,M1375/ROUND(N1375,4))</f>
        <v>#DIV/0!</v>
      </c>
      <c r="S1375" s="64" t="e">
        <f>IF(ISBLANK(N1375),0,R1375*ROUND(O1375,2))</f>
        <v>#DIV/0!</v>
      </c>
      <c r="T1375" s="67" t="e">
        <f>ROUND(Q1375,2)*R1375</f>
        <v>#DIV/0!</v>
      </c>
      <c r="U1375" s="64" t="e">
        <f>R1375*dagenperjaar1</f>
        <v>#DIV/0!</v>
      </c>
      <c r="V1375" s="69" t="e">
        <f>U1375*ROUND(Q1375,2)</f>
        <v>#DIV/0!</v>
      </c>
    </row>
    <row r="1376" spans="1:22" x14ac:dyDescent="0.3">
      <c r="A1376" s="61" t="s">
        <v>1629</v>
      </c>
      <c r="B1376" s="62" t="s">
        <v>1689</v>
      </c>
      <c r="C1376" s="62" t="s">
        <v>841</v>
      </c>
      <c r="D1376" s="62" t="s">
        <v>1806</v>
      </c>
      <c r="E1376" s="63" t="s">
        <v>1115</v>
      </c>
      <c r="F1376" s="62" t="s">
        <v>331</v>
      </c>
      <c r="G1376" s="62" t="s">
        <v>323</v>
      </c>
      <c r="H1376" s="62"/>
      <c r="I1376" s="62"/>
      <c r="J1376" s="62"/>
      <c r="K1376" s="62" t="s">
        <v>317</v>
      </c>
      <c r="L1376" s="64">
        <v>9.94</v>
      </c>
      <c r="M1376" s="64"/>
      <c r="N1376" s="65"/>
      <c r="O1376" s="66"/>
      <c r="P1376" s="62"/>
      <c r="Q1376" s="67"/>
      <c r="R1376" s="64"/>
      <c r="S1376" s="64"/>
      <c r="T1376" s="67"/>
      <c r="U1376" s="68"/>
      <c r="V1376" s="69"/>
    </row>
    <row r="1377" spans="1:22" x14ac:dyDescent="0.3">
      <c r="A1377" s="61" t="s">
        <v>1629</v>
      </c>
      <c r="B1377" s="62" t="s">
        <v>1689</v>
      </c>
      <c r="C1377" s="62" t="s">
        <v>841</v>
      </c>
      <c r="D1377" s="62" t="s">
        <v>1807</v>
      </c>
      <c r="E1377" s="63" t="s">
        <v>509</v>
      </c>
      <c r="F1377" s="62" t="s">
        <v>1626</v>
      </c>
      <c r="G1377" s="62" t="s">
        <v>286</v>
      </c>
      <c r="H1377" s="62" t="s">
        <v>11</v>
      </c>
      <c r="I1377" s="62" t="s">
        <v>210</v>
      </c>
      <c r="J1377" s="63" t="s">
        <v>287</v>
      </c>
      <c r="K1377" s="62" t="s">
        <v>317</v>
      </c>
      <c r="L1377" s="64">
        <v>14.94</v>
      </c>
      <c r="M1377" s="64">
        <f t="shared" ref="M1377:M1383" si="432">L1377*VLOOKUP(H1377,dagsoorttabel1,2,FALSE)</f>
        <v>14.94</v>
      </c>
      <c r="N1377" s="65">
        <f>prodnorm49</f>
        <v>0</v>
      </c>
      <c r="O1377" s="66">
        <f>dagwerk49</f>
        <v>0</v>
      </c>
      <c r="P1377" s="62" t="s">
        <v>40</v>
      </c>
      <c r="Q1377" s="67">
        <f>uurtarief49</f>
        <v>0</v>
      </c>
      <c r="R1377" s="64" t="e">
        <f t="shared" ref="R1377:R1383" si="433">IF(ISBLANK(N1377),0,M1377/ROUND(N1377,4))</f>
        <v>#DIV/0!</v>
      </c>
      <c r="S1377" s="64" t="e">
        <f t="shared" ref="S1377:S1383" si="434">IF(ISBLANK(N1377),0,R1377*ROUND(O1377,2))</f>
        <v>#DIV/0!</v>
      </c>
      <c r="T1377" s="67" t="e">
        <f t="shared" ref="T1377:T1383" si="435">ROUND(Q1377,2)*R1377</f>
        <v>#DIV/0!</v>
      </c>
      <c r="U1377" s="64" t="e">
        <f t="shared" ref="U1377:U1383" si="436">R1377*dagenperjaar1</f>
        <v>#DIV/0!</v>
      </c>
      <c r="V1377" s="69" t="e">
        <f t="shared" ref="V1377:V1383" si="437">U1377*ROUND(Q1377,2)</f>
        <v>#DIV/0!</v>
      </c>
    </row>
    <row r="1378" spans="1:22" x14ac:dyDescent="0.3">
      <c r="A1378" s="61" t="s">
        <v>1629</v>
      </c>
      <c r="B1378" s="62" t="s">
        <v>1689</v>
      </c>
      <c r="C1378" s="62" t="s">
        <v>841</v>
      </c>
      <c r="D1378" s="62" t="s">
        <v>1808</v>
      </c>
      <c r="E1378" s="63" t="s">
        <v>1809</v>
      </c>
      <c r="F1378" s="62" t="s">
        <v>365</v>
      </c>
      <c r="G1378" s="62" t="s">
        <v>242</v>
      </c>
      <c r="H1378" s="62" t="s">
        <v>11</v>
      </c>
      <c r="I1378" s="62" t="s">
        <v>210</v>
      </c>
      <c r="J1378" s="63" t="s">
        <v>243</v>
      </c>
      <c r="K1378" s="62" t="s">
        <v>317</v>
      </c>
      <c r="L1378" s="64">
        <v>38.89</v>
      </c>
      <c r="M1378" s="64">
        <f t="shared" si="432"/>
        <v>38.89</v>
      </c>
      <c r="N1378" s="65">
        <f>prodnorm26</f>
        <v>0</v>
      </c>
      <c r="O1378" s="66">
        <f>dagwerk26</f>
        <v>0</v>
      </c>
      <c r="P1378" s="62" t="s">
        <v>40</v>
      </c>
      <c r="Q1378" s="67">
        <f>uurtarief26</f>
        <v>0</v>
      </c>
      <c r="R1378" s="64" t="e">
        <f t="shared" si="433"/>
        <v>#DIV/0!</v>
      </c>
      <c r="S1378" s="64" t="e">
        <f t="shared" si="434"/>
        <v>#DIV/0!</v>
      </c>
      <c r="T1378" s="67" t="e">
        <f t="shared" si="435"/>
        <v>#DIV/0!</v>
      </c>
      <c r="U1378" s="64" t="e">
        <f t="shared" si="436"/>
        <v>#DIV/0!</v>
      </c>
      <c r="V1378" s="69" t="e">
        <f t="shared" si="437"/>
        <v>#DIV/0!</v>
      </c>
    </row>
    <row r="1379" spans="1:22" x14ac:dyDescent="0.3">
      <c r="A1379" s="61" t="s">
        <v>1629</v>
      </c>
      <c r="B1379" s="62" t="s">
        <v>1689</v>
      </c>
      <c r="C1379" s="62" t="s">
        <v>841</v>
      </c>
      <c r="D1379" s="62" t="s">
        <v>1810</v>
      </c>
      <c r="E1379" s="63" t="s">
        <v>394</v>
      </c>
      <c r="F1379" s="62" t="s">
        <v>365</v>
      </c>
      <c r="G1379" s="62" t="s">
        <v>272</v>
      </c>
      <c r="H1379" s="62" t="s">
        <v>11</v>
      </c>
      <c r="I1379" s="62" t="s">
        <v>210</v>
      </c>
      <c r="J1379" s="63" t="s">
        <v>273</v>
      </c>
      <c r="K1379" s="62" t="s">
        <v>317</v>
      </c>
      <c r="L1379" s="64">
        <v>47.309999999999995</v>
      </c>
      <c r="M1379" s="64">
        <f t="shared" si="432"/>
        <v>47.309999999999995</v>
      </c>
      <c r="N1379" s="65">
        <f>prodnorm42</f>
        <v>0</v>
      </c>
      <c r="O1379" s="66">
        <f>dagwerk42</f>
        <v>0</v>
      </c>
      <c r="P1379" s="62" t="s">
        <v>40</v>
      </c>
      <c r="Q1379" s="67">
        <f>uurtarief42</f>
        <v>0</v>
      </c>
      <c r="R1379" s="64" t="e">
        <f t="shared" si="433"/>
        <v>#DIV/0!</v>
      </c>
      <c r="S1379" s="64" t="e">
        <f t="shared" si="434"/>
        <v>#DIV/0!</v>
      </c>
      <c r="T1379" s="67" t="e">
        <f t="shared" si="435"/>
        <v>#DIV/0!</v>
      </c>
      <c r="U1379" s="64" t="e">
        <f t="shared" si="436"/>
        <v>#DIV/0!</v>
      </c>
      <c r="V1379" s="69" t="e">
        <f t="shared" si="437"/>
        <v>#DIV/0!</v>
      </c>
    </row>
    <row r="1380" spans="1:22" x14ac:dyDescent="0.3">
      <c r="A1380" s="61" t="s">
        <v>1629</v>
      </c>
      <c r="B1380" s="62" t="s">
        <v>1689</v>
      </c>
      <c r="C1380" s="62" t="s">
        <v>841</v>
      </c>
      <c r="D1380" s="62" t="s">
        <v>1811</v>
      </c>
      <c r="E1380" s="63" t="s">
        <v>1812</v>
      </c>
      <c r="F1380" s="62" t="s">
        <v>365</v>
      </c>
      <c r="G1380" s="62" t="s">
        <v>254</v>
      </c>
      <c r="H1380" s="62" t="s">
        <v>11</v>
      </c>
      <c r="I1380" s="62" t="s">
        <v>210</v>
      </c>
      <c r="J1380" s="63" t="s">
        <v>255</v>
      </c>
      <c r="K1380" s="62" t="s">
        <v>317</v>
      </c>
      <c r="L1380" s="64">
        <v>15.15</v>
      </c>
      <c r="M1380" s="64">
        <f t="shared" si="432"/>
        <v>15.15</v>
      </c>
      <c r="N1380" s="65">
        <f>prodnorm33</f>
        <v>0</v>
      </c>
      <c r="O1380" s="66">
        <f>dagwerk33</f>
        <v>0</v>
      </c>
      <c r="P1380" s="62" t="s">
        <v>40</v>
      </c>
      <c r="Q1380" s="67">
        <f>uurtarief33</f>
        <v>0</v>
      </c>
      <c r="R1380" s="64" t="e">
        <f t="shared" si="433"/>
        <v>#DIV/0!</v>
      </c>
      <c r="S1380" s="64" t="e">
        <f t="shared" si="434"/>
        <v>#DIV/0!</v>
      </c>
      <c r="T1380" s="67" t="e">
        <f t="shared" si="435"/>
        <v>#DIV/0!</v>
      </c>
      <c r="U1380" s="64" t="e">
        <f t="shared" si="436"/>
        <v>#DIV/0!</v>
      </c>
      <c r="V1380" s="69" t="e">
        <f t="shared" si="437"/>
        <v>#DIV/0!</v>
      </c>
    </row>
    <row r="1381" spans="1:22" x14ac:dyDescent="0.3">
      <c r="A1381" s="61" t="s">
        <v>1629</v>
      </c>
      <c r="B1381" s="62" t="s">
        <v>1689</v>
      </c>
      <c r="C1381" s="62" t="s">
        <v>841</v>
      </c>
      <c r="D1381" s="62" t="s">
        <v>1813</v>
      </c>
      <c r="E1381" s="63" t="s">
        <v>1812</v>
      </c>
      <c r="F1381" s="62" t="s">
        <v>365</v>
      </c>
      <c r="G1381" s="62" t="s">
        <v>254</v>
      </c>
      <c r="H1381" s="62" t="s">
        <v>11</v>
      </c>
      <c r="I1381" s="62" t="s">
        <v>210</v>
      </c>
      <c r="J1381" s="63" t="s">
        <v>255</v>
      </c>
      <c r="K1381" s="62" t="s">
        <v>317</v>
      </c>
      <c r="L1381" s="64">
        <v>15.15</v>
      </c>
      <c r="M1381" s="64">
        <f t="shared" si="432"/>
        <v>15.15</v>
      </c>
      <c r="N1381" s="65">
        <f>prodnorm33</f>
        <v>0</v>
      </c>
      <c r="O1381" s="66">
        <f>dagwerk33</f>
        <v>0</v>
      </c>
      <c r="P1381" s="62" t="s">
        <v>40</v>
      </c>
      <c r="Q1381" s="67">
        <f>uurtarief33</f>
        <v>0</v>
      </c>
      <c r="R1381" s="64" t="e">
        <f t="shared" si="433"/>
        <v>#DIV/0!</v>
      </c>
      <c r="S1381" s="64" t="e">
        <f t="shared" si="434"/>
        <v>#DIV/0!</v>
      </c>
      <c r="T1381" s="67" t="e">
        <f t="shared" si="435"/>
        <v>#DIV/0!</v>
      </c>
      <c r="U1381" s="64" t="e">
        <f t="shared" si="436"/>
        <v>#DIV/0!</v>
      </c>
      <c r="V1381" s="69" t="e">
        <f t="shared" si="437"/>
        <v>#DIV/0!</v>
      </c>
    </row>
    <row r="1382" spans="1:22" x14ac:dyDescent="0.3">
      <c r="A1382" s="61" t="s">
        <v>1629</v>
      </c>
      <c r="B1382" s="62" t="s">
        <v>1689</v>
      </c>
      <c r="C1382" s="62" t="s">
        <v>841</v>
      </c>
      <c r="D1382" s="62" t="s">
        <v>1814</v>
      </c>
      <c r="E1382" s="63" t="s">
        <v>1812</v>
      </c>
      <c r="F1382" s="62" t="s">
        <v>365</v>
      </c>
      <c r="G1382" s="62" t="s">
        <v>254</v>
      </c>
      <c r="H1382" s="62" t="s">
        <v>11</v>
      </c>
      <c r="I1382" s="62" t="s">
        <v>210</v>
      </c>
      <c r="J1382" s="63" t="s">
        <v>255</v>
      </c>
      <c r="K1382" s="62" t="s">
        <v>317</v>
      </c>
      <c r="L1382" s="64">
        <v>15.15</v>
      </c>
      <c r="M1382" s="64">
        <f t="shared" si="432"/>
        <v>15.15</v>
      </c>
      <c r="N1382" s="65">
        <f>prodnorm33</f>
        <v>0</v>
      </c>
      <c r="O1382" s="66">
        <f>dagwerk33</f>
        <v>0</v>
      </c>
      <c r="P1382" s="62" t="s">
        <v>40</v>
      </c>
      <c r="Q1382" s="67">
        <f>uurtarief33</f>
        <v>0</v>
      </c>
      <c r="R1382" s="64" t="e">
        <f t="shared" si="433"/>
        <v>#DIV/0!</v>
      </c>
      <c r="S1382" s="64" t="e">
        <f t="shared" si="434"/>
        <v>#DIV/0!</v>
      </c>
      <c r="T1382" s="67" t="e">
        <f t="shared" si="435"/>
        <v>#DIV/0!</v>
      </c>
      <c r="U1382" s="64" t="e">
        <f t="shared" si="436"/>
        <v>#DIV/0!</v>
      </c>
      <c r="V1382" s="69" t="e">
        <f t="shared" si="437"/>
        <v>#DIV/0!</v>
      </c>
    </row>
    <row r="1383" spans="1:22" x14ac:dyDescent="0.3">
      <c r="A1383" s="61" t="s">
        <v>1629</v>
      </c>
      <c r="B1383" s="62" t="s">
        <v>1689</v>
      </c>
      <c r="C1383" s="62" t="s">
        <v>841</v>
      </c>
      <c r="D1383" s="62" t="s">
        <v>1815</v>
      </c>
      <c r="E1383" s="63" t="s">
        <v>531</v>
      </c>
      <c r="F1383" s="62" t="s">
        <v>365</v>
      </c>
      <c r="G1383" s="62" t="s">
        <v>234</v>
      </c>
      <c r="H1383" s="62" t="s">
        <v>14</v>
      </c>
      <c r="I1383" s="62" t="s">
        <v>210</v>
      </c>
      <c r="J1383" s="63" t="s">
        <v>235</v>
      </c>
      <c r="K1383" s="62" t="s">
        <v>317</v>
      </c>
      <c r="L1383" s="64">
        <v>91.75</v>
      </c>
      <c r="M1383" s="64">
        <f t="shared" si="432"/>
        <v>55.05</v>
      </c>
      <c r="N1383" s="65">
        <f>prodnorm22</f>
        <v>0</v>
      </c>
      <c r="O1383" s="66">
        <f>dagwerk22</f>
        <v>0</v>
      </c>
      <c r="P1383" s="62" t="s">
        <v>40</v>
      </c>
      <c r="Q1383" s="67">
        <f>uurtarief22</f>
        <v>0</v>
      </c>
      <c r="R1383" s="64" t="e">
        <f t="shared" si="433"/>
        <v>#DIV/0!</v>
      </c>
      <c r="S1383" s="64" t="e">
        <f t="shared" si="434"/>
        <v>#DIV/0!</v>
      </c>
      <c r="T1383" s="67" t="e">
        <f t="shared" si="435"/>
        <v>#DIV/0!</v>
      </c>
      <c r="U1383" s="64" t="e">
        <f t="shared" si="436"/>
        <v>#DIV/0!</v>
      </c>
      <c r="V1383" s="69" t="e">
        <f t="shared" si="437"/>
        <v>#DIV/0!</v>
      </c>
    </row>
    <row r="1384" spans="1:22" x14ac:dyDescent="0.3">
      <c r="A1384" s="61" t="s">
        <v>1629</v>
      </c>
      <c r="B1384" s="62" t="s">
        <v>1689</v>
      </c>
      <c r="C1384" s="62" t="s">
        <v>841</v>
      </c>
      <c r="D1384" s="62" t="s">
        <v>1816</v>
      </c>
      <c r="E1384" s="63" t="s">
        <v>321</v>
      </c>
      <c r="F1384" s="62" t="s">
        <v>365</v>
      </c>
      <c r="G1384" s="62" t="s">
        <v>323</v>
      </c>
      <c r="H1384" s="62"/>
      <c r="I1384" s="62"/>
      <c r="J1384" s="62"/>
      <c r="K1384" s="62" t="s">
        <v>317</v>
      </c>
      <c r="L1384" s="64">
        <v>4.9700000000000006</v>
      </c>
      <c r="M1384" s="64"/>
      <c r="N1384" s="65"/>
      <c r="O1384" s="66"/>
      <c r="P1384" s="62"/>
      <c r="Q1384" s="67"/>
      <c r="R1384" s="64"/>
      <c r="S1384" s="64"/>
      <c r="T1384" s="67"/>
      <c r="U1384" s="68"/>
      <c r="V1384" s="69"/>
    </row>
    <row r="1385" spans="1:22" x14ac:dyDescent="0.3">
      <c r="A1385" s="61" t="s">
        <v>1629</v>
      </c>
      <c r="B1385" s="62" t="s">
        <v>1689</v>
      </c>
      <c r="C1385" s="62" t="s">
        <v>988</v>
      </c>
      <c r="D1385" s="62" t="s">
        <v>1817</v>
      </c>
      <c r="E1385" s="63" t="s">
        <v>613</v>
      </c>
      <c r="F1385" s="62" t="s">
        <v>1118</v>
      </c>
      <c r="G1385" s="62" t="s">
        <v>272</v>
      </c>
      <c r="H1385" s="62" t="s">
        <v>11</v>
      </c>
      <c r="I1385" s="62" t="s">
        <v>210</v>
      </c>
      <c r="J1385" s="63" t="s">
        <v>273</v>
      </c>
      <c r="K1385" s="62" t="s">
        <v>317</v>
      </c>
      <c r="L1385" s="64">
        <v>21.87</v>
      </c>
      <c r="M1385" s="64">
        <f>L1385*VLOOKUP(H1385,dagsoorttabel1,2,FALSE)</f>
        <v>21.87</v>
      </c>
      <c r="N1385" s="65">
        <f>prodnorm42</f>
        <v>0</v>
      </c>
      <c r="O1385" s="66">
        <f>dagwerk42</f>
        <v>0</v>
      </c>
      <c r="P1385" s="62" t="s">
        <v>40</v>
      </c>
      <c r="Q1385" s="67">
        <f>uurtarief42</f>
        <v>0</v>
      </c>
      <c r="R1385" s="64" t="e">
        <f>IF(ISBLANK(N1385),0,M1385/ROUND(N1385,4))</f>
        <v>#DIV/0!</v>
      </c>
      <c r="S1385" s="64" t="e">
        <f>IF(ISBLANK(N1385),0,R1385*ROUND(O1385,2))</f>
        <v>#DIV/0!</v>
      </c>
      <c r="T1385" s="67" t="e">
        <f>ROUND(Q1385,2)*R1385</f>
        <v>#DIV/0!</v>
      </c>
      <c r="U1385" s="64" t="e">
        <f>R1385*dagenperjaar1</f>
        <v>#DIV/0!</v>
      </c>
      <c r="V1385" s="69" t="e">
        <f>U1385*ROUND(Q1385,2)</f>
        <v>#DIV/0!</v>
      </c>
    </row>
    <row r="1386" spans="1:22" x14ac:dyDescent="0.3">
      <c r="A1386" s="61" t="s">
        <v>1629</v>
      </c>
      <c r="B1386" s="62" t="s">
        <v>1689</v>
      </c>
      <c r="C1386" s="62" t="s">
        <v>988</v>
      </c>
      <c r="D1386" s="62" t="s">
        <v>1818</v>
      </c>
      <c r="E1386" s="63" t="s">
        <v>578</v>
      </c>
      <c r="F1386" s="62" t="s">
        <v>1118</v>
      </c>
      <c r="G1386" s="62" t="s">
        <v>266</v>
      </c>
      <c r="H1386" s="62" t="s">
        <v>11</v>
      </c>
      <c r="I1386" s="62" t="s">
        <v>210</v>
      </c>
      <c r="J1386" s="63" t="s">
        <v>267</v>
      </c>
      <c r="K1386" s="62" t="s">
        <v>317</v>
      </c>
      <c r="L1386" s="64">
        <v>0.8</v>
      </c>
      <c r="M1386" s="64">
        <f>L1386*VLOOKUP(H1386,dagsoorttabel1,2,FALSE)</f>
        <v>0.8</v>
      </c>
      <c r="N1386" s="65">
        <f>prodnorm39</f>
        <v>0</v>
      </c>
      <c r="O1386" s="66">
        <f>dagwerk39</f>
        <v>0</v>
      </c>
      <c r="P1386" s="62" t="s">
        <v>40</v>
      </c>
      <c r="Q1386" s="67">
        <f>uurtarief39</f>
        <v>0</v>
      </c>
      <c r="R1386" s="64" t="e">
        <f>IF(ISBLANK(N1386),0,M1386/ROUND(N1386,4))</f>
        <v>#DIV/0!</v>
      </c>
      <c r="S1386" s="64" t="e">
        <f>IF(ISBLANK(N1386),0,R1386*ROUND(O1386,2))</f>
        <v>#DIV/0!</v>
      </c>
      <c r="T1386" s="67" t="e">
        <f>ROUND(Q1386,2)*R1386</f>
        <v>#DIV/0!</v>
      </c>
      <c r="U1386" s="64" t="e">
        <f>R1386*dagenperjaar1</f>
        <v>#DIV/0!</v>
      </c>
      <c r="V1386" s="69" t="e">
        <f>U1386*ROUND(Q1386,2)</f>
        <v>#DIV/0!</v>
      </c>
    </row>
    <row r="1387" spans="1:22" x14ac:dyDescent="0.3">
      <c r="A1387" s="61" t="s">
        <v>1629</v>
      </c>
      <c r="B1387" s="62" t="s">
        <v>1689</v>
      </c>
      <c r="C1387" s="62" t="s">
        <v>988</v>
      </c>
      <c r="D1387" s="62" t="s">
        <v>1819</v>
      </c>
      <c r="E1387" s="63" t="s">
        <v>578</v>
      </c>
      <c r="F1387" s="62" t="s">
        <v>1118</v>
      </c>
      <c r="G1387" s="62" t="s">
        <v>266</v>
      </c>
      <c r="H1387" s="62" t="s">
        <v>11</v>
      </c>
      <c r="I1387" s="62" t="s">
        <v>210</v>
      </c>
      <c r="J1387" s="63" t="s">
        <v>267</v>
      </c>
      <c r="K1387" s="62" t="s">
        <v>317</v>
      </c>
      <c r="L1387" s="64">
        <v>0.8</v>
      </c>
      <c r="M1387" s="64">
        <f>L1387*VLOOKUP(H1387,dagsoorttabel1,2,FALSE)</f>
        <v>0.8</v>
      </c>
      <c r="N1387" s="65">
        <f>prodnorm39</f>
        <v>0</v>
      </c>
      <c r="O1387" s="66">
        <f>dagwerk39</f>
        <v>0</v>
      </c>
      <c r="P1387" s="62" t="s">
        <v>40</v>
      </c>
      <c r="Q1387" s="67">
        <f>uurtarief39</f>
        <v>0</v>
      </c>
      <c r="R1387" s="64" t="e">
        <f>IF(ISBLANK(N1387),0,M1387/ROUND(N1387,4))</f>
        <v>#DIV/0!</v>
      </c>
      <c r="S1387" s="64" t="e">
        <f>IF(ISBLANK(N1387),0,R1387*ROUND(O1387,2))</f>
        <v>#DIV/0!</v>
      </c>
      <c r="T1387" s="67" t="e">
        <f>ROUND(Q1387,2)*R1387</f>
        <v>#DIV/0!</v>
      </c>
      <c r="U1387" s="64" t="e">
        <f>R1387*dagenperjaar1</f>
        <v>#DIV/0!</v>
      </c>
      <c r="V1387" s="69" t="e">
        <f>U1387*ROUND(Q1387,2)</f>
        <v>#DIV/0!</v>
      </c>
    </row>
    <row r="1388" spans="1:22" x14ac:dyDescent="0.3">
      <c r="A1388" s="61" t="s">
        <v>1629</v>
      </c>
      <c r="B1388" s="62" t="s">
        <v>1689</v>
      </c>
      <c r="C1388" s="62" t="s">
        <v>988</v>
      </c>
      <c r="D1388" s="62" t="s">
        <v>1820</v>
      </c>
      <c r="E1388" s="63" t="s">
        <v>1821</v>
      </c>
      <c r="F1388" s="62" t="s">
        <v>365</v>
      </c>
      <c r="G1388" s="62" t="s">
        <v>323</v>
      </c>
      <c r="H1388" s="62"/>
      <c r="I1388" s="62"/>
      <c r="J1388" s="62"/>
      <c r="K1388" s="62" t="s">
        <v>317</v>
      </c>
      <c r="L1388" s="64">
        <v>9.5</v>
      </c>
      <c r="M1388" s="64"/>
      <c r="N1388" s="65"/>
      <c r="O1388" s="66"/>
      <c r="P1388" s="62"/>
      <c r="Q1388" s="67"/>
      <c r="R1388" s="64"/>
      <c r="S1388" s="64"/>
      <c r="T1388" s="67"/>
      <c r="U1388" s="68"/>
      <c r="V1388" s="69"/>
    </row>
    <row r="1389" spans="1:22" x14ac:dyDescent="0.3">
      <c r="A1389" s="61" t="s">
        <v>1629</v>
      </c>
      <c r="B1389" s="62" t="s">
        <v>1689</v>
      </c>
      <c r="C1389" s="62" t="s">
        <v>988</v>
      </c>
      <c r="D1389" s="62" t="s">
        <v>1822</v>
      </c>
      <c r="E1389" s="63" t="s">
        <v>531</v>
      </c>
      <c r="F1389" s="62" t="s">
        <v>348</v>
      </c>
      <c r="G1389" s="62" t="s">
        <v>236</v>
      </c>
      <c r="H1389" s="62" t="s">
        <v>14</v>
      </c>
      <c r="I1389" s="62" t="s">
        <v>210</v>
      </c>
      <c r="J1389" s="63" t="s">
        <v>237</v>
      </c>
      <c r="K1389" s="62" t="s">
        <v>317</v>
      </c>
      <c r="L1389" s="64">
        <v>66.09</v>
      </c>
      <c r="M1389" s="64">
        <f>L1389*VLOOKUP(H1389,dagsoorttabel1,2,FALSE)</f>
        <v>39.654000000000003</v>
      </c>
      <c r="N1389" s="65">
        <f>prodnorm23</f>
        <v>0</v>
      </c>
      <c r="O1389" s="66">
        <f>dagwerk23</f>
        <v>0</v>
      </c>
      <c r="P1389" s="62" t="s">
        <v>40</v>
      </c>
      <c r="Q1389" s="67">
        <f>uurtarief23</f>
        <v>0</v>
      </c>
      <c r="R1389" s="64" t="e">
        <f>IF(ISBLANK(N1389),0,M1389/ROUND(N1389,4))</f>
        <v>#DIV/0!</v>
      </c>
      <c r="S1389" s="64" t="e">
        <f>IF(ISBLANK(N1389),0,R1389*ROUND(O1389,2))</f>
        <v>#DIV/0!</v>
      </c>
      <c r="T1389" s="67" t="e">
        <f>ROUND(Q1389,2)*R1389</f>
        <v>#DIV/0!</v>
      </c>
      <c r="U1389" s="64" t="e">
        <f>R1389*dagenperjaar1</f>
        <v>#DIV/0!</v>
      </c>
      <c r="V1389" s="69" t="e">
        <f>U1389*ROUND(Q1389,2)</f>
        <v>#DIV/0!</v>
      </c>
    </row>
    <row r="1390" spans="1:22" x14ac:dyDescent="0.3">
      <c r="A1390" s="70" t="s">
        <v>1629</v>
      </c>
      <c r="B1390" s="71" t="s">
        <v>1689</v>
      </c>
      <c r="C1390" s="71" t="s">
        <v>988</v>
      </c>
      <c r="D1390" s="71" t="s">
        <v>1823</v>
      </c>
      <c r="E1390" s="72" t="s">
        <v>582</v>
      </c>
      <c r="F1390" s="71" t="s">
        <v>348</v>
      </c>
      <c r="G1390" s="71" t="s">
        <v>212</v>
      </c>
      <c r="H1390" s="71" t="s">
        <v>17</v>
      </c>
      <c r="I1390" s="71" t="s">
        <v>210</v>
      </c>
      <c r="J1390" s="72" t="s">
        <v>213</v>
      </c>
      <c r="K1390" s="71" t="s">
        <v>317</v>
      </c>
      <c r="L1390" s="73">
        <v>67.78</v>
      </c>
      <c r="M1390" s="73">
        <f>L1390*VLOOKUP(H1390,dagsoorttabel1,2,FALSE)</f>
        <v>13.556000000000001</v>
      </c>
      <c r="N1390" s="74">
        <f>prodnorm11</f>
        <v>0</v>
      </c>
      <c r="O1390" s="75">
        <f>dagwerk11</f>
        <v>0</v>
      </c>
      <c r="P1390" s="71" t="s">
        <v>40</v>
      </c>
      <c r="Q1390" s="76">
        <f>uurtarief11</f>
        <v>0</v>
      </c>
      <c r="R1390" s="73" t="e">
        <f>IF(ISBLANK(N1390),0,M1390/ROUND(N1390,4))</f>
        <v>#DIV/0!</v>
      </c>
      <c r="S1390" s="73" t="e">
        <f>IF(ISBLANK(N1390),0,R1390*ROUND(O1390,2))</f>
        <v>#DIV/0!</v>
      </c>
      <c r="T1390" s="76" t="e">
        <f>ROUND(Q1390,2)*R1390</f>
        <v>#DIV/0!</v>
      </c>
      <c r="U1390" s="73" t="e">
        <f>R1390*dagenperjaar1</f>
        <v>#DIV/0!</v>
      </c>
      <c r="V1390" s="78" t="e">
        <f>U1390*ROUND(Q1390,2)</f>
        <v>#DIV/0!</v>
      </c>
    </row>
    <row r="1391" spans="1:22" x14ac:dyDescent="0.3">
      <c r="A1391" s="79" t="s">
        <v>1105</v>
      </c>
      <c r="B1391" s="43"/>
      <c r="C1391" s="43"/>
      <c r="D1391" s="43"/>
      <c r="E1391" s="43"/>
      <c r="F1391" s="43"/>
      <c r="G1391" s="43"/>
      <c r="H1391" s="43"/>
      <c r="I1391" s="43"/>
      <c r="J1391" s="43"/>
      <c r="K1391" s="43"/>
      <c r="L1391" s="43"/>
      <c r="M1391" s="43"/>
      <c r="N1391" s="43"/>
      <c r="O1391" s="43"/>
      <c r="P1391" s="43"/>
      <c r="Q1391" s="45" t="e">
        <f>IF(_xlfn.SINGLE(object8_urenjaar1)&gt;0,_xlfn.SINGLE(object8_prijsjaar1)/_xlfn.SINGLE(object8_urenjaar1),0)</f>
        <v>#DIV/0!</v>
      </c>
      <c r="R1391" s="44" t="e">
        <f>SUM(R1227:R1390)</f>
        <v>#DIV/0!</v>
      </c>
      <c r="S1391" s="44" t="e">
        <f>SUM(S1227:S1390)</f>
        <v>#DIV/0!</v>
      </c>
      <c r="T1391" s="45" t="e">
        <f>SUM(T1227:T1390)</f>
        <v>#DIV/0!</v>
      </c>
      <c r="U1391" s="44" t="e">
        <f>SUM(U1227:U1390)</f>
        <v>#DIV/0!</v>
      </c>
      <c r="V1391" s="46" t="e">
        <f>SUM(V1227:V1390)</f>
        <v>#DIV/0!</v>
      </c>
    </row>
    <row r="1392" spans="1:22" x14ac:dyDescent="0.3">
      <c r="A1392" s="52" t="s">
        <v>1824</v>
      </c>
      <c r="B1392" s="13"/>
      <c r="C1392" s="13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41"/>
    </row>
    <row r="1393" spans="1:22" ht="28.8" x14ac:dyDescent="0.3">
      <c r="A1393" s="53" t="s">
        <v>1825</v>
      </c>
      <c r="B1393" s="54" t="s">
        <v>317</v>
      </c>
      <c r="C1393" s="54" t="s">
        <v>317</v>
      </c>
      <c r="D1393" s="54" t="s">
        <v>317</v>
      </c>
      <c r="E1393" s="55" t="s">
        <v>1826</v>
      </c>
      <c r="F1393" s="54" t="s">
        <v>317</v>
      </c>
      <c r="G1393" s="54" t="s">
        <v>293</v>
      </c>
      <c r="H1393" s="54" t="s">
        <v>11</v>
      </c>
      <c r="I1393" s="54" t="s">
        <v>289</v>
      </c>
      <c r="J1393" s="55" t="s">
        <v>294</v>
      </c>
      <c r="K1393" s="54" t="s">
        <v>317</v>
      </c>
      <c r="L1393" s="56">
        <v>1.25</v>
      </c>
      <c r="M1393" s="56">
        <f>L1393*VLOOKUP(H1393,dagsoorttabel1,2,FALSE)</f>
        <v>1.25</v>
      </c>
      <c r="N1393" s="57"/>
      <c r="O1393" s="58">
        <f>dagwerk8</f>
        <v>0</v>
      </c>
      <c r="P1393" s="54" t="s">
        <v>291</v>
      </c>
      <c r="Q1393" s="59">
        <f>uurtarief8</f>
        <v>0</v>
      </c>
      <c r="R1393" s="56">
        <f>M1393</f>
        <v>1.25</v>
      </c>
      <c r="S1393" s="56">
        <f>R1393*ROUND(O1393,2)</f>
        <v>0</v>
      </c>
      <c r="T1393" s="59">
        <f>ROUND(Q1393,2)*R1393</f>
        <v>0</v>
      </c>
      <c r="U1393" s="56">
        <f>R1393*dagenperjaar1</f>
        <v>262.5</v>
      </c>
      <c r="V1393" s="60">
        <f>U1393*ROUND(Q1393,2)</f>
        <v>0</v>
      </c>
    </row>
    <row r="1394" spans="1:22" x14ac:dyDescent="0.3">
      <c r="A1394" s="61" t="s">
        <v>1825</v>
      </c>
      <c r="B1394" s="62" t="s">
        <v>317</v>
      </c>
      <c r="C1394" s="62" t="s">
        <v>318</v>
      </c>
      <c r="D1394" s="62" t="s">
        <v>1108</v>
      </c>
      <c r="E1394" s="63" t="s">
        <v>1827</v>
      </c>
      <c r="F1394" s="62" t="s">
        <v>1828</v>
      </c>
      <c r="G1394" s="62" t="s">
        <v>323</v>
      </c>
      <c r="H1394" s="62"/>
      <c r="I1394" s="62"/>
      <c r="J1394" s="62"/>
      <c r="K1394" s="62" t="s">
        <v>317</v>
      </c>
      <c r="L1394" s="64">
        <v>119.35</v>
      </c>
      <c r="M1394" s="64"/>
      <c r="N1394" s="65"/>
      <c r="O1394" s="66"/>
      <c r="P1394" s="62"/>
      <c r="Q1394" s="67"/>
      <c r="R1394" s="64"/>
      <c r="S1394" s="64"/>
      <c r="T1394" s="67"/>
      <c r="U1394" s="68"/>
      <c r="V1394" s="69"/>
    </row>
    <row r="1395" spans="1:22" ht="28.8" x14ac:dyDescent="0.3">
      <c r="A1395" s="61" t="s">
        <v>1825</v>
      </c>
      <c r="B1395" s="62" t="s">
        <v>317</v>
      </c>
      <c r="C1395" s="62" t="s">
        <v>318</v>
      </c>
      <c r="D1395" s="62" t="s">
        <v>1109</v>
      </c>
      <c r="E1395" s="63" t="s">
        <v>1829</v>
      </c>
      <c r="F1395" s="62" t="s">
        <v>322</v>
      </c>
      <c r="G1395" s="62" t="s">
        <v>323</v>
      </c>
      <c r="H1395" s="62"/>
      <c r="I1395" s="62"/>
      <c r="J1395" s="62"/>
      <c r="K1395" s="62" t="s">
        <v>317</v>
      </c>
      <c r="L1395" s="64">
        <v>587.74</v>
      </c>
      <c r="M1395" s="64"/>
      <c r="N1395" s="65"/>
      <c r="O1395" s="66"/>
      <c r="P1395" s="62"/>
      <c r="Q1395" s="67"/>
      <c r="R1395" s="64"/>
      <c r="S1395" s="64"/>
      <c r="T1395" s="67"/>
      <c r="U1395" s="68"/>
      <c r="V1395" s="69"/>
    </row>
    <row r="1396" spans="1:22" ht="28.8" x14ac:dyDescent="0.3">
      <c r="A1396" s="61" t="s">
        <v>1825</v>
      </c>
      <c r="B1396" s="62" t="s">
        <v>317</v>
      </c>
      <c r="C1396" s="62" t="s">
        <v>318</v>
      </c>
      <c r="D1396" s="62" t="s">
        <v>1112</v>
      </c>
      <c r="E1396" s="63" t="s">
        <v>1830</v>
      </c>
      <c r="F1396" s="62" t="s">
        <v>322</v>
      </c>
      <c r="G1396" s="62" t="s">
        <v>323</v>
      </c>
      <c r="H1396" s="62"/>
      <c r="I1396" s="62"/>
      <c r="J1396" s="62"/>
      <c r="K1396" s="62" t="s">
        <v>317</v>
      </c>
      <c r="L1396" s="64">
        <v>50.25</v>
      </c>
      <c r="M1396" s="64"/>
      <c r="N1396" s="65"/>
      <c r="O1396" s="66"/>
      <c r="P1396" s="62"/>
      <c r="Q1396" s="67"/>
      <c r="R1396" s="64"/>
      <c r="S1396" s="64"/>
      <c r="T1396" s="67"/>
      <c r="U1396" s="68"/>
      <c r="V1396" s="69"/>
    </row>
    <row r="1397" spans="1:22" ht="28.8" x14ac:dyDescent="0.3">
      <c r="A1397" s="61" t="s">
        <v>1825</v>
      </c>
      <c r="B1397" s="62" t="s">
        <v>317</v>
      </c>
      <c r="C1397" s="62" t="s">
        <v>318</v>
      </c>
      <c r="D1397" s="62" t="s">
        <v>1831</v>
      </c>
      <c r="E1397" s="63" t="s">
        <v>1832</v>
      </c>
      <c r="F1397" s="62" t="s">
        <v>322</v>
      </c>
      <c r="G1397" s="62" t="s">
        <v>295</v>
      </c>
      <c r="H1397" s="62" t="s">
        <v>24</v>
      </c>
      <c r="I1397" s="62" t="s">
        <v>289</v>
      </c>
      <c r="J1397" s="63" t="s">
        <v>296</v>
      </c>
      <c r="K1397" s="62" t="s">
        <v>317</v>
      </c>
      <c r="L1397" s="64">
        <v>6.42</v>
      </c>
      <c r="M1397" s="64">
        <f>L1397*VLOOKUP(H1397,dagsoorttabel1,2,FALSE)</f>
        <v>6.1142857142857145E-2</v>
      </c>
      <c r="N1397" s="65">
        <f>prodnorm9</f>
        <v>0</v>
      </c>
      <c r="O1397" s="66">
        <f>dagwerk9</f>
        <v>0</v>
      </c>
      <c r="P1397" s="62" t="s">
        <v>40</v>
      </c>
      <c r="Q1397" s="67">
        <f>uurtarief9</f>
        <v>0</v>
      </c>
      <c r="R1397" s="64" t="e">
        <f>IF(ISBLANK(N1397),0,M1397/ROUND(N1397,4))</f>
        <v>#DIV/0!</v>
      </c>
      <c r="S1397" s="64" t="e">
        <f>IF(ISBLANK(N1397),0,R1397*ROUND(O1397,2))</f>
        <v>#DIV/0!</v>
      </c>
      <c r="T1397" s="67" t="e">
        <f>ROUND(Q1397,2)*R1397</f>
        <v>#DIV/0!</v>
      </c>
      <c r="U1397" s="64" t="e">
        <f>R1397*dagenperjaar1</f>
        <v>#DIV/0!</v>
      </c>
      <c r="V1397" s="69" t="e">
        <f>U1397*ROUND(Q1397,2)</f>
        <v>#DIV/0!</v>
      </c>
    </row>
    <row r="1398" spans="1:22" x14ac:dyDescent="0.3">
      <c r="A1398" s="61" t="s">
        <v>1825</v>
      </c>
      <c r="B1398" s="62" t="s">
        <v>317</v>
      </c>
      <c r="C1398" s="62" t="s">
        <v>318</v>
      </c>
      <c r="D1398" s="62" t="s">
        <v>1831</v>
      </c>
      <c r="E1398" s="63" t="s">
        <v>1832</v>
      </c>
      <c r="F1398" s="62" t="s">
        <v>322</v>
      </c>
      <c r="G1398" s="62" t="s">
        <v>260</v>
      </c>
      <c r="H1398" s="62" t="s">
        <v>11</v>
      </c>
      <c r="I1398" s="62" t="s">
        <v>210</v>
      </c>
      <c r="J1398" s="63" t="s">
        <v>261</v>
      </c>
      <c r="K1398" s="62" t="s">
        <v>317</v>
      </c>
      <c r="L1398" s="64">
        <v>6.42</v>
      </c>
      <c r="M1398" s="64">
        <f>L1398*VLOOKUP(H1398,dagsoorttabel1,2,FALSE)</f>
        <v>6.42</v>
      </c>
      <c r="N1398" s="65">
        <f>prodnorm36</f>
        <v>0</v>
      </c>
      <c r="O1398" s="66">
        <f>dagwerk36</f>
        <v>0</v>
      </c>
      <c r="P1398" s="62" t="s">
        <v>40</v>
      </c>
      <c r="Q1398" s="67">
        <f>uurtarief36</f>
        <v>0</v>
      </c>
      <c r="R1398" s="64" t="e">
        <f>IF(ISBLANK(N1398),0,M1398/ROUND(N1398,4))</f>
        <v>#DIV/0!</v>
      </c>
      <c r="S1398" s="64" t="e">
        <f>IF(ISBLANK(N1398),0,R1398*ROUND(O1398,2))</f>
        <v>#DIV/0!</v>
      </c>
      <c r="T1398" s="67" t="e">
        <f>ROUND(Q1398,2)*R1398</f>
        <v>#DIV/0!</v>
      </c>
      <c r="U1398" s="64" t="e">
        <f>R1398*dagenperjaar1</f>
        <v>#DIV/0!</v>
      </c>
      <c r="V1398" s="69" t="e">
        <f>U1398*ROUND(Q1398,2)</f>
        <v>#DIV/0!</v>
      </c>
    </row>
    <row r="1399" spans="1:22" x14ac:dyDescent="0.3">
      <c r="A1399" s="61" t="s">
        <v>1825</v>
      </c>
      <c r="B1399" s="62" t="s">
        <v>317</v>
      </c>
      <c r="C1399" s="62" t="s">
        <v>318</v>
      </c>
      <c r="D1399" s="62" t="s">
        <v>1113</v>
      </c>
      <c r="E1399" s="63" t="s">
        <v>575</v>
      </c>
      <c r="F1399" s="62" t="s">
        <v>322</v>
      </c>
      <c r="G1399" s="62" t="s">
        <v>323</v>
      </c>
      <c r="H1399" s="62"/>
      <c r="I1399" s="62"/>
      <c r="J1399" s="62"/>
      <c r="K1399" s="62" t="s">
        <v>317</v>
      </c>
      <c r="L1399" s="64">
        <v>6</v>
      </c>
      <c r="M1399" s="64"/>
      <c r="N1399" s="65"/>
      <c r="O1399" s="66"/>
      <c r="P1399" s="62"/>
      <c r="Q1399" s="67"/>
      <c r="R1399" s="64"/>
      <c r="S1399" s="64"/>
      <c r="T1399" s="67"/>
      <c r="U1399" s="68"/>
      <c r="V1399" s="69"/>
    </row>
    <row r="1400" spans="1:22" x14ac:dyDescent="0.3">
      <c r="A1400" s="61" t="s">
        <v>1825</v>
      </c>
      <c r="B1400" s="62" t="s">
        <v>317</v>
      </c>
      <c r="C1400" s="62" t="s">
        <v>318</v>
      </c>
      <c r="D1400" s="62" t="s">
        <v>1114</v>
      </c>
      <c r="E1400" s="63" t="s">
        <v>1833</v>
      </c>
      <c r="F1400" s="62" t="s">
        <v>348</v>
      </c>
      <c r="G1400" s="62" t="s">
        <v>232</v>
      </c>
      <c r="H1400" s="62" t="s">
        <v>11</v>
      </c>
      <c r="I1400" s="62" t="s">
        <v>210</v>
      </c>
      <c r="J1400" s="63" t="s">
        <v>233</v>
      </c>
      <c r="K1400" s="62" t="s">
        <v>317</v>
      </c>
      <c r="L1400" s="64">
        <v>24.8</v>
      </c>
      <c r="M1400" s="64">
        <f t="shared" ref="M1400:M1407" si="438">L1400*VLOOKUP(H1400,dagsoorttabel1,2,FALSE)</f>
        <v>24.8</v>
      </c>
      <c r="N1400" s="65">
        <f>prodnorm21</f>
        <v>0</v>
      </c>
      <c r="O1400" s="66">
        <f>dagwerk21</f>
        <v>0</v>
      </c>
      <c r="P1400" s="62" t="s">
        <v>40</v>
      </c>
      <c r="Q1400" s="67">
        <f>uurtarief21</f>
        <v>0</v>
      </c>
      <c r="R1400" s="64" t="e">
        <f t="shared" ref="R1400:R1407" si="439">IF(ISBLANK(N1400),0,M1400/ROUND(N1400,4))</f>
        <v>#DIV/0!</v>
      </c>
      <c r="S1400" s="64" t="e">
        <f t="shared" ref="S1400:S1407" si="440">IF(ISBLANK(N1400),0,R1400*ROUND(O1400,2))</f>
        <v>#DIV/0!</v>
      </c>
      <c r="T1400" s="67" t="e">
        <f t="shared" ref="T1400:T1407" si="441">ROUND(Q1400,2)*R1400</f>
        <v>#DIV/0!</v>
      </c>
      <c r="U1400" s="64" t="e">
        <f t="shared" ref="U1400:U1407" si="442">R1400*dagenperjaar1</f>
        <v>#DIV/0!</v>
      </c>
      <c r="V1400" s="69" t="e">
        <f t="shared" ref="V1400:V1407" si="443">U1400*ROUND(Q1400,2)</f>
        <v>#DIV/0!</v>
      </c>
    </row>
    <row r="1401" spans="1:22" x14ac:dyDescent="0.3">
      <c r="A1401" s="61" t="s">
        <v>1825</v>
      </c>
      <c r="B1401" s="62" t="s">
        <v>317</v>
      </c>
      <c r="C1401" s="62" t="s">
        <v>318</v>
      </c>
      <c r="D1401" s="62" t="s">
        <v>1116</v>
      </c>
      <c r="E1401" s="63" t="s">
        <v>1834</v>
      </c>
      <c r="F1401" s="62" t="s">
        <v>322</v>
      </c>
      <c r="G1401" s="62" t="s">
        <v>228</v>
      </c>
      <c r="H1401" s="62" t="s">
        <v>11</v>
      </c>
      <c r="I1401" s="62" t="s">
        <v>210</v>
      </c>
      <c r="J1401" s="63" t="s">
        <v>229</v>
      </c>
      <c r="K1401" s="62" t="s">
        <v>317</v>
      </c>
      <c r="L1401" s="64">
        <v>6.5</v>
      </c>
      <c r="M1401" s="64">
        <f t="shared" si="438"/>
        <v>6.5</v>
      </c>
      <c r="N1401" s="65">
        <f>prodnorm19</f>
        <v>0</v>
      </c>
      <c r="O1401" s="66">
        <f>dagwerk19</f>
        <v>0</v>
      </c>
      <c r="P1401" s="62" t="s">
        <v>40</v>
      </c>
      <c r="Q1401" s="67">
        <f>uurtarief19</f>
        <v>0</v>
      </c>
      <c r="R1401" s="64" t="e">
        <f t="shared" si="439"/>
        <v>#DIV/0!</v>
      </c>
      <c r="S1401" s="64" t="e">
        <f t="shared" si="440"/>
        <v>#DIV/0!</v>
      </c>
      <c r="T1401" s="67" t="e">
        <f t="shared" si="441"/>
        <v>#DIV/0!</v>
      </c>
      <c r="U1401" s="64" t="e">
        <f t="shared" si="442"/>
        <v>#DIV/0!</v>
      </c>
      <c r="V1401" s="69" t="e">
        <f t="shared" si="443"/>
        <v>#DIV/0!</v>
      </c>
    </row>
    <row r="1402" spans="1:22" ht="28.8" x14ac:dyDescent="0.3">
      <c r="A1402" s="61" t="s">
        <v>1825</v>
      </c>
      <c r="B1402" s="62" t="s">
        <v>317</v>
      </c>
      <c r="C1402" s="62" t="s">
        <v>318</v>
      </c>
      <c r="D1402" s="62" t="s">
        <v>1119</v>
      </c>
      <c r="E1402" s="63" t="s">
        <v>1835</v>
      </c>
      <c r="F1402" s="62" t="s">
        <v>322</v>
      </c>
      <c r="G1402" s="62" t="s">
        <v>295</v>
      </c>
      <c r="H1402" s="62" t="s">
        <v>24</v>
      </c>
      <c r="I1402" s="62" t="s">
        <v>289</v>
      </c>
      <c r="J1402" s="63" t="s">
        <v>296</v>
      </c>
      <c r="K1402" s="62" t="s">
        <v>317</v>
      </c>
      <c r="L1402" s="64">
        <v>25.3</v>
      </c>
      <c r="M1402" s="64">
        <f t="shared" si="438"/>
        <v>0.24095238095238097</v>
      </c>
      <c r="N1402" s="65">
        <f>prodnorm9</f>
        <v>0</v>
      </c>
      <c r="O1402" s="66">
        <f>dagwerk9</f>
        <v>0</v>
      </c>
      <c r="P1402" s="62" t="s">
        <v>40</v>
      </c>
      <c r="Q1402" s="67">
        <f>uurtarief9</f>
        <v>0</v>
      </c>
      <c r="R1402" s="64" t="e">
        <f t="shared" si="439"/>
        <v>#DIV/0!</v>
      </c>
      <c r="S1402" s="64" t="e">
        <f t="shared" si="440"/>
        <v>#DIV/0!</v>
      </c>
      <c r="T1402" s="67" t="e">
        <f t="shared" si="441"/>
        <v>#DIV/0!</v>
      </c>
      <c r="U1402" s="64" t="e">
        <f t="shared" si="442"/>
        <v>#DIV/0!</v>
      </c>
      <c r="V1402" s="69" t="e">
        <f t="shared" si="443"/>
        <v>#DIV/0!</v>
      </c>
    </row>
    <row r="1403" spans="1:22" x14ac:dyDescent="0.3">
      <c r="A1403" s="61" t="s">
        <v>1825</v>
      </c>
      <c r="B1403" s="62" t="s">
        <v>317</v>
      </c>
      <c r="C1403" s="62" t="s">
        <v>318</v>
      </c>
      <c r="D1403" s="62" t="s">
        <v>1119</v>
      </c>
      <c r="E1403" s="63" t="s">
        <v>1835</v>
      </c>
      <c r="F1403" s="62" t="s">
        <v>322</v>
      </c>
      <c r="G1403" s="62" t="s">
        <v>260</v>
      </c>
      <c r="H1403" s="62" t="s">
        <v>11</v>
      </c>
      <c r="I1403" s="62" t="s">
        <v>210</v>
      </c>
      <c r="J1403" s="63" t="s">
        <v>261</v>
      </c>
      <c r="K1403" s="62" t="s">
        <v>317</v>
      </c>
      <c r="L1403" s="64">
        <v>25.3</v>
      </c>
      <c r="M1403" s="64">
        <f t="shared" si="438"/>
        <v>25.3</v>
      </c>
      <c r="N1403" s="65">
        <f>prodnorm36</f>
        <v>0</v>
      </c>
      <c r="O1403" s="66">
        <f>dagwerk36</f>
        <v>0</v>
      </c>
      <c r="P1403" s="62" t="s">
        <v>40</v>
      </c>
      <c r="Q1403" s="67">
        <f>uurtarief36</f>
        <v>0</v>
      </c>
      <c r="R1403" s="64" t="e">
        <f t="shared" si="439"/>
        <v>#DIV/0!</v>
      </c>
      <c r="S1403" s="64" t="e">
        <f t="shared" si="440"/>
        <v>#DIV/0!</v>
      </c>
      <c r="T1403" s="67" t="e">
        <f t="shared" si="441"/>
        <v>#DIV/0!</v>
      </c>
      <c r="U1403" s="64" t="e">
        <f t="shared" si="442"/>
        <v>#DIV/0!</v>
      </c>
      <c r="V1403" s="69" t="e">
        <f t="shared" si="443"/>
        <v>#DIV/0!</v>
      </c>
    </row>
    <row r="1404" spans="1:22" x14ac:dyDescent="0.3">
      <c r="A1404" s="61" t="s">
        <v>1825</v>
      </c>
      <c r="B1404" s="62" t="s">
        <v>317</v>
      </c>
      <c r="C1404" s="62" t="s">
        <v>318</v>
      </c>
      <c r="D1404" s="62" t="s">
        <v>1120</v>
      </c>
      <c r="E1404" s="63" t="s">
        <v>1836</v>
      </c>
      <c r="F1404" s="62" t="s">
        <v>322</v>
      </c>
      <c r="G1404" s="62" t="s">
        <v>242</v>
      </c>
      <c r="H1404" s="62" t="s">
        <v>11</v>
      </c>
      <c r="I1404" s="62" t="s">
        <v>210</v>
      </c>
      <c r="J1404" s="63" t="s">
        <v>243</v>
      </c>
      <c r="K1404" s="62" t="s">
        <v>317</v>
      </c>
      <c r="L1404" s="64">
        <v>24.939999999999998</v>
      </c>
      <c r="M1404" s="64">
        <f t="shared" si="438"/>
        <v>24.939999999999998</v>
      </c>
      <c r="N1404" s="65">
        <f>prodnorm26</f>
        <v>0</v>
      </c>
      <c r="O1404" s="66">
        <f>dagwerk26</f>
        <v>0</v>
      </c>
      <c r="P1404" s="62" t="s">
        <v>40</v>
      </c>
      <c r="Q1404" s="67">
        <f>uurtarief26</f>
        <v>0</v>
      </c>
      <c r="R1404" s="64" t="e">
        <f t="shared" si="439"/>
        <v>#DIV/0!</v>
      </c>
      <c r="S1404" s="64" t="e">
        <f t="shared" si="440"/>
        <v>#DIV/0!</v>
      </c>
      <c r="T1404" s="67" t="e">
        <f t="shared" si="441"/>
        <v>#DIV/0!</v>
      </c>
      <c r="U1404" s="64" t="e">
        <f t="shared" si="442"/>
        <v>#DIV/0!</v>
      </c>
      <c r="V1404" s="69" t="e">
        <f t="shared" si="443"/>
        <v>#DIV/0!</v>
      </c>
    </row>
    <row r="1405" spans="1:22" x14ac:dyDescent="0.3">
      <c r="A1405" s="61" t="s">
        <v>1825</v>
      </c>
      <c r="B1405" s="62" t="s">
        <v>317</v>
      </c>
      <c r="C1405" s="62" t="s">
        <v>318</v>
      </c>
      <c r="D1405" s="62" t="s">
        <v>1122</v>
      </c>
      <c r="E1405" s="63" t="s">
        <v>1837</v>
      </c>
      <c r="F1405" s="62" t="s">
        <v>348</v>
      </c>
      <c r="G1405" s="62" t="s">
        <v>278</v>
      </c>
      <c r="H1405" s="62" t="s">
        <v>11</v>
      </c>
      <c r="I1405" s="62" t="s">
        <v>210</v>
      </c>
      <c r="J1405" s="63" t="s">
        <v>279</v>
      </c>
      <c r="K1405" s="62" t="s">
        <v>317</v>
      </c>
      <c r="L1405" s="64">
        <v>14.01</v>
      </c>
      <c r="M1405" s="64">
        <f t="shared" si="438"/>
        <v>14.01</v>
      </c>
      <c r="N1405" s="65">
        <f>prodnorm45</f>
        <v>0</v>
      </c>
      <c r="O1405" s="66">
        <f>dagwerk45</f>
        <v>0</v>
      </c>
      <c r="P1405" s="62" t="s">
        <v>40</v>
      </c>
      <c r="Q1405" s="67">
        <f>uurtarief45</f>
        <v>0</v>
      </c>
      <c r="R1405" s="64" t="e">
        <f t="shared" si="439"/>
        <v>#DIV/0!</v>
      </c>
      <c r="S1405" s="64" t="e">
        <f t="shared" si="440"/>
        <v>#DIV/0!</v>
      </c>
      <c r="T1405" s="67" t="e">
        <f t="shared" si="441"/>
        <v>#DIV/0!</v>
      </c>
      <c r="U1405" s="64" t="e">
        <f t="shared" si="442"/>
        <v>#DIV/0!</v>
      </c>
      <c r="V1405" s="69" t="e">
        <f t="shared" si="443"/>
        <v>#DIV/0!</v>
      </c>
    </row>
    <row r="1406" spans="1:22" ht="28.8" x14ac:dyDescent="0.3">
      <c r="A1406" s="61" t="s">
        <v>1825</v>
      </c>
      <c r="B1406" s="62" t="s">
        <v>317</v>
      </c>
      <c r="C1406" s="62" t="s">
        <v>318</v>
      </c>
      <c r="D1406" s="62" t="s">
        <v>1124</v>
      </c>
      <c r="E1406" s="63" t="s">
        <v>1838</v>
      </c>
      <c r="F1406" s="62" t="s">
        <v>322</v>
      </c>
      <c r="G1406" s="62" t="s">
        <v>295</v>
      </c>
      <c r="H1406" s="62" t="s">
        <v>24</v>
      </c>
      <c r="I1406" s="62" t="s">
        <v>289</v>
      </c>
      <c r="J1406" s="63" t="s">
        <v>296</v>
      </c>
      <c r="K1406" s="62" t="s">
        <v>317</v>
      </c>
      <c r="L1406" s="64">
        <v>109.61</v>
      </c>
      <c r="M1406" s="64">
        <f t="shared" si="438"/>
        <v>1.0439047619047619</v>
      </c>
      <c r="N1406" s="65">
        <f>prodnorm9</f>
        <v>0</v>
      </c>
      <c r="O1406" s="66">
        <f>dagwerk9</f>
        <v>0</v>
      </c>
      <c r="P1406" s="62" t="s">
        <v>40</v>
      </c>
      <c r="Q1406" s="67">
        <f>uurtarief9</f>
        <v>0</v>
      </c>
      <c r="R1406" s="64" t="e">
        <f t="shared" si="439"/>
        <v>#DIV/0!</v>
      </c>
      <c r="S1406" s="64" t="e">
        <f t="shared" si="440"/>
        <v>#DIV/0!</v>
      </c>
      <c r="T1406" s="67" t="e">
        <f t="shared" si="441"/>
        <v>#DIV/0!</v>
      </c>
      <c r="U1406" s="64" t="e">
        <f t="shared" si="442"/>
        <v>#DIV/0!</v>
      </c>
      <c r="V1406" s="69" t="e">
        <f t="shared" si="443"/>
        <v>#DIV/0!</v>
      </c>
    </row>
    <row r="1407" spans="1:22" x14ac:dyDescent="0.3">
      <c r="A1407" s="61" t="s">
        <v>1825</v>
      </c>
      <c r="B1407" s="62" t="s">
        <v>317</v>
      </c>
      <c r="C1407" s="62" t="s">
        <v>318</v>
      </c>
      <c r="D1407" s="62" t="s">
        <v>1124</v>
      </c>
      <c r="E1407" s="63" t="s">
        <v>1838</v>
      </c>
      <c r="F1407" s="62" t="s">
        <v>322</v>
      </c>
      <c r="G1407" s="62" t="s">
        <v>260</v>
      </c>
      <c r="H1407" s="62" t="s">
        <v>11</v>
      </c>
      <c r="I1407" s="62" t="s">
        <v>210</v>
      </c>
      <c r="J1407" s="63" t="s">
        <v>261</v>
      </c>
      <c r="K1407" s="62" t="s">
        <v>317</v>
      </c>
      <c r="L1407" s="64">
        <v>109.61</v>
      </c>
      <c r="M1407" s="64">
        <f t="shared" si="438"/>
        <v>109.61</v>
      </c>
      <c r="N1407" s="65">
        <f>prodnorm36</f>
        <v>0</v>
      </c>
      <c r="O1407" s="66">
        <f>dagwerk36</f>
        <v>0</v>
      </c>
      <c r="P1407" s="62" t="s">
        <v>40</v>
      </c>
      <c r="Q1407" s="67">
        <f>uurtarief36</f>
        <v>0</v>
      </c>
      <c r="R1407" s="64" t="e">
        <f t="shared" si="439"/>
        <v>#DIV/0!</v>
      </c>
      <c r="S1407" s="64" t="e">
        <f t="shared" si="440"/>
        <v>#DIV/0!</v>
      </c>
      <c r="T1407" s="67" t="e">
        <f t="shared" si="441"/>
        <v>#DIV/0!</v>
      </c>
      <c r="U1407" s="64" t="e">
        <f t="shared" si="442"/>
        <v>#DIV/0!</v>
      </c>
      <c r="V1407" s="69" t="e">
        <f t="shared" si="443"/>
        <v>#DIV/0!</v>
      </c>
    </row>
    <row r="1408" spans="1:22" ht="28.8" x14ac:dyDescent="0.3">
      <c r="A1408" s="61" t="s">
        <v>1825</v>
      </c>
      <c r="B1408" s="62" t="s">
        <v>317</v>
      </c>
      <c r="C1408" s="62" t="s">
        <v>318</v>
      </c>
      <c r="D1408" s="62" t="s">
        <v>1534</v>
      </c>
      <c r="E1408" s="63" t="s">
        <v>1839</v>
      </c>
      <c r="F1408" s="62" t="s">
        <v>322</v>
      </c>
      <c r="G1408" s="62" t="s">
        <v>323</v>
      </c>
      <c r="H1408" s="62"/>
      <c r="I1408" s="62"/>
      <c r="J1408" s="62"/>
      <c r="K1408" s="62" t="s">
        <v>317</v>
      </c>
      <c r="L1408" s="64">
        <v>15.860000000000001</v>
      </c>
      <c r="M1408" s="64"/>
      <c r="N1408" s="65"/>
      <c r="O1408" s="66"/>
      <c r="P1408" s="62"/>
      <c r="Q1408" s="67"/>
      <c r="R1408" s="64"/>
      <c r="S1408" s="64"/>
      <c r="T1408" s="67"/>
      <c r="U1408" s="68"/>
      <c r="V1408" s="69"/>
    </row>
    <row r="1409" spans="1:22" x14ac:dyDescent="0.3">
      <c r="A1409" s="61" t="s">
        <v>1825</v>
      </c>
      <c r="B1409" s="62" t="s">
        <v>317</v>
      </c>
      <c r="C1409" s="62" t="s">
        <v>318</v>
      </c>
      <c r="D1409" s="62" t="s">
        <v>1840</v>
      </c>
      <c r="E1409" s="63" t="s">
        <v>1415</v>
      </c>
      <c r="F1409" s="62" t="s">
        <v>377</v>
      </c>
      <c r="G1409" s="62" t="s">
        <v>323</v>
      </c>
      <c r="H1409" s="62"/>
      <c r="I1409" s="62"/>
      <c r="J1409" s="62"/>
      <c r="K1409" s="62" t="s">
        <v>317</v>
      </c>
      <c r="L1409" s="64">
        <v>3.66</v>
      </c>
      <c r="M1409" s="64"/>
      <c r="N1409" s="65"/>
      <c r="O1409" s="66"/>
      <c r="P1409" s="62"/>
      <c r="Q1409" s="67"/>
      <c r="R1409" s="64"/>
      <c r="S1409" s="64"/>
      <c r="T1409" s="67"/>
      <c r="U1409" s="68"/>
      <c r="V1409" s="69"/>
    </row>
    <row r="1410" spans="1:22" x14ac:dyDescent="0.3">
      <c r="A1410" s="61" t="s">
        <v>1825</v>
      </c>
      <c r="B1410" s="62" t="s">
        <v>317</v>
      </c>
      <c r="C1410" s="62" t="s">
        <v>318</v>
      </c>
      <c r="D1410" s="62" t="s">
        <v>1125</v>
      </c>
      <c r="E1410" s="63" t="s">
        <v>1841</v>
      </c>
      <c r="F1410" s="62" t="s">
        <v>335</v>
      </c>
      <c r="G1410" s="62" t="s">
        <v>266</v>
      </c>
      <c r="H1410" s="62" t="s">
        <v>11</v>
      </c>
      <c r="I1410" s="62" t="s">
        <v>210</v>
      </c>
      <c r="J1410" s="63" t="s">
        <v>267</v>
      </c>
      <c r="K1410" s="62" t="s">
        <v>317</v>
      </c>
      <c r="L1410" s="64">
        <v>12.68</v>
      </c>
      <c r="M1410" s="64">
        <f>L1410*VLOOKUP(H1410,dagsoorttabel1,2,FALSE)</f>
        <v>12.68</v>
      </c>
      <c r="N1410" s="65">
        <f>prodnorm39</f>
        <v>0</v>
      </c>
      <c r="O1410" s="66">
        <f>dagwerk39</f>
        <v>0</v>
      </c>
      <c r="P1410" s="62" t="s">
        <v>40</v>
      </c>
      <c r="Q1410" s="67">
        <f>uurtarief39</f>
        <v>0</v>
      </c>
      <c r="R1410" s="64" t="e">
        <f>IF(ISBLANK(N1410),0,M1410/ROUND(N1410,4))</f>
        <v>#DIV/0!</v>
      </c>
      <c r="S1410" s="64" t="e">
        <f>IF(ISBLANK(N1410),0,R1410*ROUND(O1410,2))</f>
        <v>#DIV/0!</v>
      </c>
      <c r="T1410" s="67" t="e">
        <f>ROUND(Q1410,2)*R1410</f>
        <v>#DIV/0!</v>
      </c>
      <c r="U1410" s="64" t="e">
        <f>R1410*dagenperjaar1</f>
        <v>#DIV/0!</v>
      </c>
      <c r="V1410" s="69" t="e">
        <f>U1410*ROUND(Q1410,2)</f>
        <v>#DIV/0!</v>
      </c>
    </row>
    <row r="1411" spans="1:22" x14ac:dyDescent="0.3">
      <c r="A1411" s="61" t="s">
        <v>1825</v>
      </c>
      <c r="B1411" s="62" t="s">
        <v>317</v>
      </c>
      <c r="C1411" s="62" t="s">
        <v>318</v>
      </c>
      <c r="D1411" s="62" t="s">
        <v>1126</v>
      </c>
      <c r="E1411" s="63" t="s">
        <v>1842</v>
      </c>
      <c r="F1411" s="62" t="s">
        <v>335</v>
      </c>
      <c r="G1411" s="62" t="s">
        <v>266</v>
      </c>
      <c r="H1411" s="62" t="s">
        <v>11</v>
      </c>
      <c r="I1411" s="62" t="s">
        <v>210</v>
      </c>
      <c r="J1411" s="63" t="s">
        <v>267</v>
      </c>
      <c r="K1411" s="62" t="s">
        <v>317</v>
      </c>
      <c r="L1411" s="64">
        <v>8.0299999999999994</v>
      </c>
      <c r="M1411" s="64">
        <f>L1411*VLOOKUP(H1411,dagsoorttabel1,2,FALSE)</f>
        <v>8.0299999999999994</v>
      </c>
      <c r="N1411" s="65">
        <f>prodnorm39</f>
        <v>0</v>
      </c>
      <c r="O1411" s="66">
        <f>dagwerk39</f>
        <v>0</v>
      </c>
      <c r="P1411" s="62" t="s">
        <v>40</v>
      </c>
      <c r="Q1411" s="67">
        <f>uurtarief39</f>
        <v>0</v>
      </c>
      <c r="R1411" s="64" t="e">
        <f>IF(ISBLANK(N1411),0,M1411/ROUND(N1411,4))</f>
        <v>#DIV/0!</v>
      </c>
      <c r="S1411" s="64" t="e">
        <f>IF(ISBLANK(N1411),0,R1411*ROUND(O1411,2))</f>
        <v>#DIV/0!</v>
      </c>
      <c r="T1411" s="67" t="e">
        <f>ROUND(Q1411,2)*R1411</f>
        <v>#DIV/0!</v>
      </c>
      <c r="U1411" s="64" t="e">
        <f>R1411*dagenperjaar1</f>
        <v>#DIV/0!</v>
      </c>
      <c r="V1411" s="69" t="e">
        <f>U1411*ROUND(Q1411,2)</f>
        <v>#DIV/0!</v>
      </c>
    </row>
    <row r="1412" spans="1:22" x14ac:dyDescent="0.3">
      <c r="A1412" s="61" t="s">
        <v>1825</v>
      </c>
      <c r="B1412" s="62" t="s">
        <v>317</v>
      </c>
      <c r="C1412" s="62" t="s">
        <v>318</v>
      </c>
      <c r="D1412" s="62" t="s">
        <v>1138</v>
      </c>
      <c r="E1412" s="63" t="s">
        <v>1843</v>
      </c>
      <c r="F1412" s="62" t="s">
        <v>335</v>
      </c>
      <c r="G1412" s="62" t="s">
        <v>266</v>
      </c>
      <c r="H1412" s="62" t="s">
        <v>11</v>
      </c>
      <c r="I1412" s="62" t="s">
        <v>210</v>
      </c>
      <c r="J1412" s="63" t="s">
        <v>267</v>
      </c>
      <c r="K1412" s="62" t="s">
        <v>317</v>
      </c>
      <c r="L1412" s="64">
        <v>4.3199999999999994</v>
      </c>
      <c r="M1412" s="64">
        <f>L1412*VLOOKUP(H1412,dagsoorttabel1,2,FALSE)</f>
        <v>4.3199999999999994</v>
      </c>
      <c r="N1412" s="65">
        <f>prodnorm39</f>
        <v>0</v>
      </c>
      <c r="O1412" s="66">
        <f>dagwerk39</f>
        <v>0</v>
      </c>
      <c r="P1412" s="62" t="s">
        <v>40</v>
      </c>
      <c r="Q1412" s="67">
        <f>uurtarief39</f>
        <v>0</v>
      </c>
      <c r="R1412" s="64" t="e">
        <f>IF(ISBLANK(N1412),0,M1412/ROUND(N1412,4))</f>
        <v>#DIV/0!</v>
      </c>
      <c r="S1412" s="64" t="e">
        <f>IF(ISBLANK(N1412),0,R1412*ROUND(O1412,2))</f>
        <v>#DIV/0!</v>
      </c>
      <c r="T1412" s="67" t="e">
        <f>ROUND(Q1412,2)*R1412</f>
        <v>#DIV/0!</v>
      </c>
      <c r="U1412" s="64" t="e">
        <f>R1412*dagenperjaar1</f>
        <v>#DIV/0!</v>
      </c>
      <c r="V1412" s="69" t="e">
        <f>U1412*ROUND(Q1412,2)</f>
        <v>#DIV/0!</v>
      </c>
    </row>
    <row r="1413" spans="1:22" x14ac:dyDescent="0.3">
      <c r="A1413" s="61" t="s">
        <v>1825</v>
      </c>
      <c r="B1413" s="62" t="s">
        <v>317</v>
      </c>
      <c r="C1413" s="62" t="s">
        <v>318</v>
      </c>
      <c r="D1413" s="62" t="s">
        <v>1139</v>
      </c>
      <c r="E1413" s="63" t="s">
        <v>1844</v>
      </c>
      <c r="F1413" s="62" t="s">
        <v>322</v>
      </c>
      <c r="G1413" s="62" t="s">
        <v>220</v>
      </c>
      <c r="H1413" s="62" t="s">
        <v>11</v>
      </c>
      <c r="I1413" s="62" t="s">
        <v>210</v>
      </c>
      <c r="J1413" s="63" t="s">
        <v>221</v>
      </c>
      <c r="K1413" s="62" t="s">
        <v>317</v>
      </c>
      <c r="L1413" s="64">
        <v>220.93</v>
      </c>
      <c r="M1413" s="64">
        <f>L1413*VLOOKUP(H1413,dagsoorttabel1,2,FALSE)</f>
        <v>220.93</v>
      </c>
      <c r="N1413" s="65">
        <f>prodnorm15</f>
        <v>0</v>
      </c>
      <c r="O1413" s="66">
        <f>dagwerk15</f>
        <v>0</v>
      </c>
      <c r="P1413" s="62" t="s">
        <v>40</v>
      </c>
      <c r="Q1413" s="67">
        <f>uurtarief15</f>
        <v>0</v>
      </c>
      <c r="R1413" s="64" t="e">
        <f>IF(ISBLANK(N1413),0,M1413/ROUND(N1413,4))</f>
        <v>#DIV/0!</v>
      </c>
      <c r="S1413" s="64" t="e">
        <f>IF(ISBLANK(N1413),0,R1413*ROUND(O1413,2))</f>
        <v>#DIV/0!</v>
      </c>
      <c r="T1413" s="67" t="e">
        <f>ROUND(Q1413,2)*R1413</f>
        <v>#DIV/0!</v>
      </c>
      <c r="U1413" s="64" t="e">
        <f>R1413*dagenperjaar1</f>
        <v>#DIV/0!</v>
      </c>
      <c r="V1413" s="69" t="e">
        <f>U1413*ROUND(Q1413,2)</f>
        <v>#DIV/0!</v>
      </c>
    </row>
    <row r="1414" spans="1:22" x14ac:dyDescent="0.3">
      <c r="A1414" s="61" t="s">
        <v>1825</v>
      </c>
      <c r="B1414" s="62" t="s">
        <v>317</v>
      </c>
      <c r="C1414" s="62" t="s">
        <v>318</v>
      </c>
      <c r="D1414" s="62" t="s">
        <v>1845</v>
      </c>
      <c r="E1414" s="63" t="s">
        <v>1846</v>
      </c>
      <c r="F1414" s="62" t="s">
        <v>322</v>
      </c>
      <c r="G1414" s="62" t="s">
        <v>323</v>
      </c>
      <c r="H1414" s="62"/>
      <c r="I1414" s="62"/>
      <c r="J1414" s="62"/>
      <c r="K1414" s="62" t="s">
        <v>317</v>
      </c>
      <c r="L1414" s="64">
        <v>1.1200000000000001</v>
      </c>
      <c r="M1414" s="64"/>
      <c r="N1414" s="65"/>
      <c r="O1414" s="66"/>
      <c r="P1414" s="62"/>
      <c r="Q1414" s="67"/>
      <c r="R1414" s="64"/>
      <c r="S1414" s="64"/>
      <c r="T1414" s="67"/>
      <c r="U1414" s="68"/>
      <c r="V1414" s="69"/>
    </row>
    <row r="1415" spans="1:22" x14ac:dyDescent="0.3">
      <c r="A1415" s="61" t="s">
        <v>1825</v>
      </c>
      <c r="B1415" s="62" t="s">
        <v>317</v>
      </c>
      <c r="C1415" s="62" t="s">
        <v>318</v>
      </c>
      <c r="D1415" s="62" t="s">
        <v>1847</v>
      </c>
      <c r="E1415" s="63" t="s">
        <v>1848</v>
      </c>
      <c r="F1415" s="62" t="s">
        <v>322</v>
      </c>
      <c r="G1415" s="62" t="s">
        <v>323</v>
      </c>
      <c r="H1415" s="62"/>
      <c r="I1415" s="62"/>
      <c r="J1415" s="62"/>
      <c r="K1415" s="62" t="s">
        <v>317</v>
      </c>
      <c r="L1415" s="64">
        <v>2.06</v>
      </c>
      <c r="M1415" s="64"/>
      <c r="N1415" s="65"/>
      <c r="O1415" s="66"/>
      <c r="P1415" s="62"/>
      <c r="Q1415" s="67"/>
      <c r="R1415" s="64"/>
      <c r="S1415" s="64"/>
      <c r="T1415" s="67"/>
      <c r="U1415" s="68"/>
      <c r="V1415" s="69"/>
    </row>
    <row r="1416" spans="1:22" x14ac:dyDescent="0.3">
      <c r="A1416" s="61" t="s">
        <v>1825</v>
      </c>
      <c r="B1416" s="62" t="s">
        <v>317</v>
      </c>
      <c r="C1416" s="62" t="s">
        <v>318</v>
      </c>
      <c r="D1416" s="62" t="s">
        <v>1849</v>
      </c>
      <c r="E1416" s="63" t="s">
        <v>1848</v>
      </c>
      <c r="F1416" s="62" t="s">
        <v>322</v>
      </c>
      <c r="G1416" s="62" t="s">
        <v>323</v>
      </c>
      <c r="H1416" s="62"/>
      <c r="I1416" s="62"/>
      <c r="J1416" s="62"/>
      <c r="K1416" s="62" t="s">
        <v>317</v>
      </c>
      <c r="L1416" s="64">
        <v>2.06</v>
      </c>
      <c r="M1416" s="64"/>
      <c r="N1416" s="65"/>
      <c r="O1416" s="66"/>
      <c r="P1416" s="62"/>
      <c r="Q1416" s="67"/>
      <c r="R1416" s="64"/>
      <c r="S1416" s="64"/>
      <c r="T1416" s="67"/>
      <c r="U1416" s="68"/>
      <c r="V1416" s="69"/>
    </row>
    <row r="1417" spans="1:22" ht="28.8" x14ac:dyDescent="0.3">
      <c r="A1417" s="61" t="s">
        <v>1825</v>
      </c>
      <c r="B1417" s="62" t="s">
        <v>317</v>
      </c>
      <c r="C1417" s="62" t="s">
        <v>318</v>
      </c>
      <c r="D1417" s="62" t="s">
        <v>1538</v>
      </c>
      <c r="E1417" s="63" t="s">
        <v>1850</v>
      </c>
      <c r="F1417" s="62" t="s">
        <v>322</v>
      </c>
      <c r="G1417" s="62" t="s">
        <v>323</v>
      </c>
      <c r="H1417" s="62"/>
      <c r="I1417" s="62"/>
      <c r="J1417" s="62"/>
      <c r="K1417" s="62" t="s">
        <v>317</v>
      </c>
      <c r="L1417" s="64">
        <v>684.89</v>
      </c>
      <c r="M1417" s="64"/>
      <c r="N1417" s="65"/>
      <c r="O1417" s="66"/>
      <c r="P1417" s="62"/>
      <c r="Q1417" s="67"/>
      <c r="R1417" s="64"/>
      <c r="S1417" s="64"/>
      <c r="T1417" s="67"/>
      <c r="U1417" s="68"/>
      <c r="V1417" s="69"/>
    </row>
    <row r="1418" spans="1:22" x14ac:dyDescent="0.3">
      <c r="A1418" s="61" t="s">
        <v>1825</v>
      </c>
      <c r="B1418" s="62" t="s">
        <v>317</v>
      </c>
      <c r="C1418" s="62" t="s">
        <v>318</v>
      </c>
      <c r="D1418" s="62" t="s">
        <v>1851</v>
      </c>
      <c r="E1418" s="63" t="s">
        <v>1115</v>
      </c>
      <c r="F1418" s="62" t="s">
        <v>322</v>
      </c>
      <c r="G1418" s="62" t="s">
        <v>323</v>
      </c>
      <c r="H1418" s="62"/>
      <c r="I1418" s="62"/>
      <c r="J1418" s="62"/>
      <c r="K1418" s="62" t="s">
        <v>317</v>
      </c>
      <c r="L1418" s="64">
        <v>30.279999999999998</v>
      </c>
      <c r="M1418" s="64"/>
      <c r="N1418" s="65"/>
      <c r="O1418" s="66"/>
      <c r="P1418" s="62"/>
      <c r="Q1418" s="67"/>
      <c r="R1418" s="64"/>
      <c r="S1418" s="64"/>
      <c r="T1418" s="67"/>
      <c r="U1418" s="68"/>
      <c r="V1418" s="69"/>
    </row>
    <row r="1419" spans="1:22" ht="28.8" x14ac:dyDescent="0.3">
      <c r="A1419" s="61" t="s">
        <v>1825</v>
      </c>
      <c r="B1419" s="62" t="s">
        <v>317</v>
      </c>
      <c r="C1419" s="62" t="s">
        <v>318</v>
      </c>
      <c r="D1419" s="62" t="s">
        <v>1276</v>
      </c>
      <c r="E1419" s="63" t="s">
        <v>1852</v>
      </c>
      <c r="F1419" s="62" t="s">
        <v>322</v>
      </c>
      <c r="G1419" s="62" t="s">
        <v>323</v>
      </c>
      <c r="H1419" s="62"/>
      <c r="I1419" s="62"/>
      <c r="J1419" s="62"/>
      <c r="K1419" s="62" t="s">
        <v>317</v>
      </c>
      <c r="L1419" s="64">
        <v>146.49</v>
      </c>
      <c r="M1419" s="64"/>
      <c r="N1419" s="65"/>
      <c r="O1419" s="66"/>
      <c r="P1419" s="62"/>
      <c r="Q1419" s="67"/>
      <c r="R1419" s="64"/>
      <c r="S1419" s="64"/>
      <c r="T1419" s="67"/>
      <c r="U1419" s="68"/>
      <c r="V1419" s="69"/>
    </row>
    <row r="1420" spans="1:22" ht="28.8" x14ac:dyDescent="0.3">
      <c r="A1420" s="61" t="s">
        <v>1825</v>
      </c>
      <c r="B1420" s="62" t="s">
        <v>317</v>
      </c>
      <c r="C1420" s="62" t="s">
        <v>318</v>
      </c>
      <c r="D1420" s="62" t="s">
        <v>1141</v>
      </c>
      <c r="E1420" s="63" t="s">
        <v>1853</v>
      </c>
      <c r="F1420" s="62" t="s">
        <v>322</v>
      </c>
      <c r="G1420" s="62" t="s">
        <v>323</v>
      </c>
      <c r="H1420" s="62"/>
      <c r="I1420" s="62"/>
      <c r="J1420" s="62"/>
      <c r="K1420" s="62" t="s">
        <v>317</v>
      </c>
      <c r="L1420" s="64">
        <v>26.310000000000002</v>
      </c>
      <c r="M1420" s="64"/>
      <c r="N1420" s="65"/>
      <c r="O1420" s="66"/>
      <c r="P1420" s="62"/>
      <c r="Q1420" s="67"/>
      <c r="R1420" s="64"/>
      <c r="S1420" s="64"/>
      <c r="T1420" s="67"/>
      <c r="U1420" s="68"/>
      <c r="V1420" s="69"/>
    </row>
    <row r="1421" spans="1:22" ht="28.8" x14ac:dyDescent="0.3">
      <c r="A1421" s="61" t="s">
        <v>1825</v>
      </c>
      <c r="B1421" s="62" t="s">
        <v>317</v>
      </c>
      <c r="C1421" s="62" t="s">
        <v>318</v>
      </c>
      <c r="D1421" s="62" t="s">
        <v>1143</v>
      </c>
      <c r="E1421" s="63" t="s">
        <v>1854</v>
      </c>
      <c r="F1421" s="62" t="s">
        <v>322</v>
      </c>
      <c r="G1421" s="62" t="s">
        <v>323</v>
      </c>
      <c r="H1421" s="62"/>
      <c r="I1421" s="62"/>
      <c r="J1421" s="62"/>
      <c r="K1421" s="62" t="s">
        <v>317</v>
      </c>
      <c r="L1421" s="64">
        <v>264.56</v>
      </c>
      <c r="M1421" s="64"/>
      <c r="N1421" s="65"/>
      <c r="O1421" s="66"/>
      <c r="P1421" s="62"/>
      <c r="Q1421" s="67"/>
      <c r="R1421" s="64"/>
      <c r="S1421" s="64"/>
      <c r="T1421" s="67"/>
      <c r="U1421" s="68"/>
      <c r="V1421" s="69"/>
    </row>
    <row r="1422" spans="1:22" x14ac:dyDescent="0.3">
      <c r="A1422" s="61" t="s">
        <v>1825</v>
      </c>
      <c r="B1422" s="62" t="s">
        <v>317</v>
      </c>
      <c r="C1422" s="62" t="s">
        <v>318</v>
      </c>
      <c r="D1422" s="62" t="s">
        <v>1855</v>
      </c>
      <c r="E1422" s="63" t="s">
        <v>1856</v>
      </c>
      <c r="F1422" s="62" t="s">
        <v>322</v>
      </c>
      <c r="G1422" s="62" t="s">
        <v>323</v>
      </c>
      <c r="H1422" s="62"/>
      <c r="I1422" s="62"/>
      <c r="J1422" s="62"/>
      <c r="K1422" s="62" t="s">
        <v>317</v>
      </c>
      <c r="L1422" s="64">
        <v>13.92</v>
      </c>
      <c r="M1422" s="64"/>
      <c r="N1422" s="65"/>
      <c r="O1422" s="66"/>
      <c r="P1422" s="62"/>
      <c r="Q1422" s="67"/>
      <c r="R1422" s="64"/>
      <c r="S1422" s="64"/>
      <c r="T1422" s="67"/>
      <c r="U1422" s="68"/>
      <c r="V1422" s="69"/>
    </row>
    <row r="1423" spans="1:22" ht="28.8" x14ac:dyDescent="0.3">
      <c r="A1423" s="61" t="s">
        <v>1825</v>
      </c>
      <c r="B1423" s="62" t="s">
        <v>317</v>
      </c>
      <c r="C1423" s="62" t="s">
        <v>318</v>
      </c>
      <c r="D1423" s="62" t="s">
        <v>1146</v>
      </c>
      <c r="E1423" s="63" t="s">
        <v>1857</v>
      </c>
      <c r="F1423" s="62" t="s">
        <v>322</v>
      </c>
      <c r="G1423" s="62" t="s">
        <v>295</v>
      </c>
      <c r="H1423" s="62" t="s">
        <v>24</v>
      </c>
      <c r="I1423" s="62" t="s">
        <v>289</v>
      </c>
      <c r="J1423" s="63" t="s">
        <v>296</v>
      </c>
      <c r="K1423" s="62" t="s">
        <v>317</v>
      </c>
      <c r="L1423" s="64">
        <v>66.97</v>
      </c>
      <c r="M1423" s="64">
        <f t="shared" ref="M1423:M1430" si="444">L1423*VLOOKUP(H1423,dagsoorttabel1,2,FALSE)</f>
        <v>0.63780952380952383</v>
      </c>
      <c r="N1423" s="65">
        <f>prodnorm9</f>
        <v>0</v>
      </c>
      <c r="O1423" s="66">
        <f>dagwerk9</f>
        <v>0</v>
      </c>
      <c r="P1423" s="62" t="s">
        <v>40</v>
      </c>
      <c r="Q1423" s="67">
        <f>uurtarief9</f>
        <v>0</v>
      </c>
      <c r="R1423" s="64" t="e">
        <f t="shared" ref="R1423:R1430" si="445">IF(ISBLANK(N1423),0,M1423/ROUND(N1423,4))</f>
        <v>#DIV/0!</v>
      </c>
      <c r="S1423" s="64" t="e">
        <f t="shared" ref="S1423:S1430" si="446">IF(ISBLANK(N1423),0,R1423*ROUND(O1423,2))</f>
        <v>#DIV/0!</v>
      </c>
      <c r="T1423" s="67" t="e">
        <f t="shared" ref="T1423:T1430" si="447">ROUND(Q1423,2)*R1423</f>
        <v>#DIV/0!</v>
      </c>
      <c r="U1423" s="64" t="e">
        <f t="shared" ref="U1423:U1430" si="448">R1423*dagenperjaar1</f>
        <v>#DIV/0!</v>
      </c>
      <c r="V1423" s="69" t="e">
        <f t="shared" ref="V1423:V1430" si="449">U1423*ROUND(Q1423,2)</f>
        <v>#DIV/0!</v>
      </c>
    </row>
    <row r="1424" spans="1:22" x14ac:dyDescent="0.3">
      <c r="A1424" s="61" t="s">
        <v>1825</v>
      </c>
      <c r="B1424" s="62" t="s">
        <v>317</v>
      </c>
      <c r="C1424" s="62" t="s">
        <v>318</v>
      </c>
      <c r="D1424" s="62" t="s">
        <v>1146</v>
      </c>
      <c r="E1424" s="63" t="s">
        <v>1857</v>
      </c>
      <c r="F1424" s="62" t="s">
        <v>322</v>
      </c>
      <c r="G1424" s="62" t="s">
        <v>260</v>
      </c>
      <c r="H1424" s="62" t="s">
        <v>11</v>
      </c>
      <c r="I1424" s="62" t="s">
        <v>210</v>
      </c>
      <c r="J1424" s="63" t="s">
        <v>261</v>
      </c>
      <c r="K1424" s="62" t="s">
        <v>317</v>
      </c>
      <c r="L1424" s="64">
        <v>66.97</v>
      </c>
      <c r="M1424" s="64">
        <f t="shared" si="444"/>
        <v>66.97</v>
      </c>
      <c r="N1424" s="65">
        <f>prodnorm36</f>
        <v>0</v>
      </c>
      <c r="O1424" s="66">
        <f>dagwerk36</f>
        <v>0</v>
      </c>
      <c r="P1424" s="62" t="s">
        <v>40</v>
      </c>
      <c r="Q1424" s="67">
        <f>uurtarief36</f>
        <v>0</v>
      </c>
      <c r="R1424" s="64" t="e">
        <f t="shared" si="445"/>
        <v>#DIV/0!</v>
      </c>
      <c r="S1424" s="64" t="e">
        <f t="shared" si="446"/>
        <v>#DIV/0!</v>
      </c>
      <c r="T1424" s="67" t="e">
        <f t="shared" si="447"/>
        <v>#DIV/0!</v>
      </c>
      <c r="U1424" s="64" t="e">
        <f t="shared" si="448"/>
        <v>#DIV/0!</v>
      </c>
      <c r="V1424" s="69" t="e">
        <f t="shared" si="449"/>
        <v>#DIV/0!</v>
      </c>
    </row>
    <row r="1425" spans="1:22" ht="28.8" x14ac:dyDescent="0.3">
      <c r="A1425" s="61" t="s">
        <v>1825</v>
      </c>
      <c r="B1425" s="62" t="s">
        <v>317</v>
      </c>
      <c r="C1425" s="62" t="s">
        <v>318</v>
      </c>
      <c r="D1425" s="62" t="s">
        <v>1147</v>
      </c>
      <c r="E1425" s="63" t="s">
        <v>1858</v>
      </c>
      <c r="F1425" s="62" t="s">
        <v>322</v>
      </c>
      <c r="G1425" s="62" t="s">
        <v>295</v>
      </c>
      <c r="H1425" s="62" t="s">
        <v>24</v>
      </c>
      <c r="I1425" s="62" t="s">
        <v>289</v>
      </c>
      <c r="J1425" s="63" t="s">
        <v>296</v>
      </c>
      <c r="K1425" s="62" t="s">
        <v>317</v>
      </c>
      <c r="L1425" s="64">
        <v>107.93</v>
      </c>
      <c r="M1425" s="64">
        <f t="shared" si="444"/>
        <v>1.0279047619047621</v>
      </c>
      <c r="N1425" s="65">
        <f>prodnorm9</f>
        <v>0</v>
      </c>
      <c r="O1425" s="66">
        <f>dagwerk9</f>
        <v>0</v>
      </c>
      <c r="P1425" s="62" t="s">
        <v>40</v>
      </c>
      <c r="Q1425" s="67">
        <f>uurtarief9</f>
        <v>0</v>
      </c>
      <c r="R1425" s="64" t="e">
        <f t="shared" si="445"/>
        <v>#DIV/0!</v>
      </c>
      <c r="S1425" s="64" t="e">
        <f t="shared" si="446"/>
        <v>#DIV/0!</v>
      </c>
      <c r="T1425" s="67" t="e">
        <f t="shared" si="447"/>
        <v>#DIV/0!</v>
      </c>
      <c r="U1425" s="64" t="e">
        <f t="shared" si="448"/>
        <v>#DIV/0!</v>
      </c>
      <c r="V1425" s="69" t="e">
        <f t="shared" si="449"/>
        <v>#DIV/0!</v>
      </c>
    </row>
    <row r="1426" spans="1:22" x14ac:dyDescent="0.3">
      <c r="A1426" s="61" t="s">
        <v>1825</v>
      </c>
      <c r="B1426" s="62" t="s">
        <v>317</v>
      </c>
      <c r="C1426" s="62" t="s">
        <v>318</v>
      </c>
      <c r="D1426" s="62" t="s">
        <v>1147</v>
      </c>
      <c r="E1426" s="63" t="s">
        <v>1858</v>
      </c>
      <c r="F1426" s="62" t="s">
        <v>322</v>
      </c>
      <c r="G1426" s="62" t="s">
        <v>260</v>
      </c>
      <c r="H1426" s="62" t="s">
        <v>11</v>
      </c>
      <c r="I1426" s="62" t="s">
        <v>210</v>
      </c>
      <c r="J1426" s="63" t="s">
        <v>261</v>
      </c>
      <c r="K1426" s="62" t="s">
        <v>317</v>
      </c>
      <c r="L1426" s="64">
        <v>107.93</v>
      </c>
      <c r="M1426" s="64">
        <f t="shared" si="444"/>
        <v>107.93</v>
      </c>
      <c r="N1426" s="65">
        <f>prodnorm36</f>
        <v>0</v>
      </c>
      <c r="O1426" s="66">
        <f>dagwerk36</f>
        <v>0</v>
      </c>
      <c r="P1426" s="62" t="s">
        <v>40</v>
      </c>
      <c r="Q1426" s="67">
        <f>uurtarief36</f>
        <v>0</v>
      </c>
      <c r="R1426" s="64" t="e">
        <f t="shared" si="445"/>
        <v>#DIV/0!</v>
      </c>
      <c r="S1426" s="64" t="e">
        <f t="shared" si="446"/>
        <v>#DIV/0!</v>
      </c>
      <c r="T1426" s="67" t="e">
        <f t="shared" si="447"/>
        <v>#DIV/0!</v>
      </c>
      <c r="U1426" s="64" t="e">
        <f t="shared" si="448"/>
        <v>#DIV/0!</v>
      </c>
      <c r="V1426" s="69" t="e">
        <f t="shared" si="449"/>
        <v>#DIV/0!</v>
      </c>
    </row>
    <row r="1427" spans="1:22" x14ac:dyDescent="0.3">
      <c r="A1427" s="61" t="s">
        <v>1825</v>
      </c>
      <c r="B1427" s="62" t="s">
        <v>317</v>
      </c>
      <c r="C1427" s="62" t="s">
        <v>318</v>
      </c>
      <c r="D1427" s="62" t="s">
        <v>1148</v>
      </c>
      <c r="E1427" s="63" t="s">
        <v>613</v>
      </c>
      <c r="F1427" s="62" t="s">
        <v>322</v>
      </c>
      <c r="G1427" s="62" t="s">
        <v>272</v>
      </c>
      <c r="H1427" s="62" t="s">
        <v>11</v>
      </c>
      <c r="I1427" s="62" t="s">
        <v>210</v>
      </c>
      <c r="J1427" s="63" t="s">
        <v>273</v>
      </c>
      <c r="K1427" s="62" t="s">
        <v>317</v>
      </c>
      <c r="L1427" s="64">
        <v>36.6</v>
      </c>
      <c r="M1427" s="64">
        <f t="shared" si="444"/>
        <v>36.6</v>
      </c>
      <c r="N1427" s="65">
        <f>prodnorm42</f>
        <v>0</v>
      </c>
      <c r="O1427" s="66">
        <f>dagwerk42</f>
        <v>0</v>
      </c>
      <c r="P1427" s="62" t="s">
        <v>40</v>
      </c>
      <c r="Q1427" s="67">
        <f>uurtarief42</f>
        <v>0</v>
      </c>
      <c r="R1427" s="64" t="e">
        <f t="shared" si="445"/>
        <v>#DIV/0!</v>
      </c>
      <c r="S1427" s="64" t="e">
        <f t="shared" si="446"/>
        <v>#DIV/0!</v>
      </c>
      <c r="T1427" s="67" t="e">
        <f t="shared" si="447"/>
        <v>#DIV/0!</v>
      </c>
      <c r="U1427" s="64" t="e">
        <f t="shared" si="448"/>
        <v>#DIV/0!</v>
      </c>
      <c r="V1427" s="69" t="e">
        <f t="shared" si="449"/>
        <v>#DIV/0!</v>
      </c>
    </row>
    <row r="1428" spans="1:22" x14ac:dyDescent="0.3">
      <c r="A1428" s="61" t="s">
        <v>1825</v>
      </c>
      <c r="B1428" s="62" t="s">
        <v>317</v>
      </c>
      <c r="C1428" s="62" t="s">
        <v>318</v>
      </c>
      <c r="D1428" s="62" t="s">
        <v>1149</v>
      </c>
      <c r="E1428" s="63" t="s">
        <v>1859</v>
      </c>
      <c r="F1428" s="62" t="s">
        <v>335</v>
      </c>
      <c r="G1428" s="62" t="s">
        <v>266</v>
      </c>
      <c r="H1428" s="62" t="s">
        <v>11</v>
      </c>
      <c r="I1428" s="62" t="s">
        <v>210</v>
      </c>
      <c r="J1428" s="63" t="s">
        <v>267</v>
      </c>
      <c r="K1428" s="62" t="s">
        <v>317</v>
      </c>
      <c r="L1428" s="64">
        <v>10.029999999999999</v>
      </c>
      <c r="M1428" s="64">
        <f t="shared" si="444"/>
        <v>10.029999999999999</v>
      </c>
      <c r="N1428" s="65">
        <f>prodnorm39</f>
        <v>0</v>
      </c>
      <c r="O1428" s="66">
        <f>dagwerk39</f>
        <v>0</v>
      </c>
      <c r="P1428" s="62" t="s">
        <v>40</v>
      </c>
      <c r="Q1428" s="67">
        <f>uurtarief39</f>
        <v>0</v>
      </c>
      <c r="R1428" s="64" t="e">
        <f t="shared" si="445"/>
        <v>#DIV/0!</v>
      </c>
      <c r="S1428" s="64" t="e">
        <f t="shared" si="446"/>
        <v>#DIV/0!</v>
      </c>
      <c r="T1428" s="67" t="e">
        <f t="shared" si="447"/>
        <v>#DIV/0!</v>
      </c>
      <c r="U1428" s="64" t="e">
        <f t="shared" si="448"/>
        <v>#DIV/0!</v>
      </c>
      <c r="V1428" s="69" t="e">
        <f t="shared" si="449"/>
        <v>#DIV/0!</v>
      </c>
    </row>
    <row r="1429" spans="1:22" x14ac:dyDescent="0.3">
      <c r="A1429" s="61" t="s">
        <v>1825</v>
      </c>
      <c r="B1429" s="62" t="s">
        <v>317</v>
      </c>
      <c r="C1429" s="62" t="s">
        <v>318</v>
      </c>
      <c r="D1429" s="62" t="s">
        <v>1150</v>
      </c>
      <c r="E1429" s="63" t="s">
        <v>394</v>
      </c>
      <c r="F1429" s="62" t="s">
        <v>322</v>
      </c>
      <c r="G1429" s="62" t="s">
        <v>272</v>
      </c>
      <c r="H1429" s="62" t="s">
        <v>11</v>
      </c>
      <c r="I1429" s="62" t="s">
        <v>210</v>
      </c>
      <c r="J1429" s="63" t="s">
        <v>273</v>
      </c>
      <c r="K1429" s="62" t="s">
        <v>317</v>
      </c>
      <c r="L1429" s="64">
        <v>4.2700000000000005</v>
      </c>
      <c r="M1429" s="64">
        <f t="shared" si="444"/>
        <v>4.2700000000000005</v>
      </c>
      <c r="N1429" s="65">
        <f>prodnorm42</f>
        <v>0</v>
      </c>
      <c r="O1429" s="66">
        <f>dagwerk42</f>
        <v>0</v>
      </c>
      <c r="P1429" s="62" t="s">
        <v>40</v>
      </c>
      <c r="Q1429" s="67">
        <f>uurtarief42</f>
        <v>0</v>
      </c>
      <c r="R1429" s="64" t="e">
        <f t="shared" si="445"/>
        <v>#DIV/0!</v>
      </c>
      <c r="S1429" s="64" t="e">
        <f t="shared" si="446"/>
        <v>#DIV/0!</v>
      </c>
      <c r="T1429" s="67" t="e">
        <f t="shared" si="447"/>
        <v>#DIV/0!</v>
      </c>
      <c r="U1429" s="64" t="e">
        <f t="shared" si="448"/>
        <v>#DIV/0!</v>
      </c>
      <c r="V1429" s="69" t="e">
        <f t="shared" si="449"/>
        <v>#DIV/0!</v>
      </c>
    </row>
    <row r="1430" spans="1:22" x14ac:dyDescent="0.3">
      <c r="A1430" s="61" t="s">
        <v>1825</v>
      </c>
      <c r="B1430" s="62" t="s">
        <v>317</v>
      </c>
      <c r="C1430" s="62" t="s">
        <v>318</v>
      </c>
      <c r="D1430" s="62" t="s">
        <v>1860</v>
      </c>
      <c r="E1430" s="63" t="s">
        <v>1268</v>
      </c>
      <c r="F1430" s="62" t="s">
        <v>377</v>
      </c>
      <c r="G1430" s="62" t="s">
        <v>286</v>
      </c>
      <c r="H1430" s="62" t="s">
        <v>11</v>
      </c>
      <c r="I1430" s="62" t="s">
        <v>210</v>
      </c>
      <c r="J1430" s="63" t="s">
        <v>287</v>
      </c>
      <c r="K1430" s="62" t="s">
        <v>317</v>
      </c>
      <c r="L1430" s="64">
        <v>4.92</v>
      </c>
      <c r="M1430" s="64">
        <f t="shared" si="444"/>
        <v>4.92</v>
      </c>
      <c r="N1430" s="65">
        <f>prodnorm49</f>
        <v>0</v>
      </c>
      <c r="O1430" s="66">
        <f>dagwerk49</f>
        <v>0</v>
      </c>
      <c r="P1430" s="62" t="s">
        <v>40</v>
      </c>
      <c r="Q1430" s="67">
        <f>uurtarief49</f>
        <v>0</v>
      </c>
      <c r="R1430" s="64" t="e">
        <f t="shared" si="445"/>
        <v>#DIV/0!</v>
      </c>
      <c r="S1430" s="64" t="e">
        <f t="shared" si="446"/>
        <v>#DIV/0!</v>
      </c>
      <c r="T1430" s="67" t="e">
        <f t="shared" si="447"/>
        <v>#DIV/0!</v>
      </c>
      <c r="U1430" s="64" t="e">
        <f t="shared" si="448"/>
        <v>#DIV/0!</v>
      </c>
      <c r="V1430" s="69" t="e">
        <f t="shared" si="449"/>
        <v>#DIV/0!</v>
      </c>
    </row>
    <row r="1431" spans="1:22" x14ac:dyDescent="0.3">
      <c r="A1431" s="61" t="s">
        <v>1825</v>
      </c>
      <c r="B1431" s="62" t="s">
        <v>317</v>
      </c>
      <c r="C1431" s="62" t="s">
        <v>318</v>
      </c>
      <c r="D1431" s="62" t="s">
        <v>1151</v>
      </c>
      <c r="E1431" s="63" t="s">
        <v>1861</v>
      </c>
      <c r="F1431" s="62" t="s">
        <v>322</v>
      </c>
      <c r="G1431" s="62" t="s">
        <v>323</v>
      </c>
      <c r="H1431" s="62"/>
      <c r="I1431" s="62"/>
      <c r="J1431" s="62"/>
      <c r="K1431" s="62" t="s">
        <v>317</v>
      </c>
      <c r="L1431" s="64">
        <v>4.38</v>
      </c>
      <c r="M1431" s="64"/>
      <c r="N1431" s="65"/>
      <c r="O1431" s="66"/>
      <c r="P1431" s="62"/>
      <c r="Q1431" s="67"/>
      <c r="R1431" s="64"/>
      <c r="S1431" s="64"/>
      <c r="T1431" s="67"/>
      <c r="U1431" s="68"/>
      <c r="V1431" s="69"/>
    </row>
    <row r="1432" spans="1:22" ht="28.8" x14ac:dyDescent="0.3">
      <c r="A1432" s="61" t="s">
        <v>1825</v>
      </c>
      <c r="B1432" s="62" t="s">
        <v>317</v>
      </c>
      <c r="C1432" s="62" t="s">
        <v>629</v>
      </c>
      <c r="D1432" s="62" t="s">
        <v>1127</v>
      </c>
      <c r="E1432" s="63" t="s">
        <v>1862</v>
      </c>
      <c r="F1432" s="62" t="s">
        <v>322</v>
      </c>
      <c r="G1432" s="62" t="s">
        <v>214</v>
      </c>
      <c r="H1432" s="62" t="s">
        <v>14</v>
      </c>
      <c r="I1432" s="62" t="s">
        <v>210</v>
      </c>
      <c r="J1432" s="63" t="s">
        <v>215</v>
      </c>
      <c r="K1432" s="62" t="s">
        <v>317</v>
      </c>
      <c r="L1432" s="64">
        <v>50.3</v>
      </c>
      <c r="M1432" s="64">
        <f t="shared" ref="M1432:M1438" si="450">L1432*VLOOKUP(H1432,dagsoorttabel1,2,FALSE)</f>
        <v>30.179999999999996</v>
      </c>
      <c r="N1432" s="65">
        <f>prodnorm12</f>
        <v>0</v>
      </c>
      <c r="O1432" s="66">
        <f>dagwerk12</f>
        <v>0</v>
      </c>
      <c r="P1432" s="62" t="s">
        <v>40</v>
      </c>
      <c r="Q1432" s="67">
        <f>uurtarief12</f>
        <v>0</v>
      </c>
      <c r="R1432" s="64" t="e">
        <f t="shared" ref="R1432:R1438" si="451">IF(ISBLANK(N1432),0,M1432/ROUND(N1432,4))</f>
        <v>#DIV/0!</v>
      </c>
      <c r="S1432" s="64" t="e">
        <f t="shared" ref="S1432:S1438" si="452">IF(ISBLANK(N1432),0,R1432*ROUND(O1432,2))</f>
        <v>#DIV/0!</v>
      </c>
      <c r="T1432" s="67" t="e">
        <f t="shared" ref="T1432:T1438" si="453">ROUND(Q1432,2)*R1432</f>
        <v>#DIV/0!</v>
      </c>
      <c r="U1432" s="64" t="e">
        <f t="shared" ref="U1432:U1438" si="454">R1432*dagenperjaar1</f>
        <v>#DIV/0!</v>
      </c>
      <c r="V1432" s="69" t="e">
        <f t="shared" ref="V1432:V1438" si="455">U1432*ROUND(Q1432,2)</f>
        <v>#DIV/0!</v>
      </c>
    </row>
    <row r="1433" spans="1:22" ht="28.8" x14ac:dyDescent="0.3">
      <c r="A1433" s="61" t="s">
        <v>1825</v>
      </c>
      <c r="B1433" s="62" t="s">
        <v>317</v>
      </c>
      <c r="C1433" s="62" t="s">
        <v>629</v>
      </c>
      <c r="D1433" s="62" t="s">
        <v>1128</v>
      </c>
      <c r="E1433" s="63" t="s">
        <v>1863</v>
      </c>
      <c r="F1433" s="62" t="s">
        <v>322</v>
      </c>
      <c r="G1433" s="62" t="s">
        <v>214</v>
      </c>
      <c r="H1433" s="62" t="s">
        <v>14</v>
      </c>
      <c r="I1433" s="62" t="s">
        <v>210</v>
      </c>
      <c r="J1433" s="63" t="s">
        <v>215</v>
      </c>
      <c r="K1433" s="62" t="s">
        <v>317</v>
      </c>
      <c r="L1433" s="64">
        <v>49.36</v>
      </c>
      <c r="M1433" s="64">
        <f t="shared" si="450"/>
        <v>29.616</v>
      </c>
      <c r="N1433" s="65">
        <f>prodnorm12</f>
        <v>0</v>
      </c>
      <c r="O1433" s="66">
        <f>dagwerk12</f>
        <v>0</v>
      </c>
      <c r="P1433" s="62" t="s">
        <v>40</v>
      </c>
      <c r="Q1433" s="67">
        <f>uurtarief12</f>
        <v>0</v>
      </c>
      <c r="R1433" s="64" t="e">
        <f t="shared" si="451"/>
        <v>#DIV/0!</v>
      </c>
      <c r="S1433" s="64" t="e">
        <f t="shared" si="452"/>
        <v>#DIV/0!</v>
      </c>
      <c r="T1433" s="67" t="e">
        <f t="shared" si="453"/>
        <v>#DIV/0!</v>
      </c>
      <c r="U1433" s="64" t="e">
        <f t="shared" si="454"/>
        <v>#DIV/0!</v>
      </c>
      <c r="V1433" s="69" t="e">
        <f t="shared" si="455"/>
        <v>#DIV/0!</v>
      </c>
    </row>
    <row r="1434" spans="1:22" x14ac:dyDescent="0.3">
      <c r="A1434" s="61" t="s">
        <v>1825</v>
      </c>
      <c r="B1434" s="62" t="s">
        <v>317</v>
      </c>
      <c r="C1434" s="62" t="s">
        <v>629</v>
      </c>
      <c r="D1434" s="62" t="s">
        <v>1129</v>
      </c>
      <c r="E1434" s="63" t="s">
        <v>1864</v>
      </c>
      <c r="F1434" s="62" t="s">
        <v>322</v>
      </c>
      <c r="G1434" s="62" t="s">
        <v>214</v>
      </c>
      <c r="H1434" s="62" t="s">
        <v>14</v>
      </c>
      <c r="I1434" s="62" t="s">
        <v>210</v>
      </c>
      <c r="J1434" s="63" t="s">
        <v>215</v>
      </c>
      <c r="K1434" s="62" t="s">
        <v>317</v>
      </c>
      <c r="L1434" s="64">
        <v>19.059999999999999</v>
      </c>
      <c r="M1434" s="64">
        <f t="shared" si="450"/>
        <v>11.435999999999998</v>
      </c>
      <c r="N1434" s="65">
        <f>prodnorm12</f>
        <v>0</v>
      </c>
      <c r="O1434" s="66">
        <f>dagwerk12</f>
        <v>0</v>
      </c>
      <c r="P1434" s="62" t="s">
        <v>40</v>
      </c>
      <c r="Q1434" s="67">
        <f>uurtarief12</f>
        <v>0</v>
      </c>
      <c r="R1434" s="64" t="e">
        <f t="shared" si="451"/>
        <v>#DIV/0!</v>
      </c>
      <c r="S1434" s="64" t="e">
        <f t="shared" si="452"/>
        <v>#DIV/0!</v>
      </c>
      <c r="T1434" s="67" t="e">
        <f t="shared" si="453"/>
        <v>#DIV/0!</v>
      </c>
      <c r="U1434" s="64" t="e">
        <f t="shared" si="454"/>
        <v>#DIV/0!</v>
      </c>
      <c r="V1434" s="69" t="e">
        <f t="shared" si="455"/>
        <v>#DIV/0!</v>
      </c>
    </row>
    <row r="1435" spans="1:22" x14ac:dyDescent="0.3">
      <c r="A1435" s="61" t="s">
        <v>1825</v>
      </c>
      <c r="B1435" s="62" t="s">
        <v>317</v>
      </c>
      <c r="C1435" s="62" t="s">
        <v>629</v>
      </c>
      <c r="D1435" s="62" t="s">
        <v>1130</v>
      </c>
      <c r="E1435" s="63" t="s">
        <v>400</v>
      </c>
      <c r="F1435" s="62" t="s">
        <v>322</v>
      </c>
      <c r="G1435" s="62" t="s">
        <v>214</v>
      </c>
      <c r="H1435" s="62" t="s">
        <v>14</v>
      </c>
      <c r="I1435" s="62" t="s">
        <v>210</v>
      </c>
      <c r="J1435" s="63" t="s">
        <v>215</v>
      </c>
      <c r="K1435" s="62" t="s">
        <v>317</v>
      </c>
      <c r="L1435" s="64">
        <v>19.600000000000001</v>
      </c>
      <c r="M1435" s="64">
        <f t="shared" si="450"/>
        <v>11.76</v>
      </c>
      <c r="N1435" s="65">
        <f>prodnorm12</f>
        <v>0</v>
      </c>
      <c r="O1435" s="66">
        <f>dagwerk12</f>
        <v>0</v>
      </c>
      <c r="P1435" s="62" t="s">
        <v>40</v>
      </c>
      <c r="Q1435" s="67">
        <f>uurtarief12</f>
        <v>0</v>
      </c>
      <c r="R1435" s="64" t="e">
        <f t="shared" si="451"/>
        <v>#DIV/0!</v>
      </c>
      <c r="S1435" s="64" t="e">
        <f t="shared" si="452"/>
        <v>#DIV/0!</v>
      </c>
      <c r="T1435" s="67" t="e">
        <f t="shared" si="453"/>
        <v>#DIV/0!</v>
      </c>
      <c r="U1435" s="64" t="e">
        <f t="shared" si="454"/>
        <v>#DIV/0!</v>
      </c>
      <c r="V1435" s="69" t="e">
        <f t="shared" si="455"/>
        <v>#DIV/0!</v>
      </c>
    </row>
    <row r="1436" spans="1:22" x14ac:dyDescent="0.3">
      <c r="A1436" s="61" t="s">
        <v>1825</v>
      </c>
      <c r="B1436" s="62" t="s">
        <v>317</v>
      </c>
      <c r="C1436" s="62" t="s">
        <v>629</v>
      </c>
      <c r="D1436" s="62" t="s">
        <v>1131</v>
      </c>
      <c r="E1436" s="63" t="s">
        <v>1865</v>
      </c>
      <c r="F1436" s="62" t="s">
        <v>322</v>
      </c>
      <c r="G1436" s="62" t="s">
        <v>272</v>
      </c>
      <c r="H1436" s="62" t="s">
        <v>11</v>
      </c>
      <c r="I1436" s="62" t="s">
        <v>210</v>
      </c>
      <c r="J1436" s="63" t="s">
        <v>273</v>
      </c>
      <c r="K1436" s="62" t="s">
        <v>317</v>
      </c>
      <c r="L1436" s="64">
        <v>8.49</v>
      </c>
      <c r="M1436" s="64">
        <f t="shared" si="450"/>
        <v>8.49</v>
      </c>
      <c r="N1436" s="65">
        <f>prodnorm42</f>
        <v>0</v>
      </c>
      <c r="O1436" s="66">
        <f>dagwerk42</f>
        <v>0</v>
      </c>
      <c r="P1436" s="62" t="s">
        <v>40</v>
      </c>
      <c r="Q1436" s="67">
        <f>uurtarief42</f>
        <v>0</v>
      </c>
      <c r="R1436" s="64" t="e">
        <f t="shared" si="451"/>
        <v>#DIV/0!</v>
      </c>
      <c r="S1436" s="64" t="e">
        <f t="shared" si="452"/>
        <v>#DIV/0!</v>
      </c>
      <c r="T1436" s="67" t="e">
        <f t="shared" si="453"/>
        <v>#DIV/0!</v>
      </c>
      <c r="U1436" s="64" t="e">
        <f t="shared" si="454"/>
        <v>#DIV/0!</v>
      </c>
      <c r="V1436" s="69" t="e">
        <f t="shared" si="455"/>
        <v>#DIV/0!</v>
      </c>
    </row>
    <row r="1437" spans="1:22" x14ac:dyDescent="0.3">
      <c r="A1437" s="61" t="s">
        <v>1825</v>
      </c>
      <c r="B1437" s="62" t="s">
        <v>317</v>
      </c>
      <c r="C1437" s="62" t="s">
        <v>629</v>
      </c>
      <c r="D1437" s="62" t="s">
        <v>1202</v>
      </c>
      <c r="E1437" s="63" t="s">
        <v>613</v>
      </c>
      <c r="F1437" s="62" t="s">
        <v>322</v>
      </c>
      <c r="G1437" s="62" t="s">
        <v>272</v>
      </c>
      <c r="H1437" s="62" t="s">
        <v>11</v>
      </c>
      <c r="I1437" s="62" t="s">
        <v>210</v>
      </c>
      <c r="J1437" s="63" t="s">
        <v>273</v>
      </c>
      <c r="K1437" s="62" t="s">
        <v>317</v>
      </c>
      <c r="L1437" s="64">
        <v>17.919999999999998</v>
      </c>
      <c r="M1437" s="64">
        <f t="shared" si="450"/>
        <v>17.919999999999998</v>
      </c>
      <c r="N1437" s="65">
        <f>prodnorm42</f>
        <v>0</v>
      </c>
      <c r="O1437" s="66">
        <f>dagwerk42</f>
        <v>0</v>
      </c>
      <c r="P1437" s="62" t="s">
        <v>40</v>
      </c>
      <c r="Q1437" s="67">
        <f>uurtarief42</f>
        <v>0</v>
      </c>
      <c r="R1437" s="64" t="e">
        <f t="shared" si="451"/>
        <v>#DIV/0!</v>
      </c>
      <c r="S1437" s="64" t="e">
        <f t="shared" si="452"/>
        <v>#DIV/0!</v>
      </c>
      <c r="T1437" s="67" t="e">
        <f t="shared" si="453"/>
        <v>#DIV/0!</v>
      </c>
      <c r="U1437" s="64" t="e">
        <f t="shared" si="454"/>
        <v>#DIV/0!</v>
      </c>
      <c r="V1437" s="69" t="e">
        <f t="shared" si="455"/>
        <v>#DIV/0!</v>
      </c>
    </row>
    <row r="1438" spans="1:22" x14ac:dyDescent="0.3">
      <c r="A1438" s="61" t="s">
        <v>1825</v>
      </c>
      <c r="B1438" s="62" t="s">
        <v>317</v>
      </c>
      <c r="C1438" s="62" t="s">
        <v>629</v>
      </c>
      <c r="D1438" s="62" t="s">
        <v>1866</v>
      </c>
      <c r="E1438" s="63" t="s">
        <v>1415</v>
      </c>
      <c r="F1438" s="62" t="s">
        <v>377</v>
      </c>
      <c r="G1438" s="62" t="s">
        <v>286</v>
      </c>
      <c r="H1438" s="62" t="s">
        <v>11</v>
      </c>
      <c r="I1438" s="62" t="s">
        <v>210</v>
      </c>
      <c r="J1438" s="63" t="s">
        <v>287</v>
      </c>
      <c r="K1438" s="62" t="s">
        <v>317</v>
      </c>
      <c r="L1438" s="64">
        <v>4.9300000000000006</v>
      </c>
      <c r="M1438" s="64">
        <f t="shared" si="450"/>
        <v>4.9300000000000006</v>
      </c>
      <c r="N1438" s="65">
        <f>prodnorm49</f>
        <v>0</v>
      </c>
      <c r="O1438" s="66">
        <f>dagwerk49</f>
        <v>0</v>
      </c>
      <c r="P1438" s="62" t="s">
        <v>40</v>
      </c>
      <c r="Q1438" s="67">
        <f>uurtarief49</f>
        <v>0</v>
      </c>
      <c r="R1438" s="64" t="e">
        <f t="shared" si="451"/>
        <v>#DIV/0!</v>
      </c>
      <c r="S1438" s="64" t="e">
        <f t="shared" si="452"/>
        <v>#DIV/0!</v>
      </c>
      <c r="T1438" s="67" t="e">
        <f t="shared" si="453"/>
        <v>#DIV/0!</v>
      </c>
      <c r="U1438" s="64" t="e">
        <f t="shared" si="454"/>
        <v>#DIV/0!</v>
      </c>
      <c r="V1438" s="69" t="e">
        <f t="shared" si="455"/>
        <v>#DIV/0!</v>
      </c>
    </row>
    <row r="1439" spans="1:22" x14ac:dyDescent="0.3">
      <c r="A1439" s="61" t="s">
        <v>1825</v>
      </c>
      <c r="B1439" s="62" t="s">
        <v>317</v>
      </c>
      <c r="C1439" s="62" t="s">
        <v>629</v>
      </c>
      <c r="D1439" s="62" t="s">
        <v>1203</v>
      </c>
      <c r="E1439" s="63" t="s">
        <v>553</v>
      </c>
      <c r="F1439" s="62" t="s">
        <v>322</v>
      </c>
      <c r="G1439" s="62" t="s">
        <v>323</v>
      </c>
      <c r="H1439" s="62"/>
      <c r="I1439" s="62"/>
      <c r="J1439" s="62"/>
      <c r="K1439" s="62" t="s">
        <v>317</v>
      </c>
      <c r="L1439" s="64">
        <v>15.03</v>
      </c>
      <c r="M1439" s="64"/>
      <c r="N1439" s="65"/>
      <c r="O1439" s="66"/>
      <c r="P1439" s="62"/>
      <c r="Q1439" s="67"/>
      <c r="R1439" s="64"/>
      <c r="S1439" s="64"/>
      <c r="T1439" s="67"/>
      <c r="U1439" s="68"/>
      <c r="V1439" s="69"/>
    </row>
    <row r="1440" spans="1:22" x14ac:dyDescent="0.3">
      <c r="A1440" s="61" t="s">
        <v>1825</v>
      </c>
      <c r="B1440" s="62" t="s">
        <v>317</v>
      </c>
      <c r="C1440" s="62" t="s">
        <v>629</v>
      </c>
      <c r="D1440" s="62" t="s">
        <v>1867</v>
      </c>
      <c r="E1440" s="63" t="s">
        <v>1415</v>
      </c>
      <c r="F1440" s="62" t="s">
        <v>377</v>
      </c>
      <c r="G1440" s="62" t="s">
        <v>323</v>
      </c>
      <c r="H1440" s="62"/>
      <c r="I1440" s="62"/>
      <c r="J1440" s="62"/>
      <c r="K1440" s="62" t="s">
        <v>317</v>
      </c>
      <c r="L1440" s="64">
        <v>3.66</v>
      </c>
      <c r="M1440" s="64"/>
      <c r="N1440" s="65"/>
      <c r="O1440" s="66"/>
      <c r="P1440" s="62"/>
      <c r="Q1440" s="67"/>
      <c r="R1440" s="64"/>
      <c r="S1440" s="64"/>
      <c r="T1440" s="67"/>
      <c r="U1440" s="68"/>
      <c r="V1440" s="69"/>
    </row>
    <row r="1441" spans="1:22" x14ac:dyDescent="0.3">
      <c r="A1441" s="61" t="s">
        <v>1825</v>
      </c>
      <c r="B1441" s="62" t="s">
        <v>317</v>
      </c>
      <c r="C1441" s="62" t="s">
        <v>629</v>
      </c>
      <c r="D1441" s="62" t="s">
        <v>1204</v>
      </c>
      <c r="E1441" s="63" t="s">
        <v>1868</v>
      </c>
      <c r="F1441" s="62" t="s">
        <v>357</v>
      </c>
      <c r="G1441" s="62" t="s">
        <v>209</v>
      </c>
      <c r="H1441" s="62" t="s">
        <v>17</v>
      </c>
      <c r="I1441" s="62" t="s">
        <v>210</v>
      </c>
      <c r="J1441" s="63" t="s">
        <v>211</v>
      </c>
      <c r="K1441" s="62" t="s">
        <v>317</v>
      </c>
      <c r="L1441" s="64">
        <v>47.190000000000005</v>
      </c>
      <c r="M1441" s="64">
        <f>L1441*VLOOKUP(H1441,dagsoorttabel1,2,FALSE)</f>
        <v>9.4380000000000006</v>
      </c>
      <c r="N1441" s="65">
        <f>prodnorm10</f>
        <v>0</v>
      </c>
      <c r="O1441" s="66">
        <f>dagwerk10</f>
        <v>0</v>
      </c>
      <c r="P1441" s="62" t="s">
        <v>40</v>
      </c>
      <c r="Q1441" s="67">
        <f>uurtarief10</f>
        <v>0</v>
      </c>
      <c r="R1441" s="64" t="e">
        <f>IF(ISBLANK(N1441),0,M1441/ROUND(N1441,4))</f>
        <v>#DIV/0!</v>
      </c>
      <c r="S1441" s="64" t="e">
        <f>IF(ISBLANK(N1441),0,R1441*ROUND(O1441,2))</f>
        <v>#DIV/0!</v>
      </c>
      <c r="T1441" s="67" t="e">
        <f>ROUND(Q1441,2)*R1441</f>
        <v>#DIV/0!</v>
      </c>
      <c r="U1441" s="64" t="e">
        <f>R1441*dagenperjaar1</f>
        <v>#DIV/0!</v>
      </c>
      <c r="V1441" s="69" t="e">
        <f>U1441*ROUND(Q1441,2)</f>
        <v>#DIV/0!</v>
      </c>
    </row>
    <row r="1442" spans="1:22" x14ac:dyDescent="0.3">
      <c r="A1442" s="61" t="s">
        <v>1825</v>
      </c>
      <c r="B1442" s="62" t="s">
        <v>317</v>
      </c>
      <c r="C1442" s="62" t="s">
        <v>629</v>
      </c>
      <c r="D1442" s="62" t="s">
        <v>1206</v>
      </c>
      <c r="E1442" s="63" t="s">
        <v>1869</v>
      </c>
      <c r="F1442" s="62" t="s">
        <v>357</v>
      </c>
      <c r="G1442" s="62" t="s">
        <v>234</v>
      </c>
      <c r="H1442" s="62" t="s">
        <v>14</v>
      </c>
      <c r="I1442" s="62" t="s">
        <v>210</v>
      </c>
      <c r="J1442" s="63" t="s">
        <v>235</v>
      </c>
      <c r="K1442" s="62" t="s">
        <v>317</v>
      </c>
      <c r="L1442" s="64">
        <v>52.15</v>
      </c>
      <c r="M1442" s="64">
        <f>L1442*VLOOKUP(H1442,dagsoorttabel1,2,FALSE)</f>
        <v>31.29</v>
      </c>
      <c r="N1442" s="65">
        <f>prodnorm22</f>
        <v>0</v>
      </c>
      <c r="O1442" s="66">
        <f>dagwerk22</f>
        <v>0</v>
      </c>
      <c r="P1442" s="62" t="s">
        <v>40</v>
      </c>
      <c r="Q1442" s="67">
        <f>uurtarief22</f>
        <v>0</v>
      </c>
      <c r="R1442" s="64" t="e">
        <f>IF(ISBLANK(N1442),0,M1442/ROUND(N1442,4))</f>
        <v>#DIV/0!</v>
      </c>
      <c r="S1442" s="64" t="e">
        <f>IF(ISBLANK(N1442),0,R1442*ROUND(O1442,2))</f>
        <v>#DIV/0!</v>
      </c>
      <c r="T1442" s="67" t="e">
        <f>ROUND(Q1442,2)*R1442</f>
        <v>#DIV/0!</v>
      </c>
      <c r="U1442" s="64" t="e">
        <f>R1442*dagenperjaar1</f>
        <v>#DIV/0!</v>
      </c>
      <c r="V1442" s="69" t="e">
        <f>U1442*ROUND(Q1442,2)</f>
        <v>#DIV/0!</v>
      </c>
    </row>
    <row r="1443" spans="1:22" x14ac:dyDescent="0.3">
      <c r="A1443" s="61" t="s">
        <v>1825</v>
      </c>
      <c r="B1443" s="62" t="s">
        <v>317</v>
      </c>
      <c r="C1443" s="62" t="s">
        <v>629</v>
      </c>
      <c r="D1443" s="62" t="s">
        <v>1870</v>
      </c>
      <c r="E1443" s="63" t="s">
        <v>1869</v>
      </c>
      <c r="F1443" s="62" t="s">
        <v>322</v>
      </c>
      <c r="G1443" s="62" t="s">
        <v>234</v>
      </c>
      <c r="H1443" s="62" t="s">
        <v>14</v>
      </c>
      <c r="I1443" s="62" t="s">
        <v>210</v>
      </c>
      <c r="J1443" s="63" t="s">
        <v>235</v>
      </c>
      <c r="K1443" s="62" t="s">
        <v>317</v>
      </c>
      <c r="L1443" s="64">
        <v>18.27</v>
      </c>
      <c r="M1443" s="64">
        <f>L1443*VLOOKUP(H1443,dagsoorttabel1,2,FALSE)</f>
        <v>10.962</v>
      </c>
      <c r="N1443" s="65">
        <f>prodnorm22</f>
        <v>0</v>
      </c>
      <c r="O1443" s="66">
        <f>dagwerk22</f>
        <v>0</v>
      </c>
      <c r="P1443" s="62" t="s">
        <v>40</v>
      </c>
      <c r="Q1443" s="67">
        <f>uurtarief22</f>
        <v>0</v>
      </c>
      <c r="R1443" s="64" t="e">
        <f>IF(ISBLANK(N1443),0,M1443/ROUND(N1443,4))</f>
        <v>#DIV/0!</v>
      </c>
      <c r="S1443" s="64" t="e">
        <f>IF(ISBLANK(N1443),0,R1443*ROUND(O1443,2))</f>
        <v>#DIV/0!</v>
      </c>
      <c r="T1443" s="67" t="e">
        <f>ROUND(Q1443,2)*R1443</f>
        <v>#DIV/0!</v>
      </c>
      <c r="U1443" s="64" t="e">
        <f>R1443*dagenperjaar1</f>
        <v>#DIV/0!</v>
      </c>
      <c r="V1443" s="69" t="e">
        <f>U1443*ROUND(Q1443,2)</f>
        <v>#DIV/0!</v>
      </c>
    </row>
    <row r="1444" spans="1:22" x14ac:dyDescent="0.3">
      <c r="A1444" s="61" t="s">
        <v>1825</v>
      </c>
      <c r="B1444" s="62" t="s">
        <v>317</v>
      </c>
      <c r="C1444" s="62" t="s">
        <v>629</v>
      </c>
      <c r="D1444" s="62" t="s">
        <v>1208</v>
      </c>
      <c r="E1444" s="63" t="s">
        <v>1871</v>
      </c>
      <c r="F1444" s="62" t="s">
        <v>377</v>
      </c>
      <c r="G1444" s="62" t="s">
        <v>323</v>
      </c>
      <c r="H1444" s="62"/>
      <c r="I1444" s="62"/>
      <c r="J1444" s="62"/>
      <c r="K1444" s="62" t="s">
        <v>317</v>
      </c>
      <c r="L1444" s="64">
        <v>15.360000000000001</v>
      </c>
      <c r="M1444" s="64"/>
      <c r="N1444" s="65"/>
      <c r="O1444" s="66"/>
      <c r="P1444" s="62"/>
      <c r="Q1444" s="67"/>
      <c r="R1444" s="64"/>
      <c r="S1444" s="64"/>
      <c r="T1444" s="67"/>
      <c r="U1444" s="68"/>
      <c r="V1444" s="69"/>
    </row>
    <row r="1445" spans="1:22" x14ac:dyDescent="0.3">
      <c r="A1445" s="61" t="s">
        <v>1825</v>
      </c>
      <c r="B1445" s="62" t="s">
        <v>317</v>
      </c>
      <c r="C1445" s="62" t="s">
        <v>629</v>
      </c>
      <c r="D1445" s="62" t="s">
        <v>1210</v>
      </c>
      <c r="E1445" s="63" t="s">
        <v>1268</v>
      </c>
      <c r="F1445" s="62" t="s">
        <v>377</v>
      </c>
      <c r="G1445" s="62" t="s">
        <v>286</v>
      </c>
      <c r="H1445" s="62" t="s">
        <v>11</v>
      </c>
      <c r="I1445" s="62" t="s">
        <v>210</v>
      </c>
      <c r="J1445" s="63" t="s">
        <v>287</v>
      </c>
      <c r="K1445" s="62" t="s">
        <v>317</v>
      </c>
      <c r="L1445" s="64">
        <v>2.8099999999999996</v>
      </c>
      <c r="M1445" s="64">
        <f>L1445*VLOOKUP(H1445,dagsoorttabel1,2,FALSE)</f>
        <v>2.8099999999999996</v>
      </c>
      <c r="N1445" s="65">
        <f>prodnorm49</f>
        <v>0</v>
      </c>
      <c r="O1445" s="66">
        <f>dagwerk49</f>
        <v>0</v>
      </c>
      <c r="P1445" s="62" t="s">
        <v>40</v>
      </c>
      <c r="Q1445" s="67">
        <f>uurtarief49</f>
        <v>0</v>
      </c>
      <c r="R1445" s="64" t="e">
        <f>IF(ISBLANK(N1445),0,M1445/ROUND(N1445,4))</f>
        <v>#DIV/0!</v>
      </c>
      <c r="S1445" s="64" t="e">
        <f>IF(ISBLANK(N1445),0,R1445*ROUND(O1445,2))</f>
        <v>#DIV/0!</v>
      </c>
      <c r="T1445" s="67" t="e">
        <f>ROUND(Q1445,2)*R1445</f>
        <v>#DIV/0!</v>
      </c>
      <c r="U1445" s="64" t="e">
        <f>R1445*dagenperjaar1</f>
        <v>#DIV/0!</v>
      </c>
      <c r="V1445" s="69" t="e">
        <f>U1445*ROUND(Q1445,2)</f>
        <v>#DIV/0!</v>
      </c>
    </row>
    <row r="1446" spans="1:22" x14ac:dyDescent="0.3">
      <c r="A1446" s="70" t="s">
        <v>1825</v>
      </c>
      <c r="B1446" s="71" t="s">
        <v>317</v>
      </c>
      <c r="C1446" s="71" t="s">
        <v>629</v>
      </c>
      <c r="D1446" s="71" t="s">
        <v>1872</v>
      </c>
      <c r="E1446" s="72" t="s">
        <v>1415</v>
      </c>
      <c r="F1446" s="71" t="s">
        <v>377</v>
      </c>
      <c r="G1446" s="71" t="s">
        <v>286</v>
      </c>
      <c r="H1446" s="71" t="s">
        <v>11</v>
      </c>
      <c r="I1446" s="71" t="s">
        <v>210</v>
      </c>
      <c r="J1446" s="72" t="s">
        <v>287</v>
      </c>
      <c r="K1446" s="71" t="s">
        <v>317</v>
      </c>
      <c r="L1446" s="73">
        <v>4.71</v>
      </c>
      <c r="M1446" s="73">
        <f>L1446*VLOOKUP(H1446,dagsoorttabel1,2,FALSE)</f>
        <v>4.71</v>
      </c>
      <c r="N1446" s="74">
        <f>prodnorm49</f>
        <v>0</v>
      </c>
      <c r="O1446" s="75">
        <f>dagwerk49</f>
        <v>0</v>
      </c>
      <c r="P1446" s="71" t="s">
        <v>40</v>
      </c>
      <c r="Q1446" s="76">
        <f>uurtarief49</f>
        <v>0</v>
      </c>
      <c r="R1446" s="73" t="e">
        <f>IF(ISBLANK(N1446),0,M1446/ROUND(N1446,4))</f>
        <v>#DIV/0!</v>
      </c>
      <c r="S1446" s="73" t="e">
        <f>IF(ISBLANK(N1446),0,R1446*ROUND(O1446,2))</f>
        <v>#DIV/0!</v>
      </c>
      <c r="T1446" s="76" t="e">
        <f>ROUND(Q1446,2)*R1446</f>
        <v>#DIV/0!</v>
      </c>
      <c r="U1446" s="73" t="e">
        <f>R1446*dagenperjaar1</f>
        <v>#DIV/0!</v>
      </c>
      <c r="V1446" s="78" t="e">
        <f>U1446*ROUND(Q1446,2)</f>
        <v>#DIV/0!</v>
      </c>
    </row>
    <row r="1447" spans="1:22" x14ac:dyDescent="0.3">
      <c r="A1447" s="42" t="s">
        <v>1105</v>
      </c>
      <c r="B1447" s="43"/>
      <c r="C1447" s="43"/>
      <c r="D1447" s="43"/>
      <c r="E1447" s="43"/>
      <c r="F1447" s="43"/>
      <c r="G1447" s="43"/>
      <c r="H1447" s="43"/>
      <c r="I1447" s="43"/>
      <c r="J1447" s="43"/>
      <c r="K1447" s="43"/>
      <c r="L1447" s="43"/>
      <c r="M1447" s="43"/>
      <c r="N1447" s="43"/>
      <c r="O1447" s="43"/>
      <c r="P1447" s="43"/>
      <c r="Q1447" s="45" t="e">
        <f>IF(_xlfn.SINGLE(object9_urenjaar1)&gt;0,_xlfn.SINGLE(object9_prijsjaar1)/_xlfn.SINGLE(object9_urenjaar1),0)</f>
        <v>#DIV/0!</v>
      </c>
      <c r="R1447" s="44" t="e">
        <f>SUM(R1393:R1446)</f>
        <v>#DIV/0!</v>
      </c>
      <c r="S1447" s="44" t="e">
        <f>SUM(S1393:S1446)</f>
        <v>#DIV/0!</v>
      </c>
      <c r="T1447" s="45" t="e">
        <f>SUM(T1393:T1446)</f>
        <v>#DIV/0!</v>
      </c>
      <c r="U1447" s="44" t="e">
        <f>SUM(U1393:U1446)</f>
        <v>#DIV/0!</v>
      </c>
      <c r="V1447" s="45" t="e">
        <f>SUM(V1393:V1446)</f>
        <v>#DIV/0!</v>
      </c>
    </row>
  </sheetData>
  <sheetProtection algorithmName="SHA-512" hashValue="J8ZPcHQqtdD7IwyPcZseiyg9bBHKHZXKRQNarVUEGQ5h0BAd6gHS88OZmXCitulmlqiwtoUnzqdQi5XIpTAGRg==" saltValue="dkHJYoSdXFXsYqQB3KMyIg==" spinCount="100000" sheet="1" objects="1" scenarios="1" autoFilter="0"/>
  <autoFilter ref="A3:V1447" xr:uid="{6F7B22FB-43B9-4C09-B2AC-E23493F1035E}"/>
  <pageMargins left="0.7" right="0.7" top="0.75" bottom="0.75" header="0.3" footer="0.3"/>
  <pageSetup paperSize="9" scale="61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1E9D-0B76-40A5-B6D7-0A9D2747789C}">
  <dimension ref="A1:V1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4" x14ac:dyDescent="0.3"/>
  <cols>
    <col min="1" max="1" width="8.77734375" customWidth="1"/>
    <col min="2" max="3" width="7.77734375" customWidth="1"/>
    <col min="4" max="4" width="10.77734375" customWidth="1"/>
    <col min="5" max="5" width="25.77734375" customWidth="1"/>
    <col min="6" max="6" width="11.77734375" customWidth="1"/>
    <col min="7" max="7" width="7.77734375" customWidth="1"/>
    <col min="8" max="8" width="6.77734375" customWidth="1"/>
    <col min="9" max="9" width="8.77734375" customWidth="1"/>
    <col min="10" max="10" width="40.77734375" customWidth="1"/>
    <col min="11" max="13" width="10.77734375" customWidth="1"/>
    <col min="14" max="15" width="11.77734375" customWidth="1"/>
    <col min="16" max="16" width="9.77734375" customWidth="1"/>
    <col min="17" max="20" width="11.77734375" customWidth="1"/>
    <col min="21" max="21" width="12.77734375" customWidth="1"/>
    <col min="22" max="22" width="14.77734375" customWidth="1"/>
  </cols>
  <sheetData>
    <row r="1" spans="1:22" x14ac:dyDescent="0.3">
      <c r="A1" s="1" t="str">
        <f>CONCATENATE("Bijlage G.1.4: ",tabeltype," ruimten werkdag vakantie")</f>
        <v>Bijlage G.1.4: Invultabel ruimten werkdag vakantie</v>
      </c>
    </row>
    <row r="3" spans="1:22" ht="43.2" x14ac:dyDescent="0.3">
      <c r="A3" s="50" t="s">
        <v>305</v>
      </c>
      <c r="B3" s="8" t="s">
        <v>306</v>
      </c>
      <c r="C3" s="8" t="s">
        <v>307</v>
      </c>
      <c r="D3" s="8" t="s">
        <v>308</v>
      </c>
      <c r="E3" s="8" t="s">
        <v>309</v>
      </c>
      <c r="F3" s="8" t="s">
        <v>310</v>
      </c>
      <c r="G3" s="8" t="s">
        <v>201</v>
      </c>
      <c r="H3" s="8" t="s">
        <v>7</v>
      </c>
      <c r="I3" s="8" t="s">
        <v>311</v>
      </c>
      <c r="J3" s="8" t="s">
        <v>312</v>
      </c>
      <c r="K3" s="8" t="s">
        <v>313</v>
      </c>
      <c r="L3" s="8" t="s">
        <v>203</v>
      </c>
      <c r="M3" s="8" t="s">
        <v>204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205</v>
      </c>
      <c r="S3" s="8" t="s">
        <v>314</v>
      </c>
      <c r="T3" s="8" t="s">
        <v>206</v>
      </c>
      <c r="U3" s="8" t="s">
        <v>207</v>
      </c>
      <c r="V3" s="51" t="s">
        <v>208</v>
      </c>
    </row>
    <row r="4" spans="1:22" x14ac:dyDescent="0.3">
      <c r="A4" s="52" t="s">
        <v>315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1"/>
    </row>
    <row r="5" spans="1:22" ht="28.8" x14ac:dyDescent="0.3">
      <c r="A5" s="53" t="s">
        <v>316</v>
      </c>
      <c r="B5" s="54" t="s">
        <v>317</v>
      </c>
      <c r="C5" s="54" t="s">
        <v>317</v>
      </c>
      <c r="D5" s="54" t="s">
        <v>317</v>
      </c>
      <c r="E5" s="55" t="s">
        <v>1873</v>
      </c>
      <c r="F5" s="54" t="s">
        <v>317</v>
      </c>
      <c r="G5" s="54" t="s">
        <v>300</v>
      </c>
      <c r="H5" s="54" t="s">
        <v>20</v>
      </c>
      <c r="I5" s="54" t="s">
        <v>289</v>
      </c>
      <c r="J5" s="55" t="s">
        <v>301</v>
      </c>
      <c r="K5" s="54" t="s">
        <v>317</v>
      </c>
      <c r="L5" s="56">
        <v>1</v>
      </c>
      <c r="M5" s="56">
        <f t="shared" ref="M5:M15" si="0">L5*VLOOKUP(H5,dagsoorttabel2,2,FALSE)</f>
        <v>0.4</v>
      </c>
      <c r="N5" s="57"/>
      <c r="O5" s="58">
        <f>dagwerk50</f>
        <v>0</v>
      </c>
      <c r="P5" s="54" t="s">
        <v>291</v>
      </c>
      <c r="Q5" s="59">
        <f>uurtarief50</f>
        <v>0</v>
      </c>
      <c r="R5" s="56">
        <f>M5</f>
        <v>0.4</v>
      </c>
      <c r="S5" s="56">
        <f>R5*ROUND(O5,2)</f>
        <v>0</v>
      </c>
      <c r="T5" s="59">
        <f t="shared" ref="T5:T15" si="1">ROUND(Q5,2)*R5</f>
        <v>0</v>
      </c>
      <c r="U5" s="56">
        <f t="shared" ref="U5:U15" si="2">R5*dagenperjaar2</f>
        <v>10</v>
      </c>
      <c r="V5" s="60">
        <f t="shared" ref="V5:V15" si="3">U5*ROUND(Q5,2)</f>
        <v>0</v>
      </c>
    </row>
    <row r="6" spans="1:22" x14ac:dyDescent="0.3">
      <c r="A6" s="61" t="s">
        <v>316</v>
      </c>
      <c r="B6" s="62" t="s">
        <v>317</v>
      </c>
      <c r="C6" s="62" t="s">
        <v>318</v>
      </c>
      <c r="D6" s="62" t="s">
        <v>351</v>
      </c>
      <c r="E6" s="63" t="s">
        <v>352</v>
      </c>
      <c r="F6" s="62" t="s">
        <v>353</v>
      </c>
      <c r="G6" s="62" t="s">
        <v>64</v>
      </c>
      <c r="H6" s="62" t="s">
        <v>20</v>
      </c>
      <c r="I6" s="62" t="s">
        <v>210</v>
      </c>
      <c r="J6" s="63" t="s">
        <v>299</v>
      </c>
      <c r="K6" s="62" t="s">
        <v>317</v>
      </c>
      <c r="L6" s="64">
        <v>14.77</v>
      </c>
      <c r="M6" s="64">
        <f t="shared" si="0"/>
        <v>5.9080000000000004</v>
      </c>
      <c r="N6" s="65">
        <f t="shared" ref="N6:N15" si="4">prodnorm51</f>
        <v>0</v>
      </c>
      <c r="O6" s="66">
        <f t="shared" ref="O6:O15" si="5">dagwerk51</f>
        <v>0</v>
      </c>
      <c r="P6" s="62" t="s">
        <v>40</v>
      </c>
      <c r="Q6" s="67">
        <f t="shared" ref="Q6:Q15" si="6">uurtarief51</f>
        <v>0</v>
      </c>
      <c r="R6" s="64" t="e">
        <f t="shared" ref="R6:R15" si="7">IF(ISBLANK(N6),0,M6/ROUND(N6,4))</f>
        <v>#DIV/0!</v>
      </c>
      <c r="S6" s="64" t="e">
        <f t="shared" ref="S6:S15" si="8">IF(ISBLANK(N6),0,R6*ROUND(O6,2))</f>
        <v>#DIV/0!</v>
      </c>
      <c r="T6" s="67" t="e">
        <f t="shared" si="1"/>
        <v>#DIV/0!</v>
      </c>
      <c r="U6" s="64" t="e">
        <f t="shared" si="2"/>
        <v>#DIV/0!</v>
      </c>
      <c r="V6" s="69" t="e">
        <f t="shared" si="3"/>
        <v>#DIV/0!</v>
      </c>
    </row>
    <row r="7" spans="1:22" x14ac:dyDescent="0.3">
      <c r="A7" s="61" t="s">
        <v>316</v>
      </c>
      <c r="B7" s="62" t="s">
        <v>317</v>
      </c>
      <c r="C7" s="62" t="s">
        <v>318</v>
      </c>
      <c r="D7" s="62" t="s">
        <v>354</v>
      </c>
      <c r="E7" s="63" t="s">
        <v>352</v>
      </c>
      <c r="F7" s="62" t="s">
        <v>353</v>
      </c>
      <c r="G7" s="62" t="s">
        <v>64</v>
      </c>
      <c r="H7" s="62" t="s">
        <v>20</v>
      </c>
      <c r="I7" s="62" t="s">
        <v>210</v>
      </c>
      <c r="J7" s="63" t="s">
        <v>299</v>
      </c>
      <c r="K7" s="62" t="s">
        <v>317</v>
      </c>
      <c r="L7" s="64">
        <v>11.38</v>
      </c>
      <c r="M7" s="64">
        <f t="shared" si="0"/>
        <v>4.5520000000000005</v>
      </c>
      <c r="N7" s="65">
        <f t="shared" si="4"/>
        <v>0</v>
      </c>
      <c r="O7" s="66">
        <f t="shared" si="5"/>
        <v>0</v>
      </c>
      <c r="P7" s="62" t="s">
        <v>40</v>
      </c>
      <c r="Q7" s="67">
        <f t="shared" si="6"/>
        <v>0</v>
      </c>
      <c r="R7" s="64" t="e">
        <f t="shared" si="7"/>
        <v>#DIV/0!</v>
      </c>
      <c r="S7" s="64" t="e">
        <f t="shared" si="8"/>
        <v>#DIV/0!</v>
      </c>
      <c r="T7" s="67" t="e">
        <f t="shared" si="1"/>
        <v>#DIV/0!</v>
      </c>
      <c r="U7" s="64" t="e">
        <f t="shared" si="2"/>
        <v>#DIV/0!</v>
      </c>
      <c r="V7" s="69" t="e">
        <f t="shared" si="3"/>
        <v>#DIV/0!</v>
      </c>
    </row>
    <row r="8" spans="1:22" x14ac:dyDescent="0.3">
      <c r="A8" s="61" t="s">
        <v>316</v>
      </c>
      <c r="B8" s="62" t="s">
        <v>317</v>
      </c>
      <c r="C8" s="62" t="s">
        <v>318</v>
      </c>
      <c r="D8" s="62" t="s">
        <v>486</v>
      </c>
      <c r="E8" s="63" t="s">
        <v>352</v>
      </c>
      <c r="F8" s="62" t="s">
        <v>353</v>
      </c>
      <c r="G8" s="62" t="s">
        <v>64</v>
      </c>
      <c r="H8" s="62" t="s">
        <v>20</v>
      </c>
      <c r="I8" s="62" t="s">
        <v>210</v>
      </c>
      <c r="J8" s="63" t="s">
        <v>299</v>
      </c>
      <c r="K8" s="62" t="s">
        <v>317</v>
      </c>
      <c r="L8" s="64">
        <v>8.7299999999999986</v>
      </c>
      <c r="M8" s="64">
        <f t="shared" si="0"/>
        <v>3.4919999999999995</v>
      </c>
      <c r="N8" s="65">
        <f t="shared" si="4"/>
        <v>0</v>
      </c>
      <c r="O8" s="66">
        <f t="shared" si="5"/>
        <v>0</v>
      </c>
      <c r="P8" s="62" t="s">
        <v>40</v>
      </c>
      <c r="Q8" s="67">
        <f t="shared" si="6"/>
        <v>0</v>
      </c>
      <c r="R8" s="64" t="e">
        <f t="shared" si="7"/>
        <v>#DIV/0!</v>
      </c>
      <c r="S8" s="64" t="e">
        <f t="shared" si="8"/>
        <v>#DIV/0!</v>
      </c>
      <c r="T8" s="67" t="e">
        <f t="shared" si="1"/>
        <v>#DIV/0!</v>
      </c>
      <c r="U8" s="64" t="e">
        <f t="shared" si="2"/>
        <v>#DIV/0!</v>
      </c>
      <c r="V8" s="69" t="e">
        <f t="shared" si="3"/>
        <v>#DIV/0!</v>
      </c>
    </row>
    <row r="9" spans="1:22" x14ac:dyDescent="0.3">
      <c r="A9" s="61" t="s">
        <v>316</v>
      </c>
      <c r="B9" s="62" t="s">
        <v>317</v>
      </c>
      <c r="C9" s="62" t="s">
        <v>318</v>
      </c>
      <c r="D9" s="62" t="s">
        <v>487</v>
      </c>
      <c r="E9" s="63" t="s">
        <v>352</v>
      </c>
      <c r="F9" s="62" t="s">
        <v>353</v>
      </c>
      <c r="G9" s="62" t="s">
        <v>64</v>
      </c>
      <c r="H9" s="62" t="s">
        <v>20</v>
      </c>
      <c r="I9" s="62" t="s">
        <v>210</v>
      </c>
      <c r="J9" s="63" t="s">
        <v>299</v>
      </c>
      <c r="K9" s="62" t="s">
        <v>317</v>
      </c>
      <c r="L9" s="64">
        <v>25.779999999999998</v>
      </c>
      <c r="M9" s="64">
        <f t="shared" si="0"/>
        <v>10.311999999999999</v>
      </c>
      <c r="N9" s="65">
        <f t="shared" si="4"/>
        <v>0</v>
      </c>
      <c r="O9" s="66">
        <f t="shared" si="5"/>
        <v>0</v>
      </c>
      <c r="P9" s="62" t="s">
        <v>40</v>
      </c>
      <c r="Q9" s="67">
        <f t="shared" si="6"/>
        <v>0</v>
      </c>
      <c r="R9" s="64" t="e">
        <f t="shared" si="7"/>
        <v>#DIV/0!</v>
      </c>
      <c r="S9" s="64" t="e">
        <f t="shared" si="8"/>
        <v>#DIV/0!</v>
      </c>
      <c r="T9" s="67" t="e">
        <f t="shared" si="1"/>
        <v>#DIV/0!</v>
      </c>
      <c r="U9" s="64" t="e">
        <f t="shared" si="2"/>
        <v>#DIV/0!</v>
      </c>
      <c r="V9" s="69" t="e">
        <f t="shared" si="3"/>
        <v>#DIV/0!</v>
      </c>
    </row>
    <row r="10" spans="1:22" x14ac:dyDescent="0.3">
      <c r="A10" s="61" t="s">
        <v>316</v>
      </c>
      <c r="B10" s="62" t="s">
        <v>317</v>
      </c>
      <c r="C10" s="62" t="s">
        <v>318</v>
      </c>
      <c r="D10" s="62" t="s">
        <v>573</v>
      </c>
      <c r="E10" s="63" t="s">
        <v>352</v>
      </c>
      <c r="F10" s="62" t="s">
        <v>353</v>
      </c>
      <c r="G10" s="62" t="s">
        <v>64</v>
      </c>
      <c r="H10" s="62" t="s">
        <v>20</v>
      </c>
      <c r="I10" s="62" t="s">
        <v>210</v>
      </c>
      <c r="J10" s="63" t="s">
        <v>299</v>
      </c>
      <c r="K10" s="62" t="s">
        <v>317</v>
      </c>
      <c r="L10" s="64">
        <v>11.15</v>
      </c>
      <c r="M10" s="64">
        <f t="shared" si="0"/>
        <v>4.46</v>
      </c>
      <c r="N10" s="65">
        <f t="shared" si="4"/>
        <v>0</v>
      </c>
      <c r="O10" s="66">
        <f t="shared" si="5"/>
        <v>0</v>
      </c>
      <c r="P10" s="62" t="s">
        <v>40</v>
      </c>
      <c r="Q10" s="67">
        <f t="shared" si="6"/>
        <v>0</v>
      </c>
      <c r="R10" s="64" t="e">
        <f t="shared" si="7"/>
        <v>#DIV/0!</v>
      </c>
      <c r="S10" s="64" t="e">
        <f t="shared" si="8"/>
        <v>#DIV/0!</v>
      </c>
      <c r="T10" s="67" t="e">
        <f t="shared" si="1"/>
        <v>#DIV/0!</v>
      </c>
      <c r="U10" s="64" t="e">
        <f t="shared" si="2"/>
        <v>#DIV/0!</v>
      </c>
      <c r="V10" s="69" t="e">
        <f t="shared" si="3"/>
        <v>#DIV/0!</v>
      </c>
    </row>
    <row r="11" spans="1:22" x14ac:dyDescent="0.3">
      <c r="A11" s="61" t="s">
        <v>316</v>
      </c>
      <c r="B11" s="62" t="s">
        <v>317</v>
      </c>
      <c r="C11" s="62" t="s">
        <v>318</v>
      </c>
      <c r="D11" s="62" t="s">
        <v>577</v>
      </c>
      <c r="E11" s="63" t="s">
        <v>578</v>
      </c>
      <c r="F11" s="62" t="s">
        <v>353</v>
      </c>
      <c r="G11" s="62" t="s">
        <v>64</v>
      </c>
      <c r="H11" s="62" t="s">
        <v>20</v>
      </c>
      <c r="I11" s="62" t="s">
        <v>210</v>
      </c>
      <c r="J11" s="63" t="s">
        <v>299</v>
      </c>
      <c r="K11" s="62" t="s">
        <v>317</v>
      </c>
      <c r="L11" s="64">
        <v>11.04</v>
      </c>
      <c r="M11" s="64">
        <f t="shared" si="0"/>
        <v>4.4159999999999995</v>
      </c>
      <c r="N11" s="65">
        <f t="shared" si="4"/>
        <v>0</v>
      </c>
      <c r="O11" s="66">
        <f t="shared" si="5"/>
        <v>0</v>
      </c>
      <c r="P11" s="62" t="s">
        <v>40</v>
      </c>
      <c r="Q11" s="67">
        <f t="shared" si="6"/>
        <v>0</v>
      </c>
      <c r="R11" s="64" t="e">
        <f t="shared" si="7"/>
        <v>#DIV/0!</v>
      </c>
      <c r="S11" s="64" t="e">
        <f t="shared" si="8"/>
        <v>#DIV/0!</v>
      </c>
      <c r="T11" s="67" t="e">
        <f t="shared" si="1"/>
        <v>#DIV/0!</v>
      </c>
      <c r="U11" s="64" t="e">
        <f t="shared" si="2"/>
        <v>#DIV/0!</v>
      </c>
      <c r="V11" s="69" t="e">
        <f t="shared" si="3"/>
        <v>#DIV/0!</v>
      </c>
    </row>
    <row r="12" spans="1:22" x14ac:dyDescent="0.3">
      <c r="A12" s="61" t="s">
        <v>316</v>
      </c>
      <c r="B12" s="62" t="s">
        <v>317</v>
      </c>
      <c r="C12" s="62" t="s">
        <v>629</v>
      </c>
      <c r="D12" s="62" t="s">
        <v>832</v>
      </c>
      <c r="E12" s="63" t="s">
        <v>352</v>
      </c>
      <c r="F12" s="62" t="s">
        <v>353</v>
      </c>
      <c r="G12" s="62" t="s">
        <v>64</v>
      </c>
      <c r="H12" s="62" t="s">
        <v>20</v>
      </c>
      <c r="I12" s="62" t="s">
        <v>210</v>
      </c>
      <c r="J12" s="63" t="s">
        <v>299</v>
      </c>
      <c r="K12" s="62" t="s">
        <v>317</v>
      </c>
      <c r="L12" s="64">
        <v>12.12</v>
      </c>
      <c r="M12" s="64">
        <f t="shared" si="0"/>
        <v>4.8479999999999999</v>
      </c>
      <c r="N12" s="65">
        <f t="shared" si="4"/>
        <v>0</v>
      </c>
      <c r="O12" s="66">
        <f t="shared" si="5"/>
        <v>0</v>
      </c>
      <c r="P12" s="62" t="s">
        <v>40</v>
      </c>
      <c r="Q12" s="67">
        <f t="shared" si="6"/>
        <v>0</v>
      </c>
      <c r="R12" s="64" t="e">
        <f t="shared" si="7"/>
        <v>#DIV/0!</v>
      </c>
      <c r="S12" s="64" t="e">
        <f t="shared" si="8"/>
        <v>#DIV/0!</v>
      </c>
      <c r="T12" s="67" t="e">
        <f t="shared" si="1"/>
        <v>#DIV/0!</v>
      </c>
      <c r="U12" s="64" t="e">
        <f t="shared" si="2"/>
        <v>#DIV/0!</v>
      </c>
      <c r="V12" s="69" t="e">
        <f t="shared" si="3"/>
        <v>#DIV/0!</v>
      </c>
    </row>
    <row r="13" spans="1:22" x14ac:dyDescent="0.3">
      <c r="A13" s="61" t="s">
        <v>316</v>
      </c>
      <c r="B13" s="62" t="s">
        <v>317</v>
      </c>
      <c r="C13" s="62" t="s">
        <v>629</v>
      </c>
      <c r="D13" s="62" t="s">
        <v>834</v>
      </c>
      <c r="E13" s="63" t="s">
        <v>352</v>
      </c>
      <c r="F13" s="62" t="s">
        <v>353</v>
      </c>
      <c r="G13" s="62" t="s">
        <v>64</v>
      </c>
      <c r="H13" s="62" t="s">
        <v>20</v>
      </c>
      <c r="I13" s="62" t="s">
        <v>210</v>
      </c>
      <c r="J13" s="63" t="s">
        <v>299</v>
      </c>
      <c r="K13" s="62" t="s">
        <v>317</v>
      </c>
      <c r="L13" s="64">
        <v>11.6</v>
      </c>
      <c r="M13" s="64">
        <f t="shared" si="0"/>
        <v>4.6399999999999997</v>
      </c>
      <c r="N13" s="65">
        <f t="shared" si="4"/>
        <v>0</v>
      </c>
      <c r="O13" s="66">
        <f t="shared" si="5"/>
        <v>0</v>
      </c>
      <c r="P13" s="62" t="s">
        <v>40</v>
      </c>
      <c r="Q13" s="67">
        <f t="shared" si="6"/>
        <v>0</v>
      </c>
      <c r="R13" s="64" t="e">
        <f t="shared" si="7"/>
        <v>#DIV/0!</v>
      </c>
      <c r="S13" s="64" t="e">
        <f t="shared" si="8"/>
        <v>#DIV/0!</v>
      </c>
      <c r="T13" s="67" t="e">
        <f t="shared" si="1"/>
        <v>#DIV/0!</v>
      </c>
      <c r="U13" s="64" t="e">
        <f t="shared" si="2"/>
        <v>#DIV/0!</v>
      </c>
      <c r="V13" s="69" t="e">
        <f t="shared" si="3"/>
        <v>#DIV/0!</v>
      </c>
    </row>
    <row r="14" spans="1:22" x14ac:dyDescent="0.3">
      <c r="A14" s="61" t="s">
        <v>316</v>
      </c>
      <c r="B14" s="62" t="s">
        <v>317</v>
      </c>
      <c r="C14" s="62" t="s">
        <v>841</v>
      </c>
      <c r="D14" s="62" t="s">
        <v>979</v>
      </c>
      <c r="E14" s="63" t="s">
        <v>980</v>
      </c>
      <c r="F14" s="62" t="s">
        <v>335</v>
      </c>
      <c r="G14" s="62" t="s">
        <v>64</v>
      </c>
      <c r="H14" s="62" t="s">
        <v>20</v>
      </c>
      <c r="I14" s="62" t="s">
        <v>210</v>
      </c>
      <c r="J14" s="63" t="s">
        <v>299</v>
      </c>
      <c r="K14" s="62" t="s">
        <v>317</v>
      </c>
      <c r="L14" s="64">
        <v>2.23</v>
      </c>
      <c r="M14" s="64">
        <f t="shared" si="0"/>
        <v>0.89200000000000002</v>
      </c>
      <c r="N14" s="65">
        <f t="shared" si="4"/>
        <v>0</v>
      </c>
      <c r="O14" s="66">
        <f t="shared" si="5"/>
        <v>0</v>
      </c>
      <c r="P14" s="62" t="s">
        <v>40</v>
      </c>
      <c r="Q14" s="67">
        <f t="shared" si="6"/>
        <v>0</v>
      </c>
      <c r="R14" s="64" t="e">
        <f t="shared" si="7"/>
        <v>#DIV/0!</v>
      </c>
      <c r="S14" s="64" t="e">
        <f t="shared" si="8"/>
        <v>#DIV/0!</v>
      </c>
      <c r="T14" s="67" t="e">
        <f t="shared" si="1"/>
        <v>#DIV/0!</v>
      </c>
      <c r="U14" s="64" t="e">
        <f t="shared" si="2"/>
        <v>#DIV/0!</v>
      </c>
      <c r="V14" s="69" t="e">
        <f t="shared" si="3"/>
        <v>#DIV/0!</v>
      </c>
    </row>
    <row r="15" spans="1:22" x14ac:dyDescent="0.3">
      <c r="A15" s="70" t="s">
        <v>316</v>
      </c>
      <c r="B15" s="71" t="s">
        <v>317</v>
      </c>
      <c r="C15" s="71" t="s">
        <v>841</v>
      </c>
      <c r="D15" s="71" t="s">
        <v>981</v>
      </c>
      <c r="E15" s="72" t="s">
        <v>982</v>
      </c>
      <c r="F15" s="71" t="s">
        <v>335</v>
      </c>
      <c r="G15" s="71" t="s">
        <v>64</v>
      </c>
      <c r="H15" s="71" t="s">
        <v>20</v>
      </c>
      <c r="I15" s="71" t="s">
        <v>210</v>
      </c>
      <c r="J15" s="72" t="s">
        <v>299</v>
      </c>
      <c r="K15" s="71" t="s">
        <v>317</v>
      </c>
      <c r="L15" s="73">
        <v>2.0299999999999998</v>
      </c>
      <c r="M15" s="73">
        <f t="shared" si="0"/>
        <v>0.81199999999999994</v>
      </c>
      <c r="N15" s="74">
        <f t="shared" si="4"/>
        <v>0</v>
      </c>
      <c r="O15" s="75">
        <f t="shared" si="5"/>
        <v>0</v>
      </c>
      <c r="P15" s="71" t="s">
        <v>40</v>
      </c>
      <c r="Q15" s="76">
        <f t="shared" si="6"/>
        <v>0</v>
      </c>
      <c r="R15" s="73" t="e">
        <f t="shared" si="7"/>
        <v>#DIV/0!</v>
      </c>
      <c r="S15" s="73" t="e">
        <f t="shared" si="8"/>
        <v>#DIV/0!</v>
      </c>
      <c r="T15" s="76" t="e">
        <f t="shared" si="1"/>
        <v>#DIV/0!</v>
      </c>
      <c r="U15" s="73" t="e">
        <f t="shared" si="2"/>
        <v>#DIV/0!</v>
      </c>
      <c r="V15" s="78" t="e">
        <f t="shared" si="3"/>
        <v>#DIV/0!</v>
      </c>
    </row>
    <row r="16" spans="1:22" x14ac:dyDescent="0.3">
      <c r="A16" s="42" t="s">
        <v>1874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5" t="e">
        <f>IF(_xlfn.SINGLE(object1_urenjaar2)&gt;0,_xlfn.SINGLE(object1_prijsjaar2)/_xlfn.SINGLE(object1_urenjaar2),0)</f>
        <v>#DIV/0!</v>
      </c>
      <c r="R16" s="44" t="e">
        <f>SUM(R5:R15)</f>
        <v>#DIV/0!</v>
      </c>
      <c r="S16" s="44" t="e">
        <f>SUM(S5:S15)</f>
        <v>#DIV/0!</v>
      </c>
      <c r="T16" s="45" t="e">
        <f>SUM(T5:T15)</f>
        <v>#DIV/0!</v>
      </c>
      <c r="U16" s="44" t="e">
        <f>SUM(U5:U15)</f>
        <v>#DIV/0!</v>
      </c>
      <c r="V16" s="45" t="e">
        <f>SUM(V5:V15)</f>
        <v>#DIV/0!</v>
      </c>
    </row>
  </sheetData>
  <sheetProtection algorithmName="SHA-512" hashValue="A6XygEFmtnHJIP3qgsIASf1pmb2tL3F4geW6RXL+cvCcDq3TWf9XlF97WVOo7UN5bmcswcv8LzcZ+CVsuak4vQ==" saltValue="liEWQa93jaOTLo8DUDo5LA==" spinCount="100000" sheet="1" objects="1" scenarios="1" autoFilter="0"/>
  <autoFilter ref="A3:V16" xr:uid="{0C181E9D-0B76-40A5-B6D7-0A9D2747789C}"/>
  <pageMargins left="0.7" right="0.7" top="0.75" bottom="0.75" header="0.3" footer="0.3"/>
  <pageSetup paperSize="9" scale="61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04B7-1851-4B1D-9E51-1CCA79EAD09C}">
  <dimension ref="A1:R51"/>
  <sheetViews>
    <sheetView workbookViewId="0"/>
  </sheetViews>
  <sheetFormatPr defaultRowHeight="14.4" x14ac:dyDescent="0.3"/>
  <cols>
    <col min="1" max="1" width="5.77734375" customWidth="1"/>
    <col min="2" max="2" width="6.33203125" customWidth="1"/>
    <col min="3" max="3" width="11.77734375" customWidth="1"/>
    <col min="4" max="18" width="12.77734375" customWidth="1"/>
  </cols>
  <sheetData>
    <row r="1" spans="1:18" x14ac:dyDescent="0.3">
      <c r="A1" s="1" t="s">
        <v>1875</v>
      </c>
    </row>
    <row r="3" spans="1:18" ht="28.8" x14ac:dyDescent="0.3">
      <c r="A3" s="81" t="s">
        <v>201</v>
      </c>
      <c r="B3" s="81" t="s">
        <v>7</v>
      </c>
      <c r="C3" s="82" t="s">
        <v>1876</v>
      </c>
      <c r="D3" s="82" t="s">
        <v>1877</v>
      </c>
      <c r="E3" s="82" t="s">
        <v>1878</v>
      </c>
      <c r="F3" s="82" t="s">
        <v>1879</v>
      </c>
      <c r="G3" s="82" t="s">
        <v>1880</v>
      </c>
      <c r="H3" s="82" t="s">
        <v>1881</v>
      </c>
      <c r="I3" s="81" t="s">
        <v>1882</v>
      </c>
      <c r="J3" s="81" t="s">
        <v>1883</v>
      </c>
      <c r="K3" s="81" t="s">
        <v>1884</v>
      </c>
      <c r="L3" s="81" t="s">
        <v>1885</v>
      </c>
      <c r="M3" s="81" t="s">
        <v>1886</v>
      </c>
      <c r="N3" s="81" t="s">
        <v>1887</v>
      </c>
      <c r="O3" s="81" t="s">
        <v>1888</v>
      </c>
      <c r="P3" s="81" t="s">
        <v>1889</v>
      </c>
      <c r="Q3" s="81" t="s">
        <v>1890</v>
      </c>
      <c r="R3" s="81" t="s">
        <v>1891</v>
      </c>
    </row>
    <row r="4" spans="1:18" x14ac:dyDescent="0.3">
      <c r="A4" s="83"/>
      <c r="B4" s="83"/>
      <c r="C4" s="83"/>
      <c r="D4" s="83"/>
      <c r="E4" s="83"/>
      <c r="F4" s="83"/>
      <c r="G4" s="83"/>
      <c r="H4" s="83"/>
      <c r="I4" s="83"/>
      <c r="J4" s="84" t="s">
        <v>203</v>
      </c>
      <c r="K4" s="84" t="s">
        <v>203</v>
      </c>
      <c r="L4" s="84" t="s">
        <v>203</v>
      </c>
      <c r="M4" s="84" t="s">
        <v>203</v>
      </c>
      <c r="N4" s="84" t="s">
        <v>203</v>
      </c>
      <c r="O4" s="84" t="s">
        <v>203</v>
      </c>
      <c r="P4" s="84" t="s">
        <v>203</v>
      </c>
      <c r="Q4" s="84" t="s">
        <v>203</v>
      </c>
      <c r="R4" s="84" t="s">
        <v>203</v>
      </c>
    </row>
    <row r="5" spans="1:18" x14ac:dyDescent="0.3">
      <c r="A5" s="15" t="s">
        <v>209</v>
      </c>
      <c r="B5" s="15" t="s">
        <v>17</v>
      </c>
      <c r="C5" s="15" t="s">
        <v>1892</v>
      </c>
      <c r="D5" s="15" t="s">
        <v>210</v>
      </c>
      <c r="E5" s="30">
        <f t="shared" ref="E5:E46" si="0">IF(B5="","",VLOOKUP(B5,dagsoorttabel1,2,FALSE))</f>
        <v>0.2</v>
      </c>
      <c r="F5" s="30">
        <v>1</v>
      </c>
      <c r="G5" s="30">
        <f>IF(prodnorm10&gt;0,1/ROUND(prodnorm10,4),0)</f>
        <v>0</v>
      </c>
      <c r="H5" s="32">
        <f>ROUND(dagwerk10,4+2)</f>
        <v>0</v>
      </c>
      <c r="I5" s="33">
        <f>ROUND(uurtarief10,2)</f>
        <v>0</v>
      </c>
      <c r="J5" s="30">
        <v>355.57</v>
      </c>
      <c r="K5" s="30">
        <v>77.430000000000007</v>
      </c>
      <c r="L5" s="30">
        <v>10.89</v>
      </c>
      <c r="M5" s="30">
        <v>180.85999999999999</v>
      </c>
      <c r="N5" s="30">
        <v>55.17</v>
      </c>
      <c r="O5" s="30">
        <v>400.29999999999995</v>
      </c>
      <c r="P5" s="30">
        <v>0</v>
      </c>
      <c r="Q5" s="30">
        <v>0</v>
      </c>
      <c r="R5" s="30">
        <v>47.190000000000005</v>
      </c>
    </row>
    <row r="6" spans="1:18" x14ac:dyDescent="0.3">
      <c r="A6" s="20" t="s">
        <v>212</v>
      </c>
      <c r="B6" s="20" t="s">
        <v>17</v>
      </c>
      <c r="C6" s="20" t="s">
        <v>1892</v>
      </c>
      <c r="D6" s="20" t="s">
        <v>210</v>
      </c>
      <c r="E6" s="34">
        <f t="shared" si="0"/>
        <v>0.2</v>
      </c>
      <c r="F6" s="34">
        <v>1</v>
      </c>
      <c r="G6" s="34">
        <f>IF(prodnorm11&gt;0,1/ROUND(prodnorm11,4),0)</f>
        <v>0</v>
      </c>
      <c r="H6" s="36">
        <f>ROUND(dagwerk11,4+2)</f>
        <v>0</v>
      </c>
      <c r="I6" s="37">
        <f>ROUND(uurtarief11,2)</f>
        <v>0</v>
      </c>
      <c r="J6" s="34">
        <v>2263.9000000000005</v>
      </c>
      <c r="K6" s="34">
        <v>0</v>
      </c>
      <c r="L6" s="34">
        <v>167.63</v>
      </c>
      <c r="M6" s="34">
        <v>0</v>
      </c>
      <c r="N6" s="34">
        <v>80.550000000000011</v>
      </c>
      <c r="O6" s="34">
        <v>237.22</v>
      </c>
      <c r="P6" s="34">
        <v>36.049999999999997</v>
      </c>
      <c r="Q6" s="34">
        <v>247</v>
      </c>
      <c r="R6" s="34">
        <v>0</v>
      </c>
    </row>
    <row r="7" spans="1:18" x14ac:dyDescent="0.3">
      <c r="A7" s="20" t="s">
        <v>214</v>
      </c>
      <c r="B7" s="20" t="s">
        <v>14</v>
      </c>
      <c r="C7" s="20" t="s">
        <v>1892</v>
      </c>
      <c r="D7" s="20" t="s">
        <v>210</v>
      </c>
      <c r="E7" s="34">
        <f t="shared" si="0"/>
        <v>0.6</v>
      </c>
      <c r="F7" s="34">
        <v>1</v>
      </c>
      <c r="G7" s="34">
        <f>IF(prodnorm12&gt;0,1/ROUND(prodnorm12,4),0)</f>
        <v>0</v>
      </c>
      <c r="H7" s="36">
        <f>ROUND(dagwerk12,4+2)</f>
        <v>0</v>
      </c>
      <c r="I7" s="37">
        <f>ROUND(uurtarief12,2)</f>
        <v>0</v>
      </c>
      <c r="J7" s="34">
        <v>288.09999999999997</v>
      </c>
      <c r="K7" s="34">
        <v>0</v>
      </c>
      <c r="L7" s="34">
        <v>36.92</v>
      </c>
      <c r="M7" s="34">
        <v>0</v>
      </c>
      <c r="N7" s="34">
        <v>0</v>
      </c>
      <c r="O7" s="34">
        <v>68.069999999999993</v>
      </c>
      <c r="P7" s="34">
        <v>0</v>
      </c>
      <c r="Q7" s="34">
        <v>0</v>
      </c>
      <c r="R7" s="34">
        <v>138.32</v>
      </c>
    </row>
    <row r="8" spans="1:18" x14ac:dyDescent="0.3">
      <c r="A8" s="20" t="s">
        <v>216</v>
      </c>
      <c r="B8" s="20" t="s">
        <v>14</v>
      </c>
      <c r="C8" s="20" t="s">
        <v>1892</v>
      </c>
      <c r="D8" s="20" t="s">
        <v>210</v>
      </c>
      <c r="E8" s="34">
        <f t="shared" si="0"/>
        <v>0.6</v>
      </c>
      <c r="F8" s="34">
        <v>1</v>
      </c>
      <c r="G8" s="34">
        <f>IF(prodnorm13&gt;0,1/ROUND(prodnorm13,4),0)</f>
        <v>0</v>
      </c>
      <c r="H8" s="36">
        <f>ROUND(dagwerk13,4+2)</f>
        <v>0</v>
      </c>
      <c r="I8" s="37">
        <f>ROUND(uurtarief13,2)</f>
        <v>0</v>
      </c>
      <c r="J8" s="34">
        <v>804.84</v>
      </c>
      <c r="K8" s="34">
        <v>0</v>
      </c>
      <c r="L8" s="34">
        <v>18.37</v>
      </c>
      <c r="M8" s="34">
        <v>22</v>
      </c>
      <c r="N8" s="34">
        <v>58.440000000000005</v>
      </c>
      <c r="O8" s="34">
        <v>21.150000000000002</v>
      </c>
      <c r="P8" s="34">
        <v>124.06000000000002</v>
      </c>
      <c r="Q8" s="34">
        <v>29.97</v>
      </c>
      <c r="R8" s="34">
        <v>0</v>
      </c>
    </row>
    <row r="9" spans="1:18" x14ac:dyDescent="0.3">
      <c r="A9" s="20" t="s">
        <v>218</v>
      </c>
      <c r="B9" s="20" t="s">
        <v>11</v>
      </c>
      <c r="C9" s="20" t="s">
        <v>1892</v>
      </c>
      <c r="D9" s="20" t="s">
        <v>210</v>
      </c>
      <c r="E9" s="34">
        <f t="shared" si="0"/>
        <v>1</v>
      </c>
      <c r="F9" s="34">
        <v>1</v>
      </c>
      <c r="G9" s="34">
        <f>IF(prodnorm14&gt;0,1/ROUND(prodnorm14,4),0)</f>
        <v>0</v>
      </c>
      <c r="H9" s="36">
        <f>ROUND(dagwerk14,4+2)</f>
        <v>0</v>
      </c>
      <c r="I9" s="37">
        <f>ROUND(uurtarief14,2)</f>
        <v>0</v>
      </c>
      <c r="J9" s="34">
        <v>315.11</v>
      </c>
      <c r="K9" s="34">
        <v>0</v>
      </c>
      <c r="L9" s="34">
        <v>214.37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18" x14ac:dyDescent="0.3">
      <c r="A10" s="20" t="s">
        <v>220</v>
      </c>
      <c r="B10" s="20" t="s">
        <v>11</v>
      </c>
      <c r="C10" s="20" t="s">
        <v>1892</v>
      </c>
      <c r="D10" s="20" t="s">
        <v>210</v>
      </c>
      <c r="E10" s="34">
        <f t="shared" si="0"/>
        <v>1</v>
      </c>
      <c r="F10" s="34">
        <v>1</v>
      </c>
      <c r="G10" s="34">
        <f>IF(prodnorm15&gt;0,1/ROUND(prodnorm15,4),0)</f>
        <v>0</v>
      </c>
      <c r="H10" s="36">
        <f>ROUND(dagwerk15,4+2)</f>
        <v>0</v>
      </c>
      <c r="I10" s="37">
        <f>ROUND(uurtarief15,2)</f>
        <v>0</v>
      </c>
      <c r="J10" s="34">
        <v>1056.03</v>
      </c>
      <c r="K10" s="34">
        <v>0</v>
      </c>
      <c r="L10" s="34">
        <v>174.23999999999998</v>
      </c>
      <c r="M10" s="34">
        <v>474</v>
      </c>
      <c r="N10" s="34">
        <v>0</v>
      </c>
      <c r="O10" s="34">
        <v>379.22</v>
      </c>
      <c r="P10" s="34">
        <v>0</v>
      </c>
      <c r="Q10" s="34">
        <v>313.68</v>
      </c>
      <c r="R10" s="34">
        <v>220.93</v>
      </c>
    </row>
    <row r="11" spans="1:18" x14ac:dyDescent="0.3">
      <c r="A11" s="20" t="s">
        <v>222</v>
      </c>
      <c r="B11" s="20" t="s">
        <v>11</v>
      </c>
      <c r="C11" s="20" t="s">
        <v>1892</v>
      </c>
      <c r="D11" s="20" t="s">
        <v>210</v>
      </c>
      <c r="E11" s="34">
        <f t="shared" si="0"/>
        <v>1</v>
      </c>
      <c r="F11" s="34">
        <v>1</v>
      </c>
      <c r="G11" s="34">
        <f>IF(prodnorm16&gt;0,1/ROUND(prodnorm16,4),0)</f>
        <v>0</v>
      </c>
      <c r="H11" s="36">
        <f>ROUND(dagwerk16,4+2)</f>
        <v>0</v>
      </c>
      <c r="I11" s="37">
        <f>ROUND(uurtarief16,2)</f>
        <v>0</v>
      </c>
      <c r="J11" s="34">
        <v>28.85</v>
      </c>
      <c r="K11" s="34">
        <v>0</v>
      </c>
      <c r="L11" s="34">
        <v>0</v>
      </c>
      <c r="M11" s="34">
        <v>0</v>
      </c>
      <c r="N11" s="34">
        <v>45.02</v>
      </c>
      <c r="O11" s="34">
        <v>0</v>
      </c>
      <c r="P11" s="34">
        <v>0</v>
      </c>
      <c r="Q11" s="34">
        <v>0</v>
      </c>
      <c r="R11" s="34">
        <v>0</v>
      </c>
    </row>
    <row r="12" spans="1:18" x14ac:dyDescent="0.3">
      <c r="A12" s="20" t="s">
        <v>224</v>
      </c>
      <c r="B12" s="20" t="s">
        <v>14</v>
      </c>
      <c r="C12" s="20" t="s">
        <v>1892</v>
      </c>
      <c r="D12" s="20" t="s">
        <v>210</v>
      </c>
      <c r="E12" s="34">
        <f t="shared" si="0"/>
        <v>0.6</v>
      </c>
      <c r="F12" s="34">
        <v>1</v>
      </c>
      <c r="G12" s="34">
        <f>IF(prodnorm17&gt;0,1/ROUND(prodnorm17,4),0)</f>
        <v>0</v>
      </c>
      <c r="H12" s="36">
        <f>ROUND(dagwerk17,4+2)</f>
        <v>0</v>
      </c>
      <c r="I12" s="37">
        <f>ROUND(uurtarief17,2)</f>
        <v>0</v>
      </c>
      <c r="J12" s="34">
        <v>592.03</v>
      </c>
      <c r="K12" s="34">
        <v>0</v>
      </c>
      <c r="L12" s="34">
        <v>132.11000000000001</v>
      </c>
      <c r="M12" s="34">
        <v>314</v>
      </c>
      <c r="N12" s="34">
        <v>12.950000000000001</v>
      </c>
      <c r="O12" s="34">
        <v>0</v>
      </c>
      <c r="P12" s="34">
        <v>0</v>
      </c>
      <c r="Q12" s="34">
        <v>106.91</v>
      </c>
      <c r="R12" s="34">
        <v>0</v>
      </c>
    </row>
    <row r="13" spans="1:18" x14ac:dyDescent="0.3">
      <c r="A13" s="20" t="s">
        <v>226</v>
      </c>
      <c r="B13" s="20" t="s">
        <v>14</v>
      </c>
      <c r="C13" s="20" t="s">
        <v>1892</v>
      </c>
      <c r="D13" s="20" t="s">
        <v>210</v>
      </c>
      <c r="E13" s="34">
        <f t="shared" si="0"/>
        <v>0.6</v>
      </c>
      <c r="F13" s="34">
        <v>1</v>
      </c>
      <c r="G13" s="34">
        <f>IF(prodnorm18&gt;0,1/ROUND(prodnorm18,4),0)</f>
        <v>0</v>
      </c>
      <c r="H13" s="36">
        <f>ROUND(dagwerk18,4+2)</f>
        <v>0</v>
      </c>
      <c r="I13" s="37">
        <f>ROUND(uurtarief18,2)</f>
        <v>0</v>
      </c>
      <c r="J13" s="34">
        <v>477.03999999999996</v>
      </c>
      <c r="K13" s="34">
        <v>0</v>
      </c>
      <c r="L13" s="34">
        <v>0</v>
      </c>
      <c r="M13" s="34">
        <v>0</v>
      </c>
      <c r="N13" s="34">
        <v>0</v>
      </c>
      <c r="O13" s="34">
        <v>116.97</v>
      </c>
      <c r="P13" s="34">
        <v>0</v>
      </c>
      <c r="Q13" s="34">
        <v>95.009999999999991</v>
      </c>
      <c r="R13" s="34">
        <v>0</v>
      </c>
    </row>
    <row r="14" spans="1:18" x14ac:dyDescent="0.3">
      <c r="A14" s="20" t="s">
        <v>228</v>
      </c>
      <c r="B14" s="20" t="s">
        <v>11</v>
      </c>
      <c r="C14" s="20" t="s">
        <v>1892</v>
      </c>
      <c r="D14" s="20" t="s">
        <v>210</v>
      </c>
      <c r="E14" s="34">
        <f t="shared" si="0"/>
        <v>1</v>
      </c>
      <c r="F14" s="34">
        <v>1</v>
      </c>
      <c r="G14" s="34">
        <f>IF(prodnorm19&gt;0,1/ROUND(prodnorm19,4),0)</f>
        <v>0</v>
      </c>
      <c r="H14" s="36">
        <f>ROUND(dagwerk19,4+2)</f>
        <v>0</v>
      </c>
      <c r="I14" s="37">
        <f>ROUND(uurtarief19,2)</f>
        <v>0</v>
      </c>
      <c r="J14" s="34">
        <v>26.839999999999996</v>
      </c>
      <c r="K14" s="34">
        <v>0</v>
      </c>
      <c r="L14" s="34">
        <v>0</v>
      </c>
      <c r="M14" s="34">
        <v>0</v>
      </c>
      <c r="N14" s="34">
        <v>0</v>
      </c>
      <c r="O14" s="34">
        <v>24.42</v>
      </c>
      <c r="P14" s="34">
        <v>3.8099999999999996</v>
      </c>
      <c r="Q14" s="34">
        <v>0</v>
      </c>
      <c r="R14" s="34">
        <v>6.5</v>
      </c>
    </row>
    <row r="15" spans="1:18" x14ac:dyDescent="0.3">
      <c r="A15" s="20" t="s">
        <v>230</v>
      </c>
      <c r="B15" s="20" t="s">
        <v>11</v>
      </c>
      <c r="C15" s="20" t="s">
        <v>1892</v>
      </c>
      <c r="D15" s="20" t="s">
        <v>210</v>
      </c>
      <c r="E15" s="34">
        <f t="shared" si="0"/>
        <v>1</v>
      </c>
      <c r="F15" s="34">
        <v>1</v>
      </c>
      <c r="G15" s="34">
        <f>IF(prodnorm20&gt;0,1/ROUND(prodnorm20,4),0)</f>
        <v>0</v>
      </c>
      <c r="H15" s="36">
        <f>ROUND(dagwerk20,4+2)</f>
        <v>0</v>
      </c>
      <c r="I15" s="37">
        <f>ROUND(uurtarief20,2)</f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25.27</v>
      </c>
      <c r="R15" s="34">
        <v>0</v>
      </c>
    </row>
    <row r="16" spans="1:18" x14ac:dyDescent="0.3">
      <c r="A16" s="20" t="s">
        <v>232</v>
      </c>
      <c r="B16" s="20" t="s">
        <v>11</v>
      </c>
      <c r="C16" s="20" t="s">
        <v>1892</v>
      </c>
      <c r="D16" s="20" t="s">
        <v>210</v>
      </c>
      <c r="E16" s="34">
        <f t="shared" si="0"/>
        <v>1</v>
      </c>
      <c r="F16" s="34">
        <v>1</v>
      </c>
      <c r="G16" s="34">
        <f>IF(prodnorm21&gt;0,1/ROUND(prodnorm21,4),0)</f>
        <v>0</v>
      </c>
      <c r="H16" s="36">
        <f>ROUND(dagwerk21,4+2)</f>
        <v>0</v>
      </c>
      <c r="I16" s="37">
        <f>ROUND(uurtarief21,2)</f>
        <v>0</v>
      </c>
      <c r="J16" s="34">
        <v>71.09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24.8</v>
      </c>
    </row>
    <row r="17" spans="1:18" x14ac:dyDescent="0.3">
      <c r="A17" s="20" t="s">
        <v>234</v>
      </c>
      <c r="B17" s="20" t="s">
        <v>14</v>
      </c>
      <c r="C17" s="20" t="s">
        <v>1892</v>
      </c>
      <c r="D17" s="20" t="s">
        <v>210</v>
      </c>
      <c r="E17" s="34">
        <f t="shared" si="0"/>
        <v>0.6</v>
      </c>
      <c r="F17" s="34">
        <v>1</v>
      </c>
      <c r="G17" s="34">
        <f>IF(prodnorm22&gt;0,1/ROUND(prodnorm22,4),0)</f>
        <v>0</v>
      </c>
      <c r="H17" s="36">
        <f>ROUND(dagwerk22,4+2)</f>
        <v>0</v>
      </c>
      <c r="I17" s="37">
        <f>ROUND(uurtarief22,2)</f>
        <v>0</v>
      </c>
      <c r="J17" s="34">
        <v>3377.2599999999998</v>
      </c>
      <c r="K17" s="34">
        <v>0</v>
      </c>
      <c r="L17" s="34">
        <v>720.63</v>
      </c>
      <c r="M17" s="34">
        <v>1116.1500000000001</v>
      </c>
      <c r="N17" s="34">
        <v>229.54</v>
      </c>
      <c r="O17" s="34">
        <v>868.23</v>
      </c>
      <c r="P17" s="34">
        <v>0</v>
      </c>
      <c r="Q17" s="34">
        <v>441.03</v>
      </c>
      <c r="R17" s="34">
        <v>70.42</v>
      </c>
    </row>
    <row r="18" spans="1:18" x14ac:dyDescent="0.3">
      <c r="A18" s="20" t="s">
        <v>236</v>
      </c>
      <c r="B18" s="20" t="s">
        <v>14</v>
      </c>
      <c r="C18" s="20" t="s">
        <v>1892</v>
      </c>
      <c r="D18" s="20" t="s">
        <v>210</v>
      </c>
      <c r="E18" s="34">
        <f t="shared" si="0"/>
        <v>0.6</v>
      </c>
      <c r="F18" s="34">
        <v>1</v>
      </c>
      <c r="G18" s="34">
        <f>IF(prodnorm23&gt;0,1/ROUND(prodnorm23,4),0)</f>
        <v>0</v>
      </c>
      <c r="H18" s="36">
        <f>ROUND(dagwerk23,4+2)</f>
        <v>0</v>
      </c>
      <c r="I18" s="37">
        <f>ROUND(uurtarief23,2)</f>
        <v>0</v>
      </c>
      <c r="J18" s="34">
        <v>3287.7500000000005</v>
      </c>
      <c r="K18" s="34">
        <v>0</v>
      </c>
      <c r="L18" s="34">
        <v>0</v>
      </c>
      <c r="M18" s="34">
        <v>152</v>
      </c>
      <c r="N18" s="34">
        <v>37.4</v>
      </c>
      <c r="O18" s="34">
        <v>59.07</v>
      </c>
      <c r="P18" s="34">
        <v>0</v>
      </c>
      <c r="Q18" s="34">
        <v>209.46</v>
      </c>
      <c r="R18" s="34">
        <v>0</v>
      </c>
    </row>
    <row r="19" spans="1:18" x14ac:dyDescent="0.3">
      <c r="A19" s="20" t="s">
        <v>238</v>
      </c>
      <c r="B19" s="20" t="s">
        <v>11</v>
      </c>
      <c r="C19" s="20" t="s">
        <v>1892</v>
      </c>
      <c r="D19" s="20" t="s">
        <v>210</v>
      </c>
      <c r="E19" s="34">
        <f t="shared" si="0"/>
        <v>1</v>
      </c>
      <c r="F19" s="34">
        <v>1</v>
      </c>
      <c r="G19" s="34">
        <f>IF(prodnorm24&gt;0,1/ROUND(prodnorm24,4),0)</f>
        <v>0</v>
      </c>
      <c r="H19" s="36">
        <f>ROUND(dagwerk24,4+2)</f>
        <v>0</v>
      </c>
      <c r="I19" s="37">
        <f>ROUND(uurtarief24,2)</f>
        <v>0</v>
      </c>
      <c r="J19" s="34">
        <v>1258.32</v>
      </c>
      <c r="K19" s="34">
        <v>120.9</v>
      </c>
      <c r="L19" s="34">
        <v>300.71000000000004</v>
      </c>
      <c r="M19" s="34">
        <v>53</v>
      </c>
      <c r="N19" s="34">
        <v>62</v>
      </c>
      <c r="O19" s="34">
        <v>173.9</v>
      </c>
      <c r="P19" s="34">
        <v>0</v>
      </c>
      <c r="Q19" s="34">
        <v>286.32</v>
      </c>
      <c r="R19" s="34">
        <v>0</v>
      </c>
    </row>
    <row r="20" spans="1:18" x14ac:dyDescent="0.3">
      <c r="A20" s="20" t="s">
        <v>240</v>
      </c>
      <c r="B20" s="20" t="s">
        <v>11</v>
      </c>
      <c r="C20" s="20" t="s">
        <v>1892</v>
      </c>
      <c r="D20" s="20" t="s">
        <v>210</v>
      </c>
      <c r="E20" s="34">
        <f t="shared" si="0"/>
        <v>1</v>
      </c>
      <c r="F20" s="34">
        <v>1</v>
      </c>
      <c r="G20" s="34">
        <f>IF(prodnorm25&gt;0,1/ROUND(prodnorm25,4),0)</f>
        <v>0</v>
      </c>
      <c r="H20" s="36">
        <f>ROUND(dagwerk25,4+2)</f>
        <v>0</v>
      </c>
      <c r="I20" s="37">
        <f>ROUND(uurtarief25,2)</f>
        <v>0</v>
      </c>
      <c r="J20" s="34">
        <v>592.71</v>
      </c>
      <c r="K20" s="34">
        <v>0</v>
      </c>
      <c r="L20" s="34">
        <v>0</v>
      </c>
      <c r="M20" s="34">
        <v>0</v>
      </c>
      <c r="N20" s="34">
        <v>0</v>
      </c>
      <c r="O20" s="34">
        <v>148.25</v>
      </c>
      <c r="P20" s="34">
        <v>0</v>
      </c>
      <c r="Q20" s="34">
        <v>511.53</v>
      </c>
      <c r="R20" s="34">
        <v>0</v>
      </c>
    </row>
    <row r="21" spans="1:18" x14ac:dyDescent="0.3">
      <c r="A21" s="20" t="s">
        <v>242</v>
      </c>
      <c r="B21" s="20" t="s">
        <v>11</v>
      </c>
      <c r="C21" s="20" t="s">
        <v>1892</v>
      </c>
      <c r="D21" s="20" t="s">
        <v>210</v>
      </c>
      <c r="E21" s="34">
        <f t="shared" si="0"/>
        <v>1</v>
      </c>
      <c r="F21" s="34">
        <v>1</v>
      </c>
      <c r="G21" s="34">
        <f>IF(prodnorm26&gt;0,1/ROUND(prodnorm26,4),0)</f>
        <v>0</v>
      </c>
      <c r="H21" s="36">
        <f>ROUND(dagwerk26,4+2)</f>
        <v>0</v>
      </c>
      <c r="I21" s="37">
        <f>ROUND(uurtarief26,2)</f>
        <v>0</v>
      </c>
      <c r="J21" s="34">
        <v>146.51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38.89</v>
      </c>
      <c r="R21" s="34">
        <v>24.939999999999998</v>
      </c>
    </row>
    <row r="22" spans="1:18" x14ac:dyDescent="0.3">
      <c r="A22" s="20" t="s">
        <v>246</v>
      </c>
      <c r="B22" s="20" t="s">
        <v>20</v>
      </c>
      <c r="C22" s="20" t="s">
        <v>1892</v>
      </c>
      <c r="D22" s="20" t="s">
        <v>210</v>
      </c>
      <c r="E22" s="34">
        <f t="shared" si="0"/>
        <v>4.7619047619047616E-2</v>
      </c>
      <c r="F22" s="34">
        <v>1</v>
      </c>
      <c r="G22" s="34">
        <f>IF(prodnorm28&gt;0,1/ROUND(prodnorm28,4),0)</f>
        <v>0</v>
      </c>
      <c r="H22" s="36">
        <f>ROUND(dagwerk28,4+2)</f>
        <v>0</v>
      </c>
      <c r="I22" s="37">
        <f>ROUND(uurtarief28,2)</f>
        <v>0</v>
      </c>
      <c r="J22" s="34">
        <v>19.939999999999998</v>
      </c>
      <c r="K22" s="34">
        <v>0</v>
      </c>
      <c r="L22" s="34">
        <v>2.58</v>
      </c>
      <c r="M22" s="34">
        <v>8</v>
      </c>
      <c r="N22" s="34">
        <v>8.629999999999999</v>
      </c>
      <c r="O22" s="34">
        <v>4.09</v>
      </c>
      <c r="P22" s="34">
        <v>0</v>
      </c>
      <c r="Q22" s="34">
        <v>2.68</v>
      </c>
      <c r="R22" s="34">
        <v>0</v>
      </c>
    </row>
    <row r="23" spans="1:18" x14ac:dyDescent="0.3">
      <c r="A23" s="20" t="s">
        <v>248</v>
      </c>
      <c r="B23" s="20" t="s">
        <v>11</v>
      </c>
      <c r="C23" s="20" t="s">
        <v>1892</v>
      </c>
      <c r="D23" s="20" t="s">
        <v>210</v>
      </c>
      <c r="E23" s="34">
        <f t="shared" si="0"/>
        <v>1</v>
      </c>
      <c r="F23" s="34">
        <v>1</v>
      </c>
      <c r="G23" s="34">
        <f>IF(prodnorm30&gt;0,1/ROUND(prodnorm30,4),0)</f>
        <v>0</v>
      </c>
      <c r="H23" s="36">
        <f>ROUND(dagwerk30,4+2)</f>
        <v>0</v>
      </c>
      <c r="I23" s="37">
        <f>ROUND(uurtarief30,2)</f>
        <v>0</v>
      </c>
      <c r="J23" s="34">
        <v>258.37</v>
      </c>
      <c r="K23" s="34">
        <v>0</v>
      </c>
      <c r="L23" s="34">
        <v>86.910000000000011</v>
      </c>
      <c r="M23" s="34">
        <v>0</v>
      </c>
      <c r="N23" s="34">
        <v>0</v>
      </c>
      <c r="O23" s="34">
        <v>0</v>
      </c>
      <c r="P23" s="34">
        <v>0</v>
      </c>
      <c r="Q23" s="34">
        <v>249.51999999999998</v>
      </c>
      <c r="R23" s="34">
        <v>0</v>
      </c>
    </row>
    <row r="24" spans="1:18" x14ac:dyDescent="0.3">
      <c r="A24" s="20" t="s">
        <v>250</v>
      </c>
      <c r="B24" s="20" t="s">
        <v>11</v>
      </c>
      <c r="C24" s="20" t="s">
        <v>1892</v>
      </c>
      <c r="D24" s="20" t="s">
        <v>210</v>
      </c>
      <c r="E24" s="34">
        <f t="shared" si="0"/>
        <v>1</v>
      </c>
      <c r="F24" s="34">
        <v>1</v>
      </c>
      <c r="G24" s="34">
        <f>IF(prodnorm31&gt;0,1/ROUND(prodnorm31,4),0)</f>
        <v>0</v>
      </c>
      <c r="H24" s="36">
        <f>ROUND(dagwerk31,4+2)</f>
        <v>0</v>
      </c>
      <c r="I24" s="37">
        <f>ROUND(uurtarief31,2)</f>
        <v>0</v>
      </c>
      <c r="J24" s="34">
        <v>162.26</v>
      </c>
      <c r="K24" s="34">
        <v>0</v>
      </c>
      <c r="L24" s="34">
        <v>55.28</v>
      </c>
      <c r="M24" s="34">
        <v>453</v>
      </c>
      <c r="N24" s="34">
        <v>26.3</v>
      </c>
      <c r="O24" s="34">
        <v>0</v>
      </c>
      <c r="P24" s="34">
        <v>0</v>
      </c>
      <c r="Q24" s="34">
        <v>99.28</v>
      </c>
      <c r="R24" s="34">
        <v>0</v>
      </c>
    </row>
    <row r="25" spans="1:18" x14ac:dyDescent="0.3">
      <c r="A25" s="20" t="s">
        <v>252</v>
      </c>
      <c r="B25" s="20" t="s">
        <v>11</v>
      </c>
      <c r="C25" s="20" t="s">
        <v>1892</v>
      </c>
      <c r="D25" s="20" t="s">
        <v>210</v>
      </c>
      <c r="E25" s="34">
        <f t="shared" si="0"/>
        <v>1</v>
      </c>
      <c r="F25" s="34">
        <v>1</v>
      </c>
      <c r="G25" s="34">
        <f>IF(prodnorm32&gt;0,1/ROUND(prodnorm32,4),0)</f>
        <v>0</v>
      </c>
      <c r="H25" s="36">
        <f>ROUND(dagwerk32,4+2)</f>
        <v>0</v>
      </c>
      <c r="I25" s="37">
        <f>ROUND(uurtarief32,2)</f>
        <v>0</v>
      </c>
      <c r="J25" s="34">
        <v>0</v>
      </c>
      <c r="K25" s="34">
        <v>0</v>
      </c>
      <c r="L25" s="34">
        <v>23.07</v>
      </c>
      <c r="M25" s="34">
        <v>15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</row>
    <row r="26" spans="1:18" x14ac:dyDescent="0.3">
      <c r="A26" s="20" t="s">
        <v>254</v>
      </c>
      <c r="B26" s="20" t="s">
        <v>11</v>
      </c>
      <c r="C26" s="20" t="s">
        <v>1892</v>
      </c>
      <c r="D26" s="20" t="s">
        <v>210</v>
      </c>
      <c r="E26" s="34">
        <f t="shared" si="0"/>
        <v>1</v>
      </c>
      <c r="F26" s="34">
        <v>1</v>
      </c>
      <c r="G26" s="34">
        <f>IF(prodnorm33&gt;0,1/ROUND(prodnorm33,4),0)</f>
        <v>0</v>
      </c>
      <c r="H26" s="36">
        <f>ROUND(dagwerk33,4+2)</f>
        <v>0</v>
      </c>
      <c r="I26" s="37">
        <f>ROUND(uurtarief33,2)</f>
        <v>0</v>
      </c>
      <c r="J26" s="34">
        <v>252.74</v>
      </c>
      <c r="K26" s="34">
        <v>382.15000000000003</v>
      </c>
      <c r="L26" s="34">
        <v>0</v>
      </c>
      <c r="M26" s="34">
        <v>592</v>
      </c>
      <c r="N26" s="34">
        <v>0</v>
      </c>
      <c r="O26" s="34">
        <v>605.06999999999994</v>
      </c>
      <c r="P26" s="34">
        <v>0</v>
      </c>
      <c r="Q26" s="34">
        <v>103.79</v>
      </c>
      <c r="R26" s="34">
        <v>0</v>
      </c>
    </row>
    <row r="27" spans="1:18" x14ac:dyDescent="0.3">
      <c r="A27" s="20" t="s">
        <v>256</v>
      </c>
      <c r="B27" s="20" t="s">
        <v>11</v>
      </c>
      <c r="C27" s="20" t="s">
        <v>1892</v>
      </c>
      <c r="D27" s="20" t="s">
        <v>210</v>
      </c>
      <c r="E27" s="34">
        <f t="shared" si="0"/>
        <v>1</v>
      </c>
      <c r="F27" s="34">
        <v>1</v>
      </c>
      <c r="G27" s="34">
        <f>IF(prodnorm34&gt;0,1/ROUND(prodnorm34,4),0)</f>
        <v>0</v>
      </c>
      <c r="H27" s="36">
        <f>ROUND(dagwerk34,4+2)</f>
        <v>0</v>
      </c>
      <c r="I27" s="37">
        <f>ROUND(uurtarief34,2)</f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127.67999999999999</v>
      </c>
      <c r="R27" s="34">
        <v>0</v>
      </c>
    </row>
    <row r="28" spans="1:18" x14ac:dyDescent="0.3">
      <c r="A28" s="20" t="s">
        <v>258</v>
      </c>
      <c r="B28" s="20" t="s">
        <v>11</v>
      </c>
      <c r="C28" s="20" t="s">
        <v>1892</v>
      </c>
      <c r="D28" s="20" t="s">
        <v>210</v>
      </c>
      <c r="E28" s="34">
        <f t="shared" si="0"/>
        <v>1</v>
      </c>
      <c r="F28" s="34">
        <v>1</v>
      </c>
      <c r="G28" s="34">
        <f>IF(prodnorm35&gt;0,1/ROUND(prodnorm35,4),0)</f>
        <v>0</v>
      </c>
      <c r="H28" s="36">
        <f>ROUND(dagwerk35,4+2)</f>
        <v>0</v>
      </c>
      <c r="I28" s="37">
        <f>ROUND(uurtarief35,2)</f>
        <v>0</v>
      </c>
      <c r="J28" s="34">
        <v>320.64999999999998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</row>
    <row r="29" spans="1:18" x14ac:dyDescent="0.3">
      <c r="A29" s="20" t="s">
        <v>260</v>
      </c>
      <c r="B29" s="20" t="s">
        <v>11</v>
      </c>
      <c r="C29" s="20" t="s">
        <v>1892</v>
      </c>
      <c r="D29" s="20" t="s">
        <v>210</v>
      </c>
      <c r="E29" s="34">
        <f t="shared" si="0"/>
        <v>1</v>
      </c>
      <c r="F29" s="34">
        <v>1</v>
      </c>
      <c r="G29" s="34">
        <f>IF(prodnorm36&gt;0,1/ROUND(prodnorm36,4),0)</f>
        <v>0</v>
      </c>
      <c r="H29" s="36">
        <f>ROUND(dagwerk36,4+2)</f>
        <v>0</v>
      </c>
      <c r="I29" s="37">
        <f>ROUND(uurtarief36,2)</f>
        <v>0</v>
      </c>
      <c r="J29" s="34">
        <v>2597.5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316.23</v>
      </c>
    </row>
    <row r="30" spans="1:18" x14ac:dyDescent="0.3">
      <c r="A30" s="20" t="s">
        <v>262</v>
      </c>
      <c r="B30" s="20" t="s">
        <v>11</v>
      </c>
      <c r="C30" s="20" t="s">
        <v>1892</v>
      </c>
      <c r="D30" s="20" t="s">
        <v>210</v>
      </c>
      <c r="E30" s="34">
        <f t="shared" si="0"/>
        <v>1</v>
      </c>
      <c r="F30" s="34">
        <v>1</v>
      </c>
      <c r="G30" s="34">
        <f>IF(prodnorm37&gt;0,1/ROUND(prodnorm37,4),0)</f>
        <v>0</v>
      </c>
      <c r="H30" s="36">
        <f>ROUND(dagwerk37,4+2)</f>
        <v>0</v>
      </c>
      <c r="I30" s="37">
        <f>ROUND(uurtarief37,2)</f>
        <v>0</v>
      </c>
      <c r="J30" s="34">
        <v>32.99</v>
      </c>
      <c r="K30" s="34">
        <v>0</v>
      </c>
      <c r="L30" s="34">
        <v>0</v>
      </c>
      <c r="M30" s="34">
        <v>8</v>
      </c>
      <c r="N30" s="34">
        <v>0</v>
      </c>
      <c r="O30" s="34">
        <v>0</v>
      </c>
      <c r="P30" s="34">
        <v>0</v>
      </c>
      <c r="Q30" s="34">
        <v>3.66</v>
      </c>
      <c r="R30" s="34">
        <v>0</v>
      </c>
    </row>
    <row r="31" spans="1:18" x14ac:dyDescent="0.3">
      <c r="A31" s="20" t="s">
        <v>264</v>
      </c>
      <c r="B31" s="20" t="s">
        <v>11</v>
      </c>
      <c r="C31" s="20" t="s">
        <v>1892</v>
      </c>
      <c r="D31" s="20" t="s">
        <v>210</v>
      </c>
      <c r="E31" s="34">
        <f t="shared" si="0"/>
        <v>1</v>
      </c>
      <c r="F31" s="34">
        <v>1</v>
      </c>
      <c r="G31" s="34">
        <f>IF(prodnorm38&gt;0,1/ROUND(prodnorm38,4),0)</f>
        <v>0</v>
      </c>
      <c r="H31" s="36">
        <f>ROUND(dagwerk38,4+2)</f>
        <v>0</v>
      </c>
      <c r="I31" s="37">
        <f>ROUND(uurtarief38,2)</f>
        <v>0</v>
      </c>
      <c r="J31" s="34">
        <v>55.069999999999993</v>
      </c>
      <c r="K31" s="34">
        <v>0</v>
      </c>
      <c r="L31" s="34">
        <v>42.19</v>
      </c>
      <c r="M31" s="34">
        <v>82</v>
      </c>
      <c r="N31" s="34">
        <v>0</v>
      </c>
      <c r="O31" s="34">
        <v>279.42999999999995</v>
      </c>
      <c r="P31" s="34">
        <v>0</v>
      </c>
      <c r="Q31" s="34">
        <v>0</v>
      </c>
      <c r="R31" s="34">
        <v>0</v>
      </c>
    </row>
    <row r="32" spans="1:18" x14ac:dyDescent="0.3">
      <c r="A32" s="20" t="s">
        <v>266</v>
      </c>
      <c r="B32" s="20" t="s">
        <v>11</v>
      </c>
      <c r="C32" s="20" t="s">
        <v>1892</v>
      </c>
      <c r="D32" s="20" t="s">
        <v>210</v>
      </c>
      <c r="E32" s="34">
        <f t="shared" si="0"/>
        <v>1</v>
      </c>
      <c r="F32" s="34">
        <v>1</v>
      </c>
      <c r="G32" s="34">
        <f>IF(prodnorm39&gt;0,1/ROUND(prodnorm39,4),0)</f>
        <v>0</v>
      </c>
      <c r="H32" s="36">
        <f>ROUND(dagwerk39,4+2)</f>
        <v>0</v>
      </c>
      <c r="I32" s="37">
        <f>ROUND(uurtarief39,2)</f>
        <v>0</v>
      </c>
      <c r="J32" s="34">
        <v>512.24</v>
      </c>
      <c r="K32" s="34">
        <v>2.68</v>
      </c>
      <c r="L32" s="34">
        <v>91.98</v>
      </c>
      <c r="M32" s="34">
        <v>126</v>
      </c>
      <c r="N32" s="34">
        <v>26.599999999999998</v>
      </c>
      <c r="O32" s="34">
        <v>85.29</v>
      </c>
      <c r="P32" s="34">
        <v>3</v>
      </c>
      <c r="Q32" s="34">
        <v>116.51999999999998</v>
      </c>
      <c r="R32" s="34">
        <v>35.06</v>
      </c>
    </row>
    <row r="33" spans="1:18" x14ac:dyDescent="0.3">
      <c r="A33" s="20" t="s">
        <v>268</v>
      </c>
      <c r="B33" s="20" t="s">
        <v>11</v>
      </c>
      <c r="C33" s="20" t="s">
        <v>1892</v>
      </c>
      <c r="D33" s="20" t="s">
        <v>210</v>
      </c>
      <c r="E33" s="34">
        <f t="shared" si="0"/>
        <v>1</v>
      </c>
      <c r="F33" s="34">
        <v>1</v>
      </c>
      <c r="G33" s="34">
        <f>IF(prodnorm40&gt;0,1/ROUND(prodnorm40,4),0)</f>
        <v>0</v>
      </c>
      <c r="H33" s="36">
        <f>ROUND(dagwerk40,4+2)</f>
        <v>0</v>
      </c>
      <c r="I33" s="37">
        <f>ROUND(uurtarief40,2)</f>
        <v>0</v>
      </c>
      <c r="J33" s="34">
        <v>163.72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</row>
    <row r="34" spans="1:18" x14ac:dyDescent="0.3">
      <c r="A34" s="20" t="s">
        <v>270</v>
      </c>
      <c r="B34" s="20" t="s">
        <v>11</v>
      </c>
      <c r="C34" s="20" t="s">
        <v>1892</v>
      </c>
      <c r="D34" s="20" t="s">
        <v>210</v>
      </c>
      <c r="E34" s="34">
        <f t="shared" si="0"/>
        <v>1</v>
      </c>
      <c r="F34" s="34">
        <v>1</v>
      </c>
      <c r="G34" s="34">
        <f>IF(prodnorm41&gt;0,1/ROUND(prodnorm41,4),0)</f>
        <v>0</v>
      </c>
      <c r="H34" s="36">
        <f>ROUND(dagwerk41,4+2)</f>
        <v>0</v>
      </c>
      <c r="I34" s="37">
        <f>ROUND(uurtarief41,2)</f>
        <v>0</v>
      </c>
      <c r="J34" s="34">
        <v>8.42</v>
      </c>
      <c r="K34" s="34">
        <v>9.0399999999999991</v>
      </c>
      <c r="L34" s="34">
        <v>0</v>
      </c>
      <c r="M34" s="34">
        <v>0</v>
      </c>
      <c r="N34" s="34">
        <v>0</v>
      </c>
      <c r="O34" s="34">
        <v>1.45</v>
      </c>
      <c r="P34" s="34">
        <v>3.16</v>
      </c>
      <c r="Q34" s="34">
        <v>14.81</v>
      </c>
      <c r="R34" s="34">
        <v>0</v>
      </c>
    </row>
    <row r="35" spans="1:18" x14ac:dyDescent="0.3">
      <c r="A35" s="20" t="s">
        <v>272</v>
      </c>
      <c r="B35" s="20" t="s">
        <v>11</v>
      </c>
      <c r="C35" s="20" t="s">
        <v>1892</v>
      </c>
      <c r="D35" s="20" t="s">
        <v>210</v>
      </c>
      <c r="E35" s="34">
        <f t="shared" si="0"/>
        <v>1</v>
      </c>
      <c r="F35" s="34">
        <v>1</v>
      </c>
      <c r="G35" s="34">
        <f>IF(prodnorm42&gt;0,1/ROUND(prodnorm42,4),0)</f>
        <v>0</v>
      </c>
      <c r="H35" s="36">
        <f>ROUND(dagwerk42,4+2)</f>
        <v>0</v>
      </c>
      <c r="I35" s="37">
        <f>ROUND(uurtarief42,2)</f>
        <v>0</v>
      </c>
      <c r="J35" s="34">
        <v>5338.48</v>
      </c>
      <c r="K35" s="34">
        <v>33.659999999999997</v>
      </c>
      <c r="L35" s="34">
        <v>416.38</v>
      </c>
      <c r="M35" s="34">
        <v>961</v>
      </c>
      <c r="N35" s="34">
        <v>208.81999999999996</v>
      </c>
      <c r="O35" s="34">
        <v>831.31</v>
      </c>
      <c r="P35" s="34">
        <v>18.82</v>
      </c>
      <c r="Q35" s="34">
        <v>637.66</v>
      </c>
      <c r="R35" s="34">
        <v>67.28</v>
      </c>
    </row>
    <row r="36" spans="1:18" x14ac:dyDescent="0.3">
      <c r="A36" s="20" t="s">
        <v>274</v>
      </c>
      <c r="B36" s="20" t="s">
        <v>11</v>
      </c>
      <c r="C36" s="20" t="s">
        <v>1892</v>
      </c>
      <c r="D36" s="20" t="s">
        <v>210</v>
      </c>
      <c r="E36" s="34">
        <f t="shared" si="0"/>
        <v>1</v>
      </c>
      <c r="F36" s="34">
        <v>1</v>
      </c>
      <c r="G36" s="34">
        <f>IF(prodnorm43&gt;0,1/ROUND(prodnorm43,4),0)</f>
        <v>0</v>
      </c>
      <c r="H36" s="36">
        <f>ROUND(dagwerk43,4+2)</f>
        <v>0</v>
      </c>
      <c r="I36" s="37">
        <f>ROUND(uurtarief43,2)</f>
        <v>0</v>
      </c>
      <c r="J36" s="34">
        <v>133.16999999999999</v>
      </c>
      <c r="K36" s="34">
        <v>0</v>
      </c>
      <c r="L36" s="34">
        <v>26.150000000000002</v>
      </c>
      <c r="M36" s="34">
        <v>7</v>
      </c>
      <c r="N36" s="34">
        <v>3.84</v>
      </c>
      <c r="O36" s="34">
        <v>40.6</v>
      </c>
      <c r="P36" s="34">
        <v>9.49</v>
      </c>
      <c r="Q36" s="34">
        <v>49.03</v>
      </c>
      <c r="R36" s="34">
        <v>0</v>
      </c>
    </row>
    <row r="37" spans="1:18" x14ac:dyDescent="0.3">
      <c r="A37" s="20" t="s">
        <v>276</v>
      </c>
      <c r="B37" s="20" t="s">
        <v>11</v>
      </c>
      <c r="C37" s="20" t="s">
        <v>1892</v>
      </c>
      <c r="D37" s="20" t="s">
        <v>210</v>
      </c>
      <c r="E37" s="34">
        <f t="shared" si="0"/>
        <v>1</v>
      </c>
      <c r="F37" s="34">
        <v>1</v>
      </c>
      <c r="G37" s="34">
        <f>IF(prodnorm44&gt;0,1/ROUND(prodnorm44,4),0)</f>
        <v>0</v>
      </c>
      <c r="H37" s="36">
        <f>ROUND(dagwerk44,4+2)</f>
        <v>0</v>
      </c>
      <c r="I37" s="37">
        <f>ROUND(uurtarief44,2)</f>
        <v>0</v>
      </c>
      <c r="J37" s="34">
        <v>0</v>
      </c>
      <c r="K37" s="34">
        <v>0</v>
      </c>
      <c r="L37" s="34">
        <v>0</v>
      </c>
      <c r="M37" s="34">
        <v>78</v>
      </c>
      <c r="N37" s="34">
        <v>0</v>
      </c>
      <c r="O37" s="34">
        <v>0</v>
      </c>
      <c r="P37" s="34">
        <v>7.48</v>
      </c>
      <c r="Q37" s="34">
        <v>49.93</v>
      </c>
      <c r="R37" s="34">
        <v>0</v>
      </c>
    </row>
    <row r="38" spans="1:18" x14ac:dyDescent="0.3">
      <c r="A38" s="20" t="s">
        <v>278</v>
      </c>
      <c r="B38" s="20" t="s">
        <v>11</v>
      </c>
      <c r="C38" s="20" t="s">
        <v>1892</v>
      </c>
      <c r="D38" s="20" t="s">
        <v>210</v>
      </c>
      <c r="E38" s="34">
        <f t="shared" si="0"/>
        <v>1</v>
      </c>
      <c r="F38" s="34">
        <v>1</v>
      </c>
      <c r="G38" s="34">
        <f>IF(prodnorm45&gt;0,1/ROUND(prodnorm45,4),0)</f>
        <v>0</v>
      </c>
      <c r="H38" s="36">
        <f>ROUND(dagwerk45,4+2)</f>
        <v>0</v>
      </c>
      <c r="I38" s="37">
        <f>ROUND(uurtarief45,2)</f>
        <v>0</v>
      </c>
      <c r="J38" s="34">
        <v>36.629999999999995</v>
      </c>
      <c r="K38" s="34">
        <v>0</v>
      </c>
      <c r="L38" s="34">
        <v>35.659999999999997</v>
      </c>
      <c r="M38" s="34">
        <v>6</v>
      </c>
      <c r="N38" s="34">
        <v>0</v>
      </c>
      <c r="O38" s="34">
        <v>55.98</v>
      </c>
      <c r="P38" s="34">
        <v>0</v>
      </c>
      <c r="Q38" s="34">
        <v>0</v>
      </c>
      <c r="R38" s="34">
        <v>14.01</v>
      </c>
    </row>
    <row r="39" spans="1:18" x14ac:dyDescent="0.3">
      <c r="A39" s="20" t="s">
        <v>280</v>
      </c>
      <c r="B39" s="20" t="s">
        <v>11</v>
      </c>
      <c r="C39" s="20" t="s">
        <v>1892</v>
      </c>
      <c r="D39" s="20" t="s">
        <v>210</v>
      </c>
      <c r="E39" s="34">
        <f t="shared" si="0"/>
        <v>1</v>
      </c>
      <c r="F39" s="34">
        <v>1</v>
      </c>
      <c r="G39" s="34">
        <f>IF(prodnorm46&gt;0,1/ROUND(prodnorm46,4),0)</f>
        <v>0</v>
      </c>
      <c r="H39" s="36">
        <f>ROUND(dagwerk46,4+2)</f>
        <v>0</v>
      </c>
      <c r="I39" s="37">
        <f>ROUND(uurtarief46,2)</f>
        <v>0</v>
      </c>
      <c r="J39" s="34">
        <v>9.32</v>
      </c>
      <c r="K39" s="34">
        <v>0</v>
      </c>
      <c r="L39" s="34">
        <v>2.98</v>
      </c>
      <c r="M39" s="34">
        <v>5.12</v>
      </c>
      <c r="N39" s="34">
        <v>0</v>
      </c>
      <c r="O39" s="34">
        <v>2.3699999999999997</v>
      </c>
      <c r="P39" s="34">
        <v>0</v>
      </c>
      <c r="Q39" s="34">
        <v>6.43</v>
      </c>
      <c r="R39" s="34">
        <v>0</v>
      </c>
    </row>
    <row r="40" spans="1:18" x14ac:dyDescent="0.3">
      <c r="A40" s="20" t="s">
        <v>282</v>
      </c>
      <c r="B40" s="20" t="s">
        <v>11</v>
      </c>
      <c r="C40" s="20" t="s">
        <v>1892</v>
      </c>
      <c r="D40" s="20" t="s">
        <v>210</v>
      </c>
      <c r="E40" s="34">
        <f t="shared" si="0"/>
        <v>1</v>
      </c>
      <c r="F40" s="34">
        <v>1</v>
      </c>
      <c r="G40" s="34">
        <f>IF(prodnorm47&gt;0,1/ROUND(prodnorm47,4),0)</f>
        <v>0</v>
      </c>
      <c r="H40" s="36">
        <f>ROUND(dagwerk47,4+2)</f>
        <v>0</v>
      </c>
      <c r="I40" s="37">
        <f>ROUND(uurtarief47,2)</f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69.349999999999994</v>
      </c>
      <c r="P40" s="34">
        <v>0</v>
      </c>
      <c r="Q40" s="34">
        <v>0</v>
      </c>
      <c r="R40" s="34">
        <v>0</v>
      </c>
    </row>
    <row r="41" spans="1:18" x14ac:dyDescent="0.3">
      <c r="A41" s="20" t="s">
        <v>284</v>
      </c>
      <c r="B41" s="20" t="s">
        <v>11</v>
      </c>
      <c r="C41" s="20" t="s">
        <v>1892</v>
      </c>
      <c r="D41" s="20" t="s">
        <v>210</v>
      </c>
      <c r="E41" s="34">
        <f t="shared" si="0"/>
        <v>1</v>
      </c>
      <c r="F41" s="34">
        <v>1</v>
      </c>
      <c r="G41" s="34">
        <f>IF(prodnorm48&gt;0,1/ROUND(prodnorm48,4),0)</f>
        <v>0</v>
      </c>
      <c r="H41" s="36">
        <f>ROUND(dagwerk48,4+2)</f>
        <v>0</v>
      </c>
      <c r="I41" s="37">
        <f>ROUND(uurtarief48,2)</f>
        <v>0</v>
      </c>
      <c r="J41" s="34">
        <v>4.0199999999999996</v>
      </c>
      <c r="K41" s="34">
        <v>0</v>
      </c>
      <c r="L41" s="34">
        <v>3.67</v>
      </c>
      <c r="M41" s="34">
        <v>0</v>
      </c>
      <c r="N41" s="34">
        <v>0</v>
      </c>
      <c r="O41" s="34">
        <v>0</v>
      </c>
      <c r="P41" s="34">
        <v>0</v>
      </c>
      <c r="Q41" s="34">
        <v>34.54</v>
      </c>
      <c r="R41" s="34">
        <v>0</v>
      </c>
    </row>
    <row r="42" spans="1:18" x14ac:dyDescent="0.3">
      <c r="A42" s="20" t="s">
        <v>286</v>
      </c>
      <c r="B42" s="20" t="s">
        <v>11</v>
      </c>
      <c r="C42" s="20" t="s">
        <v>1892</v>
      </c>
      <c r="D42" s="20" t="s">
        <v>210</v>
      </c>
      <c r="E42" s="34">
        <f t="shared" si="0"/>
        <v>1</v>
      </c>
      <c r="F42" s="34">
        <v>1</v>
      </c>
      <c r="G42" s="34">
        <f>IF(prodnorm49&gt;0,1/ROUND(prodnorm49,4),0)</f>
        <v>0</v>
      </c>
      <c r="H42" s="36">
        <f>ROUND(dagwerk49,4+2)</f>
        <v>0</v>
      </c>
      <c r="I42" s="37">
        <f>ROUND(uurtarief49,2)</f>
        <v>0</v>
      </c>
      <c r="J42" s="34">
        <v>803.19999999999993</v>
      </c>
      <c r="K42" s="34">
        <v>1.58</v>
      </c>
      <c r="L42" s="34">
        <v>16.84</v>
      </c>
      <c r="M42" s="34">
        <v>156.44</v>
      </c>
      <c r="N42" s="34">
        <v>0</v>
      </c>
      <c r="O42" s="34">
        <v>0</v>
      </c>
      <c r="P42" s="34">
        <v>19.450000000000003</v>
      </c>
      <c r="Q42" s="34">
        <v>95.1</v>
      </c>
      <c r="R42" s="34">
        <v>17.369999999999997</v>
      </c>
    </row>
    <row r="43" spans="1:18" x14ac:dyDescent="0.3">
      <c r="A43" s="20" t="s">
        <v>288</v>
      </c>
      <c r="B43" s="20" t="s">
        <v>11</v>
      </c>
      <c r="C43" s="20" t="s">
        <v>1892</v>
      </c>
      <c r="D43" s="20" t="s">
        <v>289</v>
      </c>
      <c r="E43" s="34">
        <f t="shared" si="0"/>
        <v>1</v>
      </c>
      <c r="F43" s="34">
        <v>1</v>
      </c>
      <c r="G43" s="34">
        <v>1</v>
      </c>
      <c r="H43" s="36">
        <f>ROUND(dagwerk6,4+2)</f>
        <v>0</v>
      </c>
      <c r="I43" s="37">
        <f>ROUND(uurtarief6,2)</f>
        <v>0</v>
      </c>
      <c r="J43" s="34">
        <v>0</v>
      </c>
      <c r="K43" s="34">
        <v>0</v>
      </c>
      <c r="L43" s="34">
        <v>0</v>
      </c>
      <c r="M43" s="34">
        <v>0.25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</row>
    <row r="44" spans="1:18" x14ac:dyDescent="0.3">
      <c r="A44" s="20" t="s">
        <v>288</v>
      </c>
      <c r="B44" s="20" t="s">
        <v>9</v>
      </c>
      <c r="C44" s="20" t="s">
        <v>1892</v>
      </c>
      <c r="D44" s="20" t="s">
        <v>289</v>
      </c>
      <c r="E44" s="34">
        <f t="shared" si="0"/>
        <v>2</v>
      </c>
      <c r="F44" s="34">
        <v>1</v>
      </c>
      <c r="G44" s="34">
        <v>1</v>
      </c>
      <c r="H44" s="36">
        <f>ROUND(dagwerk7,4+2)</f>
        <v>0</v>
      </c>
      <c r="I44" s="37">
        <f>ROUND(uurtarief7,2)</f>
        <v>0</v>
      </c>
      <c r="J44" s="34">
        <v>0.5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</row>
    <row r="45" spans="1:18" x14ac:dyDescent="0.3">
      <c r="A45" s="20" t="s">
        <v>293</v>
      </c>
      <c r="B45" s="20" t="s">
        <v>11</v>
      </c>
      <c r="C45" s="20" t="s">
        <v>1892</v>
      </c>
      <c r="D45" s="20" t="s">
        <v>289</v>
      </c>
      <c r="E45" s="34">
        <f t="shared" si="0"/>
        <v>1</v>
      </c>
      <c r="F45" s="34">
        <v>1</v>
      </c>
      <c r="G45" s="34">
        <v>1</v>
      </c>
      <c r="H45" s="36">
        <f>ROUND(dagwerk8,4+2)</f>
        <v>0</v>
      </c>
      <c r="I45" s="37">
        <f>ROUND(uurtarief8,2)</f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1.25</v>
      </c>
    </row>
    <row r="46" spans="1:18" x14ac:dyDescent="0.3">
      <c r="A46" s="25" t="s">
        <v>295</v>
      </c>
      <c r="B46" s="25" t="s">
        <v>24</v>
      </c>
      <c r="C46" s="25" t="s">
        <v>1892</v>
      </c>
      <c r="D46" s="25" t="s">
        <v>289</v>
      </c>
      <c r="E46" s="38">
        <f t="shared" si="0"/>
        <v>9.5238095238095247E-3</v>
      </c>
      <c r="F46" s="38">
        <v>1</v>
      </c>
      <c r="G46" s="38">
        <f>IF(prodnorm9&gt;0,1/ROUND(prodnorm9,4),0)</f>
        <v>0</v>
      </c>
      <c r="H46" s="85">
        <f>ROUND(dagwerk9,4+2)</f>
        <v>0</v>
      </c>
      <c r="I46" s="40">
        <f>ROUND(uurtarief9,2)</f>
        <v>0</v>
      </c>
      <c r="J46" s="38">
        <v>2597.5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316.23</v>
      </c>
    </row>
    <row r="47" spans="1:18" x14ac:dyDescent="0.3">
      <c r="A47" s="42" t="s">
        <v>297</v>
      </c>
      <c r="B47" s="43"/>
      <c r="C47" s="43"/>
      <c r="D47" s="43"/>
      <c r="E47" s="43"/>
      <c r="F47" s="43"/>
      <c r="G47" s="43"/>
      <c r="H47" s="43"/>
      <c r="I47" s="43"/>
      <c r="J47" s="86"/>
      <c r="K47" s="86"/>
      <c r="L47" s="86"/>
      <c r="M47" s="86"/>
      <c r="N47" s="86"/>
      <c r="O47" s="86"/>
      <c r="P47" s="86"/>
      <c r="Q47" s="86"/>
      <c r="R47" s="86"/>
    </row>
    <row r="49" spans="1:18" x14ac:dyDescent="0.3">
      <c r="A49" s="15" t="s">
        <v>64</v>
      </c>
      <c r="B49" s="15" t="s">
        <v>20</v>
      </c>
      <c r="C49" s="15" t="s">
        <v>1893</v>
      </c>
      <c r="D49" s="15" t="s">
        <v>210</v>
      </c>
      <c r="E49" s="30">
        <f>IF(B49="","",VLOOKUP(B49,dagsoorttabel2,2,FALSE))</f>
        <v>0.4</v>
      </c>
      <c r="F49" s="30">
        <v>1</v>
      </c>
      <c r="G49" s="30">
        <f>IF(prodnorm51&gt;0,1/ROUND(prodnorm51,4),0)</f>
        <v>0</v>
      </c>
      <c r="H49" s="32">
        <f>ROUND(dagwerk51,4+2)</f>
        <v>0</v>
      </c>
      <c r="I49" s="33">
        <f>ROUND(uurtarief51,2)</f>
        <v>0</v>
      </c>
      <c r="J49" s="30">
        <v>110.83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</row>
    <row r="50" spans="1:18" x14ac:dyDescent="0.3">
      <c r="A50" s="25" t="s">
        <v>300</v>
      </c>
      <c r="B50" s="25" t="s">
        <v>20</v>
      </c>
      <c r="C50" s="25" t="s">
        <v>1893</v>
      </c>
      <c r="D50" s="25" t="s">
        <v>289</v>
      </c>
      <c r="E50" s="38">
        <f>IF(B50="","",VLOOKUP(B50,dagsoorttabel2,2,FALSE))</f>
        <v>0.4</v>
      </c>
      <c r="F50" s="38">
        <v>1</v>
      </c>
      <c r="G50" s="38">
        <v>1</v>
      </c>
      <c r="H50" s="85">
        <f>ROUND(dagwerk50,4+2)</f>
        <v>0</v>
      </c>
      <c r="I50" s="40">
        <f>ROUND(uurtarief50,2)</f>
        <v>0</v>
      </c>
      <c r="J50" s="38">
        <v>1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</row>
    <row r="51" spans="1:18" x14ac:dyDescent="0.3">
      <c r="A51" s="42" t="s">
        <v>302</v>
      </c>
      <c r="B51" s="43"/>
      <c r="C51" s="43"/>
      <c r="D51" s="43"/>
      <c r="E51" s="43"/>
      <c r="F51" s="43"/>
      <c r="G51" s="43"/>
      <c r="H51" s="43"/>
      <c r="I51" s="43"/>
      <c r="J51" s="86"/>
      <c r="K51" s="86"/>
      <c r="L51" s="86"/>
      <c r="M51" s="86"/>
      <c r="N51" s="86"/>
      <c r="O51" s="86"/>
      <c r="P51" s="86"/>
      <c r="Q51" s="86"/>
      <c r="R51" s="86"/>
    </row>
  </sheetData>
  <sheetProtection algorithmName="SHA-512" hashValue="tlO7wV1du1hWCIB3wyV3Fr/RK1VCWea6bMuokkCSgGK1ijRN19KZ8Kr0SN88NsvemSWreec+0CtmDurABtTynQ==" saltValue="9Oe0vSn8sYIw4LLjLuN05A==" spinCount="100000" sheet="1" objects="1" scenarios="1"/>
  <pageMargins left="0.7" right="0.7" top="0.75" bottom="0.75" header="0.3" footer="0.3"/>
  <pageSetup paperSize="9" scale="70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0965-A4C0-486D-94F8-603ECB1F5A0F}">
  <dimension ref="A1:L25"/>
  <sheetViews>
    <sheetView workbookViewId="0"/>
  </sheetViews>
  <sheetFormatPr defaultRowHeight="14.4" x14ac:dyDescent="0.3"/>
  <cols>
    <col min="1" max="1" width="8.77734375" customWidth="1"/>
    <col min="2" max="2" width="28.77734375" customWidth="1"/>
    <col min="3" max="4" width="15.77734375" customWidth="1"/>
    <col min="5" max="5" width="6.33203125" customWidth="1"/>
    <col min="6" max="6" width="10.77734375" customWidth="1"/>
    <col min="7" max="9" width="12.33203125" customWidth="1"/>
    <col min="10" max="11" width="12.77734375" customWidth="1"/>
    <col min="12" max="12" width="14.77734375" customWidth="1"/>
  </cols>
  <sheetData>
    <row r="1" spans="1:12" x14ac:dyDescent="0.3">
      <c r="A1" s="1" t="str">
        <f>CONCATENATE("Bijlage G.1.5: ",tabeltype," objecten")</f>
        <v>Bijlage G.1.5: Invultabel objecten</v>
      </c>
    </row>
    <row r="3" spans="1:12" ht="43.2" x14ac:dyDescent="0.3">
      <c r="A3" s="8" t="s">
        <v>305</v>
      </c>
      <c r="B3" s="8" t="s">
        <v>1894</v>
      </c>
      <c r="C3" s="8" t="s">
        <v>1895</v>
      </c>
      <c r="D3" s="8" t="s">
        <v>1896</v>
      </c>
      <c r="E3" s="8" t="s">
        <v>7</v>
      </c>
      <c r="F3" s="8" t="s">
        <v>1897</v>
      </c>
      <c r="G3" s="8" t="s">
        <v>1898</v>
      </c>
      <c r="H3" s="8" t="s">
        <v>1899</v>
      </c>
      <c r="I3" s="8" t="s">
        <v>1900</v>
      </c>
      <c r="J3" s="8" t="s">
        <v>1901</v>
      </c>
      <c r="K3" s="8" t="s">
        <v>207</v>
      </c>
      <c r="L3" s="8" t="s">
        <v>208</v>
      </c>
    </row>
    <row r="4" spans="1:12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3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3">
      <c r="A6" s="15" t="s">
        <v>316</v>
      </c>
      <c r="B6" s="15" t="s">
        <v>1902</v>
      </c>
      <c r="C6" s="15" t="s">
        <v>1903</v>
      </c>
      <c r="D6" s="15" t="s">
        <v>1904</v>
      </c>
      <c r="E6" s="87" t="s">
        <v>10</v>
      </c>
      <c r="F6" s="88">
        <f t="shared" ref="F6:F14" si="0">gemuurtarief1</f>
        <v>0</v>
      </c>
      <c r="G6" s="30">
        <f>SUMPRODUCT(taakfreqtabel1,uurfactortabel1,kengetaltabel1,object1_opptabel1)*(1/VLOOKUP(E6,dagsoorttabel1,2,FALSE))</f>
        <v>1</v>
      </c>
      <c r="H6" s="30">
        <f>SUMPRODUCT(dagwerktabel1,taakfreqtabel1,uurfactortabel1,kengetaltabel1,object1_opptabel1)*(1/VLOOKUP(E6,dagsoorttabel1,2,FALSE))</f>
        <v>0</v>
      </c>
      <c r="I6" s="33">
        <f>SUMPRODUCT(taakfreqtabel1,kengetaltabel1,tarieftabel1,object1_opptabel1)*(1/VLOOKUP(E6,dagsoorttabel1,2,FALSE))</f>
        <v>0</v>
      </c>
      <c r="J6" s="30">
        <f t="shared" ref="J6:J14" si="1">H6*dagenperjaar1*VLOOKUP(E6,dagsoorttabel1,2,FALSE)</f>
        <v>0</v>
      </c>
      <c r="K6" s="30">
        <f t="shared" ref="K6:K14" si="2">G6*dagenperjaar1*VLOOKUP(E6,dagsoorttabel1,2,FALSE)</f>
        <v>210</v>
      </c>
      <c r="L6" s="33">
        <f t="shared" ref="L6:L14" si="3">I6*dagenperjaar1*VLOOKUP(E6,dagsoorttabel1,2,FALSE)</f>
        <v>0</v>
      </c>
    </row>
    <row r="7" spans="1:12" x14ac:dyDescent="0.3">
      <c r="A7" s="20" t="s">
        <v>1107</v>
      </c>
      <c r="B7" s="20" t="s">
        <v>1905</v>
      </c>
      <c r="C7" s="20" t="s">
        <v>1906</v>
      </c>
      <c r="D7" s="20" t="s">
        <v>1904</v>
      </c>
      <c r="E7" s="89" t="s">
        <v>11</v>
      </c>
      <c r="F7" s="90">
        <f t="shared" si="0"/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37">
        <f>SUMPRODUCT(taakfreqtabel1,kengetaltabel1,tarieftabel1,object2_opptabel1)*(1/VLOOKUP(E7,dagsoorttabel1,2,FALSE))</f>
        <v>0</v>
      </c>
      <c r="J7" s="34">
        <f t="shared" si="1"/>
        <v>0</v>
      </c>
      <c r="K7" s="34">
        <f t="shared" si="2"/>
        <v>0</v>
      </c>
      <c r="L7" s="37">
        <f t="shared" si="3"/>
        <v>0</v>
      </c>
    </row>
    <row r="8" spans="1:12" x14ac:dyDescent="0.3">
      <c r="A8" s="20" t="s">
        <v>1133</v>
      </c>
      <c r="B8" s="20" t="s">
        <v>1907</v>
      </c>
      <c r="C8" s="20" t="s">
        <v>1908</v>
      </c>
      <c r="D8" s="20" t="s">
        <v>1904</v>
      </c>
      <c r="E8" s="89" t="s">
        <v>11</v>
      </c>
      <c r="F8" s="90">
        <f t="shared" si="0"/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37">
        <f>SUMPRODUCT(taakfreqtabel1,kengetaltabel1,tarieftabel1,object3_opptabel1)*(1/VLOOKUP(E8,dagsoorttabel1,2,FALSE))</f>
        <v>0</v>
      </c>
      <c r="J8" s="34">
        <f t="shared" si="1"/>
        <v>0</v>
      </c>
      <c r="K8" s="34">
        <f t="shared" si="2"/>
        <v>0</v>
      </c>
      <c r="L8" s="37">
        <f t="shared" si="3"/>
        <v>0</v>
      </c>
    </row>
    <row r="9" spans="1:12" x14ac:dyDescent="0.3">
      <c r="A9" s="20" t="s">
        <v>1257</v>
      </c>
      <c r="B9" s="20" t="s">
        <v>1909</v>
      </c>
      <c r="C9" s="20" t="s">
        <v>1910</v>
      </c>
      <c r="D9" s="20" t="s">
        <v>1904</v>
      </c>
      <c r="E9" s="89" t="s">
        <v>11</v>
      </c>
      <c r="F9" s="90">
        <f t="shared" si="0"/>
        <v>0</v>
      </c>
      <c r="G9" s="34">
        <f>SUMPRODUCT(taakfreqtabel1,uurfactortabel1,kengetaltabel1,object4_opptabel1)*(1/VLOOKUP(E9,dagsoorttabel1,2,FALSE))</f>
        <v>0.25</v>
      </c>
      <c r="H9" s="34">
        <f>SUMPRODUCT(dagwerktabel1,taakfreqtabel1,uurfactortabel1,kengetaltabel1,object4_opptabel1)*(1/VLOOKUP(E9,dagsoorttabel1,2,FALSE))</f>
        <v>0</v>
      </c>
      <c r="I9" s="37">
        <f>SUMPRODUCT(taakfreqtabel1,kengetaltabel1,tarieftabel1,object4_opptabel1)*(1/VLOOKUP(E9,dagsoorttabel1,2,FALSE))</f>
        <v>0</v>
      </c>
      <c r="J9" s="34">
        <f t="shared" si="1"/>
        <v>0</v>
      </c>
      <c r="K9" s="34">
        <f t="shared" si="2"/>
        <v>52.5</v>
      </c>
      <c r="L9" s="37">
        <f t="shared" si="3"/>
        <v>0</v>
      </c>
    </row>
    <row r="10" spans="1:12" x14ac:dyDescent="0.3">
      <c r="A10" s="20" t="s">
        <v>1440</v>
      </c>
      <c r="B10" s="20" t="s">
        <v>1911</v>
      </c>
      <c r="C10" s="20" t="s">
        <v>1912</v>
      </c>
      <c r="D10" s="20" t="s">
        <v>1904</v>
      </c>
      <c r="E10" s="89" t="s">
        <v>11</v>
      </c>
      <c r="F10" s="90">
        <f t="shared" si="0"/>
        <v>0</v>
      </c>
      <c r="G10" s="34">
        <f>SUMPRODUCT(taakfreqtabel1,uurfactortabel1,kengetaltabel1,object5_opptabel1)*(1/VLOOKUP(E10,dagsoorttabel1,2,FALSE))</f>
        <v>0</v>
      </c>
      <c r="H10" s="34">
        <f>SUMPRODUCT(dagwerktabel1,taakfreqtabel1,uurfactortabel1,kengetaltabel1,object5_opptabel1)*(1/VLOOKUP(E10,dagsoorttabel1,2,FALSE))</f>
        <v>0</v>
      </c>
      <c r="I10" s="37">
        <f>SUMPRODUCT(taakfreqtabel1,kengetaltabel1,tarieftabel1,object5_opptabel1)*(1/VLOOKUP(E10,dagsoorttabel1,2,FALSE))</f>
        <v>0</v>
      </c>
      <c r="J10" s="34">
        <f t="shared" si="1"/>
        <v>0</v>
      </c>
      <c r="K10" s="34">
        <f t="shared" si="2"/>
        <v>0</v>
      </c>
      <c r="L10" s="37">
        <f t="shared" si="3"/>
        <v>0</v>
      </c>
    </row>
    <row r="11" spans="1:12" x14ac:dyDescent="0.3">
      <c r="A11" s="20" t="s">
        <v>1502</v>
      </c>
      <c r="B11" s="20" t="s">
        <v>1913</v>
      </c>
      <c r="C11" s="20" t="s">
        <v>1914</v>
      </c>
      <c r="D11" s="20" t="s">
        <v>1904</v>
      </c>
      <c r="E11" s="89" t="s">
        <v>11</v>
      </c>
      <c r="F11" s="90">
        <f t="shared" si="0"/>
        <v>0</v>
      </c>
      <c r="G11" s="34">
        <f>SUMPRODUCT(taakfreqtabel1,uurfactortabel1,kengetaltabel1,object6_opptabel1)*(1/VLOOKUP(E11,dagsoorttabel1,2,FALSE))</f>
        <v>0</v>
      </c>
      <c r="H11" s="34">
        <f>SUMPRODUCT(dagwerktabel1,taakfreqtabel1,uurfactortabel1,kengetaltabel1,object6_opptabel1)*(1/VLOOKUP(E11,dagsoorttabel1,2,FALSE))</f>
        <v>0</v>
      </c>
      <c r="I11" s="37">
        <f>SUMPRODUCT(taakfreqtabel1,kengetaltabel1,tarieftabel1,object6_opptabel1)*(1/VLOOKUP(E11,dagsoorttabel1,2,FALSE))</f>
        <v>0</v>
      </c>
      <c r="J11" s="34">
        <f t="shared" si="1"/>
        <v>0</v>
      </c>
      <c r="K11" s="34">
        <f t="shared" si="2"/>
        <v>0</v>
      </c>
      <c r="L11" s="37">
        <f t="shared" si="3"/>
        <v>0</v>
      </c>
    </row>
    <row r="12" spans="1:12" x14ac:dyDescent="0.3">
      <c r="A12" s="20" t="s">
        <v>1623</v>
      </c>
      <c r="B12" s="20" t="s">
        <v>1915</v>
      </c>
      <c r="C12" s="20" t="s">
        <v>1916</v>
      </c>
      <c r="D12" s="20" t="s">
        <v>1904</v>
      </c>
      <c r="E12" s="89" t="s">
        <v>11</v>
      </c>
      <c r="F12" s="90">
        <f t="shared" si="0"/>
        <v>0</v>
      </c>
      <c r="G12" s="34">
        <f>SUMPRODUCT(taakfreqtabel1,uurfactortabel1,kengetaltabel1,object7_opptabel1)*(1/VLOOKUP(E12,dagsoorttabel1,2,FALSE))</f>
        <v>0</v>
      </c>
      <c r="H12" s="34">
        <f>SUMPRODUCT(dagwerktabel1,taakfreqtabel1,uurfactortabel1,kengetaltabel1,object7_opptabel1)*(1/VLOOKUP(E12,dagsoorttabel1,2,FALSE))</f>
        <v>0</v>
      </c>
      <c r="I12" s="37">
        <f>SUMPRODUCT(taakfreqtabel1,kengetaltabel1,tarieftabel1,object7_opptabel1)*(1/VLOOKUP(E12,dagsoorttabel1,2,FALSE))</f>
        <v>0</v>
      </c>
      <c r="J12" s="34">
        <f t="shared" si="1"/>
        <v>0</v>
      </c>
      <c r="K12" s="34">
        <f t="shared" si="2"/>
        <v>0</v>
      </c>
      <c r="L12" s="37">
        <f t="shared" si="3"/>
        <v>0</v>
      </c>
    </row>
    <row r="13" spans="1:12" x14ac:dyDescent="0.3">
      <c r="A13" s="20" t="s">
        <v>1629</v>
      </c>
      <c r="B13" s="20" t="s">
        <v>1917</v>
      </c>
      <c r="C13" s="20" t="s">
        <v>1918</v>
      </c>
      <c r="D13" s="20" t="s">
        <v>1919</v>
      </c>
      <c r="E13" s="89" t="s">
        <v>11</v>
      </c>
      <c r="F13" s="90">
        <f t="shared" si="0"/>
        <v>0</v>
      </c>
      <c r="G13" s="34">
        <f>SUMPRODUCT(taakfreqtabel1,uurfactortabel1,kengetaltabel1,object8_opptabel1)*(1/VLOOKUP(E13,dagsoorttabel1,2,FALSE))</f>
        <v>0</v>
      </c>
      <c r="H13" s="34">
        <f>SUMPRODUCT(dagwerktabel1,taakfreqtabel1,uurfactortabel1,kengetaltabel1,object8_opptabel1)*(1/VLOOKUP(E13,dagsoorttabel1,2,FALSE))</f>
        <v>0</v>
      </c>
      <c r="I13" s="37">
        <f>SUMPRODUCT(taakfreqtabel1,kengetaltabel1,tarieftabel1,object8_opptabel1)*(1/VLOOKUP(E13,dagsoorttabel1,2,FALSE))</f>
        <v>0</v>
      </c>
      <c r="J13" s="34">
        <f t="shared" si="1"/>
        <v>0</v>
      </c>
      <c r="K13" s="34">
        <f t="shared" si="2"/>
        <v>0</v>
      </c>
      <c r="L13" s="37">
        <f t="shared" si="3"/>
        <v>0</v>
      </c>
    </row>
    <row r="14" spans="1:12" x14ac:dyDescent="0.3">
      <c r="A14" s="25" t="s">
        <v>1825</v>
      </c>
      <c r="B14" s="25" t="s">
        <v>1920</v>
      </c>
      <c r="C14" s="25" t="s">
        <v>1921</v>
      </c>
      <c r="D14" s="25" t="s">
        <v>1922</v>
      </c>
      <c r="E14" s="91" t="s">
        <v>11</v>
      </c>
      <c r="F14" s="92">
        <f t="shared" si="0"/>
        <v>0</v>
      </c>
      <c r="G14" s="38">
        <f>SUMPRODUCT(taakfreqtabel1,uurfactortabel1,kengetaltabel1,object9_opptabel1)*(1/VLOOKUP(E14,dagsoorttabel1,2,FALSE))</f>
        <v>1.25</v>
      </c>
      <c r="H14" s="38">
        <f>SUMPRODUCT(dagwerktabel1,taakfreqtabel1,uurfactortabel1,kengetaltabel1,object9_opptabel1)*(1/VLOOKUP(E14,dagsoorttabel1,2,FALSE))</f>
        <v>0</v>
      </c>
      <c r="I14" s="40">
        <f>SUMPRODUCT(taakfreqtabel1,kengetaltabel1,tarieftabel1,object9_opptabel1)*(1/VLOOKUP(E14,dagsoorttabel1,2,FALSE))</f>
        <v>0</v>
      </c>
      <c r="J14" s="38">
        <f t="shared" si="1"/>
        <v>0</v>
      </c>
      <c r="K14" s="38">
        <f t="shared" si="2"/>
        <v>262.5</v>
      </c>
      <c r="L14" s="40">
        <f t="shared" si="3"/>
        <v>0</v>
      </c>
    </row>
    <row r="15" spans="1:12" x14ac:dyDescent="0.3">
      <c r="A15" s="42" t="s">
        <v>297</v>
      </c>
      <c r="B15" s="43"/>
      <c r="C15" s="43"/>
      <c r="D15" s="43"/>
      <c r="E15" s="43"/>
      <c r="F15" s="43"/>
      <c r="G15" s="43"/>
      <c r="H15" s="43"/>
      <c r="I15" s="43"/>
      <c r="J15" s="44">
        <f>SUM(J6:J14)</f>
        <v>0</v>
      </c>
      <c r="K15" s="44">
        <f>SUM(K6:K14)</f>
        <v>525</v>
      </c>
      <c r="L15" s="46">
        <f>SUM(L6:L14)</f>
        <v>0</v>
      </c>
    </row>
    <row r="16" spans="1:12" x14ac:dyDescent="0.3">
      <c r="A16" s="47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8"/>
    </row>
    <row r="17" spans="1:12" x14ac:dyDescent="0.3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</row>
    <row r="18" spans="1:12" x14ac:dyDescent="0.3">
      <c r="A18" s="12" t="s">
        <v>196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4"/>
    </row>
    <row r="19" spans="1:12" x14ac:dyDescent="0.3">
      <c r="A19" s="93" t="s">
        <v>316</v>
      </c>
      <c r="B19" s="93" t="s">
        <v>1902</v>
      </c>
      <c r="C19" s="93" t="s">
        <v>1903</v>
      </c>
      <c r="D19" s="93" t="s">
        <v>1904</v>
      </c>
      <c r="E19" s="94" t="s">
        <v>20</v>
      </c>
      <c r="F19" s="95">
        <f>gemuurtarief2</f>
        <v>0</v>
      </c>
      <c r="G19" s="96">
        <f>SUMPRODUCT(taakfreqtabel2,uurfactortabel2,kengetaltabel2,object1_opptabel2)*(1/VLOOKUP(E19,dagsoorttabel2,2,FALSE))</f>
        <v>1</v>
      </c>
      <c r="H19" s="96">
        <f>SUMPRODUCT(dagwerktabel2,taakfreqtabel2,uurfactortabel2,kengetaltabel2,object1_opptabel2)*(1/VLOOKUP(E19,dagsoorttabel2,2,FALSE))</f>
        <v>0</v>
      </c>
      <c r="I19" s="97">
        <f>SUMPRODUCT(taakfreqtabel2,kengetaltabel2,tarieftabel2,object1_opptabel2)*(1/VLOOKUP(E19,dagsoorttabel2,2,FALSE))</f>
        <v>0</v>
      </c>
      <c r="J19" s="96">
        <f>H19*dagenperjaar2*VLOOKUP(E19,dagsoorttabel2,2,FALSE)</f>
        <v>0</v>
      </c>
      <c r="K19" s="96">
        <f>G19*dagenperjaar2*VLOOKUP(E19,dagsoorttabel2,2,FALSE)</f>
        <v>10</v>
      </c>
      <c r="L19" s="97">
        <f>I19*dagenperjaar2*VLOOKUP(E19,dagsoorttabel2,2,FALSE)</f>
        <v>0</v>
      </c>
    </row>
    <row r="20" spans="1:12" x14ac:dyDescent="0.3">
      <c r="A20" s="42" t="s">
        <v>302</v>
      </c>
      <c r="B20" s="43"/>
      <c r="C20" s="43"/>
      <c r="D20" s="43"/>
      <c r="E20" s="43"/>
      <c r="F20" s="43"/>
      <c r="G20" s="43"/>
      <c r="H20" s="43"/>
      <c r="I20" s="43"/>
      <c r="J20" s="44">
        <f>SUM(J19:J19)</f>
        <v>0</v>
      </c>
      <c r="K20" s="44">
        <f>SUM(K19:K19)</f>
        <v>10</v>
      </c>
      <c r="L20" s="46">
        <f>SUM(L19:L19)</f>
        <v>0</v>
      </c>
    </row>
    <row r="21" spans="1:12" x14ac:dyDescent="0.3">
      <c r="A21" s="47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8"/>
    </row>
    <row r="23" spans="1:12" x14ac:dyDescent="0.3">
      <c r="A23" s="42" t="s">
        <v>1923</v>
      </c>
      <c r="B23" s="43"/>
      <c r="C23" s="43"/>
      <c r="D23" s="43"/>
      <c r="E23" s="43"/>
      <c r="F23" s="43"/>
      <c r="G23" s="43"/>
      <c r="H23" s="43"/>
      <c r="I23" s="43"/>
      <c r="J23" s="44">
        <f>urenjaartotaalhf1+urenjaartotaalhf2</f>
        <v>0</v>
      </c>
      <c r="K23" s="44">
        <f>urenjaartotaal1+urenjaartotaal2</f>
        <v>535</v>
      </c>
      <c r="L23" s="45">
        <f>prijsjaartotaal1+prijsjaartotaal2</f>
        <v>0</v>
      </c>
    </row>
    <row r="25" spans="1:12" x14ac:dyDescent="0.3">
      <c r="A25" s="42" t="s">
        <v>1924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5">
        <f>L23*1.21</f>
        <v>0</v>
      </c>
    </row>
  </sheetData>
  <sheetProtection algorithmName="SHA-512" hashValue="xim1phKVZXkn3YLIxySybpnJ3vg+hgHxhv5nyA4Z9yKY9NeCz999ZCmlIFDn/SpHjJC2CI5LNgHwomx7a4xktw==" saltValue="gdAysUYT7wDAklEoC8vXtQ==" spinCount="100000" sheet="1" objects="1" scenarios="1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585B-B826-49F2-84CC-D1C0F3943341}">
  <dimension ref="A1:K18"/>
  <sheetViews>
    <sheetView workbookViewId="0"/>
  </sheetViews>
  <sheetFormatPr defaultRowHeight="14.4" x14ac:dyDescent="0.3"/>
  <cols>
    <col min="1" max="1" width="25.77734375" customWidth="1"/>
    <col min="2" max="11" width="20.77734375" customWidth="1"/>
  </cols>
  <sheetData>
    <row r="1" spans="1:11" x14ac:dyDescent="0.3">
      <c r="A1" s="1" t="str">
        <f>CONCATENATE("Bijlage G.1.6: ",tabeltype," totaalblad objecten")</f>
        <v>Bijlage G.1.6: Invultabel totaalblad objecten</v>
      </c>
    </row>
    <row r="3" spans="1:11" x14ac:dyDescent="0.3">
      <c r="A3" s="98" t="s">
        <v>1925</v>
      </c>
      <c r="B3" s="102" t="s">
        <v>1938</v>
      </c>
      <c r="C3" s="102" t="s">
        <v>316</v>
      </c>
      <c r="D3" s="102" t="s">
        <v>1107</v>
      </c>
      <c r="E3" s="102" t="s">
        <v>1133</v>
      </c>
      <c r="F3" s="102" t="s">
        <v>1257</v>
      </c>
      <c r="G3" s="102" t="s">
        <v>1440</v>
      </c>
      <c r="H3" s="102" t="s">
        <v>1502</v>
      </c>
      <c r="I3" s="102" t="s">
        <v>1623</v>
      </c>
      <c r="J3" s="102" t="s">
        <v>1629</v>
      </c>
      <c r="K3" s="102" t="s">
        <v>1825</v>
      </c>
    </row>
    <row r="4" spans="1:11" ht="28.8" x14ac:dyDescent="0.3">
      <c r="A4" s="99" t="s">
        <v>1926</v>
      </c>
      <c r="B4" s="105"/>
      <c r="C4" s="99" t="s">
        <v>1902</v>
      </c>
      <c r="D4" s="99" t="s">
        <v>1905</v>
      </c>
      <c r="E4" s="99" t="s">
        <v>1907</v>
      </c>
      <c r="F4" s="99" t="s">
        <v>1909</v>
      </c>
      <c r="G4" s="99" t="s">
        <v>1911</v>
      </c>
      <c r="H4" s="99" t="s">
        <v>1913</v>
      </c>
      <c r="I4" s="99" t="s">
        <v>1915</v>
      </c>
      <c r="J4" s="99" t="s">
        <v>1917</v>
      </c>
      <c r="K4" s="99" t="s">
        <v>1920</v>
      </c>
    </row>
    <row r="5" spans="1:11" x14ac:dyDescent="0.3">
      <c r="A5" s="99" t="s">
        <v>1927</v>
      </c>
      <c r="B5" s="105"/>
      <c r="C5" s="103" t="s">
        <v>1903</v>
      </c>
      <c r="D5" s="103" t="s">
        <v>1906</v>
      </c>
      <c r="E5" s="103" t="s">
        <v>1908</v>
      </c>
      <c r="F5" s="103" t="s">
        <v>1910</v>
      </c>
      <c r="G5" s="103" t="s">
        <v>1912</v>
      </c>
      <c r="H5" s="103" t="s">
        <v>1914</v>
      </c>
      <c r="I5" s="103" t="s">
        <v>1916</v>
      </c>
      <c r="J5" s="103" t="s">
        <v>1918</v>
      </c>
      <c r="K5" s="103" t="s">
        <v>1921</v>
      </c>
    </row>
    <row r="6" spans="1:11" x14ac:dyDescent="0.3">
      <c r="A6" s="99" t="s">
        <v>1928</v>
      </c>
      <c r="B6" s="105"/>
      <c r="C6" s="103" t="s">
        <v>1904</v>
      </c>
      <c r="D6" s="103" t="s">
        <v>1904</v>
      </c>
      <c r="E6" s="103" t="s">
        <v>1904</v>
      </c>
      <c r="F6" s="103" t="s">
        <v>1904</v>
      </c>
      <c r="G6" s="103" t="s">
        <v>1904</v>
      </c>
      <c r="H6" s="103" t="s">
        <v>1904</v>
      </c>
      <c r="I6" s="103" t="s">
        <v>1904</v>
      </c>
      <c r="J6" s="103" t="s">
        <v>1919</v>
      </c>
      <c r="K6" s="103" t="s">
        <v>1922</v>
      </c>
    </row>
    <row r="7" spans="1:11" x14ac:dyDescent="0.3">
      <c r="A7" s="99" t="s">
        <v>1929</v>
      </c>
      <c r="B7" s="104">
        <f>SUM(C7:K7)</f>
        <v>43934.589999999989</v>
      </c>
      <c r="C7" s="104">
        <v>25486.949999999993</v>
      </c>
      <c r="D7" s="104">
        <v>627.44000000000005</v>
      </c>
      <c r="E7" s="104">
        <v>2579.56</v>
      </c>
      <c r="F7" s="104">
        <v>4809.5699999999988</v>
      </c>
      <c r="G7" s="104">
        <v>855.25999999999988</v>
      </c>
      <c r="H7" s="104">
        <v>4471.7400000000007</v>
      </c>
      <c r="I7" s="104">
        <v>225.32</v>
      </c>
      <c r="J7" s="104">
        <v>3895.7</v>
      </c>
      <c r="K7" s="104">
        <v>983.05</v>
      </c>
    </row>
    <row r="8" spans="1:11" x14ac:dyDescent="0.3">
      <c r="A8" s="99" t="s">
        <v>317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</row>
    <row r="9" spans="1:11" x14ac:dyDescent="0.3">
      <c r="A9" s="99" t="s">
        <v>1930</v>
      </c>
      <c r="B9" s="34">
        <f>SUM(C9:K9)</f>
        <v>0</v>
      </c>
      <c r="C9" s="104">
        <f>objecturenhf1_1+objecturenhf1_2</f>
        <v>0</v>
      </c>
      <c r="D9" s="104">
        <f>objecturenhf2_1</f>
        <v>0</v>
      </c>
      <c r="E9" s="104">
        <f>objecturenhf3_1</f>
        <v>0</v>
      </c>
      <c r="F9" s="104">
        <f>objecturenhf4_1</f>
        <v>0</v>
      </c>
      <c r="G9" s="104">
        <f>objecturenhf5_1</f>
        <v>0</v>
      </c>
      <c r="H9" s="104">
        <f>objecturenhf6_1</f>
        <v>0</v>
      </c>
      <c r="I9" s="104">
        <f>objecturenhf7_1</f>
        <v>0</v>
      </c>
      <c r="J9" s="104">
        <f>objecturenhf8_1</f>
        <v>0</v>
      </c>
      <c r="K9" s="104">
        <f>objecturenhf9_1</f>
        <v>0</v>
      </c>
    </row>
    <row r="10" spans="1:11" x14ac:dyDescent="0.3">
      <c r="A10" s="99" t="s">
        <v>1931</v>
      </c>
      <c r="B10" s="34">
        <f>SUM(C10:K10)</f>
        <v>525</v>
      </c>
      <c r="C10" s="34">
        <f>objecturen1_1</f>
        <v>210</v>
      </c>
      <c r="D10" s="34">
        <f>objecturen2_1</f>
        <v>0</v>
      </c>
      <c r="E10" s="34">
        <f>objecturen3_1</f>
        <v>0</v>
      </c>
      <c r="F10" s="34">
        <f>objecturen4_1</f>
        <v>52.5</v>
      </c>
      <c r="G10" s="34">
        <f>objecturen5_1</f>
        <v>0</v>
      </c>
      <c r="H10" s="34">
        <f>objecturen6_1</f>
        <v>0</v>
      </c>
      <c r="I10" s="34">
        <f>objecturen7_1</f>
        <v>0</v>
      </c>
      <c r="J10" s="34">
        <f>objecturen8_1</f>
        <v>0</v>
      </c>
      <c r="K10" s="34">
        <f>objecturen9_1</f>
        <v>262.5</v>
      </c>
    </row>
    <row r="11" spans="1:11" x14ac:dyDescent="0.3">
      <c r="A11" s="99" t="s">
        <v>1932</v>
      </c>
      <c r="B11" s="34">
        <f>SUM(C11:K11)</f>
        <v>10</v>
      </c>
      <c r="C11" s="34">
        <f>objecturen1_2</f>
        <v>10</v>
      </c>
      <c r="D11" s="34"/>
      <c r="E11" s="34"/>
      <c r="F11" s="34"/>
      <c r="G11" s="34"/>
      <c r="H11" s="34"/>
      <c r="I11" s="34"/>
      <c r="J11" s="34"/>
      <c r="K11" s="34"/>
    </row>
    <row r="12" spans="1:11" x14ac:dyDescent="0.3">
      <c r="A12" s="99" t="s">
        <v>1933</v>
      </c>
      <c r="B12" s="34">
        <f>SUM(C12:K12)</f>
        <v>535</v>
      </c>
      <c r="C12" s="34">
        <f t="shared" ref="C12:K12" si="0">SUM(C10:C11)</f>
        <v>220</v>
      </c>
      <c r="D12" s="34">
        <f t="shared" si="0"/>
        <v>0</v>
      </c>
      <c r="E12" s="34">
        <f t="shared" si="0"/>
        <v>0</v>
      </c>
      <c r="F12" s="34">
        <f t="shared" si="0"/>
        <v>52.5</v>
      </c>
      <c r="G12" s="34">
        <f t="shared" si="0"/>
        <v>0</v>
      </c>
      <c r="H12" s="34">
        <f t="shared" si="0"/>
        <v>0</v>
      </c>
      <c r="I12" s="34">
        <f t="shared" si="0"/>
        <v>0</v>
      </c>
      <c r="J12" s="34">
        <f t="shared" si="0"/>
        <v>0</v>
      </c>
      <c r="K12" s="34">
        <f t="shared" si="0"/>
        <v>262.5</v>
      </c>
    </row>
    <row r="13" spans="1:11" ht="28.8" x14ac:dyDescent="0.3">
      <c r="A13" s="99" t="s">
        <v>1934</v>
      </c>
      <c r="B13" s="34">
        <f>IF(AND(urenjaartotaal1&gt;0,dagenperjaar1&gt;0),B7/(urenjaartotaal1/dagenperjaar1),0)</f>
        <v>17573.835999999996</v>
      </c>
      <c r="C13" s="34">
        <f>IF(AND(objecturen1_1&gt;0,dagenperjaar1&gt;0),C7/(objecturen1_1/dagenperjaar1),0)</f>
        <v>25486.949999999993</v>
      </c>
      <c r="D13" s="34">
        <f>IF(AND(objecturen2_1&gt;0,dagenperjaar1&gt;0),D7/(objecturen2_1/dagenperjaar1),0)</f>
        <v>0</v>
      </c>
      <c r="E13" s="34">
        <f>IF(AND(objecturen3_1&gt;0,dagenperjaar1&gt;0),E7/(objecturen3_1/dagenperjaar1),0)</f>
        <v>0</v>
      </c>
      <c r="F13" s="34">
        <f>IF(AND(objecturen4_1&gt;0,dagenperjaar1&gt;0),F7/(objecturen4_1/dagenperjaar1),0)</f>
        <v>19238.279999999995</v>
      </c>
      <c r="G13" s="34">
        <f>IF(AND(objecturen5_1&gt;0,dagenperjaar1&gt;0),G7/(objecturen5_1/dagenperjaar1),0)</f>
        <v>0</v>
      </c>
      <c r="H13" s="34">
        <f>IF(AND(objecturen6_1&gt;0,dagenperjaar1&gt;0),H7/(objecturen6_1/dagenperjaar1),0)</f>
        <v>0</v>
      </c>
      <c r="I13" s="34">
        <f>IF(AND(objecturen7_1&gt;0,dagenperjaar1&gt;0),I7/(objecturen7_1/dagenperjaar1),0)</f>
        <v>0</v>
      </c>
      <c r="J13" s="34">
        <f>IF(AND(objecturen8_1&gt;0,dagenperjaar1&gt;0),J7/(objecturen8_1/dagenperjaar1),0)</f>
        <v>0</v>
      </c>
      <c r="K13" s="34">
        <f>IF(AND(objecturen9_1&gt;0,dagenperjaar1&gt;0),K7/(objecturen9_1/dagenperjaar1),0)</f>
        <v>786.43999999999994</v>
      </c>
    </row>
    <row r="14" spans="1:11" x14ac:dyDescent="0.3">
      <c r="A14" s="99" t="s">
        <v>1935</v>
      </c>
      <c r="B14" s="37">
        <f>SUM(C14:K14)</f>
        <v>0</v>
      </c>
      <c r="C14" s="37">
        <f>objectprijs1_1+objectprijs1_2</f>
        <v>0</v>
      </c>
      <c r="D14" s="37">
        <f>objectprijs2_1</f>
        <v>0</v>
      </c>
      <c r="E14" s="37">
        <f>objectprijs3_1</f>
        <v>0</v>
      </c>
      <c r="F14" s="37">
        <f>objectprijs4_1</f>
        <v>0</v>
      </c>
      <c r="G14" s="37">
        <f>objectprijs5_1</f>
        <v>0</v>
      </c>
      <c r="H14" s="37">
        <f>objectprijs6_1</f>
        <v>0</v>
      </c>
      <c r="I14" s="37">
        <f>objectprijs7_1</f>
        <v>0</v>
      </c>
      <c r="J14" s="37">
        <f>objectprijs8_1</f>
        <v>0</v>
      </c>
      <c r="K14" s="37">
        <f>objectprijs9_1</f>
        <v>0</v>
      </c>
    </row>
    <row r="15" spans="1:11" x14ac:dyDescent="0.3">
      <c r="A15" s="99" t="s">
        <v>1936</v>
      </c>
      <c r="B15" s="37">
        <f>SUM(C15:K15)</f>
        <v>0</v>
      </c>
      <c r="C15" s="37">
        <f t="shared" ref="C15:K15" si="1">C14*1.21</f>
        <v>0</v>
      </c>
      <c r="D15" s="37">
        <f t="shared" si="1"/>
        <v>0</v>
      </c>
      <c r="E15" s="37">
        <f t="shared" si="1"/>
        <v>0</v>
      </c>
      <c r="F15" s="37">
        <f t="shared" si="1"/>
        <v>0</v>
      </c>
      <c r="G15" s="37">
        <f t="shared" si="1"/>
        <v>0</v>
      </c>
      <c r="H15" s="37">
        <f t="shared" si="1"/>
        <v>0</v>
      </c>
      <c r="I15" s="37">
        <f t="shared" si="1"/>
        <v>0</v>
      </c>
      <c r="J15" s="37">
        <f t="shared" si="1"/>
        <v>0</v>
      </c>
      <c r="K15" s="37">
        <f t="shared" si="1"/>
        <v>0</v>
      </c>
    </row>
    <row r="16" spans="1:11" x14ac:dyDescent="0.3">
      <c r="A16" s="99" t="s">
        <v>317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1" x14ac:dyDescent="0.3">
      <c r="A17" s="99" t="s">
        <v>317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</row>
    <row r="18" spans="1:11" x14ac:dyDescent="0.3">
      <c r="A18" s="100" t="s">
        <v>1937</v>
      </c>
      <c r="B18" s="40">
        <f t="shared" ref="B18:K18" si="2">IF(B7&gt;0,B14/B7,0)</f>
        <v>0</v>
      </c>
      <c r="C18" s="40">
        <f t="shared" si="2"/>
        <v>0</v>
      </c>
      <c r="D18" s="40">
        <f t="shared" si="2"/>
        <v>0</v>
      </c>
      <c r="E18" s="40">
        <f t="shared" si="2"/>
        <v>0</v>
      </c>
      <c r="F18" s="40">
        <f t="shared" si="2"/>
        <v>0</v>
      </c>
      <c r="G18" s="40">
        <f t="shared" si="2"/>
        <v>0</v>
      </c>
      <c r="H18" s="40">
        <f t="shared" si="2"/>
        <v>0</v>
      </c>
      <c r="I18" s="40">
        <f t="shared" si="2"/>
        <v>0</v>
      </c>
      <c r="J18" s="40">
        <f t="shared" si="2"/>
        <v>0</v>
      </c>
      <c r="K18" s="40">
        <f t="shared" si="2"/>
        <v>0</v>
      </c>
    </row>
  </sheetData>
  <sheetProtection algorithmName="SHA-512" hashValue="9uYlc4LB4LR1/9w4fp74cLcYv9Oibe4kO11+mMJnByo2QTg1FgvqRoBoWGCt+5UixwUuBoKGc1U8VgTIEjRaLA==" saltValue="kU0PQF/Hfu0kDp1PcHlq7A==" spinCount="100000" sheet="1" objects="1" scenarios="1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27405-7EE0-4E2D-A69C-4B8A23705A12}">
  <dimension ref="A1:E9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4.4" x14ac:dyDescent="0.3"/>
  <cols>
    <col min="1" max="1" width="7.77734375" customWidth="1"/>
    <col min="2" max="2" width="40.77734375" customWidth="1"/>
    <col min="3" max="3" width="18.77734375" customWidth="1"/>
    <col min="4" max="4" width="20.77734375" customWidth="1"/>
    <col min="5" max="5" width="15.77734375" customWidth="1"/>
  </cols>
  <sheetData>
    <row r="1" spans="1:5" x14ac:dyDescent="0.3">
      <c r="A1" s="1" t="str">
        <f>CONCATENATE("Bijlage G.1.7: ",tabeltype," afroep incidenteel")</f>
        <v>Bijlage G.1.7: Invultabel afroep incidenteel</v>
      </c>
    </row>
    <row r="3" spans="1:5" ht="43.2" x14ac:dyDescent="0.3">
      <c r="A3" s="8" t="s">
        <v>1939</v>
      </c>
      <c r="B3" s="8" t="s">
        <v>31</v>
      </c>
      <c r="C3" s="8" t="s">
        <v>34</v>
      </c>
      <c r="D3" s="8" t="s">
        <v>1940</v>
      </c>
      <c r="E3" s="8" t="s">
        <v>1941</v>
      </c>
    </row>
    <row r="4" spans="1:5" x14ac:dyDescent="0.3">
      <c r="A4" s="9"/>
      <c r="B4" s="10"/>
      <c r="C4" s="10"/>
      <c r="D4" s="10"/>
      <c r="E4" s="11"/>
    </row>
    <row r="5" spans="1:5" x14ac:dyDescent="0.3">
      <c r="A5" s="12" t="s">
        <v>36</v>
      </c>
      <c r="B5" s="13"/>
      <c r="C5" s="13"/>
      <c r="D5" s="13"/>
      <c r="E5" s="14"/>
    </row>
    <row r="6" spans="1:5" x14ac:dyDescent="0.3">
      <c r="A6" s="15" t="s">
        <v>1942</v>
      </c>
      <c r="B6" s="15" t="s">
        <v>1943</v>
      </c>
      <c r="C6" s="15" t="s">
        <v>1944</v>
      </c>
      <c r="D6" s="15" t="s">
        <v>1945</v>
      </c>
      <c r="E6" s="19"/>
    </row>
    <row r="7" spans="1:5" x14ac:dyDescent="0.3">
      <c r="A7" s="20" t="s">
        <v>1946</v>
      </c>
      <c r="B7" s="20" t="s">
        <v>1943</v>
      </c>
      <c r="C7" s="20" t="s">
        <v>1944</v>
      </c>
      <c r="D7" s="20" t="s">
        <v>1947</v>
      </c>
      <c r="E7" s="24"/>
    </row>
    <row r="8" spans="1:5" x14ac:dyDescent="0.3">
      <c r="A8" s="20" t="s">
        <v>1948</v>
      </c>
      <c r="B8" s="20" t="s">
        <v>1943</v>
      </c>
      <c r="C8" s="20" t="s">
        <v>1944</v>
      </c>
      <c r="D8" s="20" t="s">
        <v>1949</v>
      </c>
      <c r="E8" s="24"/>
    </row>
    <row r="9" spans="1:5" x14ac:dyDescent="0.3">
      <c r="A9" s="20" t="s">
        <v>1950</v>
      </c>
      <c r="B9" s="20" t="s">
        <v>1943</v>
      </c>
      <c r="C9" s="20" t="s">
        <v>1944</v>
      </c>
      <c r="D9" s="20" t="s">
        <v>1951</v>
      </c>
      <c r="E9" s="24"/>
    </row>
    <row r="10" spans="1:5" x14ac:dyDescent="0.3">
      <c r="A10" s="20" t="s">
        <v>1952</v>
      </c>
      <c r="B10" s="20" t="s">
        <v>1953</v>
      </c>
      <c r="C10" s="20" t="s">
        <v>1944</v>
      </c>
      <c r="D10" s="20" t="s">
        <v>1945</v>
      </c>
      <c r="E10" s="24"/>
    </row>
    <row r="11" spans="1:5" x14ac:dyDescent="0.3">
      <c r="A11" s="20" t="s">
        <v>1954</v>
      </c>
      <c r="B11" s="20" t="s">
        <v>1953</v>
      </c>
      <c r="C11" s="20" t="s">
        <v>1944</v>
      </c>
      <c r="D11" s="20" t="s">
        <v>1947</v>
      </c>
      <c r="E11" s="24"/>
    </row>
    <row r="12" spans="1:5" x14ac:dyDescent="0.3">
      <c r="A12" s="20" t="s">
        <v>1955</v>
      </c>
      <c r="B12" s="20" t="s">
        <v>1953</v>
      </c>
      <c r="C12" s="20" t="s">
        <v>1944</v>
      </c>
      <c r="D12" s="20" t="s">
        <v>1949</v>
      </c>
      <c r="E12" s="24"/>
    </row>
    <row r="13" spans="1:5" x14ac:dyDescent="0.3">
      <c r="A13" s="20" t="s">
        <v>1956</v>
      </c>
      <c r="B13" s="20" t="s">
        <v>1953</v>
      </c>
      <c r="C13" s="20" t="s">
        <v>1944</v>
      </c>
      <c r="D13" s="20" t="s">
        <v>1951</v>
      </c>
      <c r="E13" s="24"/>
    </row>
    <row r="14" spans="1:5" x14ac:dyDescent="0.3">
      <c r="A14" s="20" t="s">
        <v>1957</v>
      </c>
      <c r="B14" s="20" t="s">
        <v>1958</v>
      </c>
      <c r="C14" s="20" t="s">
        <v>1944</v>
      </c>
      <c r="D14" s="20" t="s">
        <v>1945</v>
      </c>
      <c r="E14" s="24"/>
    </row>
    <row r="15" spans="1:5" x14ac:dyDescent="0.3">
      <c r="A15" s="20" t="s">
        <v>1959</v>
      </c>
      <c r="B15" s="20" t="s">
        <v>1958</v>
      </c>
      <c r="C15" s="20" t="s">
        <v>1944</v>
      </c>
      <c r="D15" s="20" t="s">
        <v>1947</v>
      </c>
      <c r="E15" s="24"/>
    </row>
    <row r="16" spans="1:5" x14ac:dyDescent="0.3">
      <c r="A16" s="20" t="s">
        <v>1960</v>
      </c>
      <c r="B16" s="20" t="s">
        <v>1958</v>
      </c>
      <c r="C16" s="20" t="s">
        <v>1944</v>
      </c>
      <c r="D16" s="20" t="s">
        <v>1949</v>
      </c>
      <c r="E16" s="24"/>
    </row>
    <row r="17" spans="1:5" x14ac:dyDescent="0.3">
      <c r="A17" s="20" t="s">
        <v>1961</v>
      </c>
      <c r="B17" s="20" t="s">
        <v>1958</v>
      </c>
      <c r="C17" s="20" t="s">
        <v>1944</v>
      </c>
      <c r="D17" s="20" t="s">
        <v>1951</v>
      </c>
      <c r="E17" s="24"/>
    </row>
    <row r="18" spans="1:5" x14ac:dyDescent="0.3">
      <c r="A18" s="20" t="s">
        <v>1962</v>
      </c>
      <c r="B18" s="20" t="s">
        <v>1963</v>
      </c>
      <c r="C18" s="20" t="s">
        <v>1964</v>
      </c>
      <c r="D18" s="20" t="s">
        <v>1965</v>
      </c>
      <c r="E18" s="24"/>
    </row>
    <row r="19" spans="1:5" x14ac:dyDescent="0.3">
      <c r="A19" s="20" t="s">
        <v>1966</v>
      </c>
      <c r="B19" s="20" t="s">
        <v>1963</v>
      </c>
      <c r="C19" s="20" t="s">
        <v>1964</v>
      </c>
      <c r="D19" s="20" t="s">
        <v>1967</v>
      </c>
      <c r="E19" s="24"/>
    </row>
    <row r="20" spans="1:5" x14ac:dyDescent="0.3">
      <c r="A20" s="20" t="s">
        <v>1968</v>
      </c>
      <c r="B20" s="20" t="s">
        <v>1963</v>
      </c>
      <c r="C20" s="20" t="s">
        <v>1964</v>
      </c>
      <c r="D20" s="20" t="s">
        <v>1969</v>
      </c>
      <c r="E20" s="24"/>
    </row>
    <row r="21" spans="1:5" x14ac:dyDescent="0.3">
      <c r="A21" s="20" t="s">
        <v>1970</v>
      </c>
      <c r="B21" s="20" t="s">
        <v>1963</v>
      </c>
      <c r="C21" s="20" t="s">
        <v>1964</v>
      </c>
      <c r="D21" s="20" t="s">
        <v>1971</v>
      </c>
      <c r="E21" s="24"/>
    </row>
    <row r="22" spans="1:5" x14ac:dyDescent="0.3">
      <c r="A22" s="20" t="s">
        <v>1972</v>
      </c>
      <c r="B22" s="20" t="s">
        <v>1973</v>
      </c>
      <c r="C22" s="20" t="s">
        <v>1964</v>
      </c>
      <c r="D22" s="20" t="s">
        <v>1965</v>
      </c>
      <c r="E22" s="24"/>
    </row>
    <row r="23" spans="1:5" x14ac:dyDescent="0.3">
      <c r="A23" s="20" t="s">
        <v>1974</v>
      </c>
      <c r="B23" s="20" t="s">
        <v>1973</v>
      </c>
      <c r="C23" s="20" t="s">
        <v>1964</v>
      </c>
      <c r="D23" s="20" t="s">
        <v>1967</v>
      </c>
      <c r="E23" s="24"/>
    </row>
    <row r="24" spans="1:5" x14ac:dyDescent="0.3">
      <c r="A24" s="20" t="s">
        <v>1975</v>
      </c>
      <c r="B24" s="20" t="s">
        <v>1973</v>
      </c>
      <c r="C24" s="20" t="s">
        <v>1964</v>
      </c>
      <c r="D24" s="20" t="s">
        <v>1969</v>
      </c>
      <c r="E24" s="24"/>
    </row>
    <row r="25" spans="1:5" x14ac:dyDescent="0.3">
      <c r="A25" s="20" t="s">
        <v>1976</v>
      </c>
      <c r="B25" s="20" t="s">
        <v>1973</v>
      </c>
      <c r="C25" s="20" t="s">
        <v>1964</v>
      </c>
      <c r="D25" s="20" t="s">
        <v>1971</v>
      </c>
      <c r="E25" s="24"/>
    </row>
    <row r="26" spans="1:5" x14ac:dyDescent="0.3">
      <c r="A26" s="20" t="s">
        <v>1977</v>
      </c>
      <c r="B26" s="20" t="s">
        <v>1978</v>
      </c>
      <c r="C26" s="20" t="s">
        <v>1964</v>
      </c>
      <c r="D26" s="20" t="s">
        <v>1965</v>
      </c>
      <c r="E26" s="24"/>
    </row>
    <row r="27" spans="1:5" x14ac:dyDescent="0.3">
      <c r="A27" s="20" t="s">
        <v>1979</v>
      </c>
      <c r="B27" s="20" t="s">
        <v>1978</v>
      </c>
      <c r="C27" s="20" t="s">
        <v>1964</v>
      </c>
      <c r="D27" s="20" t="s">
        <v>1967</v>
      </c>
      <c r="E27" s="24"/>
    </row>
    <row r="28" spans="1:5" x14ac:dyDescent="0.3">
      <c r="A28" s="20" t="s">
        <v>1980</v>
      </c>
      <c r="B28" s="20" t="s">
        <v>1978</v>
      </c>
      <c r="C28" s="20" t="s">
        <v>1964</v>
      </c>
      <c r="D28" s="20" t="s">
        <v>1969</v>
      </c>
      <c r="E28" s="24"/>
    </row>
    <row r="29" spans="1:5" x14ac:dyDescent="0.3">
      <c r="A29" s="20" t="s">
        <v>1981</v>
      </c>
      <c r="B29" s="20" t="s">
        <v>1978</v>
      </c>
      <c r="C29" s="20" t="s">
        <v>1964</v>
      </c>
      <c r="D29" s="20" t="s">
        <v>1971</v>
      </c>
      <c r="E29" s="24"/>
    </row>
    <row r="30" spans="1:5" x14ac:dyDescent="0.3">
      <c r="A30" s="20" t="s">
        <v>1982</v>
      </c>
      <c r="B30" s="20" t="s">
        <v>1983</v>
      </c>
      <c r="C30" s="20" t="s">
        <v>1964</v>
      </c>
      <c r="D30" s="20" t="s">
        <v>317</v>
      </c>
      <c r="E30" s="24"/>
    </row>
    <row r="31" spans="1:5" x14ac:dyDescent="0.3">
      <c r="A31" s="20" t="s">
        <v>1984</v>
      </c>
      <c r="B31" s="20" t="s">
        <v>1985</v>
      </c>
      <c r="C31" s="20" t="s">
        <v>1986</v>
      </c>
      <c r="D31" s="20" t="s">
        <v>317</v>
      </c>
      <c r="E31" s="24"/>
    </row>
    <row r="32" spans="1:5" x14ac:dyDescent="0.3">
      <c r="A32" s="20" t="s">
        <v>1987</v>
      </c>
      <c r="B32" s="20" t="s">
        <v>1988</v>
      </c>
      <c r="C32" s="20" t="s">
        <v>1964</v>
      </c>
      <c r="D32" s="20" t="s">
        <v>1989</v>
      </c>
      <c r="E32" s="24"/>
    </row>
    <row r="33" spans="1:5" x14ac:dyDescent="0.3">
      <c r="A33" s="20" t="s">
        <v>1990</v>
      </c>
      <c r="B33" s="20" t="s">
        <v>1988</v>
      </c>
      <c r="C33" s="20" t="s">
        <v>1964</v>
      </c>
      <c r="D33" s="20" t="s">
        <v>1991</v>
      </c>
      <c r="E33" s="24"/>
    </row>
    <row r="34" spans="1:5" x14ac:dyDescent="0.3">
      <c r="A34" s="20" t="s">
        <v>1992</v>
      </c>
      <c r="B34" s="20" t="s">
        <v>1988</v>
      </c>
      <c r="C34" s="20" t="s">
        <v>1964</v>
      </c>
      <c r="D34" s="20" t="s">
        <v>1993</v>
      </c>
      <c r="E34" s="24"/>
    </row>
    <row r="35" spans="1:5" x14ac:dyDescent="0.3">
      <c r="A35" s="20" t="s">
        <v>1994</v>
      </c>
      <c r="B35" s="20" t="s">
        <v>1988</v>
      </c>
      <c r="C35" s="20" t="s">
        <v>1964</v>
      </c>
      <c r="D35" s="20" t="s">
        <v>1995</v>
      </c>
      <c r="E35" s="24"/>
    </row>
    <row r="36" spans="1:5" x14ac:dyDescent="0.3">
      <c r="A36" s="20" t="s">
        <v>1996</v>
      </c>
      <c r="B36" s="20" t="s">
        <v>1997</v>
      </c>
      <c r="C36" s="20" t="s">
        <v>1964</v>
      </c>
      <c r="D36" s="20" t="s">
        <v>1989</v>
      </c>
      <c r="E36" s="24"/>
    </row>
    <row r="37" spans="1:5" x14ac:dyDescent="0.3">
      <c r="A37" s="20" t="s">
        <v>1998</v>
      </c>
      <c r="B37" s="20" t="s">
        <v>1997</v>
      </c>
      <c r="C37" s="20" t="s">
        <v>1964</v>
      </c>
      <c r="D37" s="20" t="s">
        <v>1991</v>
      </c>
      <c r="E37" s="24"/>
    </row>
    <row r="38" spans="1:5" x14ac:dyDescent="0.3">
      <c r="A38" s="20" t="s">
        <v>1999</v>
      </c>
      <c r="B38" s="20" t="s">
        <v>1997</v>
      </c>
      <c r="C38" s="20" t="s">
        <v>1964</v>
      </c>
      <c r="D38" s="20" t="s">
        <v>1993</v>
      </c>
      <c r="E38" s="24"/>
    </row>
    <row r="39" spans="1:5" x14ac:dyDescent="0.3">
      <c r="A39" s="20" t="s">
        <v>2000</v>
      </c>
      <c r="B39" s="20" t="s">
        <v>1997</v>
      </c>
      <c r="C39" s="20" t="s">
        <v>1964</v>
      </c>
      <c r="D39" s="20" t="s">
        <v>1995</v>
      </c>
      <c r="E39" s="24"/>
    </row>
    <row r="40" spans="1:5" x14ac:dyDescent="0.3">
      <c r="A40" s="20" t="s">
        <v>2001</v>
      </c>
      <c r="B40" s="20" t="s">
        <v>2002</v>
      </c>
      <c r="C40" s="20" t="s">
        <v>1964</v>
      </c>
      <c r="D40" s="20" t="s">
        <v>1989</v>
      </c>
      <c r="E40" s="24"/>
    </row>
    <row r="41" spans="1:5" x14ac:dyDescent="0.3">
      <c r="A41" s="20" t="s">
        <v>2003</v>
      </c>
      <c r="B41" s="20" t="s">
        <v>2002</v>
      </c>
      <c r="C41" s="20" t="s">
        <v>1964</v>
      </c>
      <c r="D41" s="20" t="s">
        <v>1991</v>
      </c>
      <c r="E41" s="24"/>
    </row>
    <row r="42" spans="1:5" x14ac:dyDescent="0.3">
      <c r="A42" s="20" t="s">
        <v>2004</v>
      </c>
      <c r="B42" s="20" t="s">
        <v>2002</v>
      </c>
      <c r="C42" s="20" t="s">
        <v>1964</v>
      </c>
      <c r="D42" s="20" t="s">
        <v>1993</v>
      </c>
      <c r="E42" s="24"/>
    </row>
    <row r="43" spans="1:5" x14ac:dyDescent="0.3">
      <c r="A43" s="20" t="s">
        <v>2005</v>
      </c>
      <c r="B43" s="20" t="s">
        <v>2002</v>
      </c>
      <c r="C43" s="20" t="s">
        <v>1964</v>
      </c>
      <c r="D43" s="20" t="s">
        <v>1995</v>
      </c>
      <c r="E43" s="24"/>
    </row>
    <row r="44" spans="1:5" x14ac:dyDescent="0.3">
      <c r="A44" s="20" t="s">
        <v>2006</v>
      </c>
      <c r="B44" s="20" t="s">
        <v>2007</v>
      </c>
      <c r="C44" s="20" t="s">
        <v>1964</v>
      </c>
      <c r="D44" s="20" t="s">
        <v>1989</v>
      </c>
      <c r="E44" s="24"/>
    </row>
    <row r="45" spans="1:5" x14ac:dyDescent="0.3">
      <c r="A45" s="20" t="s">
        <v>2008</v>
      </c>
      <c r="B45" s="20" t="s">
        <v>2007</v>
      </c>
      <c r="C45" s="20" t="s">
        <v>1964</v>
      </c>
      <c r="D45" s="20" t="s">
        <v>1991</v>
      </c>
      <c r="E45" s="24"/>
    </row>
    <row r="46" spans="1:5" x14ac:dyDescent="0.3">
      <c r="A46" s="20" t="s">
        <v>2009</v>
      </c>
      <c r="B46" s="20" t="s">
        <v>2007</v>
      </c>
      <c r="C46" s="20" t="s">
        <v>1964</v>
      </c>
      <c r="D46" s="20" t="s">
        <v>1993</v>
      </c>
      <c r="E46" s="24"/>
    </row>
    <row r="47" spans="1:5" x14ac:dyDescent="0.3">
      <c r="A47" s="20" t="s">
        <v>2010</v>
      </c>
      <c r="B47" s="20" t="s">
        <v>2007</v>
      </c>
      <c r="C47" s="20" t="s">
        <v>1964</v>
      </c>
      <c r="D47" s="20" t="s">
        <v>1995</v>
      </c>
      <c r="E47" s="24"/>
    </row>
    <row r="48" spans="1:5" x14ac:dyDescent="0.3">
      <c r="A48" s="20" t="s">
        <v>2011</v>
      </c>
      <c r="B48" s="20" t="s">
        <v>2012</v>
      </c>
      <c r="C48" s="20" t="s">
        <v>1964</v>
      </c>
      <c r="D48" s="20" t="s">
        <v>1989</v>
      </c>
      <c r="E48" s="24"/>
    </row>
    <row r="49" spans="1:5" x14ac:dyDescent="0.3">
      <c r="A49" s="20" t="s">
        <v>2013</v>
      </c>
      <c r="B49" s="20" t="s">
        <v>2012</v>
      </c>
      <c r="C49" s="20" t="s">
        <v>1964</v>
      </c>
      <c r="D49" s="20" t="s">
        <v>1991</v>
      </c>
      <c r="E49" s="24"/>
    </row>
    <row r="50" spans="1:5" x14ac:dyDescent="0.3">
      <c r="A50" s="20" t="s">
        <v>2014</v>
      </c>
      <c r="B50" s="20" t="s">
        <v>2012</v>
      </c>
      <c r="C50" s="20" t="s">
        <v>1964</v>
      </c>
      <c r="D50" s="20" t="s">
        <v>1993</v>
      </c>
      <c r="E50" s="24"/>
    </row>
    <row r="51" spans="1:5" x14ac:dyDescent="0.3">
      <c r="A51" s="20" t="s">
        <v>2015</v>
      </c>
      <c r="B51" s="20" t="s">
        <v>2012</v>
      </c>
      <c r="C51" s="20" t="s">
        <v>1964</v>
      </c>
      <c r="D51" s="20" t="s">
        <v>1995</v>
      </c>
      <c r="E51" s="24"/>
    </row>
    <row r="52" spans="1:5" x14ac:dyDescent="0.3">
      <c r="A52" s="20" t="s">
        <v>2016</v>
      </c>
      <c r="B52" s="20" t="s">
        <v>2017</v>
      </c>
      <c r="C52" s="20" t="s">
        <v>1964</v>
      </c>
      <c r="D52" s="20" t="s">
        <v>1989</v>
      </c>
      <c r="E52" s="24"/>
    </row>
    <row r="53" spans="1:5" x14ac:dyDescent="0.3">
      <c r="A53" s="20" t="s">
        <v>2018</v>
      </c>
      <c r="B53" s="20" t="s">
        <v>2017</v>
      </c>
      <c r="C53" s="20" t="s">
        <v>1964</v>
      </c>
      <c r="D53" s="20" t="s">
        <v>1991</v>
      </c>
      <c r="E53" s="24"/>
    </row>
    <row r="54" spans="1:5" x14ac:dyDescent="0.3">
      <c r="A54" s="20" t="s">
        <v>2019</v>
      </c>
      <c r="B54" s="20" t="s">
        <v>2017</v>
      </c>
      <c r="C54" s="20" t="s">
        <v>1964</v>
      </c>
      <c r="D54" s="20" t="s">
        <v>1993</v>
      </c>
      <c r="E54" s="24"/>
    </row>
    <row r="55" spans="1:5" x14ac:dyDescent="0.3">
      <c r="A55" s="20" t="s">
        <v>2020</v>
      </c>
      <c r="B55" s="20" t="s">
        <v>2017</v>
      </c>
      <c r="C55" s="20" t="s">
        <v>1964</v>
      </c>
      <c r="D55" s="20" t="s">
        <v>1995</v>
      </c>
      <c r="E55" s="24"/>
    </row>
    <row r="56" spans="1:5" x14ac:dyDescent="0.3">
      <c r="A56" s="20" t="s">
        <v>2021</v>
      </c>
      <c r="B56" s="20" t="s">
        <v>2022</v>
      </c>
      <c r="C56" s="20" t="s">
        <v>1964</v>
      </c>
      <c r="D56" s="20" t="s">
        <v>1989</v>
      </c>
      <c r="E56" s="24"/>
    </row>
    <row r="57" spans="1:5" x14ac:dyDescent="0.3">
      <c r="A57" s="20" t="s">
        <v>2023</v>
      </c>
      <c r="B57" s="20" t="s">
        <v>2022</v>
      </c>
      <c r="C57" s="20" t="s">
        <v>1964</v>
      </c>
      <c r="D57" s="20" t="s">
        <v>1991</v>
      </c>
      <c r="E57" s="24"/>
    </row>
    <row r="58" spans="1:5" x14ac:dyDescent="0.3">
      <c r="A58" s="20" t="s">
        <v>2024</v>
      </c>
      <c r="B58" s="20" t="s">
        <v>2022</v>
      </c>
      <c r="C58" s="20" t="s">
        <v>1964</v>
      </c>
      <c r="D58" s="20" t="s">
        <v>1993</v>
      </c>
      <c r="E58" s="24"/>
    </row>
    <row r="59" spans="1:5" x14ac:dyDescent="0.3">
      <c r="A59" s="20" t="s">
        <v>2025</v>
      </c>
      <c r="B59" s="20" t="s">
        <v>2022</v>
      </c>
      <c r="C59" s="20" t="s">
        <v>1964</v>
      </c>
      <c r="D59" s="20" t="s">
        <v>1995</v>
      </c>
      <c r="E59" s="24"/>
    </row>
    <row r="60" spans="1:5" x14ac:dyDescent="0.3">
      <c r="A60" s="20" t="s">
        <v>2026</v>
      </c>
      <c r="B60" s="20" t="s">
        <v>2027</v>
      </c>
      <c r="C60" s="20" t="s">
        <v>1964</v>
      </c>
      <c r="D60" s="20" t="s">
        <v>1989</v>
      </c>
      <c r="E60" s="24"/>
    </row>
    <row r="61" spans="1:5" x14ac:dyDescent="0.3">
      <c r="A61" s="20" t="s">
        <v>2028</v>
      </c>
      <c r="B61" s="20" t="s">
        <v>2027</v>
      </c>
      <c r="C61" s="20" t="s">
        <v>1964</v>
      </c>
      <c r="D61" s="20" t="s">
        <v>1991</v>
      </c>
      <c r="E61" s="24"/>
    </row>
    <row r="62" spans="1:5" x14ac:dyDescent="0.3">
      <c r="A62" s="20" t="s">
        <v>2029</v>
      </c>
      <c r="B62" s="20" t="s">
        <v>2027</v>
      </c>
      <c r="C62" s="20" t="s">
        <v>1964</v>
      </c>
      <c r="D62" s="20" t="s">
        <v>1993</v>
      </c>
      <c r="E62" s="24"/>
    </row>
    <row r="63" spans="1:5" x14ac:dyDescent="0.3">
      <c r="A63" s="20" t="s">
        <v>2030</v>
      </c>
      <c r="B63" s="20" t="s">
        <v>2027</v>
      </c>
      <c r="C63" s="20" t="s">
        <v>1964</v>
      </c>
      <c r="D63" s="20" t="s">
        <v>1995</v>
      </c>
      <c r="E63" s="24"/>
    </row>
    <row r="64" spans="1:5" x14ac:dyDescent="0.3">
      <c r="A64" s="20" t="s">
        <v>2031</v>
      </c>
      <c r="B64" s="20" t="s">
        <v>2032</v>
      </c>
      <c r="C64" s="20" t="s">
        <v>1964</v>
      </c>
      <c r="D64" s="20" t="s">
        <v>1989</v>
      </c>
      <c r="E64" s="24"/>
    </row>
    <row r="65" spans="1:5" x14ac:dyDescent="0.3">
      <c r="A65" s="20" t="s">
        <v>2033</v>
      </c>
      <c r="B65" s="20" t="s">
        <v>2032</v>
      </c>
      <c r="C65" s="20" t="s">
        <v>1964</v>
      </c>
      <c r="D65" s="20" t="s">
        <v>1991</v>
      </c>
      <c r="E65" s="24"/>
    </row>
    <row r="66" spans="1:5" x14ac:dyDescent="0.3">
      <c r="A66" s="20" t="s">
        <v>2034</v>
      </c>
      <c r="B66" s="20" t="s">
        <v>2032</v>
      </c>
      <c r="C66" s="20" t="s">
        <v>1964</v>
      </c>
      <c r="D66" s="20" t="s">
        <v>1993</v>
      </c>
      <c r="E66" s="24"/>
    </row>
    <row r="67" spans="1:5" x14ac:dyDescent="0.3">
      <c r="A67" s="20" t="s">
        <v>2035</v>
      </c>
      <c r="B67" s="20" t="s">
        <v>2032</v>
      </c>
      <c r="C67" s="20" t="s">
        <v>1964</v>
      </c>
      <c r="D67" s="20" t="s">
        <v>1995</v>
      </c>
      <c r="E67" s="24"/>
    </row>
    <row r="68" spans="1:5" x14ac:dyDescent="0.3">
      <c r="A68" s="20" t="s">
        <v>2036</v>
      </c>
      <c r="B68" s="20" t="s">
        <v>2037</v>
      </c>
      <c r="C68" s="20" t="s">
        <v>1964</v>
      </c>
      <c r="D68" s="20" t="s">
        <v>1989</v>
      </c>
      <c r="E68" s="24"/>
    </row>
    <row r="69" spans="1:5" x14ac:dyDescent="0.3">
      <c r="A69" s="20" t="s">
        <v>2038</v>
      </c>
      <c r="B69" s="20" t="s">
        <v>2037</v>
      </c>
      <c r="C69" s="20" t="s">
        <v>1964</v>
      </c>
      <c r="D69" s="20" t="s">
        <v>1991</v>
      </c>
      <c r="E69" s="24"/>
    </row>
    <row r="70" spans="1:5" x14ac:dyDescent="0.3">
      <c r="A70" s="20" t="s">
        <v>2039</v>
      </c>
      <c r="B70" s="20" t="s">
        <v>2037</v>
      </c>
      <c r="C70" s="20" t="s">
        <v>1964</v>
      </c>
      <c r="D70" s="20" t="s">
        <v>1993</v>
      </c>
      <c r="E70" s="24"/>
    </row>
    <row r="71" spans="1:5" x14ac:dyDescent="0.3">
      <c r="A71" s="20" t="s">
        <v>2040</v>
      </c>
      <c r="B71" s="20" t="s">
        <v>2037</v>
      </c>
      <c r="C71" s="20" t="s">
        <v>1964</v>
      </c>
      <c r="D71" s="20" t="s">
        <v>1995</v>
      </c>
      <c r="E71" s="24"/>
    </row>
    <row r="72" spans="1:5" x14ac:dyDescent="0.3">
      <c r="A72" s="20" t="s">
        <v>2041</v>
      </c>
      <c r="B72" s="20" t="s">
        <v>2042</v>
      </c>
      <c r="C72" s="20" t="s">
        <v>1964</v>
      </c>
      <c r="D72" s="20" t="s">
        <v>1989</v>
      </c>
      <c r="E72" s="24"/>
    </row>
    <row r="73" spans="1:5" x14ac:dyDescent="0.3">
      <c r="A73" s="20" t="s">
        <v>2043</v>
      </c>
      <c r="B73" s="20" t="s">
        <v>2042</v>
      </c>
      <c r="C73" s="20" t="s">
        <v>1964</v>
      </c>
      <c r="D73" s="20" t="s">
        <v>1991</v>
      </c>
      <c r="E73" s="24"/>
    </row>
    <row r="74" spans="1:5" x14ac:dyDescent="0.3">
      <c r="A74" s="20" t="s">
        <v>2044</v>
      </c>
      <c r="B74" s="20" t="s">
        <v>2042</v>
      </c>
      <c r="C74" s="20" t="s">
        <v>1964</v>
      </c>
      <c r="D74" s="20" t="s">
        <v>1993</v>
      </c>
      <c r="E74" s="24"/>
    </row>
    <row r="75" spans="1:5" x14ac:dyDescent="0.3">
      <c r="A75" s="20" t="s">
        <v>2045</v>
      </c>
      <c r="B75" s="20" t="s">
        <v>2042</v>
      </c>
      <c r="C75" s="20" t="s">
        <v>1964</v>
      </c>
      <c r="D75" s="20" t="s">
        <v>1995</v>
      </c>
      <c r="E75" s="24"/>
    </row>
    <row r="76" spans="1:5" x14ac:dyDescent="0.3">
      <c r="A76" s="20" t="s">
        <v>2046</v>
      </c>
      <c r="B76" s="20" t="s">
        <v>2047</v>
      </c>
      <c r="C76" s="20" t="s">
        <v>1964</v>
      </c>
      <c r="D76" s="20" t="s">
        <v>1989</v>
      </c>
      <c r="E76" s="24"/>
    </row>
    <row r="77" spans="1:5" x14ac:dyDescent="0.3">
      <c r="A77" s="20" t="s">
        <v>2048</v>
      </c>
      <c r="B77" s="20" t="s">
        <v>2047</v>
      </c>
      <c r="C77" s="20" t="s">
        <v>1964</v>
      </c>
      <c r="D77" s="20" t="s">
        <v>1991</v>
      </c>
      <c r="E77" s="24"/>
    </row>
    <row r="78" spans="1:5" x14ac:dyDescent="0.3">
      <c r="A78" s="20" t="s">
        <v>2049</v>
      </c>
      <c r="B78" s="20" t="s">
        <v>2047</v>
      </c>
      <c r="C78" s="20" t="s">
        <v>1964</v>
      </c>
      <c r="D78" s="20" t="s">
        <v>1993</v>
      </c>
      <c r="E78" s="24"/>
    </row>
    <row r="79" spans="1:5" x14ac:dyDescent="0.3">
      <c r="A79" s="20" t="s">
        <v>2050</v>
      </c>
      <c r="B79" s="20" t="s">
        <v>2047</v>
      </c>
      <c r="C79" s="20" t="s">
        <v>1964</v>
      </c>
      <c r="D79" s="20" t="s">
        <v>1995</v>
      </c>
      <c r="E79" s="24"/>
    </row>
    <row r="80" spans="1:5" x14ac:dyDescent="0.3">
      <c r="A80" s="20" t="s">
        <v>2051</v>
      </c>
      <c r="B80" s="20" t="s">
        <v>2052</v>
      </c>
      <c r="C80" s="20" t="s">
        <v>1964</v>
      </c>
      <c r="D80" s="20" t="s">
        <v>1989</v>
      </c>
      <c r="E80" s="24"/>
    </row>
    <row r="81" spans="1:5" x14ac:dyDescent="0.3">
      <c r="A81" s="20" t="s">
        <v>2053</v>
      </c>
      <c r="B81" s="20" t="s">
        <v>2052</v>
      </c>
      <c r="C81" s="20" t="s">
        <v>1964</v>
      </c>
      <c r="D81" s="20" t="s">
        <v>1991</v>
      </c>
      <c r="E81" s="24"/>
    </row>
    <row r="82" spans="1:5" x14ac:dyDescent="0.3">
      <c r="A82" s="20" t="s">
        <v>2054</v>
      </c>
      <c r="B82" s="20" t="s">
        <v>2052</v>
      </c>
      <c r="C82" s="20" t="s">
        <v>1964</v>
      </c>
      <c r="D82" s="20" t="s">
        <v>1993</v>
      </c>
      <c r="E82" s="24"/>
    </row>
    <row r="83" spans="1:5" x14ac:dyDescent="0.3">
      <c r="A83" s="20" t="s">
        <v>2055</v>
      </c>
      <c r="B83" s="20" t="s">
        <v>2052</v>
      </c>
      <c r="C83" s="20" t="s">
        <v>1964</v>
      </c>
      <c r="D83" s="20" t="s">
        <v>1995</v>
      </c>
      <c r="E83" s="24"/>
    </row>
    <row r="84" spans="1:5" x14ac:dyDescent="0.3">
      <c r="A84" s="20" t="s">
        <v>2056</v>
      </c>
      <c r="B84" s="20" t="s">
        <v>2057</v>
      </c>
      <c r="C84" s="20" t="s">
        <v>1964</v>
      </c>
      <c r="D84" s="20" t="s">
        <v>1989</v>
      </c>
      <c r="E84" s="24"/>
    </row>
    <row r="85" spans="1:5" x14ac:dyDescent="0.3">
      <c r="A85" s="20" t="s">
        <v>2058</v>
      </c>
      <c r="B85" s="20" t="s">
        <v>2057</v>
      </c>
      <c r="C85" s="20" t="s">
        <v>1964</v>
      </c>
      <c r="D85" s="20" t="s">
        <v>1991</v>
      </c>
      <c r="E85" s="24"/>
    </row>
    <row r="86" spans="1:5" x14ac:dyDescent="0.3">
      <c r="A86" s="20" t="s">
        <v>2059</v>
      </c>
      <c r="B86" s="20" t="s">
        <v>2057</v>
      </c>
      <c r="C86" s="20" t="s">
        <v>1964</v>
      </c>
      <c r="D86" s="20" t="s">
        <v>1993</v>
      </c>
      <c r="E86" s="24"/>
    </row>
    <row r="87" spans="1:5" x14ac:dyDescent="0.3">
      <c r="A87" s="20" t="s">
        <v>2060</v>
      </c>
      <c r="B87" s="20" t="s">
        <v>2057</v>
      </c>
      <c r="C87" s="20" t="s">
        <v>1964</v>
      </c>
      <c r="D87" s="20" t="s">
        <v>1995</v>
      </c>
      <c r="E87" s="24"/>
    </row>
    <row r="88" spans="1:5" x14ac:dyDescent="0.3">
      <c r="A88" s="20" t="s">
        <v>2061</v>
      </c>
      <c r="B88" s="20" t="s">
        <v>2062</v>
      </c>
      <c r="C88" s="20" t="s">
        <v>1964</v>
      </c>
      <c r="D88" s="20" t="s">
        <v>1989</v>
      </c>
      <c r="E88" s="24"/>
    </row>
    <row r="89" spans="1:5" x14ac:dyDescent="0.3">
      <c r="A89" s="20" t="s">
        <v>2063</v>
      </c>
      <c r="B89" s="20" t="s">
        <v>2062</v>
      </c>
      <c r="C89" s="20" t="s">
        <v>1964</v>
      </c>
      <c r="D89" s="20" t="s">
        <v>1991</v>
      </c>
      <c r="E89" s="24"/>
    </row>
    <row r="90" spans="1:5" x14ac:dyDescent="0.3">
      <c r="A90" s="20" t="s">
        <v>2064</v>
      </c>
      <c r="B90" s="20" t="s">
        <v>2062</v>
      </c>
      <c r="C90" s="20" t="s">
        <v>1964</v>
      </c>
      <c r="D90" s="20" t="s">
        <v>1993</v>
      </c>
      <c r="E90" s="24"/>
    </row>
    <row r="91" spans="1:5" x14ac:dyDescent="0.3">
      <c r="A91" s="25" t="s">
        <v>2065</v>
      </c>
      <c r="B91" s="25" t="s">
        <v>2062</v>
      </c>
      <c r="C91" s="25" t="s">
        <v>1964</v>
      </c>
      <c r="D91" s="25" t="s">
        <v>1995</v>
      </c>
      <c r="E91" s="29"/>
    </row>
    <row r="92" spans="1:5" x14ac:dyDescent="0.3">
      <c r="A92" s="42" t="s">
        <v>297</v>
      </c>
      <c r="B92" s="43"/>
      <c r="C92" s="43"/>
      <c r="D92" s="43"/>
      <c r="E92" s="101"/>
    </row>
    <row r="94" spans="1:5" x14ac:dyDescent="0.3">
      <c r="A94" s="42" t="s">
        <v>2066</v>
      </c>
      <c r="B94" s="43"/>
      <c r="C94" s="43"/>
      <c r="D94" s="43"/>
      <c r="E94" s="101"/>
    </row>
  </sheetData>
  <sheetProtection algorithmName="SHA-512" hashValue="jyBSHv/8LhdObJgHIxDY18VtyKmkr94ZyJYrOM/iE/z4L5g4CFVLR6DkX4YxiK2MsVOTFTT4H1ZsWEdaRWDr0A==" saltValue="HwxHzk5ARasstgORCmmzJA==" spinCount="100000" sheet="1" objects="1" scenarios="1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28-03-2024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640</vt:i4>
      </vt:variant>
    </vt:vector>
  </HeadingPairs>
  <TitlesOfParts>
    <vt:vector size="653" baseType="lpstr">
      <vt:lpstr>Omreken</vt:lpstr>
      <vt:lpstr>Categorienormen</vt:lpstr>
      <vt:lpstr>Regulier werk</vt:lpstr>
      <vt:lpstr>Ruimten werkdag</vt:lpstr>
      <vt:lpstr>Ruimten werkdag vakantie</vt:lpstr>
      <vt:lpstr>Objectinformatie</vt:lpstr>
      <vt:lpstr>Objecten</vt:lpstr>
      <vt:lpstr>Totaalblad Objecten</vt:lpstr>
      <vt:lpstr>Afroep incidenteel</vt:lpstr>
      <vt:lpstr>Regiewerk</vt:lpstr>
      <vt:lpstr>Glas</vt:lpstr>
      <vt:lpstr>Glas per locatie</vt:lpstr>
      <vt:lpstr>Totaal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'Ruimten werkdag vakantie'!Afdruktitels</vt:lpstr>
      <vt:lpstr>Totaal!Afdruktitels</vt:lpstr>
      <vt:lpstr>'Totaalblad Objecten'!Afdruktitels</vt:lpstr>
      <vt:lpstr>catdw_1_BKHB_1</vt:lpstr>
      <vt:lpstr>catdw_1_BKHV_42</vt:lpstr>
      <vt:lpstr>catdw_1_BKZB_1</vt:lpstr>
      <vt:lpstr>catdw_1_BKZV_42</vt:lpstr>
      <vt:lpstr>catdw_1_BVHB_1</vt:lpstr>
      <vt:lpstr>catdw_1_BVHV_42</vt:lpstr>
      <vt:lpstr>catdw_1_BVZB_1</vt:lpstr>
      <vt:lpstr>catdw_1_BVZV_42</vt:lpstr>
      <vt:lpstr>catdw_1_GSHB_1</vt:lpstr>
      <vt:lpstr>catdw_1_GSHV_42</vt:lpstr>
      <vt:lpstr>catdw_1_KAHB_1</vt:lpstr>
      <vt:lpstr>catdw_1_KAHV_42</vt:lpstr>
      <vt:lpstr>catdw_1_KAZB_1</vt:lpstr>
      <vt:lpstr>catdw_1_KAZV_42</vt:lpstr>
      <vt:lpstr>catdw_1_KDHB_1</vt:lpstr>
      <vt:lpstr>catdw_1_KDHV_42</vt:lpstr>
      <vt:lpstr>catdw_1_KDZB_1</vt:lpstr>
      <vt:lpstr>catdw_1_KDZV_42</vt:lpstr>
      <vt:lpstr>catdw_1_KPHB_1</vt:lpstr>
      <vt:lpstr>catdw_1_KPHV_42</vt:lpstr>
      <vt:lpstr>catdw_1_LAHB_1</vt:lpstr>
      <vt:lpstr>catdw_1_LAHV_42</vt:lpstr>
      <vt:lpstr>catdw_1_LAZB_1</vt:lpstr>
      <vt:lpstr>catdw_1_LAZV_42</vt:lpstr>
      <vt:lpstr>catdw_1_LLHB_1</vt:lpstr>
      <vt:lpstr>catdw_1_LLHV_42</vt:lpstr>
      <vt:lpstr>catdw_1_LLZB_1</vt:lpstr>
      <vt:lpstr>catdw_1_LLZV_42</vt:lpstr>
      <vt:lpstr>catdw_1_LOHB_1</vt:lpstr>
      <vt:lpstr>catdw_1_LOHV_42</vt:lpstr>
      <vt:lpstr>catdw_1_LOZB_1</vt:lpstr>
      <vt:lpstr>catdw_1_LOZV_42</vt:lpstr>
      <vt:lpstr>catdw_1_MAHB_1</vt:lpstr>
      <vt:lpstr>catdw_1_MAHV_42</vt:lpstr>
      <vt:lpstr>catdw_1_MAZB_1</vt:lpstr>
      <vt:lpstr>catdw_1_MAZV_42</vt:lpstr>
      <vt:lpstr>catdw_1_OAHB_1</vt:lpstr>
      <vt:lpstr>catdw_1_OAHV_10</vt:lpstr>
      <vt:lpstr>catdw_1_OAHV_12</vt:lpstr>
      <vt:lpstr>catdw_1_PAHB_1</vt:lpstr>
      <vt:lpstr>catdw_1_PAHV_42</vt:lpstr>
      <vt:lpstr>catdw_1_PKHB_1</vt:lpstr>
      <vt:lpstr>catdw_1_PKHV_42</vt:lpstr>
      <vt:lpstr>catdw_1_PLHB_1</vt:lpstr>
      <vt:lpstr>catdw_1_PLHV_42</vt:lpstr>
      <vt:lpstr>catdw_1_PSHB_1</vt:lpstr>
      <vt:lpstr>catdw_1_PSHV_42</vt:lpstr>
      <vt:lpstr>catdw_1_PSZB_1</vt:lpstr>
      <vt:lpstr>catdw_1_PSZV_42</vt:lpstr>
      <vt:lpstr>catdw_1_PVHB_1</vt:lpstr>
      <vt:lpstr>catdw_1_PVHV_42</vt:lpstr>
      <vt:lpstr>catdw_1_PWHB_1</vt:lpstr>
      <vt:lpstr>catdw_1_PWHV_42</vt:lpstr>
      <vt:lpstr>catdw_1_SDHB_1</vt:lpstr>
      <vt:lpstr>catdw_1_SDHV_42</vt:lpstr>
      <vt:lpstr>catdw_1_SKHB_1</vt:lpstr>
      <vt:lpstr>catdw_1_SKHV_42</vt:lpstr>
      <vt:lpstr>catdw_1_STHB_1</vt:lpstr>
      <vt:lpstr>catdw_1_STHV_42</vt:lpstr>
      <vt:lpstr>catdw_1_SWHB_1</vt:lpstr>
      <vt:lpstr>catdw_1_SWHV_42</vt:lpstr>
      <vt:lpstr>catdw_1_VAHB_1</vt:lpstr>
      <vt:lpstr>catdw_1_VAHV_42</vt:lpstr>
      <vt:lpstr>catdw_1_VAZB_1</vt:lpstr>
      <vt:lpstr>catdw_1_VAZV_42</vt:lpstr>
      <vt:lpstr>catdw_1_VEHB_1</vt:lpstr>
      <vt:lpstr>catdw_1_VEHV_42</vt:lpstr>
      <vt:lpstr>catdw_1_VEZB_1</vt:lpstr>
      <vt:lpstr>catdw_1_VEZV_42</vt:lpstr>
      <vt:lpstr>catdw_1_VLHB_1</vt:lpstr>
      <vt:lpstr>catdw_1_VLHV_42</vt:lpstr>
      <vt:lpstr>catdw_1_VOHB_1</vt:lpstr>
      <vt:lpstr>catdw_1_VOHV_42</vt:lpstr>
      <vt:lpstr>catdw_1_VOZB_1</vt:lpstr>
      <vt:lpstr>catdw_1_VOZV_42</vt:lpstr>
      <vt:lpstr>catdw_1_VTHB_1</vt:lpstr>
      <vt:lpstr>catdw_1_VTHV_42</vt:lpstr>
      <vt:lpstr>catdw_2_STHVB_1</vt:lpstr>
      <vt:lpstr>catdw_2_STHVV_5</vt:lpstr>
      <vt:lpstr>catfd_1_BKHB_1</vt:lpstr>
      <vt:lpstr>catfd_1_BKHV_42</vt:lpstr>
      <vt:lpstr>catfd_1_BKZB_1</vt:lpstr>
      <vt:lpstr>catfd_1_BKZV_42</vt:lpstr>
      <vt:lpstr>catfd_1_BVHB_1</vt:lpstr>
      <vt:lpstr>catfd_1_BVHV_42</vt:lpstr>
      <vt:lpstr>catfd_1_BVZB_1</vt:lpstr>
      <vt:lpstr>catfd_1_BVZV_42</vt:lpstr>
      <vt:lpstr>catfd_1_GSHB_1</vt:lpstr>
      <vt:lpstr>catfd_1_GSHV_42</vt:lpstr>
      <vt:lpstr>catfd_1_KAHB_1</vt:lpstr>
      <vt:lpstr>catfd_1_KAHV_42</vt:lpstr>
      <vt:lpstr>catfd_1_KAZB_1</vt:lpstr>
      <vt:lpstr>catfd_1_KAZV_42</vt:lpstr>
      <vt:lpstr>catfd_1_KDHB_1</vt:lpstr>
      <vt:lpstr>catfd_1_KDHV_42</vt:lpstr>
      <vt:lpstr>catfd_1_KDZB_1</vt:lpstr>
      <vt:lpstr>catfd_1_KDZV_42</vt:lpstr>
      <vt:lpstr>catfd_1_KPHB_1</vt:lpstr>
      <vt:lpstr>catfd_1_KPHV_42</vt:lpstr>
      <vt:lpstr>catfd_1_LAHB_1</vt:lpstr>
      <vt:lpstr>catfd_1_LAHV_42</vt:lpstr>
      <vt:lpstr>catfd_1_LAZB_1</vt:lpstr>
      <vt:lpstr>catfd_1_LAZV_42</vt:lpstr>
      <vt:lpstr>catfd_1_LLHB_1</vt:lpstr>
      <vt:lpstr>catfd_1_LLHV_42</vt:lpstr>
      <vt:lpstr>catfd_1_LLZB_1</vt:lpstr>
      <vt:lpstr>catfd_1_LLZV_42</vt:lpstr>
      <vt:lpstr>catfd_1_LOHB_1</vt:lpstr>
      <vt:lpstr>catfd_1_LOHV_42</vt:lpstr>
      <vt:lpstr>catfd_1_LOZB_1</vt:lpstr>
      <vt:lpstr>catfd_1_LOZV_42</vt:lpstr>
      <vt:lpstr>catfd_1_MAHB_1</vt:lpstr>
      <vt:lpstr>catfd_1_MAHV_42</vt:lpstr>
      <vt:lpstr>catfd_1_MAZB_1</vt:lpstr>
      <vt:lpstr>catfd_1_MAZV_42</vt:lpstr>
      <vt:lpstr>catfd_1_OAHB_1</vt:lpstr>
      <vt:lpstr>catfd_1_OAHV_10</vt:lpstr>
      <vt:lpstr>catfd_1_OAHV_12</vt:lpstr>
      <vt:lpstr>catfd_1_PAHB_1</vt:lpstr>
      <vt:lpstr>catfd_1_PAHV_42</vt:lpstr>
      <vt:lpstr>catfd_1_PKHB_1</vt:lpstr>
      <vt:lpstr>catfd_1_PKHV_42</vt:lpstr>
      <vt:lpstr>catfd_1_PLHB_1</vt:lpstr>
      <vt:lpstr>catfd_1_PLHV_42</vt:lpstr>
      <vt:lpstr>catfd_1_PSHB_1</vt:lpstr>
      <vt:lpstr>catfd_1_PSHV_42</vt:lpstr>
      <vt:lpstr>catfd_1_PSZB_1</vt:lpstr>
      <vt:lpstr>catfd_1_PSZV_42</vt:lpstr>
      <vt:lpstr>catfd_1_PVHB_1</vt:lpstr>
      <vt:lpstr>catfd_1_PVHV_42</vt:lpstr>
      <vt:lpstr>catfd_1_PWHB_1</vt:lpstr>
      <vt:lpstr>catfd_1_PWHV_42</vt:lpstr>
      <vt:lpstr>catfd_1_SDHB_1</vt:lpstr>
      <vt:lpstr>catfd_1_SDHV_42</vt:lpstr>
      <vt:lpstr>catfd_1_SKHB_1</vt:lpstr>
      <vt:lpstr>catfd_1_SKHV_42</vt:lpstr>
      <vt:lpstr>catfd_1_STHB_1</vt:lpstr>
      <vt:lpstr>catfd_1_STHV_42</vt:lpstr>
      <vt:lpstr>catfd_1_SWHB_1</vt:lpstr>
      <vt:lpstr>catfd_1_SWHV_42</vt:lpstr>
      <vt:lpstr>catfd_1_VAHB_1</vt:lpstr>
      <vt:lpstr>catfd_1_VAHV_42</vt:lpstr>
      <vt:lpstr>catfd_1_VAZB_1</vt:lpstr>
      <vt:lpstr>catfd_1_VAZV_42</vt:lpstr>
      <vt:lpstr>catfd_1_VEHB_1</vt:lpstr>
      <vt:lpstr>catfd_1_VEHV_42</vt:lpstr>
      <vt:lpstr>catfd_1_VEZB_1</vt:lpstr>
      <vt:lpstr>catfd_1_VEZV_42</vt:lpstr>
      <vt:lpstr>catfd_1_VLHB_1</vt:lpstr>
      <vt:lpstr>catfd_1_VLHV_42</vt:lpstr>
      <vt:lpstr>catfd_1_VOHB_1</vt:lpstr>
      <vt:lpstr>catfd_1_VOHV_42</vt:lpstr>
      <vt:lpstr>catfd_1_VOZB_1</vt:lpstr>
      <vt:lpstr>catfd_1_VOZV_42</vt:lpstr>
      <vt:lpstr>catfd_1_VTHB_1</vt:lpstr>
      <vt:lpstr>catfd_1_VTHV_42</vt:lpstr>
      <vt:lpstr>catfd_2_STHVB_1</vt:lpstr>
      <vt:lpstr>catfd_2_STHVV_5</vt:lpstr>
      <vt:lpstr>catpn_1_BKHB_1</vt:lpstr>
      <vt:lpstr>catpn_1_BKHV_42</vt:lpstr>
      <vt:lpstr>catpn_1_BKZB_1</vt:lpstr>
      <vt:lpstr>catpn_1_BKZV_42</vt:lpstr>
      <vt:lpstr>catpn_1_BVHB_1</vt:lpstr>
      <vt:lpstr>catpn_1_BVHV_42</vt:lpstr>
      <vt:lpstr>catpn_1_BVZB_1</vt:lpstr>
      <vt:lpstr>catpn_1_BVZV_42</vt:lpstr>
      <vt:lpstr>catpn_1_GSHB_1</vt:lpstr>
      <vt:lpstr>catpn_1_GSHV_42</vt:lpstr>
      <vt:lpstr>catpn_1_KAHB_1</vt:lpstr>
      <vt:lpstr>catpn_1_KAHV_42</vt:lpstr>
      <vt:lpstr>catpn_1_KAZB_1</vt:lpstr>
      <vt:lpstr>catpn_1_KAZV_42</vt:lpstr>
      <vt:lpstr>catpn_1_KDHB_1</vt:lpstr>
      <vt:lpstr>catpn_1_KDHV_42</vt:lpstr>
      <vt:lpstr>catpn_1_KDZB_1</vt:lpstr>
      <vt:lpstr>catpn_1_KDZV_42</vt:lpstr>
      <vt:lpstr>catpn_1_KPHB_1</vt:lpstr>
      <vt:lpstr>catpn_1_KPHV_42</vt:lpstr>
      <vt:lpstr>catpn_1_LAHB_1</vt:lpstr>
      <vt:lpstr>catpn_1_LAHV_42</vt:lpstr>
      <vt:lpstr>catpn_1_LAZB_1</vt:lpstr>
      <vt:lpstr>catpn_1_LAZV_42</vt:lpstr>
      <vt:lpstr>catpn_1_LLHB_1</vt:lpstr>
      <vt:lpstr>catpn_1_LLHV_42</vt:lpstr>
      <vt:lpstr>catpn_1_LLZB_1</vt:lpstr>
      <vt:lpstr>catpn_1_LLZV_42</vt:lpstr>
      <vt:lpstr>catpn_1_LOHB_1</vt:lpstr>
      <vt:lpstr>catpn_1_LOHV_42</vt:lpstr>
      <vt:lpstr>catpn_1_LOZB_1</vt:lpstr>
      <vt:lpstr>catpn_1_LOZV_42</vt:lpstr>
      <vt:lpstr>catpn_1_MAHB_1</vt:lpstr>
      <vt:lpstr>catpn_1_MAHV_42</vt:lpstr>
      <vt:lpstr>catpn_1_MAZB_1</vt:lpstr>
      <vt:lpstr>catpn_1_MAZV_42</vt:lpstr>
      <vt:lpstr>catpn_1_OAHB_1</vt:lpstr>
      <vt:lpstr>catpn_1_OAHV_10</vt:lpstr>
      <vt:lpstr>catpn_1_OAHV_12</vt:lpstr>
      <vt:lpstr>catpn_1_PAHB_1</vt:lpstr>
      <vt:lpstr>catpn_1_PAHV_42</vt:lpstr>
      <vt:lpstr>catpn_1_PKHB_1</vt:lpstr>
      <vt:lpstr>catpn_1_PKHV_42</vt:lpstr>
      <vt:lpstr>catpn_1_PLHB_1</vt:lpstr>
      <vt:lpstr>catpn_1_PLHV_42</vt:lpstr>
      <vt:lpstr>catpn_1_PSHB_1</vt:lpstr>
      <vt:lpstr>catpn_1_PSHV_42</vt:lpstr>
      <vt:lpstr>catpn_1_PSZB_1</vt:lpstr>
      <vt:lpstr>catpn_1_PSZV_42</vt:lpstr>
      <vt:lpstr>catpn_1_PVHB_1</vt:lpstr>
      <vt:lpstr>catpn_1_PVHV_42</vt:lpstr>
      <vt:lpstr>catpn_1_PWHB_1</vt:lpstr>
      <vt:lpstr>catpn_1_PWHV_42</vt:lpstr>
      <vt:lpstr>catpn_1_SDHB_1</vt:lpstr>
      <vt:lpstr>catpn_1_SDHV_42</vt:lpstr>
      <vt:lpstr>catpn_1_SKHB_1</vt:lpstr>
      <vt:lpstr>catpn_1_SKHV_42</vt:lpstr>
      <vt:lpstr>catpn_1_STHB_1</vt:lpstr>
      <vt:lpstr>catpn_1_STHV_42</vt:lpstr>
      <vt:lpstr>catpn_1_SWHB_1</vt:lpstr>
      <vt:lpstr>catpn_1_SWHV_42</vt:lpstr>
      <vt:lpstr>catpn_1_VAHB_1</vt:lpstr>
      <vt:lpstr>catpn_1_VAHV_42</vt:lpstr>
      <vt:lpstr>catpn_1_VAZB_1</vt:lpstr>
      <vt:lpstr>catpn_1_VAZV_42</vt:lpstr>
      <vt:lpstr>catpn_1_VEHB_1</vt:lpstr>
      <vt:lpstr>catpn_1_VEHV_42</vt:lpstr>
      <vt:lpstr>catpn_1_VEZB_1</vt:lpstr>
      <vt:lpstr>catpn_1_VEZV_42</vt:lpstr>
      <vt:lpstr>catpn_1_VLHB_1</vt:lpstr>
      <vt:lpstr>catpn_1_VLHV_42</vt:lpstr>
      <vt:lpstr>catpn_1_VOHB_1</vt:lpstr>
      <vt:lpstr>catpn_1_VOHV_42</vt:lpstr>
      <vt:lpstr>catpn_1_VOZB_1</vt:lpstr>
      <vt:lpstr>catpn_1_VOZV_42</vt:lpstr>
      <vt:lpstr>catpn_1_VTHB_1</vt:lpstr>
      <vt:lpstr>catpn_1_VTHV_42</vt:lpstr>
      <vt:lpstr>catpn_2_STHVB_1</vt:lpstr>
      <vt:lpstr>catpn_2_STHVV_5</vt:lpstr>
      <vt:lpstr>cattf_1_BKHB_1</vt:lpstr>
      <vt:lpstr>cattf_1_BKHV_42</vt:lpstr>
      <vt:lpstr>cattf_1_BKZB_1</vt:lpstr>
      <vt:lpstr>cattf_1_BKZV_42</vt:lpstr>
      <vt:lpstr>cattf_1_BVHB_1</vt:lpstr>
      <vt:lpstr>cattf_1_BVHV_42</vt:lpstr>
      <vt:lpstr>cattf_1_BVZB_1</vt:lpstr>
      <vt:lpstr>cattf_1_BVZV_42</vt:lpstr>
      <vt:lpstr>cattf_1_GSHB_1</vt:lpstr>
      <vt:lpstr>cattf_1_GSHV_42</vt:lpstr>
      <vt:lpstr>cattf_1_KAHB_1</vt:lpstr>
      <vt:lpstr>cattf_1_KAHV_42</vt:lpstr>
      <vt:lpstr>cattf_1_KAZB_1</vt:lpstr>
      <vt:lpstr>cattf_1_KAZV_42</vt:lpstr>
      <vt:lpstr>cattf_1_KDHB_1</vt:lpstr>
      <vt:lpstr>cattf_1_KDHV_42</vt:lpstr>
      <vt:lpstr>cattf_1_KDZB_1</vt:lpstr>
      <vt:lpstr>cattf_1_KDZV_42</vt:lpstr>
      <vt:lpstr>cattf_1_KPHB_1</vt:lpstr>
      <vt:lpstr>cattf_1_KPHV_42</vt:lpstr>
      <vt:lpstr>cattf_1_LAHB_1</vt:lpstr>
      <vt:lpstr>cattf_1_LAHV_42</vt:lpstr>
      <vt:lpstr>cattf_1_LAZB_1</vt:lpstr>
      <vt:lpstr>cattf_1_LAZV_42</vt:lpstr>
      <vt:lpstr>cattf_1_LLHB_1</vt:lpstr>
      <vt:lpstr>cattf_1_LLHV_42</vt:lpstr>
      <vt:lpstr>cattf_1_LLZB_1</vt:lpstr>
      <vt:lpstr>cattf_1_LLZV_42</vt:lpstr>
      <vt:lpstr>cattf_1_LOHB_1</vt:lpstr>
      <vt:lpstr>cattf_1_LOHV_42</vt:lpstr>
      <vt:lpstr>cattf_1_LOZB_1</vt:lpstr>
      <vt:lpstr>cattf_1_LOZV_42</vt:lpstr>
      <vt:lpstr>cattf_1_MAHB_1</vt:lpstr>
      <vt:lpstr>cattf_1_MAHV_42</vt:lpstr>
      <vt:lpstr>cattf_1_MAZB_1</vt:lpstr>
      <vt:lpstr>cattf_1_MAZV_42</vt:lpstr>
      <vt:lpstr>cattf_1_OAHB_1</vt:lpstr>
      <vt:lpstr>cattf_1_OAHV_10</vt:lpstr>
      <vt:lpstr>cattf_1_OAHV_12</vt:lpstr>
      <vt:lpstr>cattf_1_PAHB_1</vt:lpstr>
      <vt:lpstr>cattf_1_PAHV_42</vt:lpstr>
      <vt:lpstr>cattf_1_PKHB_1</vt:lpstr>
      <vt:lpstr>cattf_1_PKHV_42</vt:lpstr>
      <vt:lpstr>cattf_1_PLHB_1</vt:lpstr>
      <vt:lpstr>cattf_1_PLHV_42</vt:lpstr>
      <vt:lpstr>cattf_1_PSHB_1</vt:lpstr>
      <vt:lpstr>cattf_1_PSHV_42</vt:lpstr>
      <vt:lpstr>cattf_1_PSZB_1</vt:lpstr>
      <vt:lpstr>cattf_1_PSZV_42</vt:lpstr>
      <vt:lpstr>cattf_1_PVHB_1</vt:lpstr>
      <vt:lpstr>cattf_1_PVHV_42</vt:lpstr>
      <vt:lpstr>cattf_1_PWHB_1</vt:lpstr>
      <vt:lpstr>cattf_1_PWHV_42</vt:lpstr>
      <vt:lpstr>cattf_1_SDHB_1</vt:lpstr>
      <vt:lpstr>cattf_1_SDHV_42</vt:lpstr>
      <vt:lpstr>cattf_1_SKHB_1</vt:lpstr>
      <vt:lpstr>cattf_1_SKHV_42</vt:lpstr>
      <vt:lpstr>cattf_1_STHB_1</vt:lpstr>
      <vt:lpstr>cattf_1_STHV_42</vt:lpstr>
      <vt:lpstr>cattf_1_SWHB_1</vt:lpstr>
      <vt:lpstr>cattf_1_SWHV_42</vt:lpstr>
      <vt:lpstr>cattf_1_VAHB_1</vt:lpstr>
      <vt:lpstr>cattf_1_VAHV_42</vt:lpstr>
      <vt:lpstr>cattf_1_VAZB_1</vt:lpstr>
      <vt:lpstr>cattf_1_VAZV_42</vt:lpstr>
      <vt:lpstr>cattf_1_VEHB_1</vt:lpstr>
      <vt:lpstr>cattf_1_VEHV_42</vt:lpstr>
      <vt:lpstr>cattf_1_VEZB_1</vt:lpstr>
      <vt:lpstr>cattf_1_VEZV_42</vt:lpstr>
      <vt:lpstr>cattf_1_VLHB_1</vt:lpstr>
      <vt:lpstr>cattf_1_VLHV_42</vt:lpstr>
      <vt:lpstr>cattf_1_VOHB_1</vt:lpstr>
      <vt:lpstr>cattf_1_VOHV_42</vt:lpstr>
      <vt:lpstr>cattf_1_VOZB_1</vt:lpstr>
      <vt:lpstr>cattf_1_VOZV_42</vt:lpstr>
      <vt:lpstr>cattf_1_VTHB_1</vt:lpstr>
      <vt:lpstr>cattf_1_VTHV_42</vt:lpstr>
      <vt:lpstr>cattf_2_STHVB_1</vt:lpstr>
      <vt:lpstr>cattf_2_STHVV_5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dagwerk6</vt:lpstr>
      <vt:lpstr>dagwerk7</vt:lpstr>
      <vt:lpstr>dagwerk8</vt:lpstr>
      <vt:lpstr>dagwerk9</vt:lpstr>
      <vt:lpstr>dagwerktabel1</vt:lpstr>
      <vt:lpstr>dagwerktabel2</vt:lpstr>
      <vt:lpstr>gemuurtarief1</vt:lpstr>
      <vt:lpstr>gemuurtarief2</vt:lpstr>
      <vt:lpstr>kengetaltabel1</vt:lpstr>
      <vt:lpstr>kengetaltabel2</vt:lpstr>
      <vt:lpstr>object1_gemuurtarief1</vt:lpstr>
      <vt:lpstr>object1_gemuurtarief2</vt:lpstr>
      <vt:lpstr>object1_opptabel1</vt:lpstr>
      <vt:lpstr>object1_opptabel2</vt:lpstr>
      <vt:lpstr>object1_prijsdag1</vt:lpstr>
      <vt:lpstr>object1_prijsdag2</vt:lpstr>
      <vt:lpstr>object1_prijsjaar1</vt:lpstr>
      <vt:lpstr>object1_prijsjaar2</vt:lpstr>
      <vt:lpstr>object1_urendag1</vt:lpstr>
      <vt:lpstr>object1_urendag2</vt:lpstr>
      <vt:lpstr>object1_urendaghf1</vt:lpstr>
      <vt:lpstr>object1_urendaghf2</vt:lpstr>
      <vt:lpstr>object1_urenjaar1</vt:lpstr>
      <vt:lpstr>object1_urenjaar2</vt:lpstr>
      <vt:lpstr>object2_gemuurtarief1</vt:lpstr>
      <vt:lpstr>object2_opptabel1</vt:lpstr>
      <vt:lpstr>object2_opptabel2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object3_opptabel2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object4_opptabel2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object5_opptabel2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object6_opptabel2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object7_opptabel2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object8_opptabel2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object9_opptabel2</vt:lpstr>
      <vt:lpstr>object9_prijsdag1</vt:lpstr>
      <vt:lpstr>object9_prijsjaar1</vt:lpstr>
      <vt:lpstr>object9_urendag1</vt:lpstr>
      <vt:lpstr>object9_urendaghf1</vt:lpstr>
      <vt:lpstr>object9_urenjaar1</vt:lpstr>
      <vt:lpstr>objectprijs1_1</vt:lpstr>
      <vt:lpstr>objectprijs1_2</vt:lpstr>
      <vt:lpstr>objectprijs2_1</vt:lpstr>
      <vt:lpstr>objectprijs3_1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objecturen1_2</vt:lpstr>
      <vt:lpstr>objecturen2_1</vt:lpstr>
      <vt:lpstr>objecturen3_1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objecturenhf1_2</vt:lpstr>
      <vt:lpstr>objecturenhf2_1</vt:lpstr>
      <vt:lpstr>objecturenhf3_1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prijsdag2</vt:lpstr>
      <vt:lpstr>prijsjaar</vt:lpstr>
      <vt:lpstr>prijsjaar1</vt:lpstr>
      <vt:lpstr>prijsjaar2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prijsjaartotaal2</vt:lpstr>
      <vt:lpstr>prijsjaartotaaloverzicht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prodnorm6</vt:lpstr>
      <vt:lpstr>prodnorm7</vt:lpstr>
      <vt:lpstr>prodnorm8</vt:lpstr>
      <vt:lpstr>prodnorm9</vt:lpstr>
      <vt:lpstr>taakfreqtabel1</vt:lpstr>
      <vt:lpstr>taakfreqtabel2</vt:lpstr>
      <vt:lpstr>tabeltype</vt:lpstr>
      <vt:lpstr>tarieftabel1</vt:lpstr>
      <vt:lpstr>tarieftabel2</vt:lpstr>
      <vt:lpstr>urendag1</vt:lpstr>
      <vt:lpstr>urendag2</vt:lpstr>
      <vt:lpstr>urenjaar</vt:lpstr>
      <vt:lpstr>urenjaar1</vt:lpstr>
      <vt:lpstr>urenjaar2</vt:lpstr>
      <vt:lpstr>urenjaartotaal</vt:lpstr>
      <vt:lpstr>urenjaartotaal1</vt:lpstr>
      <vt:lpstr>urenjaartotaal2</vt:lpstr>
      <vt:lpstr>urenjaartotaalhf</vt:lpstr>
      <vt:lpstr>urenjaartotaalhf1</vt:lpstr>
      <vt:lpstr>urenjaartotaalhf2</vt:lpstr>
      <vt:lpstr>urenjaartotaaloverzicht</vt:lpstr>
      <vt:lpstr>urenjaartotaaloverzichthf</vt:lpstr>
      <vt:lpstr>uurfactortabel1</vt:lpstr>
      <vt:lpstr>uurfactortabel2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uurtarief6</vt:lpstr>
      <vt:lpstr>uurtarief7</vt:lpstr>
      <vt:lpstr>uurtarief8</vt:lpstr>
      <vt:lpstr>uurtarief9</vt:lpstr>
      <vt:lpstr>vp_glas</vt:lpstr>
      <vt:lpstr>vp_regie</vt:lpstr>
      <vt:lpstr>vp_regulier</vt:lpstr>
      <vt:lpstr>vp_variant</vt:lpstr>
      <vt:lpstr>vu_regulier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Boomsma</dc:creator>
  <cp:lastModifiedBy>Eric Boomsma</cp:lastModifiedBy>
  <dcterms:created xsi:type="dcterms:W3CDTF">2024-03-28T10:26:45Z</dcterms:created>
  <dcterms:modified xsi:type="dcterms:W3CDTF">2024-03-28T10:43:11Z</dcterms:modified>
</cp:coreProperties>
</file>