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T:\Aanbestedingen\Hans\2024-4100 Vijverwijk\3 aanbestedingsstukken\"/>
    </mc:Choice>
  </mc:AlternateContent>
  <xr:revisionPtr revIDLastSave="0" documentId="13_ncr:1_{E1438062-E219-4B01-8DBD-61A61B98F74C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EMVI-beoordelingsmatrix" sheetId="1" r:id="rId1"/>
    <sheet name="Voertuigen en materieel" sheetId="3" r:id="rId2"/>
    <sheet name="Invulwaard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O21" i="1"/>
  <c r="AE116" i="1"/>
  <c r="AE111" i="1"/>
  <c r="AE106" i="1"/>
  <c r="AA92" i="1"/>
  <c r="AB92" i="1" s="1"/>
  <c r="AC92" i="1" s="1"/>
  <c r="AD92" i="1" s="1"/>
  <c r="H5" i="2"/>
  <c r="H4" i="2"/>
  <c r="J4" i="2"/>
  <c r="H6" i="2"/>
  <c r="J6" i="2"/>
  <c r="J5" i="2"/>
  <c r="AF70" i="1"/>
  <c r="AG70" i="1" s="1"/>
  <c r="AH70" i="1" s="1"/>
  <c r="J68" i="1"/>
  <c r="AE68" i="1" s="1"/>
  <c r="O75" i="1"/>
  <c r="O72" i="1"/>
  <c r="R72" i="1" s="1"/>
  <c r="AE92" i="1" l="1"/>
  <c r="R75" i="1"/>
  <c r="AJ68" i="1"/>
  <c r="AF68" i="1"/>
  <c r="AG68" i="1" s="1"/>
  <c r="AH68" i="1" s="1"/>
  <c r="AI68" i="1" s="1"/>
  <c r="AI70" i="1"/>
  <c r="AJ70" i="1" s="1"/>
  <c r="AK70" i="1" s="1"/>
  <c r="AL70" i="1" s="1"/>
  <c r="AM70" i="1" s="1"/>
  <c r="AN70" i="1" s="1"/>
  <c r="AO70" i="1" s="1"/>
  <c r="AP70" i="1" s="1"/>
  <c r="AQ70" i="1" s="1"/>
  <c r="AR70" i="1" s="1"/>
  <c r="AS70" i="1" s="1"/>
  <c r="AT70" i="1" s="1"/>
  <c r="AU70" i="1" s="1"/>
  <c r="AV70" i="1" s="1"/>
  <c r="AW70" i="1" s="1"/>
  <c r="AX70" i="1" s="1"/>
  <c r="U75" i="1"/>
  <c r="V75" i="1" s="1"/>
  <c r="U72" i="1"/>
  <c r="V72" i="1" s="1"/>
  <c r="W75" i="1" l="1"/>
  <c r="W72" i="1"/>
  <c r="AF92" i="1"/>
  <c r="X75" i="1"/>
  <c r="X72" i="1"/>
  <c r="AG92" i="1" l="1"/>
  <c r="AH92" i="1" l="1"/>
  <c r="AI92" i="1" l="1"/>
  <c r="AN68" i="1" l="1"/>
  <c r="AM68" i="1"/>
  <c r="AL68" i="1"/>
  <c r="AQ68" i="1" s="1"/>
  <c r="AK68" i="1"/>
  <c r="AP68" i="1" s="1"/>
  <c r="O68" i="1"/>
  <c r="O116" i="1"/>
  <c r="O111" i="1"/>
  <c r="O106" i="1"/>
  <c r="AF106" i="1" s="1"/>
  <c r="O100" i="1"/>
  <c r="O96" i="1"/>
  <c r="O93" i="1"/>
  <c r="U116" i="1" l="1"/>
  <c r="AF116" i="1"/>
  <c r="AJ116" i="1" s="1"/>
  <c r="R116" i="1" s="1"/>
  <c r="W116" i="1" s="1"/>
  <c r="AF111" i="1"/>
  <c r="AJ111" i="1" s="1"/>
  <c r="R111" i="1" s="1"/>
  <c r="U106" i="1"/>
  <c r="AB96" i="1"/>
  <c r="AF96" i="1"/>
  <c r="AE96" i="1"/>
  <c r="AC96" i="1"/>
  <c r="AG96" i="1"/>
  <c r="AA96" i="1"/>
  <c r="AI96" i="1"/>
  <c r="AD96" i="1"/>
  <c r="AI100" i="1"/>
  <c r="AD100" i="1"/>
  <c r="AH100" i="1"/>
  <c r="AA100" i="1"/>
  <c r="AE100" i="1"/>
  <c r="AF100" i="1"/>
  <c r="AB100" i="1"/>
  <c r="AC100" i="1"/>
  <c r="AG100" i="1"/>
  <c r="AC93" i="1"/>
  <c r="AA93" i="1"/>
  <c r="AB93" i="1"/>
  <c r="AE93" i="1"/>
  <c r="AF93" i="1"/>
  <c r="AG93" i="1"/>
  <c r="AH93" i="1"/>
  <c r="AI93" i="1"/>
  <c r="AH96" i="1"/>
  <c r="AD93" i="1"/>
  <c r="AG69" i="1"/>
  <c r="AK69" i="1"/>
  <c r="AF69" i="1"/>
  <c r="AN69" i="1"/>
  <c r="AH69" i="1"/>
  <c r="AL69" i="1"/>
  <c r="AP69" i="1"/>
  <c r="AI69" i="1"/>
  <c r="AM69" i="1"/>
  <c r="AQ69" i="1"/>
  <c r="AE69" i="1"/>
  <c r="AJ69" i="1"/>
  <c r="U68" i="1"/>
  <c r="AR68" i="1"/>
  <c r="AR69" i="1" s="1"/>
  <c r="AV68" i="1"/>
  <c r="AV69" i="1" s="1"/>
  <c r="AU68" i="1"/>
  <c r="AU69" i="1" s="1"/>
  <c r="AO68" i="1"/>
  <c r="AO69" i="1" s="1"/>
  <c r="AS68" i="1"/>
  <c r="AS69" i="1" s="1"/>
  <c r="U111" i="1"/>
  <c r="X116" i="1"/>
  <c r="U93" i="1"/>
  <c r="X93" i="1" s="1"/>
  <c r="U96" i="1"/>
  <c r="X96" i="1" s="1"/>
  <c r="U100" i="1"/>
  <c r="X100" i="1" s="1"/>
  <c r="X106" i="1" l="1"/>
  <c r="X111" i="1"/>
  <c r="W111" i="1"/>
  <c r="V116" i="1"/>
  <c r="V111" i="1"/>
  <c r="AM96" i="1"/>
  <c r="R96" i="1" s="1"/>
  <c r="W96" i="1" s="1"/>
  <c r="AM93" i="1"/>
  <c r="R93" i="1" s="1"/>
  <c r="W93" i="1" s="1"/>
  <c r="AW68" i="1"/>
  <c r="AW69" i="1" s="1"/>
  <c r="AX68" i="1"/>
  <c r="AX69" i="1" s="1"/>
  <c r="AT68" i="1"/>
  <c r="AT69" i="1" s="1"/>
  <c r="AZ69" i="1" l="1"/>
  <c r="R68" i="1" s="1"/>
  <c r="W68" i="1" s="1"/>
  <c r="O131" i="1"/>
  <c r="AF23" i="1"/>
  <c r="O35" i="1"/>
  <c r="M9" i="2"/>
  <c r="M10" i="2" s="1"/>
  <c r="M11" i="2" s="1"/>
  <c r="M12" i="2" s="1"/>
  <c r="M13" i="2" s="1"/>
  <c r="M14" i="2" s="1"/>
  <c r="M15" i="2" s="1"/>
  <c r="M16" i="2" s="1"/>
  <c r="AA83" i="1"/>
  <c r="AB83" i="1" s="1"/>
  <c r="AC83" i="1" s="1"/>
  <c r="AD83" i="1" s="1"/>
  <c r="AE83" i="1" s="1"/>
  <c r="AF83" i="1" s="1"/>
  <c r="AG83" i="1" s="1"/>
  <c r="AH83" i="1" s="1"/>
  <c r="AI83" i="1" s="1"/>
  <c r="AA80" i="1"/>
  <c r="AB80" i="1" s="1"/>
  <c r="AC80" i="1" s="1"/>
  <c r="AD80" i="1" s="1"/>
  <c r="AE80" i="1" s="1"/>
  <c r="AF80" i="1" s="1"/>
  <c r="AG80" i="1" s="1"/>
  <c r="AH80" i="1" s="1"/>
  <c r="AI80" i="1" s="1"/>
  <c r="O87" i="1"/>
  <c r="AB87" i="1" s="1"/>
  <c r="O84" i="1"/>
  <c r="U84" i="1" s="1"/>
  <c r="O81" i="1"/>
  <c r="V68" i="1" l="1"/>
  <c r="X68" i="1"/>
  <c r="AH35" i="1"/>
  <c r="AM35" i="1"/>
  <c r="AF35" i="1"/>
  <c r="AK35" i="1"/>
  <c r="AS35" i="1"/>
  <c r="AQ35" i="1"/>
  <c r="AI35" i="1"/>
  <c r="AJ35" i="1"/>
  <c r="AN35" i="1"/>
  <c r="AR35" i="1"/>
  <c r="AG35" i="1"/>
  <c r="AL35" i="1"/>
  <c r="AP35" i="1"/>
  <c r="AT35" i="1"/>
  <c r="AT23" i="1"/>
  <c r="AP23" i="1"/>
  <c r="AQ23" i="1"/>
  <c r="AM23" i="1"/>
  <c r="AI23" i="1"/>
  <c r="AH23" i="1"/>
  <c r="AG23" i="1"/>
  <c r="AL23" i="1"/>
  <c r="AS23" i="1"/>
  <c r="AK23" i="1"/>
  <c r="AR23" i="1"/>
  <c r="AN23" i="1"/>
  <c r="AD81" i="1"/>
  <c r="AG81" i="1"/>
  <c r="AA81" i="1"/>
  <c r="AF81" i="1"/>
  <c r="AB81" i="1"/>
  <c r="AI84" i="1"/>
  <c r="AE84" i="1"/>
  <c r="AI81" i="1"/>
  <c r="AE81" i="1"/>
  <c r="AH84" i="1"/>
  <c r="AD84" i="1"/>
  <c r="AC81" i="1"/>
  <c r="AA84" i="1"/>
  <c r="AF84" i="1"/>
  <c r="AB84" i="1"/>
  <c r="AH81" i="1"/>
  <c r="AG84" i="1"/>
  <c r="AC84" i="1"/>
  <c r="AD87" i="1"/>
  <c r="AA87" i="1"/>
  <c r="AE87" i="1"/>
  <c r="AC87" i="1"/>
  <c r="AF87" i="1"/>
  <c r="X84" i="1"/>
  <c r="U81" i="1"/>
  <c r="U87" i="1"/>
  <c r="AM87" i="1" l="1"/>
  <c r="R87" i="1" s="1"/>
  <c r="AM81" i="1"/>
  <c r="R81" i="1" s="1"/>
  <c r="AM84" i="1"/>
  <c r="X87" i="1"/>
  <c r="X81" i="1"/>
  <c r="V87" i="1" l="1"/>
  <c r="W87" i="1"/>
  <c r="V81" i="1"/>
  <c r="W81" i="1"/>
  <c r="R84" i="1"/>
  <c r="P58" i="1"/>
  <c r="AA58" i="1" s="1"/>
  <c r="O33" i="1"/>
  <c r="U33" i="1" s="1"/>
  <c r="AK16" i="3"/>
  <c r="AK19" i="3" s="1"/>
  <c r="AJ16" i="3"/>
  <c r="AJ19" i="3" s="1"/>
  <c r="AI16" i="3"/>
  <c r="AI19" i="3" s="1"/>
  <c r="AH16" i="3"/>
  <c r="AH19" i="3" s="1"/>
  <c r="AG16" i="3"/>
  <c r="AM16" i="3" s="1"/>
  <c r="AK15" i="3"/>
  <c r="AK18" i="3" s="1"/>
  <c r="AJ15" i="3"/>
  <c r="AJ18" i="3" s="1"/>
  <c r="AI15" i="3"/>
  <c r="AI18" i="3" s="1"/>
  <c r="AH15" i="3"/>
  <c r="AH18" i="3" s="1"/>
  <c r="AG15" i="3"/>
  <c r="AK14" i="3"/>
  <c r="AJ14" i="3"/>
  <c r="AI14" i="3"/>
  <c r="AH14" i="3"/>
  <c r="AG14" i="3"/>
  <c r="AK13" i="3"/>
  <c r="AJ13" i="3"/>
  <c r="AI13" i="3"/>
  <c r="AH13" i="3"/>
  <c r="AG13" i="3"/>
  <c r="Q16" i="3"/>
  <c r="P16" i="3"/>
  <c r="O16" i="3"/>
  <c r="N16" i="3"/>
  <c r="M16" i="3"/>
  <c r="Q15" i="3"/>
  <c r="Q18" i="3" s="1"/>
  <c r="P15" i="3"/>
  <c r="P18" i="3" s="1"/>
  <c r="O15" i="3"/>
  <c r="O18" i="3" s="1"/>
  <c r="N15" i="3"/>
  <c r="N18" i="3" s="1"/>
  <c r="M15" i="3"/>
  <c r="Q14" i="3"/>
  <c r="P14" i="3"/>
  <c r="O14" i="3"/>
  <c r="N14" i="3"/>
  <c r="M14" i="3"/>
  <c r="Q13" i="3"/>
  <c r="P13" i="3"/>
  <c r="O13" i="3"/>
  <c r="N13" i="3"/>
  <c r="M13" i="3"/>
  <c r="Q19" i="3"/>
  <c r="P19" i="3"/>
  <c r="O19" i="3"/>
  <c r="N19" i="3"/>
  <c r="AA16" i="3"/>
  <c r="AA19" i="3" s="1"/>
  <c r="Z16" i="3"/>
  <c r="Z19" i="3" s="1"/>
  <c r="Y16" i="3"/>
  <c r="Y19" i="3" s="1"/>
  <c r="X16" i="3"/>
  <c r="X19" i="3" s="1"/>
  <c r="W16" i="3"/>
  <c r="AA15" i="3"/>
  <c r="AA18" i="3" s="1"/>
  <c r="Z15" i="3"/>
  <c r="Z18" i="3" s="1"/>
  <c r="Y15" i="3"/>
  <c r="X15" i="3"/>
  <c r="X18" i="3" s="1"/>
  <c r="W15" i="3"/>
  <c r="G15" i="3"/>
  <c r="G18" i="3" s="1"/>
  <c r="F15" i="3"/>
  <c r="F18" i="3" s="1"/>
  <c r="E15" i="3"/>
  <c r="E18" i="3" s="1"/>
  <c r="D15" i="3"/>
  <c r="D18" i="3" s="1"/>
  <c r="C15" i="3"/>
  <c r="G16" i="3"/>
  <c r="G19" i="3" s="1"/>
  <c r="F16" i="3"/>
  <c r="F19" i="3" s="1"/>
  <c r="E16" i="3"/>
  <c r="E19" i="3" s="1"/>
  <c r="D16" i="3"/>
  <c r="D19" i="3" s="1"/>
  <c r="C16" i="3"/>
  <c r="P44" i="1"/>
  <c r="R44" i="1" s="1"/>
  <c r="P28" i="1"/>
  <c r="R28" i="1" s="1"/>
  <c r="P16" i="1"/>
  <c r="O65" i="1"/>
  <c r="X65" i="1" s="1"/>
  <c r="O63" i="1"/>
  <c r="O60" i="1"/>
  <c r="O58" i="1"/>
  <c r="O51" i="1"/>
  <c r="X51" i="1" s="1"/>
  <c r="O49" i="1"/>
  <c r="O46" i="1"/>
  <c r="O44" i="1"/>
  <c r="O30" i="1"/>
  <c r="O28" i="1"/>
  <c r="U35" i="1" l="1"/>
  <c r="U28" i="1"/>
  <c r="V84" i="1"/>
  <c r="W84" i="1"/>
  <c r="AH9" i="3"/>
  <c r="AT65" i="1"/>
  <c r="AP65" i="1"/>
  <c r="AL65" i="1"/>
  <c r="AH65" i="1"/>
  <c r="AQ65" i="1"/>
  <c r="AS65" i="1"/>
  <c r="AK65" i="1"/>
  <c r="AG65" i="1"/>
  <c r="AI65" i="1"/>
  <c r="AR65" i="1"/>
  <c r="AN65" i="1"/>
  <c r="AJ65" i="1"/>
  <c r="AF65" i="1"/>
  <c r="AM65" i="1"/>
  <c r="U63" i="1"/>
  <c r="AQ63" i="1"/>
  <c r="AM63" i="1"/>
  <c r="AI63" i="1"/>
  <c r="AE63" i="1"/>
  <c r="AU63" i="1"/>
  <c r="AJ63" i="1"/>
  <c r="AT63" i="1"/>
  <c r="AP63" i="1"/>
  <c r="AL63" i="1"/>
  <c r="AH63" i="1"/>
  <c r="AR63" i="1"/>
  <c r="AF63" i="1"/>
  <c r="AS63" i="1"/>
  <c r="AO63" i="1"/>
  <c r="AK63" i="1"/>
  <c r="AG63" i="1"/>
  <c r="AN63" i="1"/>
  <c r="X9" i="3"/>
  <c r="AS51" i="1"/>
  <c r="AO51" i="1"/>
  <c r="AK51" i="1"/>
  <c r="AG51" i="1"/>
  <c r="AR51" i="1"/>
  <c r="AN51" i="1"/>
  <c r="AJ51" i="1"/>
  <c r="AF51" i="1"/>
  <c r="AQ51" i="1"/>
  <c r="AM51" i="1"/>
  <c r="AI51" i="1"/>
  <c r="AT51" i="1"/>
  <c r="AP51" i="1"/>
  <c r="AL51" i="1"/>
  <c r="AH51" i="1"/>
  <c r="X8" i="3"/>
  <c r="AS49" i="1"/>
  <c r="AO49" i="1"/>
  <c r="AK49" i="1"/>
  <c r="AG49" i="1"/>
  <c r="AU49" i="1"/>
  <c r="AR49" i="1"/>
  <c r="AN49" i="1"/>
  <c r="AJ49" i="1"/>
  <c r="AF49" i="1"/>
  <c r="AQ49" i="1"/>
  <c r="AM49" i="1"/>
  <c r="AI49" i="1"/>
  <c r="AE49" i="1"/>
  <c r="AT49" i="1"/>
  <c r="AP49" i="1"/>
  <c r="AL49" i="1"/>
  <c r="AH49" i="1"/>
  <c r="X35" i="1"/>
  <c r="AU33" i="1"/>
  <c r="AR33" i="1"/>
  <c r="AN33" i="1"/>
  <c r="AJ33" i="1"/>
  <c r="AF33" i="1"/>
  <c r="AP33" i="1"/>
  <c r="AH33" i="1"/>
  <c r="AQ33" i="1"/>
  <c r="AM33" i="1"/>
  <c r="AI33" i="1"/>
  <c r="AE33" i="1"/>
  <c r="AT33" i="1"/>
  <c r="AL33" i="1"/>
  <c r="AS33" i="1"/>
  <c r="AO33" i="1"/>
  <c r="AK33" i="1"/>
  <c r="AG33" i="1"/>
  <c r="AJ21" i="1"/>
  <c r="AN21" i="1"/>
  <c r="AR21" i="1"/>
  <c r="AU21" i="1"/>
  <c r="AH21" i="1"/>
  <c r="AK21" i="1"/>
  <c r="AO21" i="1"/>
  <c r="AS21" i="1"/>
  <c r="AE21" i="1"/>
  <c r="AI21" i="1"/>
  <c r="AL21" i="1"/>
  <c r="AP21" i="1"/>
  <c r="AT21" i="1"/>
  <c r="AF21" i="1"/>
  <c r="AM21" i="1"/>
  <c r="AQ21" i="1"/>
  <c r="AG21" i="1"/>
  <c r="R58" i="1"/>
  <c r="AA16" i="1"/>
  <c r="X44" i="1"/>
  <c r="AA44" i="1"/>
  <c r="AA28" i="1"/>
  <c r="AH8" i="3"/>
  <c r="E9" i="3"/>
  <c r="E8" i="3"/>
  <c r="AM13" i="3"/>
  <c r="AM14" i="3"/>
  <c r="W19" i="3"/>
  <c r="AG18" i="3"/>
  <c r="AM15" i="3"/>
  <c r="AG19" i="3"/>
  <c r="M18" i="3"/>
  <c r="AC15" i="3"/>
  <c r="S16" i="3"/>
  <c r="AC16" i="3"/>
  <c r="Y18" i="3"/>
  <c r="S13" i="3"/>
  <c r="S14" i="3"/>
  <c r="M19" i="3"/>
  <c r="O9" i="3"/>
  <c r="O8" i="3"/>
  <c r="S15" i="3"/>
  <c r="S19" i="3" s="1"/>
  <c r="C19" i="3"/>
  <c r="I15" i="3"/>
  <c r="U49" i="1"/>
  <c r="U44" i="1" s="1"/>
  <c r="V44" i="1" s="1"/>
  <c r="U21" i="1"/>
  <c r="U16" i="1" s="1"/>
  <c r="W44" i="1" l="1"/>
  <c r="U65" i="1"/>
  <c r="U58" i="1"/>
  <c r="W58" i="1" s="1"/>
  <c r="X33" i="1"/>
  <c r="AJ106" i="1"/>
  <c r="AW33" i="1"/>
  <c r="R33" i="1" s="1"/>
  <c r="W33" i="1" s="1"/>
  <c r="X63" i="1"/>
  <c r="AW63" i="1"/>
  <c r="AW49" i="1"/>
  <c r="AW21" i="1"/>
  <c r="R21" i="1" s="1"/>
  <c r="U51" i="1"/>
  <c r="V28" i="1"/>
  <c r="W28" i="1"/>
  <c r="X49" i="1"/>
  <c r="X58" i="1"/>
  <c r="V58" i="1"/>
  <c r="U23" i="1"/>
  <c r="AM18" i="3"/>
  <c r="AN18" i="3" s="1"/>
  <c r="AM19" i="3"/>
  <c r="AN19" i="3" s="1"/>
  <c r="AC19" i="3"/>
  <c r="AD19" i="3" s="1"/>
  <c r="T19" i="3"/>
  <c r="S18" i="3"/>
  <c r="T18" i="3" s="1"/>
  <c r="X28" i="1"/>
  <c r="X21" i="1"/>
  <c r="R106" i="1" l="1"/>
  <c r="W106" i="1" s="1"/>
  <c r="P23" i="1"/>
  <c r="AE23" i="1" s="1"/>
  <c r="AJ23" i="1"/>
  <c r="AU23" i="1"/>
  <c r="AO23" i="1"/>
  <c r="V33" i="1"/>
  <c r="W21" i="1"/>
  <c r="X23" i="1"/>
  <c r="V21" i="1"/>
  <c r="R63" i="1"/>
  <c r="W63" i="1" s="1"/>
  <c r="R49" i="1"/>
  <c r="W49" i="1" s="1"/>
  <c r="P35" i="1"/>
  <c r="AO35" i="1" s="1"/>
  <c r="V106" i="1" l="1"/>
  <c r="AE35" i="1"/>
  <c r="AU35" i="1"/>
  <c r="AW23" i="1"/>
  <c r="R23" i="1" s="1"/>
  <c r="V63" i="1"/>
  <c r="V49" i="1"/>
  <c r="P65" i="1"/>
  <c r="AO65" i="1" s="1"/>
  <c r="P51" i="1"/>
  <c r="AW35" i="1" l="1"/>
  <c r="R35" i="1" s="1"/>
  <c r="AE51" i="1"/>
  <c r="AU51" i="1"/>
  <c r="V96" i="1"/>
  <c r="AM100" i="1"/>
  <c r="V93" i="1"/>
  <c r="AE65" i="1"/>
  <c r="AU65" i="1"/>
  <c r="O130" i="1"/>
  <c r="V23" i="1"/>
  <c r="W23" i="1"/>
  <c r="D2" i="3"/>
  <c r="B2" i="3"/>
  <c r="AW51" i="1" l="1"/>
  <c r="R100" i="1"/>
  <c r="W100" i="1" s="1"/>
  <c r="AW65" i="1"/>
  <c r="R65" i="1" s="1"/>
  <c r="V35" i="1"/>
  <c r="W35" i="1"/>
  <c r="R51" i="1"/>
  <c r="O16" i="1"/>
  <c r="O18" i="1"/>
  <c r="V65" i="1" l="1"/>
  <c r="W65" i="1"/>
  <c r="V51" i="1"/>
  <c r="W51" i="1"/>
  <c r="V100" i="1"/>
  <c r="R16" i="1"/>
  <c r="R132" i="1" s="1"/>
  <c r="J8" i="2" l="1"/>
  <c r="J9" i="2" l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AA14" i="3"/>
  <c r="Z14" i="3"/>
  <c r="Y14" i="3"/>
  <c r="X14" i="3"/>
  <c r="W14" i="3"/>
  <c r="G14" i="3"/>
  <c r="F14" i="3"/>
  <c r="E14" i="3"/>
  <c r="D14" i="3"/>
  <c r="C14" i="3"/>
  <c r="C18" i="3" s="1"/>
  <c r="AA13" i="3"/>
  <c r="Z13" i="3"/>
  <c r="Y13" i="3"/>
  <c r="X13" i="3"/>
  <c r="W13" i="3"/>
  <c r="G13" i="3"/>
  <c r="F13" i="3"/>
  <c r="E13" i="3"/>
  <c r="D13" i="3"/>
  <c r="C13" i="3"/>
  <c r="AC14" i="3" l="1"/>
  <c r="AC13" i="3"/>
  <c r="W18" i="3"/>
  <c r="I14" i="3"/>
  <c r="I18" i="3" s="1"/>
  <c r="J18" i="3" s="1"/>
  <c r="I13" i="3"/>
  <c r="I16" i="3"/>
  <c r="I19" i="3" s="1"/>
  <c r="V16" i="1" l="1"/>
  <c r="V133" i="1" s="1"/>
  <c r="R134" i="1" s="1"/>
  <c r="W16" i="1"/>
  <c r="AC18" i="3"/>
  <c r="AD18" i="3" s="1"/>
  <c r="X16" i="1"/>
  <c r="J19" i="3"/>
  <c r="H8" i="2"/>
  <c r="H9" i="2" l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F4" i="2"/>
  <c r="F8" i="2" s="1"/>
  <c r="F9" i="2" l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R136" i="1" l="1"/>
  <c r="Q139" i="1" l="1"/>
</calcChain>
</file>

<file path=xl/sharedStrings.xml><?xml version="1.0" encoding="utf-8"?>
<sst xmlns="http://schemas.openxmlformats.org/spreadsheetml/2006/main" count="305" uniqueCount="153">
  <si>
    <t>:</t>
  </si>
  <si>
    <t>Wensen</t>
  </si>
  <si>
    <t>Categorie</t>
  </si>
  <si>
    <t>Ja/nee</t>
  </si>
  <si>
    <t>Ja</t>
  </si>
  <si>
    <t>nee</t>
  </si>
  <si>
    <t>punten</t>
  </si>
  <si>
    <t>f5</t>
  </si>
  <si>
    <t>tot</t>
  </si>
  <si>
    <t>Uw score op  het onderdeel kwaliteit</t>
  </si>
  <si>
    <t>maximaal te behalen score</t>
  </si>
  <si>
    <t>bonus
punten</t>
  </si>
  <si>
    <t>boetefactor</t>
  </si>
  <si>
    <t>boetefactor 1 tot 3 keer 
stappen van 0,2</t>
  </si>
  <si>
    <t>werkelijke op te leggen boete indien van toepassing</t>
  </si>
  <si>
    <t>Maximaal toe te kennen punten</t>
  </si>
  <si>
    <t>Minimale boete bij niet nakoming toezegging</t>
  </si>
  <si>
    <t>Door inschrijver behaalde punten</t>
  </si>
  <si>
    <t>behaalde score</t>
  </si>
  <si>
    <t>Opties</t>
  </si>
  <si>
    <t>Omschrijving</t>
  </si>
  <si>
    <t>procent</t>
  </si>
  <si>
    <t>stap</t>
  </si>
  <si>
    <t>min :</t>
  </si>
  <si>
    <t>max :</t>
  </si>
  <si>
    <t>stap :</t>
  </si>
  <si>
    <t>Voor voertuigen die worden gebruikt voor transport naar, van en op het werk geldt:.</t>
  </si>
  <si>
    <t>minimaal te behalen score</t>
  </si>
  <si>
    <t>Welk materieel gebruikt u tijdens de uitvoering  van het werk</t>
  </si>
  <si>
    <t>%</t>
  </si>
  <si>
    <t>verdichting</t>
  </si>
  <si>
    <t>Minimaal toe te kennen punten</t>
  </si>
  <si>
    <t>behaalde punten</t>
  </si>
  <si>
    <t>max korting</t>
  </si>
  <si>
    <t>behaalde korting</t>
  </si>
  <si>
    <t>gemiddelde boetefactor</t>
  </si>
  <si>
    <t>Basis voor berekening</t>
  </si>
  <si>
    <t>aannemer</t>
  </si>
  <si>
    <t xml:space="preserve">: </t>
  </si>
  <si>
    <t xml:space="preserve">week </t>
  </si>
  <si>
    <t>maandag</t>
  </si>
  <si>
    <t>t/m vrijdag</t>
  </si>
  <si>
    <t>dinsdag</t>
  </si>
  <si>
    <t>woensdag</t>
  </si>
  <si>
    <t>donderdag</t>
  </si>
  <si>
    <t>vrijdag</t>
  </si>
  <si>
    <t>totaal</t>
  </si>
  <si>
    <t>euro 5</t>
  </si>
  <si>
    <t>euro 6</t>
  </si>
  <si>
    <t>overzicht van voertuigen per klasse per dag</t>
  </si>
  <si>
    <t>overzicht van materieel per bouwjaar per dag</t>
  </si>
  <si>
    <t>voeg hier rij in&gt;</t>
  </si>
  <si>
    <t>kentekens euro 5</t>
  </si>
  <si>
    <t>Indien u rijen toe wilt voegen, gelieve dat op deze rij te doen.</t>
  </si>
  <si>
    <t>Toetsingsstaat ingezet(te) voertuigen en materieel</t>
  </si>
  <si>
    <t>Vul in deze rijen per dag de kentekens in van voertuigen (met Euro 4 of lager) die, of kenmerken van het materieel (van het bouwjaar 2008 of ouder) dat, op deze dag op het werk aanwezig zijn/is.</t>
  </si>
  <si>
    <t>Vul in deze rijen per dag de kentekens in van voertuigen (met Euro 4 of lager) die, of kenmerken van het materieel (van het bouwjaar 2009-2014) dat, op deze dag op het werk aanwezig zijn/is.</t>
  </si>
  <si>
    <t>Vul in deze rijen per dag de kentekens in van voertuigen (met Euro 4 of lager) die, of kenmerken van het materieel (van het bouwjaar 2015 of nieuwer) dat, op deze dag op het werk aanwezig zijn/is.</t>
  </si>
  <si>
    <t>inschrijver</t>
  </si>
  <si>
    <t>naam</t>
  </si>
  <si>
    <t>functie</t>
  </si>
  <si>
    <t>Handtekening</t>
  </si>
  <si>
    <t>meng</t>
  </si>
  <si>
    <t>zand</t>
  </si>
  <si>
    <t>Bijlage 8a</t>
  </si>
  <si>
    <t>Bestek 20##-4###</t>
  </si>
  <si>
    <t>#######</t>
  </si>
  <si>
    <t xml:space="preserve">Wij zetten o.a. voertuigen in van de klasse Euro 6 </t>
  </si>
  <si>
    <t>Euro 6 is de minimum gewenst en wordt derhalve niet gewaardeerd of bestraft</t>
  </si>
  <si>
    <t>Daarvan is ## % full elektrisch</t>
  </si>
  <si>
    <t>hoe meer full elektisch, des te meer punten</t>
  </si>
  <si>
    <t>pnt</t>
  </si>
  <si>
    <t>Klasse 1</t>
  </si>
  <si>
    <t>ouder dan 2012</t>
  </si>
  <si>
    <t>klasse 2</t>
  </si>
  <si>
    <t>van 2013 tot nu</t>
  </si>
  <si>
    <t>klasse 3</t>
  </si>
  <si>
    <t>Full elektrisch of hybride</t>
  </si>
  <si>
    <t>Materieel  &gt; 250 kg en inclusief voertuigen met een 'T-kenteken'</t>
  </si>
  <si>
    <t>Wij zetten o.a. voertuigen in van de klasse Euro 5 of lager</t>
  </si>
  <si>
    <t>Wij zetten o.a. materieel in van de klasse 1</t>
  </si>
  <si>
    <t>Wij zetten o.a. materieel in van de klasse 2</t>
  </si>
  <si>
    <t>Handgereedschap en materieel &lt;=250 kg zonder kenteken</t>
  </si>
  <si>
    <t>Materieel daarbij geldt:</t>
  </si>
  <si>
    <t>Voertuigen, zijnde zonder 'T-kenteken' =&lt; 3500 kg</t>
  </si>
  <si>
    <t>Voertuigen, zijnde zonder 'T-kenteken' &gt; 3500 kg</t>
  </si>
  <si>
    <t>kentekens euro 6</t>
  </si>
  <si>
    <t>Kentekens hybride</t>
  </si>
  <si>
    <t>bouwjaar &lt;=2012</t>
  </si>
  <si>
    <t>bouwjaar = 2013-nu</t>
  </si>
  <si>
    <t>materieel hybride</t>
  </si>
  <si>
    <t>materieel full Elektrisch</t>
  </si>
  <si>
    <t>toegezegd % hybride of elektrisch :</t>
  </si>
  <si>
    <t>Elektrisch</t>
  </si>
  <si>
    <t>hybride +E</t>
  </si>
  <si>
    <t>% hybride+ E</t>
  </si>
  <si>
    <t>euro 5 of lager</t>
  </si>
  <si>
    <t>Kentekens Full Elektrisch</t>
  </si>
  <si>
    <t>voertuigen tot en met 3500 kg</t>
  </si>
  <si>
    <t>voertuigen vanaf 3500 kg</t>
  </si>
  <si>
    <t>Toegezegd full elektrisch :</t>
  </si>
  <si>
    <t xml:space="preserve"> </t>
  </si>
  <si>
    <t>klasse 1</t>
  </si>
  <si>
    <t>Full E</t>
  </si>
  <si>
    <t>Materieel &gt;250 Kg en T-kenteken</t>
  </si>
  <si>
    <t>Full Elektrisch</t>
  </si>
  <si>
    <t>vtgn/mat</t>
  </si>
  <si>
    <t>% full E</t>
  </si>
  <si>
    <t>toegezegd % klasse 3 :</t>
  </si>
  <si>
    <t>Materieel zonder kenteken en &lt;=250 kg</t>
  </si>
  <si>
    <t>EMVI-bonus</t>
  </si>
  <si>
    <t>Bonus punten</t>
  </si>
  <si>
    <t xml:space="preserve">Alle scores worden op het scherm op 0,1 punt afgerond. </t>
  </si>
  <si>
    <t xml:space="preserve">Excel rekent echter met onafgeronde cijfers. </t>
  </si>
  <si>
    <t>Bepalend voor de bonus is de in blauw aangegeven score zonder afronding</t>
  </si>
  <si>
    <t>Zie</t>
  </si>
  <si>
    <t>zie</t>
  </si>
  <si>
    <t>Asfalt</t>
  </si>
  <si>
    <t>Wanneer u de deklaag met een grotere vlakheid kunt aanbrengen dan is geëist in het bestek, wat zegt u dan te kunnen garanderen?</t>
  </si>
  <si>
    <t>Afwijking van het dwarsprofiel</t>
  </si>
  <si>
    <t xml:space="preserve">tot </t>
  </si>
  <si>
    <t>Afwijking van het lengteprofiel</t>
  </si>
  <si>
    <t>Maximale afwijking ter hoogte van een dwarslas</t>
  </si>
  <si>
    <t>mm</t>
  </si>
  <si>
    <t>Behaalde EMVI-bonus op regel</t>
  </si>
  <si>
    <t>80-100</t>
  </si>
  <si>
    <t>0-5</t>
  </si>
  <si>
    <t>Wij zetten o.a.full elektrische of hybride voertuigen in stappen van 5% tot 75% daarna 100%</t>
  </si>
  <si>
    <t>Wij zetten o.a.full elektrische of hybride voertuigen  in stappen van 5% tot 75% daarna 100%</t>
  </si>
  <si>
    <t>Wij zetten o.a.materieel in van de klasse 3  in stappen van 5% tot 75% daarna 100%</t>
  </si>
  <si>
    <t>Oplevering</t>
  </si>
  <si>
    <t>vlakheid straatwerk</t>
  </si>
  <si>
    <t>Wanneer u de bestrating met een grotere vlakheid kunt leggen dan is geëist in het bestek, wat zegt u dan te kunnen garanderen?</t>
  </si>
  <si>
    <t>Afwijking van de elementen onderling</t>
  </si>
  <si>
    <t>riolering</t>
  </si>
  <si>
    <t>Afwijking XYZ</t>
  </si>
  <si>
    <t>afwijking</t>
  </si>
  <si>
    <t>Wanneer u de riolering met een grotere nauwkeurigheid kunt leggen dan is geëist in het bestek, wat zegt u dan te kunnen garanderen?</t>
  </si>
  <si>
    <t>De inschrijver legt de buizen met een nauwkeurigheid in het afschot van :</t>
  </si>
  <si>
    <t>keuze</t>
  </si>
  <si>
    <t>30-15</t>
  </si>
  <si>
    <t>15-0</t>
  </si>
  <si>
    <t>De inschrijver legt de buizen met een nauwkeurigheid in de richting van :</t>
  </si>
  <si>
    <t>20-10</t>
  </si>
  <si>
    <t>10-0</t>
  </si>
  <si>
    <t>De inschrijver stelt de putten met een nauwkeurigheid in de richting van :</t>
  </si>
  <si>
    <t>Doorlooptijd</t>
  </si>
  <si>
    <t>werkdag</t>
  </si>
  <si>
    <t>Uitvoering</t>
  </si>
  <si>
    <t>Wanneer u aan hogere verdichtingseisen kunt voldoen dan is geëist in het bestek, wat zegt u dan toe te gaan realiseren?</t>
  </si>
  <si>
    <t>Inschrijver realiseert voor menggranulaat een verdichting van :</t>
  </si>
  <si>
    <t>Inschrijver realiseert voor zand voor zandbed een verdichting van :</t>
  </si>
  <si>
    <t>Hoeveel eerder dan 12 december 2025 kunt u de werkzaamheden opleveren?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</si>
</sst>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  <numFmt numFmtId="165" formatCode="_ * #,##0.000_ ;_ * \-#,##0.000_ ;_ * &quot;-&quot;??_ ;_ @_ "/>
    <numFmt numFmtId="166" formatCode="0.0%"/>
    <numFmt numFmtId="167" formatCode="_ [$€-2]\ * #,##0.00_ ;_ [$€-2]\ * \-#,##0.00_ ;_ [$€-2]\ * &quot;-&quot;??_ ;_ @_ "/>
    <numFmt numFmtId="168" formatCode="[$-413]d/mmm;@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5">
    <xf numFmtId="0" fontId="0" fillId="0" borderId="0" xfId="0"/>
    <xf numFmtId="164" fontId="0" fillId="0" borderId="0" xfId="0" applyNumberFormat="1"/>
    <xf numFmtId="0" fontId="2" fillId="3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vertical="top"/>
    </xf>
    <xf numFmtId="0" fontId="2" fillId="0" borderId="4" xfId="0" applyFont="1" applyBorder="1" applyProtection="1"/>
    <xf numFmtId="0" fontId="2" fillId="0" borderId="0" xfId="0" applyFont="1" applyBorder="1" applyProtection="1"/>
    <xf numFmtId="0" fontId="2" fillId="0" borderId="0" xfId="0" quotePrefix="1" applyFont="1" applyFill="1" applyBorder="1" applyAlignment="1" applyProtection="1">
      <alignment horizontal="left" indent="1"/>
    </xf>
    <xf numFmtId="0" fontId="2" fillId="0" borderId="0" xfId="0" applyFont="1" applyBorder="1" applyAlignment="1" applyProtection="1">
      <alignment horizontal="left" indent="1"/>
    </xf>
    <xf numFmtId="0" fontId="2" fillId="0" borderId="14" xfId="0" applyFont="1" applyFill="1" applyBorder="1" applyAlignment="1" applyProtection="1">
      <alignment vertical="top"/>
    </xf>
    <xf numFmtId="0" fontId="3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vertical="top"/>
    </xf>
    <xf numFmtId="164" fontId="2" fillId="0" borderId="18" xfId="0" applyNumberFormat="1" applyFont="1" applyBorder="1" applyAlignment="1" applyProtection="1">
      <alignment vertical="top"/>
    </xf>
    <xf numFmtId="44" fontId="3" fillId="0" borderId="0" xfId="1" applyFont="1" applyFill="1" applyBorder="1" applyAlignment="1" applyProtection="1">
      <alignment vertical="top"/>
    </xf>
    <xf numFmtId="0" fontId="2" fillId="0" borderId="14" xfId="0" applyFont="1" applyBorder="1" applyAlignment="1" applyProtection="1">
      <alignment vertical="top"/>
    </xf>
    <xf numFmtId="44" fontId="2" fillId="0" borderId="5" xfId="0" applyNumberFormat="1" applyFont="1" applyBorder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2" fillId="4" borderId="0" xfId="0" applyFont="1" applyFill="1" applyAlignment="1" applyProtection="1">
      <alignment vertical="top"/>
    </xf>
    <xf numFmtId="9" fontId="3" fillId="4" borderId="0" xfId="0" applyNumberFormat="1" applyFont="1" applyFill="1" applyAlignment="1" applyProtection="1">
      <alignment vertical="top"/>
    </xf>
    <xf numFmtId="0" fontId="2" fillId="0" borderId="0" xfId="0" applyFont="1" applyProtection="1"/>
    <xf numFmtId="1" fontId="2" fillId="0" borderId="0" xfId="0" applyNumberFormat="1" applyFont="1" applyProtection="1"/>
    <xf numFmtId="0" fontId="2" fillId="0" borderId="5" xfId="0" applyFont="1" applyBorder="1" applyAlignment="1" applyProtection="1">
      <alignment vertical="top"/>
    </xf>
    <xf numFmtId="0" fontId="2" fillId="0" borderId="0" xfId="0" applyFont="1" applyFill="1" applyAlignment="1" applyProtection="1">
      <alignment vertical="top"/>
    </xf>
    <xf numFmtId="0" fontId="3" fillId="0" borderId="0" xfId="0" applyFont="1" applyBorder="1" applyProtection="1"/>
    <xf numFmtId="164" fontId="2" fillId="0" borderId="0" xfId="0" applyNumberFormat="1" applyFont="1" applyBorder="1" applyAlignment="1" applyProtection="1">
      <alignment vertical="top"/>
    </xf>
    <xf numFmtId="0" fontId="0" fillId="0" borderId="0" xfId="0" applyNumberFormat="1"/>
    <xf numFmtId="0" fontId="2" fillId="0" borderId="0" xfId="0" quotePrefix="1" applyFont="1" applyFill="1" applyBorder="1" applyAlignment="1" applyProtection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9" fontId="0" fillId="0" borderId="0" xfId="3" applyFont="1"/>
    <xf numFmtId="0" fontId="0" fillId="0" borderId="9" xfId="0" applyBorder="1"/>
    <xf numFmtId="0" fontId="0" fillId="0" borderId="12" xfId="0" applyBorder="1"/>
    <xf numFmtId="0" fontId="0" fillId="0" borderId="23" xfId="0" applyBorder="1"/>
    <xf numFmtId="0" fontId="0" fillId="0" borderId="24" xfId="0" applyBorder="1"/>
    <xf numFmtId="0" fontId="0" fillId="5" borderId="25" xfId="0" applyFill="1" applyBorder="1"/>
    <xf numFmtId="0" fontId="0" fillId="5" borderId="13" xfId="0" applyFill="1" applyBorder="1"/>
    <xf numFmtId="0" fontId="0" fillId="6" borderId="26" xfId="0" applyFill="1" applyBorder="1"/>
    <xf numFmtId="0" fontId="0" fillId="6" borderId="4" xfId="0" applyFill="1" applyBorder="1"/>
    <xf numFmtId="0" fontId="0" fillId="6" borderId="14" xfId="0" applyFill="1" applyBorder="1"/>
    <xf numFmtId="0" fontId="0" fillId="7" borderId="27" xfId="0" applyFill="1" applyBorder="1"/>
    <xf numFmtId="0" fontId="0" fillId="7" borderId="4" xfId="0" applyFill="1" applyBorder="1"/>
    <xf numFmtId="0" fontId="0" fillId="7" borderId="14" xfId="0" applyFill="1" applyBorder="1"/>
    <xf numFmtId="0" fontId="0" fillId="0" borderId="26" xfId="0" applyBorder="1"/>
    <xf numFmtId="0" fontId="0" fillId="0" borderId="1" xfId="0" applyBorder="1"/>
    <xf numFmtId="0" fontId="0" fillId="0" borderId="13" xfId="0" applyBorder="1"/>
    <xf numFmtId="0" fontId="0" fillId="0" borderId="28" xfId="0" applyBorder="1"/>
    <xf numFmtId="0" fontId="0" fillId="0" borderId="25" xfId="0" applyBorder="1"/>
    <xf numFmtId="0" fontId="0" fillId="0" borderId="27" xfId="0" applyBorder="1"/>
    <xf numFmtId="166" fontId="0" fillId="0" borderId="6" xfId="3" applyNumberFormat="1" applyFont="1" applyBorder="1"/>
    <xf numFmtId="166" fontId="0" fillId="0" borderId="15" xfId="3" applyNumberFormat="1" applyFont="1" applyBorder="1"/>
    <xf numFmtId="166" fontId="0" fillId="0" borderId="29" xfId="3" applyNumberFormat="1" applyFont="1" applyBorder="1"/>
    <xf numFmtId="166" fontId="0" fillId="0" borderId="27" xfId="3" applyNumberFormat="1" applyFont="1" applyBorder="1"/>
    <xf numFmtId="0" fontId="0" fillId="8" borderId="0" xfId="0" applyFill="1" applyProtection="1">
      <protection locked="0"/>
    </xf>
    <xf numFmtId="44" fontId="2" fillId="0" borderId="5" xfId="0" applyNumberFormat="1" applyFont="1" applyFill="1" applyBorder="1" applyAlignment="1" applyProtection="1">
      <alignment vertical="top"/>
    </xf>
    <xf numFmtId="0" fontId="3" fillId="0" borderId="0" xfId="0" applyNumberFormat="1" applyFont="1" applyBorder="1" applyAlignment="1" applyProtection="1">
      <alignment vertical="top"/>
    </xf>
    <xf numFmtId="0" fontId="2" fillId="0" borderId="0" xfId="0" applyNumberFormat="1" applyFont="1" applyBorder="1" applyAlignment="1" applyProtection="1">
      <alignment vertical="top"/>
    </xf>
    <xf numFmtId="44" fontId="3" fillId="0" borderId="31" xfId="1" applyFont="1" applyFill="1" applyBorder="1" applyAlignment="1" applyProtection="1">
      <alignment vertical="top"/>
    </xf>
    <xf numFmtId="0" fontId="2" fillId="0" borderId="31" xfId="0" applyFont="1" applyBorder="1" applyAlignment="1" applyProtection="1">
      <alignment vertical="top"/>
    </xf>
    <xf numFmtId="0" fontId="2" fillId="0" borderId="0" xfId="0" applyNumberFormat="1" applyFont="1" applyProtection="1"/>
    <xf numFmtId="0" fontId="0" fillId="0" borderId="0" xfId="0" applyProtection="1"/>
    <xf numFmtId="0" fontId="2" fillId="0" borderId="0" xfId="0" applyNumberFormat="1" applyFont="1" applyBorder="1" applyProtection="1"/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2" xfId="0" applyFont="1" applyBorder="1" applyAlignment="1" applyProtection="1">
      <alignment vertical="top"/>
    </xf>
    <xf numFmtId="0" fontId="2" fillId="0" borderId="3" xfId="0" applyFont="1" applyBorder="1" applyAlignment="1" applyProtection="1">
      <alignment vertical="top"/>
    </xf>
    <xf numFmtId="0" fontId="2" fillId="0" borderId="4" xfId="0" applyFont="1" applyBorder="1" applyAlignment="1" applyProtection="1">
      <alignment vertical="top"/>
    </xf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7" xfId="0" applyFont="1" applyBorder="1" applyAlignment="1" applyProtection="1">
      <alignment vertical="top"/>
    </xf>
    <xf numFmtId="0" fontId="2" fillId="0" borderId="6" xfId="0" applyFont="1" applyBorder="1" applyAlignment="1" applyProtection="1">
      <alignment vertical="top"/>
    </xf>
    <xf numFmtId="0" fontId="2" fillId="0" borderId="8" xfId="0" applyFont="1" applyBorder="1" applyAlignment="1" applyProtection="1">
      <alignment vertical="top"/>
    </xf>
    <xf numFmtId="0" fontId="2" fillId="0" borderId="0" xfId="0" applyNumberFormat="1" applyFont="1" applyAlignment="1" applyProtection="1">
      <alignment vertical="top"/>
    </xf>
    <xf numFmtId="0" fontId="2" fillId="0" borderId="9" xfId="0" applyFont="1" applyBorder="1" applyAlignment="1" applyProtection="1">
      <alignment horizontal="left" vertical="top"/>
    </xf>
    <xf numFmtId="0" fontId="2" fillId="0" borderId="10" xfId="0" applyFont="1" applyBorder="1" applyAlignment="1" applyProtection="1">
      <alignment horizontal="left" vertical="top"/>
    </xf>
    <xf numFmtId="0" fontId="2" fillId="0" borderId="12" xfId="0" applyFont="1" applyBorder="1" applyAlignment="1" applyProtection="1">
      <alignment horizontal="left" vertical="top"/>
    </xf>
    <xf numFmtId="0" fontId="2" fillId="0" borderId="11" xfId="0" applyNumberFormat="1" applyFont="1" applyBorder="1" applyAlignment="1" applyProtection="1">
      <alignment horizontal="left" vertical="top"/>
    </xf>
    <xf numFmtId="0" fontId="2" fillId="0" borderId="10" xfId="0" applyFont="1" applyFill="1" applyBorder="1" applyAlignment="1" applyProtection="1">
      <alignment horizontal="left" vertical="top" wrapText="1"/>
    </xf>
    <xf numFmtId="0" fontId="2" fillId="0" borderId="16" xfId="0" applyFont="1" applyFill="1" applyBorder="1" applyAlignment="1" applyProtection="1">
      <alignment horizontal="left" vertical="top" wrapText="1"/>
    </xf>
    <xf numFmtId="0" fontId="2" fillId="0" borderId="12" xfId="0" applyFont="1" applyFill="1" applyBorder="1" applyAlignment="1" applyProtection="1">
      <alignment horizontal="left" vertical="top" wrapText="1"/>
    </xf>
    <xf numFmtId="0" fontId="2" fillId="0" borderId="1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/>
    </xf>
    <xf numFmtId="0" fontId="2" fillId="0" borderId="2" xfId="0" applyFont="1" applyFill="1" applyBorder="1" applyAlignment="1" applyProtection="1">
      <alignment horizontal="left" vertical="top"/>
    </xf>
    <xf numFmtId="0" fontId="2" fillId="0" borderId="13" xfId="0" applyFont="1" applyFill="1" applyBorder="1" applyAlignment="1" applyProtection="1">
      <alignment vertical="top"/>
    </xf>
    <xf numFmtId="0" fontId="2" fillId="0" borderId="2" xfId="0" applyFont="1" applyFill="1" applyBorder="1" applyAlignment="1" applyProtection="1">
      <alignment vertical="top"/>
    </xf>
    <xf numFmtId="0" fontId="2" fillId="0" borderId="2" xfId="0" applyNumberFormat="1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0" fontId="2" fillId="0" borderId="2" xfId="0" applyFont="1" applyFill="1" applyBorder="1" applyProtection="1"/>
    <xf numFmtId="0" fontId="2" fillId="0" borderId="17" xfId="0" applyFont="1" applyFill="1" applyBorder="1" applyProtection="1"/>
    <xf numFmtId="0" fontId="2" fillId="0" borderId="13" xfId="0" applyFont="1" applyFill="1" applyBorder="1" applyProtection="1"/>
    <xf numFmtId="0" fontId="2" fillId="0" borderId="3" xfId="0" applyFont="1" applyFill="1" applyBorder="1" applyProtection="1"/>
    <xf numFmtId="0" fontId="2" fillId="0" borderId="0" xfId="0" applyFont="1" applyBorder="1" applyAlignment="1" applyProtection="1"/>
    <xf numFmtId="0" fontId="2" fillId="0" borderId="0" xfId="0" applyFont="1" applyFill="1" applyProtection="1"/>
    <xf numFmtId="1" fontId="2" fillId="0" borderId="4" xfId="0" applyNumberFormat="1" applyFont="1" applyBorder="1" applyAlignment="1" applyProtection="1">
      <alignment vertical="top"/>
    </xf>
    <xf numFmtId="0" fontId="2" fillId="0" borderId="0" xfId="0" quotePrefix="1" applyFont="1" applyBorder="1" applyAlignment="1" applyProtection="1"/>
    <xf numFmtId="2" fontId="3" fillId="0" borderId="0" xfId="0" applyNumberFormat="1" applyFont="1" applyBorder="1" applyAlignment="1" applyProtection="1">
      <alignment vertical="top"/>
    </xf>
    <xf numFmtId="165" fontId="2" fillId="0" borderId="0" xfId="2" applyNumberFormat="1" applyFont="1" applyFill="1" applyBorder="1" applyAlignment="1" applyProtection="1">
      <alignment vertical="top"/>
    </xf>
    <xf numFmtId="16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4" xfId="0" applyFont="1" applyFill="1" applyBorder="1" applyAlignment="1" applyProtection="1">
      <alignment vertical="top"/>
    </xf>
    <xf numFmtId="164" fontId="2" fillId="0" borderId="18" xfId="0" applyNumberFormat="1" applyFont="1" applyFill="1" applyBorder="1" applyAlignment="1" applyProtection="1">
      <alignment vertical="top"/>
    </xf>
    <xf numFmtId="0" fontId="2" fillId="0" borderId="0" xfId="0" quotePrefix="1" applyFont="1" applyBorder="1" applyAlignment="1" applyProtection="1">
      <alignment horizontal="left" indent="1"/>
    </xf>
    <xf numFmtId="164" fontId="2" fillId="0" borderId="31" xfId="0" applyNumberFormat="1" applyFont="1" applyBorder="1" applyAlignment="1" applyProtection="1">
      <alignment vertical="top"/>
    </xf>
    <xf numFmtId="0" fontId="0" fillId="0" borderId="0" xfId="0" applyFill="1" applyProtection="1"/>
    <xf numFmtId="164" fontId="2" fillId="0" borderId="7" xfId="0" applyNumberFormat="1" applyFont="1" applyBorder="1" applyAlignment="1" applyProtection="1">
      <alignment vertical="top"/>
    </xf>
    <xf numFmtId="0" fontId="2" fillId="0" borderId="30" xfId="0" applyFont="1" applyBorder="1" applyAlignment="1" applyProtection="1">
      <alignment vertical="top"/>
    </xf>
    <xf numFmtId="0" fontId="2" fillId="0" borderId="15" xfId="0" applyFont="1" applyBorder="1" applyAlignment="1" applyProtection="1">
      <alignment vertical="top"/>
    </xf>
    <xf numFmtId="0" fontId="2" fillId="0" borderId="13" xfId="0" applyFont="1" applyBorder="1" applyAlignment="1" applyProtection="1">
      <alignment vertical="top"/>
    </xf>
    <xf numFmtId="0" fontId="2" fillId="0" borderId="2" xfId="0" applyNumberFormat="1" applyFont="1" applyBorder="1" applyAlignment="1" applyProtection="1">
      <alignment vertical="top"/>
    </xf>
    <xf numFmtId="164" fontId="2" fillId="0" borderId="2" xfId="0" applyNumberFormat="1" applyFont="1" applyBorder="1" applyAlignment="1" applyProtection="1">
      <alignment vertical="top"/>
    </xf>
    <xf numFmtId="0" fontId="2" fillId="0" borderId="19" xfId="0" applyFont="1" applyBorder="1" applyProtection="1"/>
    <xf numFmtId="0" fontId="2" fillId="0" borderId="20" xfId="0" applyFont="1" applyBorder="1" applyProtection="1"/>
    <xf numFmtId="0" fontId="2" fillId="0" borderId="22" xfId="0" applyFont="1" applyBorder="1" applyAlignment="1" applyProtection="1">
      <alignment vertical="top"/>
    </xf>
    <xf numFmtId="0" fontId="2" fillId="0" borderId="20" xfId="0" applyFont="1" applyBorder="1" applyAlignment="1" applyProtection="1">
      <alignment vertical="top"/>
    </xf>
    <xf numFmtId="0" fontId="2" fillId="0" borderId="20" xfId="0" applyNumberFormat="1" applyFont="1" applyBorder="1" applyAlignment="1" applyProtection="1">
      <alignment vertical="top"/>
    </xf>
    <xf numFmtId="164" fontId="2" fillId="0" borderId="20" xfId="0" applyNumberFormat="1" applyFont="1" applyBorder="1" applyAlignment="1" applyProtection="1">
      <alignment vertical="top"/>
    </xf>
    <xf numFmtId="0" fontId="2" fillId="0" borderId="20" xfId="0" applyFont="1" applyBorder="1" applyAlignment="1" applyProtection="1">
      <alignment vertical="top" wrapText="1"/>
    </xf>
    <xf numFmtId="2" fontId="2" fillId="0" borderId="22" xfId="0" applyNumberFormat="1" applyFont="1" applyBorder="1" applyAlignment="1" applyProtection="1">
      <alignment vertical="top"/>
    </xf>
    <xf numFmtId="2" fontId="2" fillId="0" borderId="20" xfId="0" applyNumberFormat="1" applyFont="1" applyBorder="1" applyAlignment="1" applyProtection="1">
      <alignment vertical="top"/>
    </xf>
    <xf numFmtId="0" fontId="2" fillId="0" borderId="21" xfId="0" applyFont="1" applyBorder="1" applyAlignment="1" applyProtection="1">
      <alignment vertical="top" wrapText="1"/>
    </xf>
    <xf numFmtId="0" fontId="2" fillId="0" borderId="7" xfId="0" applyNumberFormat="1" applyFont="1" applyBorder="1" applyAlignment="1" applyProtection="1">
      <alignment vertical="top"/>
    </xf>
    <xf numFmtId="0" fontId="2" fillId="0" borderId="8" xfId="0" applyFont="1" applyBorder="1" applyProtection="1"/>
    <xf numFmtId="44" fontId="2" fillId="0" borderId="0" xfId="1" applyFont="1" applyBorder="1" applyAlignment="1" applyProtection="1">
      <alignment vertical="top"/>
    </xf>
    <xf numFmtId="14" fontId="0" fillId="2" borderId="0" xfId="0" applyNumberFormat="1" applyFill="1" applyProtection="1">
      <protection locked="0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/>
    </xf>
    <xf numFmtId="2" fontId="0" fillId="0" borderId="0" xfId="0" applyNumberFormat="1"/>
    <xf numFmtId="0" fontId="2" fillId="2" borderId="0" xfId="0" applyFont="1" applyFill="1" applyProtection="1"/>
    <xf numFmtId="0" fontId="0" fillId="2" borderId="0" xfId="0" applyFill="1" applyProtection="1"/>
    <xf numFmtId="0" fontId="2" fillId="0" borderId="0" xfId="0" applyFont="1" applyAlignment="1">
      <alignment vertical="top"/>
    </xf>
    <xf numFmtId="164" fontId="2" fillId="0" borderId="0" xfId="0" applyNumberFormat="1" applyFont="1" applyProtection="1"/>
    <xf numFmtId="164" fontId="2" fillId="0" borderId="0" xfId="0" applyNumberFormat="1" applyFont="1" applyBorder="1" applyProtection="1"/>
    <xf numFmtId="0" fontId="0" fillId="0" borderId="0" xfId="0" applyBorder="1"/>
    <xf numFmtId="0" fontId="0" fillId="7" borderId="26" xfId="0" applyFill="1" applyBorder="1"/>
    <xf numFmtId="0" fontId="0" fillId="0" borderId="14" xfId="0" applyBorder="1"/>
    <xf numFmtId="0" fontId="0" fillId="0" borderId="32" xfId="0" applyBorder="1"/>
    <xf numFmtId="9" fontId="0" fillId="0" borderId="4" xfId="3" applyFont="1" applyBorder="1"/>
    <xf numFmtId="166" fontId="0" fillId="0" borderId="26" xfId="3" applyNumberFormat="1" applyFont="1" applyBorder="1"/>
    <xf numFmtId="0" fontId="2" fillId="2" borderId="0" xfId="0" applyFont="1" applyFill="1" applyBorder="1" applyAlignment="1" applyProtection="1">
      <alignment vertical="top"/>
      <protection locked="0"/>
    </xf>
    <xf numFmtId="164" fontId="2" fillId="0" borderId="0" xfId="3" applyNumberFormat="1" applyFont="1" applyProtection="1"/>
    <xf numFmtId="164" fontId="2" fillId="9" borderId="7" xfId="0" applyNumberFormat="1" applyFont="1" applyFill="1" applyBorder="1" applyAlignment="1" applyProtection="1">
      <alignment vertical="top"/>
    </xf>
    <xf numFmtId="164" fontId="3" fillId="0" borderId="0" xfId="0" applyNumberFormat="1" applyFont="1" applyBorder="1" applyAlignment="1" applyProtection="1">
      <alignment vertical="top"/>
    </xf>
    <xf numFmtId="164" fontId="2" fillId="0" borderId="0" xfId="0" applyNumberFormat="1" applyFont="1" applyFill="1" applyBorder="1" applyAlignment="1" applyProtection="1">
      <alignment vertical="top"/>
    </xf>
    <xf numFmtId="0" fontId="2" fillId="0" borderId="0" xfId="0" applyFont="1"/>
    <xf numFmtId="0" fontId="2" fillId="0" borderId="4" xfId="0" applyFont="1" applyBorder="1" applyAlignment="1">
      <alignment vertical="top" wrapText="1"/>
    </xf>
    <xf numFmtId="0" fontId="2" fillId="0" borderId="14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2" fontId="2" fillId="0" borderId="18" xfId="0" applyNumberFormat="1" applyFont="1" applyBorder="1" applyAlignment="1">
      <alignment vertical="top"/>
    </xf>
    <xf numFmtId="0" fontId="2" fillId="0" borderId="5" xfId="0" applyFont="1" applyBorder="1" applyAlignment="1">
      <alignment vertical="top"/>
    </xf>
    <xf numFmtId="9" fontId="2" fillId="0" borderId="0" xfId="0" applyNumberFormat="1" applyFont="1" applyAlignment="1">
      <alignment vertical="top"/>
    </xf>
    <xf numFmtId="9" fontId="2" fillId="0" borderId="0" xfId="3" applyFont="1" applyAlignment="1" applyProtection="1">
      <alignment vertical="top"/>
    </xf>
    <xf numFmtId="1" fontId="2" fillId="0" borderId="0" xfId="0" applyNumberFormat="1" applyFont="1"/>
    <xf numFmtId="0" fontId="2" fillId="0" borderId="0" xfId="0" applyFont="1" applyAlignment="1">
      <alignment horizontal="left" vertical="top" wrapText="1"/>
    </xf>
    <xf numFmtId="1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4" xfId="0" applyFont="1" applyBorder="1"/>
    <xf numFmtId="1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2" fillId="3" borderId="0" xfId="0" applyFont="1" applyFill="1" applyAlignment="1" applyProtection="1">
      <alignment vertical="top"/>
      <protection locked="0"/>
    </xf>
    <xf numFmtId="44" fontId="2" fillId="0" borderId="5" xfId="0" applyNumberFormat="1" applyFont="1" applyBorder="1" applyAlignment="1">
      <alignment vertical="top"/>
    </xf>
    <xf numFmtId="164" fontId="3" fillId="0" borderId="0" xfId="0" applyNumberFormat="1" applyFont="1" applyAlignment="1">
      <alignment vertical="top"/>
    </xf>
    <xf numFmtId="0" fontId="2" fillId="0" borderId="0" xfId="0" quotePrefix="1" applyFont="1"/>
    <xf numFmtId="2" fontId="3" fillId="0" borderId="0" xfId="0" applyNumberFormat="1" applyFont="1" applyAlignment="1">
      <alignment vertical="top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vertical="top"/>
    </xf>
    <xf numFmtId="1" fontId="2" fillId="0" borderId="4" xfId="0" applyNumberFormat="1" applyFont="1" applyBorder="1" applyAlignment="1">
      <alignment vertical="top"/>
    </xf>
    <xf numFmtId="0" fontId="2" fillId="0" borderId="0" xfId="0" quotePrefix="1" applyFont="1" applyAlignment="1">
      <alignment vertical="top"/>
    </xf>
    <xf numFmtId="16" fontId="3" fillId="0" borderId="0" xfId="0" applyNumberFormat="1" applyFont="1" applyAlignment="1">
      <alignment vertical="top"/>
    </xf>
    <xf numFmtId="16" fontId="2" fillId="0" borderId="0" xfId="0" applyNumberFormat="1" applyFont="1"/>
    <xf numFmtId="164" fontId="2" fillId="0" borderId="18" xfId="0" applyNumberFormat="1" applyFont="1" applyBorder="1" applyAlignment="1">
      <alignment vertical="top"/>
    </xf>
    <xf numFmtId="9" fontId="2" fillId="0" borderId="0" xfId="3" applyFont="1"/>
    <xf numFmtId="167" fontId="2" fillId="0" borderId="0" xfId="2" applyNumberFormat="1" applyFont="1" applyAlignment="1" applyProtection="1">
      <alignment vertical="top"/>
    </xf>
    <xf numFmtId="167" fontId="2" fillId="0" borderId="0" xfId="2" applyNumberFormat="1" applyFont="1" applyBorder="1" applyAlignment="1" applyProtection="1">
      <alignment vertical="top"/>
    </xf>
    <xf numFmtId="167" fontId="2" fillId="0" borderId="10" xfId="2" applyNumberFormat="1" applyFont="1" applyBorder="1" applyAlignment="1">
      <alignment horizontal="left" vertical="top" wrapText="1"/>
    </xf>
    <xf numFmtId="167" fontId="2" fillId="0" borderId="2" xfId="2" applyNumberFormat="1" applyFont="1" applyBorder="1"/>
    <xf numFmtId="167" fontId="2" fillId="0" borderId="0" xfId="2" applyNumberFormat="1" applyFont="1" applyAlignment="1">
      <alignment vertical="top"/>
    </xf>
    <xf numFmtId="167" fontId="2" fillId="0" borderId="0" xfId="2" applyNumberFormat="1" applyFont="1"/>
    <xf numFmtId="167" fontId="2" fillId="0" borderId="7" xfId="2" applyNumberFormat="1" applyFont="1" applyBorder="1" applyAlignment="1" applyProtection="1">
      <alignment vertical="top"/>
    </xf>
    <xf numFmtId="167" fontId="2" fillId="0" borderId="2" xfId="2" applyNumberFormat="1" applyFont="1" applyBorder="1" applyAlignment="1" applyProtection="1">
      <alignment vertical="top"/>
    </xf>
    <xf numFmtId="167" fontId="2" fillId="0" borderId="20" xfId="2" applyNumberFormat="1" applyFont="1" applyBorder="1" applyAlignment="1" applyProtection="1">
      <alignment vertical="top"/>
    </xf>
    <xf numFmtId="167" fontId="2" fillId="0" borderId="0" xfId="2" applyNumberFormat="1" applyFont="1" applyProtection="1"/>
    <xf numFmtId="2" fontId="2" fillId="0" borderId="0" xfId="0" applyNumberFormat="1" applyFont="1"/>
    <xf numFmtId="44" fontId="3" fillId="0" borderId="31" xfId="1" applyFont="1" applyBorder="1" applyAlignment="1" applyProtection="1">
      <alignment vertical="top"/>
    </xf>
    <xf numFmtId="1" fontId="2" fillId="0" borderId="0" xfId="0" applyNumberFormat="1" applyFont="1" applyFill="1" applyProtection="1"/>
    <xf numFmtId="168" fontId="2" fillId="3" borderId="0" xfId="0" applyNumberFormat="1" applyFont="1" applyFill="1" applyAlignment="1" applyProtection="1">
      <alignment vertical="top"/>
      <protection locked="0"/>
    </xf>
    <xf numFmtId="168" fontId="2" fillId="0" borderId="0" xfId="0" applyNumberFormat="1" applyFont="1" applyAlignment="1">
      <alignment horizontal="right" vertical="top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2" fillId="0" borderId="2" xfId="0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quotePrefix="1" applyFont="1" applyAlignment="1">
      <alignment horizontal="left" vertical="top" wrapText="1"/>
    </xf>
    <xf numFmtId="0" fontId="2" fillId="0" borderId="18" xfId="0" quotePrefix="1" applyFont="1" applyBorder="1" applyAlignment="1">
      <alignment horizontal="left" vertical="top" wrapText="1"/>
    </xf>
    <xf numFmtId="0" fontId="0" fillId="3" borderId="0" xfId="0" applyFill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0" fillId="2" borderId="0" xfId="0" applyFill="1" applyAlignment="1" applyProtection="1">
      <alignment horizontal="left" vertical="top"/>
      <protection locked="0"/>
    </xf>
  </cellXfs>
  <cellStyles count="6">
    <cellStyle name="Komma" xfId="2" builtinId="3"/>
    <cellStyle name="Komma 2" xfId="5" xr:uid="{9B9B92A2-6141-49EF-95FF-B1AE1735C007}"/>
    <cellStyle name="Procent" xfId="3" builtinId="5"/>
    <cellStyle name="Standaard" xfId="0" builtinId="0"/>
    <cellStyle name="Valuta" xfId="1" builtinId="4"/>
    <cellStyle name="Valuta 2" xfId="4" xr:uid="{FB6FE566-F307-464F-9161-9E2969A6F819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414618</xdr:colOff>
      <xdr:row>21</xdr:row>
      <xdr:rowOff>78441</xdr:rowOff>
    </xdr:from>
    <xdr:to>
      <xdr:col>19</xdr:col>
      <xdr:colOff>806824</xdr:colOff>
      <xdr:row>22</xdr:row>
      <xdr:rowOff>134471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ED47C938-D9FD-B378-2615-DC68962FB2C6}"/>
            </a:ext>
          </a:extLst>
        </xdr:cNvPr>
        <xdr:cNvCxnSpPr/>
      </xdr:nvCxnSpPr>
      <xdr:spPr>
        <a:xfrm flipV="1">
          <a:off x="13940118" y="5165912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448235</xdr:colOff>
      <xdr:row>33</xdr:row>
      <xdr:rowOff>44823</xdr:rowOff>
    </xdr:from>
    <xdr:to>
      <xdr:col>19</xdr:col>
      <xdr:colOff>840441</xdr:colOff>
      <xdr:row>34</xdr:row>
      <xdr:rowOff>100853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2834BD4F-B524-44D6-9470-7A755B80A0D7}"/>
            </a:ext>
          </a:extLst>
        </xdr:cNvPr>
        <xdr:cNvCxnSpPr/>
      </xdr:nvCxnSpPr>
      <xdr:spPr>
        <a:xfrm flipV="1">
          <a:off x="13973735" y="7014882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414617</xdr:colOff>
      <xdr:row>49</xdr:row>
      <xdr:rowOff>44823</xdr:rowOff>
    </xdr:from>
    <xdr:to>
      <xdr:col>19</xdr:col>
      <xdr:colOff>806823</xdr:colOff>
      <xdr:row>50</xdr:row>
      <xdr:rowOff>100852</xdr:rowOff>
    </xdr:to>
    <xdr:cxnSp macro="">
      <xdr:nvCxnSpPr>
        <xdr:cNvPr id="7" name="Rechte verbindingslijn met pijl 6">
          <a:extLst>
            <a:ext uri="{FF2B5EF4-FFF2-40B4-BE49-F238E27FC236}">
              <a16:creationId xmlns:a16="http://schemas.microsoft.com/office/drawing/2014/main" id="{8A447530-F419-AA60-F503-BDABBEC2E4AC}"/>
            </a:ext>
          </a:extLst>
        </xdr:cNvPr>
        <xdr:cNvCxnSpPr/>
      </xdr:nvCxnSpPr>
      <xdr:spPr>
        <a:xfrm flipV="1">
          <a:off x="13940117" y="9524999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403411</xdr:colOff>
      <xdr:row>63</xdr:row>
      <xdr:rowOff>56029</xdr:rowOff>
    </xdr:from>
    <xdr:to>
      <xdr:col>19</xdr:col>
      <xdr:colOff>795617</xdr:colOff>
      <xdr:row>64</xdr:row>
      <xdr:rowOff>112058</xdr:rowOff>
    </xdr:to>
    <xdr:cxnSp macro="">
      <xdr:nvCxnSpPr>
        <xdr:cNvPr id="8" name="Rechte verbindingslijn met pijl 7">
          <a:extLst>
            <a:ext uri="{FF2B5EF4-FFF2-40B4-BE49-F238E27FC236}">
              <a16:creationId xmlns:a16="http://schemas.microsoft.com/office/drawing/2014/main" id="{F29ABFFE-5BFF-FBE5-746A-EAE1DE9DE273}"/>
            </a:ext>
          </a:extLst>
        </xdr:cNvPr>
        <xdr:cNvCxnSpPr/>
      </xdr:nvCxnSpPr>
      <xdr:spPr>
        <a:xfrm flipV="1">
          <a:off x="13928911" y="11732558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414618</xdr:colOff>
      <xdr:row>15</xdr:row>
      <xdr:rowOff>134471</xdr:rowOff>
    </xdr:from>
    <xdr:to>
      <xdr:col>19</xdr:col>
      <xdr:colOff>896470</xdr:colOff>
      <xdr:row>19</xdr:row>
      <xdr:rowOff>123265</xdr:rowOff>
    </xdr:to>
    <xdr:cxnSp macro="">
      <xdr:nvCxnSpPr>
        <xdr:cNvPr id="2" name="Rechte verbindingslijn met pijl 1">
          <a:extLst>
            <a:ext uri="{FF2B5EF4-FFF2-40B4-BE49-F238E27FC236}">
              <a16:creationId xmlns:a16="http://schemas.microsoft.com/office/drawing/2014/main" id="{D34D85BB-A772-4E9A-AD82-A5FBC2AC7B0D}"/>
            </a:ext>
          </a:extLst>
        </xdr:cNvPr>
        <xdr:cNvCxnSpPr/>
      </xdr:nvCxnSpPr>
      <xdr:spPr>
        <a:xfrm>
          <a:off x="14164236" y="3014383"/>
          <a:ext cx="481852" cy="61632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414618</xdr:colOff>
      <xdr:row>27</xdr:row>
      <xdr:rowOff>134471</xdr:rowOff>
    </xdr:from>
    <xdr:to>
      <xdr:col>19</xdr:col>
      <xdr:colOff>896470</xdr:colOff>
      <xdr:row>31</xdr:row>
      <xdr:rowOff>123265</xdr:rowOff>
    </xdr:to>
    <xdr:cxnSp macro="">
      <xdr:nvCxnSpPr>
        <xdr:cNvPr id="10" name="Rechte verbindingslijn met pijl 9">
          <a:extLst>
            <a:ext uri="{FF2B5EF4-FFF2-40B4-BE49-F238E27FC236}">
              <a16:creationId xmlns:a16="http://schemas.microsoft.com/office/drawing/2014/main" id="{B3EED0BE-0495-460E-9199-CFF7D139A0F6}"/>
            </a:ext>
          </a:extLst>
        </xdr:cNvPr>
        <xdr:cNvCxnSpPr/>
      </xdr:nvCxnSpPr>
      <xdr:spPr>
        <a:xfrm>
          <a:off x="14164236" y="3014383"/>
          <a:ext cx="481852" cy="61632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414618</xdr:colOff>
      <xdr:row>43</xdr:row>
      <xdr:rowOff>134471</xdr:rowOff>
    </xdr:from>
    <xdr:to>
      <xdr:col>19</xdr:col>
      <xdr:colOff>896470</xdr:colOff>
      <xdr:row>47</xdr:row>
      <xdr:rowOff>123265</xdr:rowOff>
    </xdr:to>
    <xdr:cxnSp macro="">
      <xdr:nvCxnSpPr>
        <xdr:cNvPr id="11" name="Rechte verbindingslijn met pijl 10">
          <a:extLst>
            <a:ext uri="{FF2B5EF4-FFF2-40B4-BE49-F238E27FC236}">
              <a16:creationId xmlns:a16="http://schemas.microsoft.com/office/drawing/2014/main" id="{5A9132F1-1BEA-4844-9494-521B5057DA61}"/>
            </a:ext>
          </a:extLst>
        </xdr:cNvPr>
        <xdr:cNvCxnSpPr/>
      </xdr:nvCxnSpPr>
      <xdr:spPr>
        <a:xfrm>
          <a:off x="14164236" y="3014383"/>
          <a:ext cx="481852" cy="61632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414618</xdr:colOff>
      <xdr:row>57</xdr:row>
      <xdr:rowOff>134471</xdr:rowOff>
    </xdr:from>
    <xdr:to>
      <xdr:col>19</xdr:col>
      <xdr:colOff>896470</xdr:colOff>
      <xdr:row>61</xdr:row>
      <xdr:rowOff>123265</xdr:rowOff>
    </xdr:to>
    <xdr:cxnSp macro="">
      <xdr:nvCxnSpPr>
        <xdr:cNvPr id="12" name="Rechte verbindingslijn met pijl 11">
          <a:extLst>
            <a:ext uri="{FF2B5EF4-FFF2-40B4-BE49-F238E27FC236}">
              <a16:creationId xmlns:a16="http://schemas.microsoft.com/office/drawing/2014/main" id="{1BC974C6-553F-4A43-A516-5A3F00B0DFAB}"/>
            </a:ext>
          </a:extLst>
        </xdr:cNvPr>
        <xdr:cNvCxnSpPr/>
      </xdr:nvCxnSpPr>
      <xdr:spPr>
        <a:xfrm>
          <a:off x="14164236" y="3014383"/>
          <a:ext cx="481852" cy="61632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A154"/>
  <sheetViews>
    <sheetView zoomScale="85" zoomScaleNormal="85" workbookViewId="0">
      <selection activeCell="P6" sqref="P6"/>
    </sheetView>
  </sheetViews>
  <sheetFormatPr defaultRowHeight="12.75" x14ac:dyDescent="0.2"/>
  <cols>
    <col min="1" max="1" width="9.140625" style="20"/>
    <col min="2" max="2" width="12.85546875" style="20" bestFit="1" customWidth="1"/>
    <col min="3" max="3" width="1.140625" style="20" customWidth="1"/>
    <col min="4" max="4" width="3.140625" style="20" customWidth="1"/>
    <col min="5" max="5" width="10.7109375" style="20" customWidth="1"/>
    <col min="6" max="6" width="11.28515625" style="20" customWidth="1"/>
    <col min="7" max="7" width="9.140625" style="20"/>
    <col min="8" max="8" width="47.7109375" style="20" customWidth="1"/>
    <col min="9" max="9" width="7.7109375" style="20" customWidth="1"/>
    <col min="10" max="10" width="7.140625" style="20" bestFit="1" customWidth="1"/>
    <col min="11" max="11" width="3.140625" style="20" bestFit="1" customWidth="1"/>
    <col min="12" max="12" width="6.85546875" style="59" bestFit="1" customWidth="1"/>
    <col min="13" max="13" width="3.140625" style="20" customWidth="1"/>
    <col min="14" max="14" width="9.140625" style="20"/>
    <col min="15" max="15" width="10.42578125" style="20" customWidth="1"/>
    <col min="16" max="16" width="9.42578125" style="20" customWidth="1"/>
    <col min="17" max="17" width="15.140625" style="20" customWidth="1"/>
    <col min="18" max="18" width="10.140625" style="20" customWidth="1"/>
    <col min="19" max="19" width="18.7109375" style="20" customWidth="1"/>
    <col min="20" max="20" width="15" style="20" bestFit="1" customWidth="1"/>
    <col min="21" max="21" width="4.140625" style="20" customWidth="1"/>
    <col min="22" max="22" width="10.85546875" style="20" customWidth="1"/>
    <col min="23" max="23" width="15.5703125" style="181" bestFit="1" customWidth="1"/>
    <col min="24" max="24" width="15.28515625" style="20" customWidth="1"/>
    <col min="25" max="25" width="3.85546875" style="20" customWidth="1"/>
    <col min="26" max="26" width="2.42578125" style="20" bestFit="1" customWidth="1"/>
    <col min="27" max="27" width="15.7109375" style="20" customWidth="1"/>
    <col min="28" max="28" width="8.28515625" style="20" customWidth="1"/>
    <col min="29" max="30" width="7.28515625" style="20" customWidth="1"/>
    <col min="31" max="31" width="7.7109375" style="20" customWidth="1"/>
    <col min="32" max="34" width="6.85546875" style="20" bestFit="1" customWidth="1"/>
    <col min="35" max="35" width="7.42578125" style="20" bestFit="1" customWidth="1"/>
    <col min="36" max="36" width="6.85546875" style="20" bestFit="1" customWidth="1"/>
    <col min="37" max="37" width="7.42578125" style="20" bestFit="1" customWidth="1"/>
    <col min="38" max="41" width="6.85546875" style="20" bestFit="1" customWidth="1"/>
    <col min="42" max="48" width="5.85546875" style="20" bestFit="1" customWidth="1"/>
    <col min="49" max="50" width="6.85546875" style="20" bestFit="1" customWidth="1"/>
    <col min="51" max="51" width="2.85546875" style="20" bestFit="1" customWidth="1"/>
    <col min="52" max="53" width="5" style="20" customWidth="1"/>
    <col min="54" max="16384" width="9.140625" style="20"/>
  </cols>
  <sheetData>
    <row r="2" spans="2:53" x14ac:dyDescent="0.2">
      <c r="B2" s="127" t="s">
        <v>64</v>
      </c>
      <c r="C2" s="127"/>
      <c r="D2" s="127"/>
      <c r="E2" s="127"/>
      <c r="S2" s="17"/>
      <c r="T2" s="17"/>
      <c r="U2" s="17"/>
      <c r="V2" s="17"/>
      <c r="W2" s="172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</row>
    <row r="3" spans="2:53" x14ac:dyDescent="0.2">
      <c r="B3" s="128" t="s">
        <v>65</v>
      </c>
      <c r="C3" s="128"/>
      <c r="D3" s="127"/>
      <c r="E3" s="128" t="s">
        <v>66</v>
      </c>
      <c r="F3" s="60"/>
      <c r="G3" s="5"/>
      <c r="H3" s="5"/>
      <c r="I3" s="5"/>
      <c r="J3" s="5"/>
      <c r="K3" s="5"/>
      <c r="L3" s="61"/>
      <c r="M3" s="5"/>
      <c r="N3" s="5"/>
      <c r="O3" s="5"/>
      <c r="P3" s="5"/>
      <c r="Q3" s="5"/>
      <c r="R3" s="5"/>
      <c r="S3" s="10"/>
      <c r="T3" s="10"/>
      <c r="U3" s="10"/>
      <c r="V3" s="10"/>
      <c r="W3" s="173"/>
      <c r="X3" s="10"/>
      <c r="Y3" s="10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</row>
    <row r="4" spans="2:53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61"/>
      <c r="M4" s="5"/>
      <c r="N4" s="5"/>
      <c r="O4" s="5"/>
      <c r="P4" s="5"/>
      <c r="Q4" s="5"/>
      <c r="R4" s="5"/>
      <c r="S4" s="10"/>
      <c r="T4" s="10"/>
      <c r="U4" s="10"/>
      <c r="V4" s="10"/>
      <c r="W4" s="173"/>
      <c r="X4" s="10"/>
      <c r="Y4" s="10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</row>
    <row r="5" spans="2:53" x14ac:dyDescent="0.2">
      <c r="B5" s="5"/>
      <c r="C5" s="5"/>
      <c r="D5" s="5"/>
      <c r="E5" s="188"/>
      <c r="F5" s="188"/>
      <c r="G5" s="188"/>
      <c r="H5" s="188"/>
      <c r="I5" s="5"/>
      <c r="J5" s="5"/>
      <c r="K5" s="5"/>
      <c r="L5" s="61"/>
      <c r="M5" s="5"/>
      <c r="N5" s="5"/>
      <c r="O5" s="5"/>
      <c r="P5" s="5"/>
      <c r="Q5" s="5"/>
      <c r="R5" s="5"/>
      <c r="S5" s="10"/>
      <c r="T5" s="10"/>
      <c r="U5" s="10"/>
      <c r="V5" s="10"/>
      <c r="W5" s="173"/>
      <c r="X5" s="10"/>
      <c r="Y5" s="10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</row>
    <row r="6" spans="2:53" x14ac:dyDescent="0.2">
      <c r="E6" s="191"/>
      <c r="F6" s="191"/>
      <c r="G6" s="191"/>
      <c r="H6" s="191"/>
      <c r="I6" s="17"/>
      <c r="J6" s="17"/>
      <c r="K6" s="17"/>
      <c r="L6" s="72"/>
      <c r="M6" s="17"/>
      <c r="N6" s="17"/>
      <c r="O6" s="17"/>
      <c r="P6" s="17"/>
      <c r="Q6" s="17"/>
      <c r="R6" s="17"/>
      <c r="S6" s="17"/>
      <c r="T6" s="17"/>
      <c r="U6" s="17"/>
      <c r="V6" s="17"/>
      <c r="W6" s="172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2:53" ht="13.5" thickBot="1" x14ac:dyDescent="0.25">
      <c r="B7" s="20" t="s">
        <v>1</v>
      </c>
      <c r="I7" s="17"/>
      <c r="J7" s="17"/>
      <c r="K7" s="17"/>
      <c r="L7" s="72"/>
      <c r="M7" s="17"/>
      <c r="N7" s="17"/>
      <c r="O7" s="17"/>
      <c r="P7" s="17"/>
      <c r="Q7" s="17"/>
      <c r="R7" s="17"/>
      <c r="S7" s="17"/>
      <c r="T7" s="17"/>
      <c r="U7" s="17"/>
      <c r="V7" s="17"/>
      <c r="W7" s="172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</row>
    <row r="8" spans="2:53" ht="53.25" customHeight="1" thickBot="1" x14ac:dyDescent="0.25">
      <c r="B8" s="73" t="s">
        <v>2</v>
      </c>
      <c r="C8" s="74"/>
      <c r="D8" s="74"/>
      <c r="E8" s="74" t="s">
        <v>20</v>
      </c>
      <c r="F8" s="74"/>
      <c r="G8" s="74"/>
      <c r="H8" s="74"/>
      <c r="I8" s="75" t="s">
        <v>19</v>
      </c>
      <c r="J8" s="74"/>
      <c r="K8" s="74"/>
      <c r="L8" s="76"/>
      <c r="M8" s="73"/>
      <c r="N8" s="74"/>
      <c r="O8" s="77" t="s">
        <v>36</v>
      </c>
      <c r="P8" s="77" t="s">
        <v>31</v>
      </c>
      <c r="Q8" s="77" t="s">
        <v>15</v>
      </c>
      <c r="R8" s="78" t="s">
        <v>17</v>
      </c>
      <c r="S8" s="77" t="s">
        <v>16</v>
      </c>
      <c r="T8" s="79" t="s">
        <v>13</v>
      </c>
      <c r="U8" s="77"/>
      <c r="V8" s="77" t="s">
        <v>111</v>
      </c>
      <c r="W8" s="174" t="s">
        <v>124</v>
      </c>
      <c r="X8" s="80" t="s">
        <v>14</v>
      </c>
      <c r="Y8" s="10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</row>
    <row r="9" spans="2:53" x14ac:dyDescent="0.2">
      <c r="B9" s="81"/>
      <c r="C9" s="82"/>
      <c r="D9" s="190"/>
      <c r="E9" s="190"/>
      <c r="F9" s="190"/>
      <c r="G9" s="190"/>
      <c r="H9" s="190"/>
      <c r="I9" s="83"/>
      <c r="J9" s="84"/>
      <c r="K9" s="84"/>
      <c r="L9" s="85"/>
      <c r="M9" s="86"/>
      <c r="N9" s="84"/>
      <c r="O9" s="84"/>
      <c r="P9" s="84"/>
      <c r="Q9" s="87"/>
      <c r="R9" s="88"/>
      <c r="S9" s="87"/>
      <c r="T9" s="89"/>
      <c r="U9" s="87"/>
      <c r="V9" s="87"/>
      <c r="W9" s="175"/>
      <c r="X9" s="90"/>
      <c r="Y9" s="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BA9" s="20" t="s">
        <v>7</v>
      </c>
    </row>
    <row r="10" spans="2:53" x14ac:dyDescent="0.2">
      <c r="B10" s="4"/>
      <c r="C10" s="5"/>
      <c r="D10" s="91"/>
      <c r="E10" s="91"/>
      <c r="F10" s="91"/>
      <c r="G10" s="91"/>
      <c r="H10" s="91"/>
      <c r="I10" s="15"/>
      <c r="J10" s="10"/>
      <c r="K10" s="10"/>
      <c r="L10" s="56"/>
      <c r="M10" s="66"/>
      <c r="N10" s="10"/>
      <c r="O10" s="10"/>
      <c r="P10" s="10"/>
      <c r="Q10" s="10"/>
      <c r="R10" s="13"/>
      <c r="S10" s="10"/>
      <c r="T10" s="15"/>
      <c r="U10" s="10"/>
      <c r="V10" s="10"/>
      <c r="W10" s="176"/>
      <c r="X10" s="22"/>
      <c r="Y10" s="5"/>
      <c r="Z10" s="17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92"/>
      <c r="AW10" s="92"/>
      <c r="AX10" s="92"/>
    </row>
    <row r="11" spans="2:53" x14ac:dyDescent="0.2">
      <c r="B11" s="4"/>
      <c r="C11" s="5"/>
      <c r="D11" s="91"/>
      <c r="E11" s="94"/>
      <c r="F11" s="91"/>
      <c r="G11" s="91"/>
      <c r="H11" s="91"/>
      <c r="I11" s="15"/>
      <c r="J11" s="95"/>
      <c r="K11" s="10"/>
      <c r="L11" s="55"/>
      <c r="M11" s="93"/>
      <c r="N11" s="5"/>
      <c r="O11" s="5"/>
      <c r="P11" s="141"/>
      <c r="Q11" s="12"/>
      <c r="R11" s="13"/>
      <c r="S11" s="14"/>
      <c r="T11" s="8"/>
      <c r="U11" s="10"/>
      <c r="V11" s="25"/>
      <c r="W11" s="176"/>
      <c r="X11" s="16"/>
      <c r="Y11" s="5"/>
      <c r="Z11" s="17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92"/>
      <c r="AW11" s="21"/>
      <c r="AX11" s="21"/>
      <c r="AY11" s="21"/>
      <c r="AZ11" s="21"/>
      <c r="BA11" s="21"/>
    </row>
    <row r="12" spans="2:53" x14ac:dyDescent="0.2">
      <c r="B12" s="4"/>
      <c r="C12" s="5"/>
      <c r="D12" s="91"/>
      <c r="E12" s="188"/>
      <c r="F12" s="188"/>
      <c r="G12" s="188"/>
      <c r="H12" s="188"/>
      <c r="I12" s="8"/>
      <c r="J12" s="96"/>
      <c r="K12" s="97"/>
      <c r="L12" s="98"/>
      <c r="M12" s="99"/>
      <c r="N12" s="3"/>
      <c r="O12" s="5"/>
      <c r="P12" s="142"/>
      <c r="Q12" s="12"/>
      <c r="R12" s="100"/>
      <c r="S12" s="14"/>
      <c r="T12" s="8"/>
      <c r="U12" s="10"/>
      <c r="V12" s="25"/>
      <c r="W12" s="173"/>
      <c r="X12" s="54"/>
      <c r="Y12" s="5"/>
      <c r="Z12" s="17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92"/>
      <c r="AW12" s="92"/>
      <c r="AX12" s="92"/>
    </row>
    <row r="13" spans="2:53" x14ac:dyDescent="0.2">
      <c r="B13" s="4" t="s">
        <v>84</v>
      </c>
      <c r="C13" s="5"/>
      <c r="D13" s="5"/>
      <c r="E13" s="101"/>
      <c r="F13" s="7"/>
      <c r="G13" s="7"/>
      <c r="H13" s="7"/>
      <c r="I13" s="15"/>
      <c r="J13" s="9"/>
      <c r="K13" s="10"/>
      <c r="L13" s="55"/>
      <c r="M13" s="66"/>
      <c r="N13" s="3"/>
      <c r="O13" s="5"/>
      <c r="P13" s="25"/>
      <c r="Q13" s="12"/>
      <c r="R13" s="13"/>
      <c r="S13" s="13"/>
      <c r="T13" s="14"/>
      <c r="U13" s="10"/>
      <c r="V13" s="25"/>
      <c r="W13" s="173"/>
      <c r="X13" s="16"/>
      <c r="Y13" s="5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W13" s="21"/>
      <c r="AX13" s="21"/>
      <c r="AY13" s="21"/>
      <c r="AZ13" s="21"/>
      <c r="BA13" s="21"/>
    </row>
    <row r="14" spans="2:53" x14ac:dyDescent="0.2">
      <c r="B14" s="4"/>
      <c r="C14" s="5"/>
      <c r="D14" s="5" t="s">
        <v>26</v>
      </c>
      <c r="E14" s="6"/>
      <c r="F14" s="7"/>
      <c r="G14" s="7"/>
      <c r="H14" s="7"/>
      <c r="I14" s="15"/>
      <c r="J14" s="9"/>
      <c r="K14" s="10"/>
      <c r="L14" s="55"/>
      <c r="M14" s="66"/>
      <c r="N14" s="3"/>
      <c r="O14" s="5"/>
      <c r="P14" s="25"/>
      <c r="Q14" s="12"/>
      <c r="R14" s="25"/>
      <c r="S14" s="102"/>
      <c r="T14" s="14"/>
      <c r="U14" s="10"/>
      <c r="V14" s="25"/>
      <c r="W14" s="173"/>
      <c r="X14" s="16"/>
      <c r="Y14" s="5"/>
      <c r="Z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W14" s="21"/>
      <c r="AX14" s="21"/>
      <c r="AY14" s="21"/>
      <c r="AZ14" s="21"/>
      <c r="BA14" s="21"/>
    </row>
    <row r="15" spans="2:53" x14ac:dyDescent="0.2">
      <c r="B15" s="4"/>
      <c r="C15" s="5"/>
      <c r="D15" s="5"/>
      <c r="E15" s="6"/>
      <c r="F15" s="7"/>
      <c r="G15" s="7"/>
      <c r="H15" s="7"/>
      <c r="I15" s="15"/>
      <c r="J15" s="9"/>
      <c r="K15" s="10"/>
      <c r="L15" s="55"/>
      <c r="M15" s="66"/>
      <c r="N15" s="3"/>
      <c r="O15" s="5"/>
      <c r="P15" s="25"/>
      <c r="Q15" s="12"/>
      <c r="R15" s="25"/>
      <c r="S15" s="102"/>
      <c r="T15" s="14"/>
      <c r="U15" s="10"/>
      <c r="V15" s="25"/>
      <c r="W15" s="173"/>
      <c r="X15" s="16"/>
      <c r="Y15" s="5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W15" s="21"/>
      <c r="AX15" s="21"/>
      <c r="AY15" s="21"/>
      <c r="AZ15" s="21"/>
      <c r="BA15" s="21"/>
    </row>
    <row r="16" spans="2:53" x14ac:dyDescent="0.2">
      <c r="B16" s="4"/>
      <c r="C16" s="5"/>
      <c r="D16" s="5"/>
      <c r="E16" s="27" t="s">
        <v>79</v>
      </c>
      <c r="F16" s="7"/>
      <c r="G16" s="7"/>
      <c r="H16" s="7"/>
      <c r="I16" s="15" t="s">
        <v>3</v>
      </c>
      <c r="J16" s="10"/>
      <c r="K16" s="10"/>
      <c r="L16" s="56"/>
      <c r="M16" s="66"/>
      <c r="N16" s="2"/>
      <c r="O16" s="5">
        <f>+N16</f>
        <v>0</v>
      </c>
      <c r="P16" s="141">
        <f>-Q21/2</f>
        <v>-25</v>
      </c>
      <c r="Q16" s="12">
        <v>0</v>
      </c>
      <c r="R16" s="25">
        <f>IF(N16= "",+P16,IF(N16= "ja", P16, SUM(AW16:BA16)))</f>
        <v>-25</v>
      </c>
      <c r="S16" s="57">
        <v>500</v>
      </c>
      <c r="T16" s="14" t="s">
        <v>115</v>
      </c>
      <c r="U16" s="10">
        <f>+U21</f>
        <v>1</v>
      </c>
      <c r="V16" s="25">
        <f>+U16*R16-R16</f>
        <v>0</v>
      </c>
      <c r="W16" s="176">
        <f>U16*R16*$Q$138/3000</f>
        <v>-7500</v>
      </c>
      <c r="X16" s="16">
        <f>IF(N16="",0,IF(O16="ja",0,+U16*S16))</f>
        <v>0</v>
      </c>
      <c r="Y16" s="5"/>
      <c r="Z16" s="17"/>
      <c r="AA16" s="18" t="str">
        <f xml:space="preserve"> "Ja = vermindering met " &amp; ABS(P16) &amp;" punten, nee = 0 punten"</f>
        <v>Ja = vermindering met 25 punten, nee = 0 punten</v>
      </c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W16" s="21"/>
      <c r="AX16" s="21"/>
      <c r="AY16" s="21"/>
      <c r="AZ16" s="21"/>
      <c r="BA16" s="21"/>
    </row>
    <row r="17" spans="2:53" x14ac:dyDescent="0.2">
      <c r="B17" s="4"/>
      <c r="C17" s="5"/>
      <c r="D17" s="5"/>
      <c r="E17" s="6"/>
      <c r="F17" s="7"/>
      <c r="G17" s="7"/>
      <c r="H17" s="7"/>
      <c r="I17" s="15"/>
      <c r="J17" s="10"/>
      <c r="K17" s="10"/>
      <c r="L17" s="56"/>
      <c r="M17" s="66"/>
      <c r="N17" s="3"/>
      <c r="O17" s="5"/>
      <c r="P17" s="25"/>
      <c r="Q17" s="12"/>
      <c r="R17" s="25"/>
      <c r="S17" s="102"/>
      <c r="T17" s="14"/>
      <c r="U17" s="10"/>
      <c r="V17" s="25"/>
      <c r="W17" s="173"/>
      <c r="X17" s="16"/>
      <c r="Y17" s="5"/>
      <c r="Z17" s="17"/>
      <c r="AW17" s="21"/>
      <c r="AX17" s="21"/>
      <c r="AY17" s="21"/>
      <c r="AZ17" s="21"/>
      <c r="BA17" s="21"/>
    </row>
    <row r="18" spans="2:53" x14ac:dyDescent="0.2">
      <c r="B18" s="4"/>
      <c r="C18" s="5"/>
      <c r="D18" s="5"/>
      <c r="E18" s="27" t="s">
        <v>67</v>
      </c>
      <c r="F18" s="7"/>
      <c r="G18" s="7"/>
      <c r="H18" s="7"/>
      <c r="I18" s="15" t="s">
        <v>3</v>
      </c>
      <c r="J18" s="10"/>
      <c r="K18" s="10"/>
      <c r="L18" s="56"/>
      <c r="M18" s="66"/>
      <c r="N18" s="2"/>
      <c r="O18" s="5">
        <f>+N18</f>
        <v>0</v>
      </c>
      <c r="P18" s="141">
        <v>0</v>
      </c>
      <c r="Q18" s="24">
        <v>0</v>
      </c>
      <c r="R18" s="25"/>
      <c r="S18" s="102"/>
      <c r="T18" s="14"/>
      <c r="U18" s="10"/>
      <c r="V18" s="25"/>
      <c r="W18" s="173"/>
      <c r="X18" s="16"/>
      <c r="Y18" s="5"/>
      <c r="Z18" s="17"/>
      <c r="AA18" s="18" t="s">
        <v>68</v>
      </c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W18" s="21"/>
      <c r="AX18" s="21"/>
      <c r="AY18" s="21"/>
      <c r="AZ18" s="21"/>
      <c r="BA18" s="21"/>
    </row>
    <row r="19" spans="2:53" x14ac:dyDescent="0.2">
      <c r="B19" s="4"/>
      <c r="C19" s="5"/>
      <c r="D19" s="5"/>
      <c r="E19" s="27"/>
      <c r="F19" s="7"/>
      <c r="G19" s="7"/>
      <c r="H19" s="7"/>
      <c r="I19" s="15"/>
      <c r="J19" s="10"/>
      <c r="K19" s="10"/>
      <c r="L19" s="56"/>
      <c r="M19" s="66"/>
      <c r="N19" s="9"/>
      <c r="O19" s="5"/>
      <c r="P19" s="141"/>
      <c r="Q19" s="24"/>
      <c r="R19" s="25"/>
      <c r="S19" s="102"/>
      <c r="T19" s="14"/>
      <c r="U19" s="10"/>
      <c r="V19" s="25"/>
      <c r="W19" s="173"/>
      <c r="X19" s="16"/>
      <c r="Y19" s="5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W19" s="21"/>
      <c r="AX19" s="21"/>
      <c r="AY19" s="21"/>
      <c r="AZ19" s="21"/>
      <c r="BA19" s="21"/>
    </row>
    <row r="20" spans="2:53" x14ac:dyDescent="0.2">
      <c r="B20" s="4"/>
      <c r="C20" s="5"/>
      <c r="D20" s="5"/>
      <c r="E20" s="27" t="s">
        <v>127</v>
      </c>
      <c r="F20" s="7"/>
      <c r="G20" s="7"/>
      <c r="H20" s="7"/>
      <c r="I20" s="15" t="s">
        <v>21</v>
      </c>
      <c r="J20" s="9">
        <v>0</v>
      </c>
      <c r="K20" s="10" t="s">
        <v>8</v>
      </c>
      <c r="L20" s="55">
        <v>100</v>
      </c>
      <c r="M20" s="66"/>
      <c r="N20" s="2"/>
      <c r="O20" s="5"/>
      <c r="P20" s="130"/>
      <c r="R20" s="131"/>
      <c r="S20" s="102"/>
      <c r="T20" s="14"/>
      <c r="U20" s="10"/>
      <c r="V20" s="25"/>
      <c r="W20" s="173"/>
      <c r="X20" s="16"/>
      <c r="AE20" s="20">
        <v>0</v>
      </c>
      <c r="AF20" s="20">
        <v>5</v>
      </c>
      <c r="AG20" s="20">
        <v>10</v>
      </c>
      <c r="AH20" s="20">
        <v>15</v>
      </c>
      <c r="AI20" s="20">
        <v>20</v>
      </c>
      <c r="AJ20" s="20">
        <v>25</v>
      </c>
      <c r="AK20" s="20">
        <v>30</v>
      </c>
      <c r="AL20" s="20">
        <v>35</v>
      </c>
      <c r="AM20" s="20">
        <v>40</v>
      </c>
      <c r="AN20" s="20">
        <v>45</v>
      </c>
      <c r="AO20" s="20">
        <v>50</v>
      </c>
      <c r="AP20" s="20">
        <v>55</v>
      </c>
      <c r="AQ20" s="20">
        <v>60</v>
      </c>
      <c r="AR20" s="20">
        <v>65</v>
      </c>
      <c r="AS20" s="20">
        <v>70</v>
      </c>
      <c r="AT20" s="20">
        <v>75</v>
      </c>
      <c r="AU20" s="20">
        <v>100</v>
      </c>
    </row>
    <row r="21" spans="2:53" x14ac:dyDescent="0.2">
      <c r="B21" s="4"/>
      <c r="C21" s="5"/>
      <c r="D21" s="5"/>
      <c r="E21" s="27"/>
      <c r="F21" s="7"/>
      <c r="G21" s="7"/>
      <c r="H21" s="7"/>
      <c r="I21" s="15" t="s">
        <v>22</v>
      </c>
      <c r="J21" s="9">
        <v>5</v>
      </c>
      <c r="K21" s="10"/>
      <c r="L21" s="55"/>
      <c r="M21" s="66"/>
      <c r="N21" s="5"/>
      <c r="O21" s="129">
        <f>IF(OR(N18="ja",N18=""),IF(N20&gt;75,75,N20),IF(OR(N16="ja",N16=""),IF(N20&gt;75,75,N20),+N20))</f>
        <v>0</v>
      </c>
      <c r="P21" s="131">
        <v>0</v>
      </c>
      <c r="Q21" s="24">
        <v>50</v>
      </c>
      <c r="R21" s="131">
        <f>+AW21</f>
        <v>0</v>
      </c>
      <c r="S21" s="57">
        <v>500</v>
      </c>
      <c r="T21" s="138">
        <v>1</v>
      </c>
      <c r="U21" s="10">
        <f>IF(O21="ja",1,T21)</f>
        <v>1</v>
      </c>
      <c r="V21" s="25">
        <f>+U21*R21-R21</f>
        <v>0</v>
      </c>
      <c r="W21" s="176">
        <f>U21*R21*$Q$138/3000</f>
        <v>0</v>
      </c>
      <c r="X21" s="16">
        <f>IF(O21=0,0,+U21*S21)</f>
        <v>0</v>
      </c>
      <c r="AE21" s="130">
        <f t="shared" ref="AE21:AI21" si="0">IF(AE20=$O21,(AE20/100)^2*$Q21,0)</f>
        <v>0</v>
      </c>
      <c r="AF21" s="130">
        <f t="shared" si="0"/>
        <v>0</v>
      </c>
      <c r="AG21" s="130">
        <f t="shared" si="0"/>
        <v>0</v>
      </c>
      <c r="AH21" s="130">
        <f t="shared" si="0"/>
        <v>0</v>
      </c>
      <c r="AI21" s="130">
        <f t="shared" si="0"/>
        <v>0</v>
      </c>
      <c r="AJ21" s="130">
        <f>IF(AJ20=$O21,(AJ20/100)^2*$Q21,0)</f>
        <v>0</v>
      </c>
      <c r="AK21" s="130">
        <f t="shared" ref="AK21" si="1">IF(AK20=$O21,(AK20/100)^2*$Q21,0)</f>
        <v>0</v>
      </c>
      <c r="AL21" s="130">
        <f t="shared" ref="AL21" si="2">IF(AL20=$O21,(AL20/100)^2*$Q21,0)</f>
        <v>0</v>
      </c>
      <c r="AM21" s="130">
        <f t="shared" ref="AM21" si="3">IF(AM20=$O21,(AM20/100)^2*$Q21,0)</f>
        <v>0</v>
      </c>
      <c r="AN21" s="130">
        <f t="shared" ref="AN21" si="4">IF(AN20=$O21,(AN20/100)^2*$Q21,0)</f>
        <v>0</v>
      </c>
      <c r="AO21" s="130">
        <f t="shared" ref="AO21:AP21" si="5">IF(AO20=$O21,(AO20/100)^2*$Q21,0)</f>
        <v>0</v>
      </c>
      <c r="AP21" s="130">
        <f t="shared" si="5"/>
        <v>0</v>
      </c>
      <c r="AQ21" s="130">
        <f t="shared" ref="AQ21" si="6">IF(AQ20=$O21,(AQ20/100)^2*$Q21,0)</f>
        <v>0</v>
      </c>
      <c r="AR21" s="130">
        <f t="shared" ref="AR21" si="7">IF(AR20=$O21,(AR20/100)^2*$Q21,0)</f>
        <v>0</v>
      </c>
      <c r="AS21" s="130">
        <f t="shared" ref="AS21" si="8">IF(AS20=$O21,(AS20/100)^2*$Q21,0)</f>
        <v>0</v>
      </c>
      <c r="AT21" s="130">
        <f t="shared" ref="AT21" si="9">IF(AT20=$O21,(AT20/100)^2*$Q21,0)</f>
        <v>0</v>
      </c>
      <c r="AU21" s="130">
        <f t="shared" ref="AU21" si="10">IF(AU20=$O21,(AU20/100)^2*$Q21,0)</f>
        <v>0</v>
      </c>
      <c r="AW21" s="130">
        <f>SUM(AE21:AU21)</f>
        <v>0</v>
      </c>
      <c r="AX21" s="20" t="s">
        <v>71</v>
      </c>
    </row>
    <row r="22" spans="2:53" x14ac:dyDescent="0.2">
      <c r="B22" s="4"/>
      <c r="C22" s="5"/>
      <c r="D22" s="5"/>
      <c r="E22" s="27" t="s">
        <v>69</v>
      </c>
      <c r="F22" s="7"/>
      <c r="G22" s="7"/>
      <c r="H22" s="7"/>
      <c r="I22" s="15" t="s">
        <v>21</v>
      </c>
      <c r="J22" s="9">
        <v>0</v>
      </c>
      <c r="K22" s="10" t="s">
        <v>8</v>
      </c>
      <c r="L22" s="55">
        <v>100</v>
      </c>
      <c r="M22" s="66"/>
      <c r="N22" s="2"/>
      <c r="O22" s="5"/>
      <c r="P22" s="131"/>
      <c r="Q22" s="5"/>
      <c r="R22" s="131"/>
      <c r="S22" s="102"/>
      <c r="T22" s="14"/>
      <c r="U22" s="10"/>
      <c r="V22" s="25"/>
      <c r="W22" s="173"/>
      <c r="X22" s="16"/>
    </row>
    <row r="23" spans="2:53" x14ac:dyDescent="0.2">
      <c r="B23" s="4"/>
      <c r="C23" s="5"/>
      <c r="D23" s="5"/>
      <c r="E23" s="27"/>
      <c r="F23" s="7"/>
      <c r="G23" s="7"/>
      <c r="H23" s="7"/>
      <c r="I23" s="15" t="s">
        <v>22</v>
      </c>
      <c r="J23" s="9">
        <v>5</v>
      </c>
      <c r="K23" s="10"/>
      <c r="L23" s="55"/>
      <c r="M23" s="66"/>
      <c r="N23" s="5"/>
      <c r="O23" s="5">
        <f>IF(N20&gt;0,N22,0)</f>
        <v>0</v>
      </c>
      <c r="P23" s="131">
        <f>-R21*2/3</f>
        <v>0</v>
      </c>
      <c r="Q23" s="5">
        <v>0</v>
      </c>
      <c r="R23" s="131">
        <f>+AW23</f>
        <v>0</v>
      </c>
      <c r="S23" s="57">
        <v>500</v>
      </c>
      <c r="T23" s="14" t="s">
        <v>115</v>
      </c>
      <c r="U23" s="10">
        <f>+U21</f>
        <v>1</v>
      </c>
      <c r="V23" s="25">
        <f>+U23*R23-R23</f>
        <v>0</v>
      </c>
      <c r="W23" s="176">
        <f>U23*R23*$Q$138/3000</f>
        <v>0</v>
      </c>
      <c r="X23" s="16">
        <f>IF(O23=0,0,+U23*S23)</f>
        <v>0</v>
      </c>
      <c r="AA23" s="20" t="s">
        <v>70</v>
      </c>
      <c r="AE23" s="139">
        <f>IF(AE20=$O23,$P23*(100-AE20)/100,0)</f>
        <v>0</v>
      </c>
      <c r="AF23" s="139">
        <f t="shared" ref="AF23:AU23" si="11">IF(AF20=$O23,$P23*(100-AF20)/100,0)</f>
        <v>0</v>
      </c>
      <c r="AG23" s="139">
        <f t="shared" si="11"/>
        <v>0</v>
      </c>
      <c r="AH23" s="139">
        <f t="shared" si="11"/>
        <v>0</v>
      </c>
      <c r="AI23" s="139">
        <f t="shared" si="11"/>
        <v>0</v>
      </c>
      <c r="AJ23" s="139">
        <f t="shared" si="11"/>
        <v>0</v>
      </c>
      <c r="AK23" s="139">
        <f t="shared" si="11"/>
        <v>0</v>
      </c>
      <c r="AL23" s="139">
        <f t="shared" si="11"/>
        <v>0</v>
      </c>
      <c r="AM23" s="139">
        <f t="shared" si="11"/>
        <v>0</v>
      </c>
      <c r="AN23" s="139">
        <f t="shared" si="11"/>
        <v>0</v>
      </c>
      <c r="AO23" s="139">
        <f t="shared" si="11"/>
        <v>0</v>
      </c>
      <c r="AP23" s="139">
        <f t="shared" si="11"/>
        <v>0</v>
      </c>
      <c r="AQ23" s="139">
        <f t="shared" si="11"/>
        <v>0</v>
      </c>
      <c r="AR23" s="139">
        <f t="shared" si="11"/>
        <v>0</v>
      </c>
      <c r="AS23" s="139">
        <f t="shared" si="11"/>
        <v>0</v>
      </c>
      <c r="AT23" s="139">
        <f t="shared" si="11"/>
        <v>0</v>
      </c>
      <c r="AU23" s="139">
        <f t="shared" si="11"/>
        <v>0</v>
      </c>
      <c r="AW23" s="130">
        <f>SUM(AE23:AU23)</f>
        <v>0</v>
      </c>
      <c r="AX23" s="20" t="s">
        <v>71</v>
      </c>
    </row>
    <row r="24" spans="2:53" x14ac:dyDescent="0.2">
      <c r="B24" s="4"/>
      <c r="C24" s="5"/>
      <c r="D24" s="5"/>
      <c r="E24" s="27"/>
      <c r="F24" s="7"/>
      <c r="G24" s="7"/>
      <c r="H24" s="7"/>
      <c r="I24" s="15"/>
      <c r="J24" s="9"/>
      <c r="K24" s="10"/>
      <c r="L24" s="55"/>
      <c r="M24" s="66"/>
      <c r="N24" s="5"/>
      <c r="O24" s="5"/>
      <c r="P24" s="131"/>
      <c r="Q24" s="5"/>
      <c r="R24" s="131"/>
      <c r="S24" s="102"/>
      <c r="T24" s="14"/>
      <c r="U24" s="10"/>
      <c r="V24" s="25"/>
      <c r="W24" s="173"/>
      <c r="X24" s="16"/>
    </row>
    <row r="25" spans="2:53" x14ac:dyDescent="0.2">
      <c r="B25" s="4" t="s">
        <v>85</v>
      </c>
      <c r="C25" s="5"/>
      <c r="D25" s="5"/>
      <c r="E25" s="101"/>
      <c r="F25" s="7"/>
      <c r="G25" s="7"/>
      <c r="H25" s="7"/>
      <c r="I25" s="15"/>
      <c r="J25" s="9"/>
      <c r="K25" s="10"/>
      <c r="L25" s="55"/>
      <c r="M25" s="66"/>
      <c r="N25" s="3"/>
      <c r="O25" s="5"/>
      <c r="P25" s="25"/>
      <c r="Q25" s="12"/>
      <c r="R25" s="25"/>
      <c r="S25" s="102"/>
      <c r="T25" s="14"/>
      <c r="U25" s="10"/>
      <c r="V25" s="25"/>
      <c r="W25" s="173"/>
      <c r="X25" s="16"/>
      <c r="Y25" s="5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W25" s="21"/>
      <c r="AX25" s="21"/>
      <c r="AY25" s="21"/>
      <c r="AZ25" s="21"/>
      <c r="BA25" s="21"/>
    </row>
    <row r="26" spans="2:53" x14ac:dyDescent="0.2">
      <c r="B26" s="4"/>
      <c r="C26" s="5"/>
      <c r="D26" s="5" t="s">
        <v>26</v>
      </c>
      <c r="E26" s="6"/>
      <c r="F26" s="7"/>
      <c r="G26" s="7"/>
      <c r="H26" s="7"/>
      <c r="I26" s="15"/>
      <c r="J26" s="9"/>
      <c r="K26" s="10"/>
      <c r="L26" s="55"/>
      <c r="M26" s="66"/>
      <c r="N26" s="3"/>
      <c r="O26" s="5"/>
      <c r="P26" s="25"/>
      <c r="Q26" s="12"/>
      <c r="R26" s="25"/>
      <c r="S26" s="102"/>
      <c r="T26" s="14"/>
      <c r="U26" s="10"/>
      <c r="V26" s="25"/>
      <c r="W26" s="173"/>
      <c r="X26" s="16"/>
      <c r="Y26" s="5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W26" s="21"/>
      <c r="AX26" s="21"/>
      <c r="AY26" s="21"/>
      <c r="AZ26" s="21"/>
      <c r="BA26" s="21"/>
    </row>
    <row r="27" spans="2:53" x14ac:dyDescent="0.2">
      <c r="B27" s="4"/>
      <c r="C27" s="5"/>
      <c r="D27" s="5"/>
      <c r="E27" s="6"/>
      <c r="F27" s="7"/>
      <c r="G27" s="7"/>
      <c r="H27" s="7"/>
      <c r="I27" s="15"/>
      <c r="J27" s="9"/>
      <c r="K27" s="10"/>
      <c r="L27" s="55"/>
      <c r="M27" s="66"/>
      <c r="N27" s="3"/>
      <c r="O27" s="5"/>
      <c r="P27" s="25"/>
      <c r="Q27" s="12"/>
      <c r="R27" s="25"/>
      <c r="S27" s="102"/>
      <c r="T27" s="14"/>
      <c r="U27" s="10"/>
      <c r="V27" s="25"/>
      <c r="W27" s="173"/>
      <c r="X27" s="16"/>
      <c r="Y27" s="5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W27" s="21"/>
      <c r="AX27" s="21"/>
      <c r="AY27" s="21"/>
      <c r="AZ27" s="21"/>
      <c r="BA27" s="21"/>
    </row>
    <row r="28" spans="2:53" x14ac:dyDescent="0.2">
      <c r="B28" s="4"/>
      <c r="C28" s="5"/>
      <c r="D28" s="5"/>
      <c r="E28" s="27" t="s">
        <v>79</v>
      </c>
      <c r="F28" s="7"/>
      <c r="G28" s="7"/>
      <c r="H28" s="7"/>
      <c r="I28" s="15" t="s">
        <v>3</v>
      </c>
      <c r="J28" s="10"/>
      <c r="K28" s="10"/>
      <c r="L28" s="56"/>
      <c r="M28" s="66"/>
      <c r="N28" s="2"/>
      <c r="O28" s="5">
        <f>+N28</f>
        <v>0</v>
      </c>
      <c r="P28" s="141">
        <f>-Q33/2</f>
        <v>-45</v>
      </c>
      <c r="Q28" s="12">
        <v>0</v>
      </c>
      <c r="R28" s="25">
        <f>IF(N28= "",+P28,IF(N28= "ja", P28, SUM(AW28:BA28)))</f>
        <v>-45</v>
      </c>
      <c r="S28" s="57">
        <v>900</v>
      </c>
      <c r="T28" s="14" t="s">
        <v>115</v>
      </c>
      <c r="U28" s="10">
        <f>+U33</f>
        <v>1</v>
      </c>
      <c r="V28" s="25">
        <f>+U28*R28-R28</f>
        <v>0</v>
      </c>
      <c r="W28" s="176">
        <f>U28*R28*$Q$138/3000</f>
        <v>-13500</v>
      </c>
      <c r="X28" s="16">
        <f>IF(N28="",0,IF(O28="ja",0,+U28*S28))</f>
        <v>0</v>
      </c>
      <c r="Y28" s="5"/>
      <c r="Z28" s="17"/>
      <c r="AA28" s="18" t="str">
        <f xml:space="preserve"> "Ja = vermindering met " &amp; ABS(P28) &amp;" punten, nee = 0 punten"</f>
        <v>Ja = vermindering met 45 punten, nee = 0 punten</v>
      </c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W28" s="21"/>
      <c r="AX28" s="21"/>
      <c r="AY28" s="21"/>
      <c r="AZ28" s="21"/>
      <c r="BA28" s="21"/>
    </row>
    <row r="29" spans="2:53" x14ac:dyDescent="0.2">
      <c r="B29" s="4"/>
      <c r="C29" s="5"/>
      <c r="D29" s="5"/>
      <c r="E29" s="6"/>
      <c r="F29" s="7"/>
      <c r="G29" s="7"/>
      <c r="H29" s="7"/>
      <c r="I29" s="15"/>
      <c r="J29" s="10"/>
      <c r="K29" s="10"/>
      <c r="L29" s="56"/>
      <c r="M29" s="66"/>
      <c r="N29" s="3"/>
      <c r="O29" s="5"/>
      <c r="P29" s="25"/>
      <c r="Q29" s="12"/>
      <c r="R29" s="25"/>
      <c r="S29" s="102"/>
      <c r="T29" s="14"/>
      <c r="U29" s="10"/>
      <c r="V29" s="25"/>
      <c r="W29" s="173"/>
      <c r="X29" s="16"/>
      <c r="Y29" s="5"/>
      <c r="Z29" s="17"/>
      <c r="AW29" s="21"/>
      <c r="AX29" s="21"/>
      <c r="AY29" s="21"/>
      <c r="AZ29" s="21"/>
      <c r="BA29" s="21"/>
    </row>
    <row r="30" spans="2:53" x14ac:dyDescent="0.2">
      <c r="B30" s="4"/>
      <c r="C30" s="5"/>
      <c r="D30" s="5"/>
      <c r="E30" s="27" t="s">
        <v>67</v>
      </c>
      <c r="F30" s="7"/>
      <c r="G30" s="7"/>
      <c r="H30" s="7"/>
      <c r="I30" s="15" t="s">
        <v>3</v>
      </c>
      <c r="J30" s="10"/>
      <c r="K30" s="10"/>
      <c r="L30" s="56"/>
      <c r="M30" s="66"/>
      <c r="N30" s="2"/>
      <c r="O30" s="5">
        <f>+N30</f>
        <v>0</v>
      </c>
      <c r="P30" s="141">
        <v>0</v>
      </c>
      <c r="Q30" s="24">
        <v>0</v>
      </c>
      <c r="R30" s="25"/>
      <c r="S30" s="102"/>
      <c r="T30" s="14"/>
      <c r="U30" s="10"/>
      <c r="V30" s="25"/>
      <c r="W30" s="173"/>
      <c r="X30" s="16"/>
      <c r="Y30" s="5"/>
      <c r="Z30" s="17"/>
      <c r="AA30" s="18" t="s">
        <v>68</v>
      </c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W30" s="21"/>
      <c r="AX30" s="21"/>
      <c r="AY30" s="21"/>
      <c r="AZ30" s="21"/>
      <c r="BA30" s="21"/>
    </row>
    <row r="31" spans="2:53" x14ac:dyDescent="0.2">
      <c r="B31" s="4"/>
      <c r="C31" s="5"/>
      <c r="D31" s="5"/>
      <c r="E31" s="27"/>
      <c r="F31" s="7"/>
      <c r="G31" s="7"/>
      <c r="H31" s="7"/>
      <c r="I31" s="15"/>
      <c r="J31" s="10"/>
      <c r="K31" s="10"/>
      <c r="L31" s="56"/>
      <c r="M31" s="66"/>
      <c r="N31" s="9"/>
      <c r="O31" s="5"/>
      <c r="P31" s="141"/>
      <c r="Q31" s="24"/>
      <c r="R31" s="25"/>
      <c r="S31" s="102"/>
      <c r="T31" s="14"/>
      <c r="U31" s="10"/>
      <c r="V31" s="25"/>
      <c r="W31" s="173"/>
      <c r="X31" s="16"/>
      <c r="Y31" s="5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W31" s="21"/>
      <c r="AX31" s="21"/>
      <c r="AY31" s="21"/>
      <c r="AZ31" s="21"/>
      <c r="BA31" s="21"/>
    </row>
    <row r="32" spans="2:53" x14ac:dyDescent="0.2">
      <c r="B32" s="4"/>
      <c r="C32" s="5"/>
      <c r="D32" s="5"/>
      <c r="E32" s="27" t="s">
        <v>128</v>
      </c>
      <c r="F32" s="7"/>
      <c r="G32" s="7"/>
      <c r="H32" s="7"/>
      <c r="I32" s="15" t="s">
        <v>21</v>
      </c>
      <c r="J32" s="9">
        <v>0</v>
      </c>
      <c r="K32" s="10" t="s">
        <v>8</v>
      </c>
      <c r="L32" s="55">
        <v>100</v>
      </c>
      <c r="M32" s="66"/>
      <c r="N32" s="2"/>
      <c r="O32" s="5"/>
      <c r="P32" s="130"/>
      <c r="R32" s="131"/>
      <c r="S32" s="102"/>
      <c r="T32" s="14"/>
      <c r="U32" s="10"/>
      <c r="V32" s="25"/>
      <c r="W32" s="173"/>
      <c r="X32" s="16"/>
      <c r="AE32" s="20">
        <v>0</v>
      </c>
      <c r="AF32" s="20">
        <v>5</v>
      </c>
      <c r="AG32" s="20">
        <v>10</v>
      </c>
      <c r="AH32" s="20">
        <v>15</v>
      </c>
      <c r="AI32" s="20">
        <v>20</v>
      </c>
      <c r="AJ32" s="20">
        <v>25</v>
      </c>
      <c r="AK32" s="20">
        <v>30</v>
      </c>
      <c r="AL32" s="20">
        <v>35</v>
      </c>
      <c r="AM32" s="20">
        <v>40</v>
      </c>
      <c r="AN32" s="20">
        <v>45</v>
      </c>
      <c r="AO32" s="20">
        <v>50</v>
      </c>
      <c r="AP32" s="20">
        <v>55</v>
      </c>
      <c r="AQ32" s="20">
        <v>60</v>
      </c>
      <c r="AR32" s="20">
        <v>65</v>
      </c>
      <c r="AS32" s="20">
        <v>70</v>
      </c>
      <c r="AT32" s="20">
        <v>75</v>
      </c>
      <c r="AU32" s="20">
        <v>100</v>
      </c>
    </row>
    <row r="33" spans="2:53" x14ac:dyDescent="0.2">
      <c r="B33" s="4"/>
      <c r="C33" s="5"/>
      <c r="D33" s="5"/>
      <c r="E33" s="27"/>
      <c r="F33" s="7"/>
      <c r="G33" s="7"/>
      <c r="H33" s="7"/>
      <c r="I33" s="15" t="s">
        <v>22</v>
      </c>
      <c r="J33" s="9">
        <v>5</v>
      </c>
      <c r="K33" s="10"/>
      <c r="L33" s="55"/>
      <c r="M33" s="66"/>
      <c r="N33" s="5"/>
      <c r="O33" s="129">
        <f>IF(OR(N30="ja",N30=""),IF(N32&gt;75,75,N32),IF(OR(N28="ja",N28=""),IF(N32&gt;75,75,N32),+N32))</f>
        <v>0</v>
      </c>
      <c r="P33" s="131">
        <v>0</v>
      </c>
      <c r="Q33" s="24">
        <v>90</v>
      </c>
      <c r="R33" s="131">
        <f>+AW33</f>
        <v>0</v>
      </c>
      <c r="S33" s="57">
        <v>900</v>
      </c>
      <c r="T33" s="138">
        <v>1</v>
      </c>
      <c r="U33" s="10">
        <f>IF(O33="ja",1,T33)</f>
        <v>1</v>
      </c>
      <c r="V33" s="25">
        <f>+U33*R33-R33</f>
        <v>0</v>
      </c>
      <c r="W33" s="176">
        <f>U33*R33*$Q$138/3000</f>
        <v>0</v>
      </c>
      <c r="X33" s="16">
        <f>IF(O33=0,0,+U33*S33)</f>
        <v>0</v>
      </c>
      <c r="AE33" s="130">
        <f t="shared" ref="AE33" si="12">IF(AE32=$O33,(AE32/100)^2*$Q33,0)</f>
        <v>0</v>
      </c>
      <c r="AF33" s="130">
        <f t="shared" ref="AF33" si="13">IF(AF32=$O33,(AF32/100)^2*$Q33,0)</f>
        <v>0</v>
      </c>
      <c r="AG33" s="130">
        <f t="shared" ref="AG33" si="14">IF(AG32=$O33,(AG32/100)^2*$Q33,0)</f>
        <v>0</v>
      </c>
      <c r="AH33" s="130">
        <f t="shared" ref="AH33" si="15">IF(AH32=$O33,(AH32/100)^2*$Q33,0)</f>
        <v>0</v>
      </c>
      <c r="AI33" s="130">
        <f t="shared" ref="AI33" si="16">IF(AI32=$O33,(AI32/100)^2*$Q33,0)</f>
        <v>0</v>
      </c>
      <c r="AJ33" s="130">
        <f>IF(AJ32=$O33,(AJ32/100)^2*$Q33,0)</f>
        <v>0</v>
      </c>
      <c r="AK33" s="130">
        <f t="shared" ref="AK33" si="17">IF(AK32=$O33,(AK32/100)^2*$Q33,0)</f>
        <v>0</v>
      </c>
      <c r="AL33" s="130">
        <f t="shared" ref="AL33" si="18">IF(AL32=$O33,(AL32/100)^2*$Q33,0)</f>
        <v>0</v>
      </c>
      <c r="AM33" s="130">
        <f t="shared" ref="AM33" si="19">IF(AM32=$O33,(AM32/100)^2*$Q33,0)</f>
        <v>0</v>
      </c>
      <c r="AN33" s="130">
        <f t="shared" ref="AN33" si="20">IF(AN32=$O33,(AN32/100)^2*$Q33,0)</f>
        <v>0</v>
      </c>
      <c r="AO33" s="130">
        <f t="shared" ref="AO33" si="21">IF(AO32=$O33,(AO32/100)^2*$Q33,0)</f>
        <v>0</v>
      </c>
      <c r="AP33" s="130">
        <f t="shared" ref="AP33" si="22">IF(AP32=$O33,(AP32/100)^2*$Q33,0)</f>
        <v>0</v>
      </c>
      <c r="AQ33" s="130">
        <f t="shared" ref="AQ33" si="23">IF(AQ32=$O33,(AQ32/100)^2*$Q33,0)</f>
        <v>0</v>
      </c>
      <c r="AR33" s="130">
        <f t="shared" ref="AR33" si="24">IF(AR32=$O33,(AR32/100)^2*$Q33,0)</f>
        <v>0</v>
      </c>
      <c r="AS33" s="130">
        <f t="shared" ref="AS33" si="25">IF(AS32=$O33,(AS32/100)^2*$Q33,0)</f>
        <v>0</v>
      </c>
      <c r="AT33" s="130">
        <f t="shared" ref="AT33" si="26">IF(AT32=$O33,(AT32/100)^2*$Q33,0)</f>
        <v>0</v>
      </c>
      <c r="AU33" s="130">
        <f t="shared" ref="AU33" si="27">IF(AU32=$O33,(AU32/100)^2*$Q33,0)</f>
        <v>0</v>
      </c>
      <c r="AW33" s="130">
        <f>SUM(AE33:AU33)</f>
        <v>0</v>
      </c>
      <c r="AX33" s="20" t="s">
        <v>71</v>
      </c>
    </row>
    <row r="34" spans="2:53" x14ac:dyDescent="0.2">
      <c r="B34" s="4"/>
      <c r="C34" s="5"/>
      <c r="D34" s="5"/>
      <c r="E34" s="27" t="s">
        <v>69</v>
      </c>
      <c r="F34" s="7"/>
      <c r="G34" s="7"/>
      <c r="H34" s="7"/>
      <c r="I34" s="15" t="s">
        <v>21</v>
      </c>
      <c r="J34" s="9">
        <v>0</v>
      </c>
      <c r="K34" s="10" t="s">
        <v>8</v>
      </c>
      <c r="L34" s="55">
        <v>100</v>
      </c>
      <c r="M34" s="66"/>
      <c r="N34" s="2"/>
      <c r="O34" s="5"/>
      <c r="P34" s="131"/>
      <c r="Q34" s="5"/>
      <c r="R34" s="131"/>
      <c r="S34" s="102"/>
      <c r="T34" s="14"/>
      <c r="U34" s="10"/>
      <c r="V34" s="25"/>
      <c r="W34" s="173"/>
      <c r="X34" s="16"/>
    </row>
    <row r="35" spans="2:53" x14ac:dyDescent="0.2">
      <c r="B35" s="4"/>
      <c r="C35" s="5"/>
      <c r="D35" s="5"/>
      <c r="E35" s="27"/>
      <c r="F35" s="7"/>
      <c r="G35" s="7"/>
      <c r="H35" s="7"/>
      <c r="I35" s="15" t="s">
        <v>22</v>
      </c>
      <c r="J35" s="9">
        <v>5</v>
      </c>
      <c r="K35" s="10"/>
      <c r="L35" s="55"/>
      <c r="M35" s="66"/>
      <c r="N35" s="5"/>
      <c r="O35" s="5">
        <f>IF(N32&gt;0,N34,0)</f>
        <v>0</v>
      </c>
      <c r="P35" s="131">
        <f>-R33*2/3</f>
        <v>0</v>
      </c>
      <c r="Q35" s="5">
        <v>0</v>
      </c>
      <c r="R35" s="131">
        <f>+AW35</f>
        <v>0</v>
      </c>
      <c r="S35" s="57">
        <v>900</v>
      </c>
      <c r="T35" s="14" t="s">
        <v>116</v>
      </c>
      <c r="U35" s="10">
        <f>+U33</f>
        <v>1</v>
      </c>
      <c r="V35" s="25">
        <f>+U35*R35-R35</f>
        <v>0</v>
      </c>
      <c r="W35" s="176">
        <f>U35*R35*$Q$138/3000</f>
        <v>0</v>
      </c>
      <c r="X35" s="16">
        <f>IF(O35=0,0,+U35*S35)</f>
        <v>0</v>
      </c>
      <c r="AA35" s="20" t="s">
        <v>70</v>
      </c>
      <c r="AE35" s="139">
        <f>IF(AE32=$O35,$P35*(100-AE32)/100,0)</f>
        <v>0</v>
      </c>
      <c r="AF35" s="139">
        <f t="shared" ref="AF35:AU35" si="28">IF(AF32=$O35,$P35*(100-AF32)/100,0)</f>
        <v>0</v>
      </c>
      <c r="AG35" s="139">
        <f t="shared" si="28"/>
        <v>0</v>
      </c>
      <c r="AH35" s="139">
        <f t="shared" si="28"/>
        <v>0</v>
      </c>
      <c r="AI35" s="139">
        <f t="shared" si="28"/>
        <v>0</v>
      </c>
      <c r="AJ35" s="139">
        <f t="shared" si="28"/>
        <v>0</v>
      </c>
      <c r="AK35" s="139">
        <f t="shared" si="28"/>
        <v>0</v>
      </c>
      <c r="AL35" s="139">
        <f t="shared" si="28"/>
        <v>0</v>
      </c>
      <c r="AM35" s="139">
        <f t="shared" si="28"/>
        <v>0</v>
      </c>
      <c r="AN35" s="139">
        <f t="shared" si="28"/>
        <v>0</v>
      </c>
      <c r="AO35" s="139">
        <f t="shared" si="28"/>
        <v>0</v>
      </c>
      <c r="AP35" s="139">
        <f t="shared" si="28"/>
        <v>0</v>
      </c>
      <c r="AQ35" s="139">
        <f t="shared" si="28"/>
        <v>0</v>
      </c>
      <c r="AR35" s="139">
        <f t="shared" si="28"/>
        <v>0</v>
      </c>
      <c r="AS35" s="139">
        <f t="shared" si="28"/>
        <v>0</v>
      </c>
      <c r="AT35" s="139">
        <f t="shared" si="28"/>
        <v>0</v>
      </c>
      <c r="AU35" s="139">
        <f t="shared" si="28"/>
        <v>0</v>
      </c>
      <c r="AW35" s="130">
        <f>SUM(AE35:AU35)</f>
        <v>0</v>
      </c>
      <c r="AX35" s="20" t="s">
        <v>71</v>
      </c>
    </row>
    <row r="36" spans="2:53" x14ac:dyDescent="0.2">
      <c r="B36" s="4"/>
      <c r="C36" s="5"/>
      <c r="D36" s="5"/>
      <c r="E36" s="27"/>
      <c r="F36" s="7"/>
      <c r="G36" s="7"/>
      <c r="H36" s="7"/>
      <c r="I36" s="15"/>
      <c r="J36" s="9"/>
      <c r="K36" s="10"/>
      <c r="L36" s="55"/>
      <c r="M36" s="66"/>
      <c r="N36" s="5"/>
      <c r="O36" s="5"/>
      <c r="P36" s="131"/>
      <c r="Q36" s="5"/>
      <c r="R36" s="131"/>
      <c r="S36" s="102"/>
      <c r="T36" s="14"/>
      <c r="U36" s="10"/>
      <c r="V36" s="25"/>
      <c r="W36" s="173"/>
      <c r="X36" s="16"/>
    </row>
    <row r="37" spans="2:53" x14ac:dyDescent="0.2">
      <c r="B37" s="4" t="s">
        <v>83</v>
      </c>
      <c r="C37" s="5"/>
      <c r="D37" s="5"/>
      <c r="E37" s="27"/>
      <c r="F37" s="7"/>
      <c r="G37" s="7"/>
      <c r="H37" s="7"/>
      <c r="I37" s="15"/>
      <c r="J37" s="9"/>
      <c r="K37" s="10"/>
      <c r="L37" s="55"/>
      <c r="M37" s="66"/>
      <c r="N37" s="5"/>
      <c r="O37" s="5"/>
      <c r="P37" s="131"/>
      <c r="Q37" s="5"/>
      <c r="R37" s="131"/>
      <c r="S37" s="102"/>
      <c r="T37" s="14"/>
      <c r="U37" s="10"/>
      <c r="V37" s="25"/>
      <c r="W37" s="173"/>
      <c r="X37" s="16"/>
    </row>
    <row r="38" spans="2:53" x14ac:dyDescent="0.2">
      <c r="B38" s="4"/>
      <c r="C38" s="5"/>
      <c r="D38" s="5"/>
      <c r="E38" s="27" t="s">
        <v>72</v>
      </c>
      <c r="F38" s="7" t="s">
        <v>73</v>
      </c>
      <c r="G38" s="7"/>
      <c r="H38" s="7"/>
      <c r="I38" s="15"/>
      <c r="J38" s="9"/>
      <c r="K38" s="10"/>
      <c r="L38" s="55"/>
      <c r="M38" s="66"/>
      <c r="N38" s="5"/>
      <c r="O38" s="5"/>
      <c r="P38" s="131"/>
      <c r="Q38" s="5"/>
      <c r="R38" s="131"/>
      <c r="S38" s="102"/>
      <c r="T38" s="14"/>
      <c r="U38" s="10"/>
      <c r="V38" s="25"/>
      <c r="W38" s="173"/>
      <c r="X38" s="16"/>
    </row>
    <row r="39" spans="2:53" x14ac:dyDescent="0.2">
      <c r="B39" s="4"/>
      <c r="C39" s="5"/>
      <c r="D39" s="5"/>
      <c r="E39" s="27" t="s">
        <v>74</v>
      </c>
      <c r="F39" s="7" t="s">
        <v>75</v>
      </c>
      <c r="G39" s="7"/>
      <c r="H39" s="7"/>
      <c r="I39" s="15"/>
      <c r="J39" s="9"/>
      <c r="K39" s="10"/>
      <c r="L39" s="55"/>
      <c r="M39" s="66"/>
      <c r="N39" s="5"/>
      <c r="O39" s="5"/>
      <c r="P39" s="131"/>
      <c r="Q39" s="5"/>
      <c r="R39" s="131"/>
      <c r="S39" s="102"/>
      <c r="T39" s="14"/>
      <c r="U39" s="10"/>
      <c r="V39" s="25"/>
      <c r="W39" s="173"/>
      <c r="X39" s="16"/>
    </row>
    <row r="40" spans="2:53" x14ac:dyDescent="0.2">
      <c r="B40" s="4"/>
      <c r="C40" s="5"/>
      <c r="D40" s="5"/>
      <c r="E40" s="27" t="s">
        <v>76</v>
      </c>
      <c r="F40" s="7" t="s">
        <v>77</v>
      </c>
      <c r="G40" s="7"/>
      <c r="H40" s="7"/>
      <c r="I40" s="15"/>
      <c r="J40" s="9"/>
      <c r="K40" s="10"/>
      <c r="L40" s="55"/>
      <c r="M40" s="66"/>
      <c r="N40" s="5"/>
      <c r="O40" s="5"/>
      <c r="P40" s="131"/>
      <c r="Q40" s="5"/>
      <c r="R40" s="131"/>
      <c r="S40" s="102"/>
      <c r="T40" s="14"/>
      <c r="U40" s="10"/>
      <c r="V40" s="25"/>
      <c r="W40" s="173"/>
      <c r="X40" s="16"/>
    </row>
    <row r="41" spans="2:53" x14ac:dyDescent="0.2">
      <c r="B41" s="4"/>
      <c r="C41" s="5"/>
      <c r="D41" s="5"/>
      <c r="H41" s="7"/>
      <c r="I41" s="15"/>
      <c r="J41" s="9"/>
      <c r="K41" s="10"/>
      <c r="L41" s="55"/>
      <c r="M41" s="66"/>
      <c r="N41" s="5"/>
      <c r="O41" s="5"/>
      <c r="P41" s="131"/>
      <c r="Q41" s="5"/>
      <c r="R41" s="131"/>
      <c r="S41" s="102"/>
      <c r="T41" s="14"/>
      <c r="U41" s="10"/>
      <c r="V41" s="25"/>
      <c r="W41" s="173"/>
      <c r="X41" s="16"/>
    </row>
    <row r="42" spans="2:53" x14ac:dyDescent="0.2">
      <c r="B42" s="4" t="s">
        <v>78</v>
      </c>
      <c r="C42" s="5"/>
      <c r="D42" s="5"/>
      <c r="E42" s="27"/>
      <c r="F42" s="7"/>
      <c r="G42" s="7"/>
      <c r="H42" s="7"/>
      <c r="I42" s="15"/>
      <c r="J42" s="9"/>
      <c r="K42" s="10"/>
      <c r="L42" s="55"/>
      <c r="M42" s="66"/>
      <c r="N42" s="5"/>
      <c r="O42" s="5"/>
      <c r="P42" s="131"/>
      <c r="Q42" s="5"/>
      <c r="R42" s="131"/>
      <c r="S42" s="102"/>
      <c r="T42" s="14"/>
      <c r="U42" s="10"/>
      <c r="V42" s="25"/>
      <c r="W42" s="173"/>
      <c r="X42" s="16"/>
    </row>
    <row r="43" spans="2:53" x14ac:dyDescent="0.2">
      <c r="B43" s="4"/>
      <c r="C43" s="5"/>
      <c r="D43" s="5"/>
      <c r="E43" s="27"/>
      <c r="F43" s="7"/>
      <c r="G43" s="7"/>
      <c r="H43" s="7"/>
      <c r="I43" s="15"/>
      <c r="J43" s="9"/>
      <c r="K43" s="10"/>
      <c r="L43" s="55"/>
      <c r="M43" s="66"/>
      <c r="N43" s="5"/>
      <c r="O43" s="5"/>
      <c r="P43" s="131"/>
      <c r="Q43" s="5"/>
      <c r="R43" s="131"/>
      <c r="S43" s="102"/>
      <c r="T43" s="14"/>
      <c r="U43" s="10"/>
      <c r="V43" s="25"/>
      <c r="W43" s="173"/>
      <c r="X43" s="16"/>
    </row>
    <row r="44" spans="2:53" x14ac:dyDescent="0.2">
      <c r="B44" s="4"/>
      <c r="C44" s="5"/>
      <c r="D44" s="5"/>
      <c r="E44" s="27" t="s">
        <v>80</v>
      </c>
      <c r="F44" s="7"/>
      <c r="G44" s="7"/>
      <c r="H44" s="7"/>
      <c r="I44" s="15" t="s">
        <v>3</v>
      </c>
      <c r="J44" s="10"/>
      <c r="K44" s="10"/>
      <c r="L44" s="56"/>
      <c r="M44" s="66"/>
      <c r="N44" s="2"/>
      <c r="O44" s="5">
        <f>+N44</f>
        <v>0</v>
      </c>
      <c r="P44" s="141">
        <f>-Q49/2</f>
        <v>-62.5</v>
      </c>
      <c r="Q44" s="12">
        <v>0</v>
      </c>
      <c r="R44" s="25">
        <f>IF(N44= "",+P44,IF(N44= "ja", P44, SUM(AW44:BA44)))</f>
        <v>-62.5</v>
      </c>
      <c r="S44" s="57">
        <v>1250</v>
      </c>
      <c r="T44" s="14" t="s">
        <v>115</v>
      </c>
      <c r="U44" s="10">
        <f>+U49</f>
        <v>1</v>
      </c>
      <c r="V44" s="25">
        <f>+U44*R44-R44</f>
        <v>0</v>
      </c>
      <c r="W44" s="176">
        <f>U44*R44*$Q$138/3000</f>
        <v>-18750</v>
      </c>
      <c r="X44" s="16">
        <f>IF(N44="",0,IF(O44="ja",0,+U44*S44))</f>
        <v>0</v>
      </c>
      <c r="Y44" s="5"/>
      <c r="Z44" s="17"/>
      <c r="AA44" s="18" t="str">
        <f xml:space="preserve"> "Ja = vermindering met " &amp; ABS(P44) &amp;" punten, nee = 0 punten"</f>
        <v>Ja = vermindering met 62,5 punten, nee = 0 punten</v>
      </c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W44" s="21"/>
      <c r="AX44" s="21"/>
      <c r="AY44" s="21"/>
      <c r="AZ44" s="21"/>
      <c r="BA44" s="21"/>
    </row>
    <row r="45" spans="2:53" x14ac:dyDescent="0.2">
      <c r="B45" s="4"/>
      <c r="C45" s="5"/>
      <c r="D45" s="5"/>
      <c r="E45" s="6"/>
      <c r="F45" s="7"/>
      <c r="G45" s="7"/>
      <c r="H45" s="7"/>
      <c r="I45" s="15"/>
      <c r="J45" s="10"/>
      <c r="K45" s="10"/>
      <c r="L45" s="56"/>
      <c r="M45" s="66"/>
      <c r="N45" s="3"/>
      <c r="O45" s="5"/>
      <c r="P45" s="25"/>
      <c r="Q45" s="12"/>
      <c r="R45" s="25"/>
      <c r="S45" s="102"/>
      <c r="T45" s="14"/>
      <c r="U45" s="10"/>
      <c r="V45" s="25"/>
      <c r="W45" s="173"/>
      <c r="X45" s="16"/>
      <c r="Y45" s="5"/>
      <c r="Z45" s="17"/>
      <c r="AW45" s="21"/>
      <c r="AX45" s="21"/>
      <c r="AY45" s="21"/>
      <c r="AZ45" s="21"/>
      <c r="BA45" s="21"/>
    </row>
    <row r="46" spans="2:53" x14ac:dyDescent="0.2">
      <c r="B46" s="4"/>
      <c r="C46" s="5"/>
      <c r="D46" s="5"/>
      <c r="E46" s="27" t="s">
        <v>81</v>
      </c>
      <c r="F46" s="7"/>
      <c r="G46" s="7"/>
      <c r="H46" s="7"/>
      <c r="I46" s="15" t="s">
        <v>3</v>
      </c>
      <c r="J46" s="10"/>
      <c r="K46" s="10"/>
      <c r="L46" s="56"/>
      <c r="M46" s="66"/>
      <c r="N46" s="2"/>
      <c r="O46" s="5">
        <f>+N46</f>
        <v>0</v>
      </c>
      <c r="P46" s="141">
        <v>0</v>
      </c>
      <c r="Q46" s="24">
        <v>0</v>
      </c>
      <c r="R46" s="25"/>
      <c r="S46" s="102"/>
      <c r="T46" s="14"/>
      <c r="U46" s="10"/>
      <c r="V46" s="25"/>
      <c r="W46" s="173"/>
      <c r="X46" s="16"/>
      <c r="Y46" s="5"/>
      <c r="Z46" s="17"/>
      <c r="AA46" s="18" t="s">
        <v>68</v>
      </c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W46" s="21"/>
      <c r="AX46" s="21"/>
      <c r="AY46" s="21"/>
      <c r="AZ46" s="21"/>
      <c r="BA46" s="21"/>
    </row>
    <row r="47" spans="2:53" x14ac:dyDescent="0.2">
      <c r="B47" s="4"/>
      <c r="C47" s="5"/>
      <c r="D47" s="5"/>
      <c r="E47" s="27"/>
      <c r="F47" s="7"/>
      <c r="G47" s="7"/>
      <c r="H47" s="7"/>
      <c r="I47" s="15"/>
      <c r="J47" s="10"/>
      <c r="K47" s="10"/>
      <c r="L47" s="56"/>
      <c r="M47" s="66"/>
      <c r="N47" s="9"/>
      <c r="O47" s="5"/>
      <c r="P47" s="141"/>
      <c r="Q47" s="24"/>
      <c r="R47" s="25"/>
      <c r="S47" s="102"/>
      <c r="T47" s="14"/>
      <c r="U47" s="10"/>
      <c r="V47" s="25"/>
      <c r="W47" s="173"/>
      <c r="X47" s="16"/>
      <c r="Y47" s="5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W47" s="21"/>
      <c r="AX47" s="21"/>
      <c r="AY47" s="21"/>
      <c r="AZ47" s="21"/>
      <c r="BA47" s="21"/>
    </row>
    <row r="48" spans="2:53" x14ac:dyDescent="0.2">
      <c r="B48" s="4"/>
      <c r="C48" s="5"/>
      <c r="D48" s="5"/>
      <c r="E48" s="27" t="s">
        <v>129</v>
      </c>
      <c r="F48" s="7"/>
      <c r="G48" s="7"/>
      <c r="H48" s="7"/>
      <c r="I48" s="15" t="s">
        <v>21</v>
      </c>
      <c r="J48" s="9">
        <v>0</v>
      </c>
      <c r="K48" s="10" t="s">
        <v>8</v>
      </c>
      <c r="L48" s="55">
        <v>100</v>
      </c>
      <c r="M48" s="66"/>
      <c r="N48" s="2"/>
      <c r="O48" s="5"/>
      <c r="P48" s="130"/>
      <c r="R48" s="131"/>
      <c r="S48" s="102"/>
      <c r="T48" s="14"/>
      <c r="U48" s="10"/>
      <c r="V48" s="25"/>
      <c r="W48" s="173"/>
      <c r="X48" s="16"/>
      <c r="AE48" s="20">
        <v>0</v>
      </c>
      <c r="AF48" s="20">
        <v>5</v>
      </c>
      <c r="AG48" s="20">
        <v>10</v>
      </c>
      <c r="AH48" s="20">
        <v>15</v>
      </c>
      <c r="AI48" s="20">
        <v>20</v>
      </c>
      <c r="AJ48" s="20">
        <v>25</v>
      </c>
      <c r="AK48" s="20">
        <v>30</v>
      </c>
      <c r="AL48" s="20">
        <v>35</v>
      </c>
      <c r="AM48" s="20">
        <v>40</v>
      </c>
      <c r="AN48" s="20">
        <v>45</v>
      </c>
      <c r="AO48" s="20">
        <v>50</v>
      </c>
      <c r="AP48" s="20">
        <v>55</v>
      </c>
      <c r="AQ48" s="20">
        <v>60</v>
      </c>
      <c r="AR48" s="20">
        <v>65</v>
      </c>
      <c r="AS48" s="20">
        <v>70</v>
      </c>
      <c r="AT48" s="20">
        <v>75</v>
      </c>
      <c r="AU48" s="20">
        <v>100</v>
      </c>
    </row>
    <row r="49" spans="2:53" x14ac:dyDescent="0.2">
      <c r="B49" s="4"/>
      <c r="C49" s="5"/>
      <c r="D49" s="5"/>
      <c r="E49" s="27"/>
      <c r="F49" s="7"/>
      <c r="G49" s="7"/>
      <c r="H49" s="7"/>
      <c r="I49" s="15" t="s">
        <v>22</v>
      </c>
      <c r="J49" s="9">
        <v>5</v>
      </c>
      <c r="K49" s="10"/>
      <c r="L49" s="55"/>
      <c r="M49" s="66"/>
      <c r="N49" s="5"/>
      <c r="O49" s="129">
        <f>IF(OR(N46="ja",N46=""),IF(N48&gt;75,75,N48),IF(OR(N44="ja",N44=""),IF(N48&gt;75,75,N48),+N48))</f>
        <v>0</v>
      </c>
      <c r="P49" s="131">
        <v>0</v>
      </c>
      <c r="Q49" s="24">
        <v>125</v>
      </c>
      <c r="R49" s="131">
        <f>+AW49</f>
        <v>0</v>
      </c>
      <c r="S49" s="57">
        <v>1250</v>
      </c>
      <c r="T49" s="138">
        <v>1</v>
      </c>
      <c r="U49" s="10">
        <f>IF(O49="ja",1,T49)</f>
        <v>1</v>
      </c>
      <c r="V49" s="25">
        <f>+U49*R49-R49</f>
        <v>0</v>
      </c>
      <c r="W49" s="176">
        <f>U49*R49*$Q$138/3000</f>
        <v>0</v>
      </c>
      <c r="X49" s="16">
        <f>IF(O49=0,0,+U49*S49)</f>
        <v>0</v>
      </c>
      <c r="AE49" s="130">
        <f t="shared" ref="AE49" si="29">IF(AE48=$O49,(AE48/100)^2*$Q49,0)</f>
        <v>0</v>
      </c>
      <c r="AF49" s="130">
        <f t="shared" ref="AF49" si="30">IF(AF48=$O49,(AF48/100)^2*$Q49,0)</f>
        <v>0</v>
      </c>
      <c r="AG49" s="130">
        <f t="shared" ref="AG49" si="31">IF(AG48=$O49,(AG48/100)^2*$Q49,0)</f>
        <v>0</v>
      </c>
      <c r="AH49" s="130">
        <f t="shared" ref="AH49" si="32">IF(AH48=$O49,(AH48/100)^2*$Q49,0)</f>
        <v>0</v>
      </c>
      <c r="AI49" s="130">
        <f t="shared" ref="AI49" si="33">IF(AI48=$O49,(AI48/100)^2*$Q49,0)</f>
        <v>0</v>
      </c>
      <c r="AJ49" s="130">
        <f>IF(AJ48=$O49,(AJ48/100)^2*$Q49,0)</f>
        <v>0</v>
      </c>
      <c r="AK49" s="130">
        <f t="shared" ref="AK49" si="34">IF(AK48=$O49,(AK48/100)^2*$Q49,0)</f>
        <v>0</v>
      </c>
      <c r="AL49" s="130">
        <f t="shared" ref="AL49" si="35">IF(AL48=$O49,(AL48/100)^2*$Q49,0)</f>
        <v>0</v>
      </c>
      <c r="AM49" s="130">
        <f t="shared" ref="AM49" si="36">IF(AM48=$O49,(AM48/100)^2*$Q49,0)</f>
        <v>0</v>
      </c>
      <c r="AN49" s="130">
        <f t="shared" ref="AN49" si="37">IF(AN48=$O49,(AN48/100)^2*$Q49,0)</f>
        <v>0</v>
      </c>
      <c r="AO49" s="130">
        <f t="shared" ref="AO49" si="38">IF(AO48=$O49,(AO48/100)^2*$Q49,0)</f>
        <v>0</v>
      </c>
      <c r="AP49" s="130">
        <f t="shared" ref="AP49" si="39">IF(AP48=$O49,(AP48/100)^2*$Q49,0)</f>
        <v>0</v>
      </c>
      <c r="AQ49" s="130">
        <f t="shared" ref="AQ49" si="40">IF(AQ48=$O49,(AQ48/100)^2*$Q49,0)</f>
        <v>0</v>
      </c>
      <c r="AR49" s="130">
        <f t="shared" ref="AR49" si="41">IF(AR48=$O49,(AR48/100)^2*$Q49,0)</f>
        <v>0</v>
      </c>
      <c r="AS49" s="130">
        <f t="shared" ref="AS49" si="42">IF(AS48=$O49,(AS48/100)^2*$Q49,0)</f>
        <v>0</v>
      </c>
      <c r="AT49" s="130">
        <f t="shared" ref="AT49" si="43">IF(AT48=$O49,(AT48/100)^2*$Q49,0)</f>
        <v>0</v>
      </c>
      <c r="AU49" s="130">
        <f t="shared" ref="AU49" si="44">IF(AU48=$O49,(AU48/100)^2*$Q49,0)</f>
        <v>0</v>
      </c>
      <c r="AW49" s="130">
        <f>SUM(AE49:AU49)</f>
        <v>0</v>
      </c>
      <c r="AX49" s="20" t="s">
        <v>71</v>
      </c>
    </row>
    <row r="50" spans="2:53" x14ac:dyDescent="0.2">
      <c r="B50" s="4"/>
      <c r="C50" s="5"/>
      <c r="D50" s="5"/>
      <c r="E50" s="27" t="s">
        <v>69</v>
      </c>
      <c r="F50" s="7"/>
      <c r="G50" s="7"/>
      <c r="H50" s="7"/>
      <c r="I50" s="15" t="s">
        <v>21</v>
      </c>
      <c r="J50" s="9">
        <v>0</v>
      </c>
      <c r="K50" s="10" t="s">
        <v>8</v>
      </c>
      <c r="L50" s="55">
        <v>100</v>
      </c>
      <c r="M50" s="66"/>
      <c r="N50" s="2"/>
      <c r="O50" s="5"/>
      <c r="P50" s="131"/>
      <c r="Q50" s="5"/>
      <c r="R50" s="131"/>
      <c r="S50" s="102"/>
      <c r="T50" s="14"/>
      <c r="U50" s="10"/>
      <c r="V50" s="25"/>
      <c r="W50" s="173"/>
      <c r="X50" s="16"/>
    </row>
    <row r="51" spans="2:53" x14ac:dyDescent="0.2">
      <c r="B51" s="4"/>
      <c r="C51" s="5"/>
      <c r="D51" s="5"/>
      <c r="E51" s="27"/>
      <c r="F51" s="7"/>
      <c r="G51" s="7"/>
      <c r="H51" s="7"/>
      <c r="I51" s="15" t="s">
        <v>22</v>
      </c>
      <c r="J51" s="9">
        <v>5</v>
      </c>
      <c r="K51" s="10"/>
      <c r="L51" s="55"/>
      <c r="M51" s="66"/>
      <c r="N51" s="5"/>
      <c r="O51" s="5">
        <f>IF(N48&gt;0,N50,0)</f>
        <v>0</v>
      </c>
      <c r="P51" s="131">
        <f>-R49*2/3</f>
        <v>0</v>
      </c>
      <c r="Q51" s="5">
        <v>0</v>
      </c>
      <c r="R51" s="131">
        <f>+AW51</f>
        <v>0</v>
      </c>
      <c r="S51" s="57">
        <v>1250</v>
      </c>
      <c r="T51" s="14" t="s">
        <v>116</v>
      </c>
      <c r="U51" s="10">
        <f>+U49</f>
        <v>1</v>
      </c>
      <c r="V51" s="25">
        <f>+U51*R51-R51</f>
        <v>0</v>
      </c>
      <c r="W51" s="176">
        <f>U51*R51*$Q$138/3000</f>
        <v>0</v>
      </c>
      <c r="X51" s="16">
        <f>IF(O51=0,0,+U51*S51)</f>
        <v>0</v>
      </c>
      <c r="AA51" s="20" t="s">
        <v>70</v>
      </c>
      <c r="AE51" s="139">
        <f>IF(AE48=$O51,$P51*(100-AE48)/100,0)</f>
        <v>0</v>
      </c>
      <c r="AF51" s="139">
        <f t="shared" ref="AF51:AU51" si="45">IF(AF48=$O51,$P51*(100-AF48)/100,0)</f>
        <v>0</v>
      </c>
      <c r="AG51" s="139">
        <f t="shared" si="45"/>
        <v>0</v>
      </c>
      <c r="AH51" s="139">
        <f t="shared" si="45"/>
        <v>0</v>
      </c>
      <c r="AI51" s="139">
        <f t="shared" si="45"/>
        <v>0</v>
      </c>
      <c r="AJ51" s="139">
        <f t="shared" si="45"/>
        <v>0</v>
      </c>
      <c r="AK51" s="139">
        <f t="shared" si="45"/>
        <v>0</v>
      </c>
      <c r="AL51" s="139">
        <f t="shared" si="45"/>
        <v>0</v>
      </c>
      <c r="AM51" s="139">
        <f t="shared" si="45"/>
        <v>0</v>
      </c>
      <c r="AN51" s="139">
        <f t="shared" si="45"/>
        <v>0</v>
      </c>
      <c r="AO51" s="139">
        <f t="shared" si="45"/>
        <v>0</v>
      </c>
      <c r="AP51" s="139">
        <f t="shared" si="45"/>
        <v>0</v>
      </c>
      <c r="AQ51" s="139">
        <f t="shared" si="45"/>
        <v>0</v>
      </c>
      <c r="AR51" s="139">
        <f t="shared" si="45"/>
        <v>0</v>
      </c>
      <c r="AS51" s="139">
        <f t="shared" si="45"/>
        <v>0</v>
      </c>
      <c r="AT51" s="139">
        <f t="shared" si="45"/>
        <v>0</v>
      </c>
      <c r="AU51" s="139">
        <f t="shared" si="45"/>
        <v>0</v>
      </c>
      <c r="AW51" s="130">
        <f>SUM(AE51:AU51)</f>
        <v>0</v>
      </c>
      <c r="AX51" s="20" t="s">
        <v>71</v>
      </c>
    </row>
    <row r="52" spans="2:53" x14ac:dyDescent="0.2">
      <c r="B52" s="4"/>
      <c r="C52" s="5"/>
      <c r="D52" s="5"/>
      <c r="E52" s="27"/>
      <c r="F52" s="7"/>
      <c r="G52" s="7"/>
      <c r="H52" s="7"/>
      <c r="I52" s="15"/>
      <c r="J52" s="9"/>
      <c r="K52" s="10"/>
      <c r="L52" s="55"/>
      <c r="M52" s="66"/>
      <c r="N52" s="5"/>
      <c r="O52" s="5"/>
      <c r="P52" s="131"/>
      <c r="Q52" s="5"/>
      <c r="R52" s="131"/>
      <c r="S52" s="102"/>
      <c r="T52" s="14"/>
      <c r="U52" s="10"/>
      <c r="V52" s="25"/>
      <c r="W52" s="173"/>
      <c r="X52" s="16"/>
    </row>
    <row r="53" spans="2:53" x14ac:dyDescent="0.2">
      <c r="B53" s="4"/>
      <c r="C53" s="5"/>
      <c r="D53" s="5"/>
      <c r="E53" s="27"/>
      <c r="F53" s="7"/>
      <c r="G53" s="7"/>
      <c r="H53" s="7"/>
      <c r="I53" s="15"/>
      <c r="J53" s="9"/>
      <c r="K53" s="10"/>
      <c r="L53" s="55"/>
      <c r="M53" s="66"/>
      <c r="N53" s="5"/>
      <c r="O53" s="5"/>
      <c r="P53" s="131"/>
      <c r="Q53" s="5"/>
      <c r="R53" s="131"/>
      <c r="S53" s="102"/>
      <c r="T53" s="14"/>
      <c r="U53" s="10"/>
      <c r="V53" s="25"/>
      <c r="W53" s="173"/>
      <c r="X53" s="16"/>
    </row>
    <row r="54" spans="2:53" x14ac:dyDescent="0.2">
      <c r="B54" s="4"/>
      <c r="C54" s="5"/>
      <c r="D54" s="5"/>
      <c r="E54" s="27"/>
      <c r="F54" s="7"/>
      <c r="G54" s="7"/>
      <c r="H54" s="7"/>
      <c r="I54" s="15"/>
      <c r="J54" s="9"/>
      <c r="K54" s="10"/>
      <c r="L54" s="55"/>
      <c r="M54" s="66"/>
      <c r="N54" s="5"/>
      <c r="O54" s="5"/>
      <c r="P54" s="131"/>
      <c r="Q54" s="5"/>
      <c r="R54" s="131"/>
      <c r="S54" s="102"/>
      <c r="T54" s="14"/>
      <c r="U54" s="10"/>
      <c r="V54" s="25"/>
      <c r="W54" s="173"/>
      <c r="X54" s="16"/>
    </row>
    <row r="55" spans="2:53" s="103" customFormat="1" x14ac:dyDescent="0.2">
      <c r="B55" s="4" t="s">
        <v>82</v>
      </c>
      <c r="C55" s="5"/>
      <c r="D55" s="5"/>
      <c r="E55" s="6"/>
      <c r="F55" s="7"/>
      <c r="G55" s="7"/>
      <c r="H55" s="7"/>
      <c r="I55" s="8"/>
      <c r="J55" s="9"/>
      <c r="K55" s="10"/>
      <c r="L55" s="55"/>
      <c r="M55" s="66"/>
      <c r="N55" s="10"/>
      <c r="O55" s="3"/>
      <c r="P55" s="25"/>
      <c r="Q55" s="12"/>
      <c r="R55" s="25"/>
      <c r="S55" s="57"/>
      <c r="T55" s="10"/>
      <c r="U55" s="10"/>
      <c r="V55" s="25"/>
      <c r="W55" s="173"/>
      <c r="X55" s="16"/>
      <c r="Y55" s="5"/>
      <c r="Z55" s="17"/>
      <c r="AA55" s="18"/>
      <c r="AB55" s="18"/>
      <c r="AC55" s="18"/>
      <c r="AD55" s="18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20"/>
      <c r="AW55" s="21"/>
      <c r="AX55" s="21"/>
      <c r="AY55" s="21"/>
      <c r="AZ55" s="21"/>
      <c r="BA55" s="21"/>
    </row>
    <row r="56" spans="2:53" s="103" customFormat="1" x14ac:dyDescent="0.2">
      <c r="B56" s="4"/>
      <c r="C56" s="5"/>
      <c r="D56" s="5" t="s">
        <v>28</v>
      </c>
      <c r="E56" s="11"/>
      <c r="F56" s="5"/>
      <c r="G56" s="5"/>
      <c r="H56" s="5"/>
      <c r="I56" s="8"/>
      <c r="J56" s="10"/>
      <c r="K56" s="10"/>
      <c r="L56" s="56"/>
      <c r="M56" s="66"/>
      <c r="N56" s="10"/>
      <c r="O56" s="3"/>
      <c r="P56" s="25"/>
      <c r="Q56" s="10"/>
      <c r="R56" s="25"/>
      <c r="S56" s="58"/>
      <c r="T56" s="10"/>
      <c r="U56" s="10"/>
      <c r="V56" s="25"/>
      <c r="W56" s="173"/>
      <c r="X56" s="22"/>
      <c r="Y56" s="5"/>
      <c r="Z56" s="17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0"/>
      <c r="AW56" s="20"/>
      <c r="AX56" s="20"/>
      <c r="AY56" s="20"/>
      <c r="AZ56" s="20"/>
      <c r="BA56" s="20"/>
    </row>
    <row r="57" spans="2:53" s="103" customFormat="1" x14ac:dyDescent="0.2">
      <c r="B57" s="4"/>
      <c r="C57" s="5"/>
      <c r="D57" s="5"/>
      <c r="E57" s="11"/>
      <c r="F57" s="5"/>
      <c r="G57" s="5"/>
      <c r="H57" s="5"/>
      <c r="I57" s="8"/>
      <c r="J57" s="10"/>
      <c r="K57" s="10"/>
      <c r="L57" s="56"/>
      <c r="M57" s="66"/>
      <c r="N57" s="10"/>
      <c r="O57" s="3"/>
      <c r="P57" s="25"/>
      <c r="Q57" s="10"/>
      <c r="R57" s="25"/>
      <c r="S57" s="58"/>
      <c r="T57" s="10"/>
      <c r="U57" s="10"/>
      <c r="V57" s="25"/>
      <c r="W57" s="173"/>
      <c r="X57" s="22"/>
      <c r="Y57" s="5"/>
      <c r="Z57" s="17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0"/>
      <c r="AW57" s="20"/>
      <c r="AX57" s="20"/>
      <c r="AY57" s="20"/>
      <c r="AZ57" s="20"/>
      <c r="BA57" s="20"/>
    </row>
    <row r="58" spans="2:53" x14ac:dyDescent="0.2">
      <c r="B58" s="4"/>
      <c r="C58" s="5"/>
      <c r="D58" s="5"/>
      <c r="E58" s="27" t="s">
        <v>80</v>
      </c>
      <c r="F58" s="7"/>
      <c r="G58" s="7"/>
      <c r="H58" s="7"/>
      <c r="I58" s="15" t="s">
        <v>3</v>
      </c>
      <c r="J58" s="10"/>
      <c r="K58" s="10"/>
      <c r="L58" s="56"/>
      <c r="M58" s="66"/>
      <c r="N58" s="2"/>
      <c r="O58" s="5">
        <f>+N58</f>
        <v>0</v>
      </c>
      <c r="P58" s="141">
        <f>-Q63/2</f>
        <v>-50</v>
      </c>
      <c r="Q58" s="12">
        <v>0</v>
      </c>
      <c r="R58" s="25">
        <f>IF(N58= "",+P58,IF(N58= "ja", P58, SUM(AW58:BA58)))</f>
        <v>-50</v>
      </c>
      <c r="S58" s="57">
        <v>1000</v>
      </c>
      <c r="T58" s="14" t="s">
        <v>115</v>
      </c>
      <c r="U58" s="10">
        <f>+U63</f>
        <v>1</v>
      </c>
      <c r="V58" s="25">
        <f>+U58*R58-R58</f>
        <v>0</v>
      </c>
      <c r="W58" s="176">
        <f>U58*R58*$Q$138/3000</f>
        <v>-15000</v>
      </c>
      <c r="X58" s="16">
        <f>IF(N58="",0,IF(O58="ja",0,+U58*S58))</f>
        <v>0</v>
      </c>
      <c r="Y58" s="5"/>
      <c r="Z58" s="17"/>
      <c r="AA58" s="18" t="str">
        <f xml:space="preserve"> "Ja = vermindering met " &amp; ABS(P58) &amp;" punten, nee = 0 punten"</f>
        <v>Ja = vermindering met 50 punten, nee = 0 punten</v>
      </c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W58" s="21"/>
      <c r="AX58" s="21"/>
      <c r="AY58" s="21"/>
      <c r="AZ58" s="21"/>
      <c r="BA58" s="21"/>
    </row>
    <row r="59" spans="2:53" x14ac:dyDescent="0.2">
      <c r="B59" s="4"/>
      <c r="C59" s="5"/>
      <c r="D59" s="5"/>
      <c r="E59" s="6"/>
      <c r="F59" s="7"/>
      <c r="G59" s="7"/>
      <c r="H59" s="7"/>
      <c r="I59" s="15"/>
      <c r="J59" s="10"/>
      <c r="K59" s="10"/>
      <c r="L59" s="56"/>
      <c r="M59" s="66"/>
      <c r="N59" s="3"/>
      <c r="O59" s="5"/>
      <c r="P59" s="25"/>
      <c r="Q59" s="12"/>
      <c r="R59" s="25"/>
      <c r="S59" s="102"/>
      <c r="T59" s="14"/>
      <c r="U59" s="10"/>
      <c r="V59" s="25"/>
      <c r="W59" s="173"/>
      <c r="X59" s="16"/>
      <c r="Y59" s="5"/>
      <c r="Z59" s="17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184"/>
      <c r="AX59" s="184"/>
      <c r="AY59" s="184"/>
      <c r="AZ59" s="184"/>
      <c r="BA59" s="184"/>
    </row>
    <row r="60" spans="2:53" x14ac:dyDescent="0.2">
      <c r="B60" s="4"/>
      <c r="C60" s="5"/>
      <c r="D60" s="5"/>
      <c r="E60" s="27" t="s">
        <v>81</v>
      </c>
      <c r="F60" s="7"/>
      <c r="G60" s="7"/>
      <c r="H60" s="7"/>
      <c r="I60" s="15" t="s">
        <v>3</v>
      </c>
      <c r="J60" s="10"/>
      <c r="K60" s="10"/>
      <c r="L60" s="56"/>
      <c r="M60" s="66"/>
      <c r="N60" s="2"/>
      <c r="O60" s="5">
        <f>+N60</f>
        <v>0</v>
      </c>
      <c r="P60" s="141">
        <v>0</v>
      </c>
      <c r="Q60" s="24">
        <v>0</v>
      </c>
      <c r="R60" s="25"/>
      <c r="S60" s="102"/>
      <c r="T60" s="14"/>
      <c r="U60" s="10"/>
      <c r="V60" s="25"/>
      <c r="W60" s="173"/>
      <c r="X60" s="16"/>
      <c r="Y60" s="5"/>
      <c r="Z60" s="17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92"/>
      <c r="AW60" s="184"/>
      <c r="AX60" s="184"/>
      <c r="AY60" s="184"/>
      <c r="AZ60" s="184"/>
      <c r="BA60" s="184"/>
    </row>
    <row r="61" spans="2:53" x14ac:dyDescent="0.2">
      <c r="B61" s="4"/>
      <c r="C61" s="5"/>
      <c r="D61" s="5"/>
      <c r="E61" s="27"/>
      <c r="F61" s="7"/>
      <c r="G61" s="7"/>
      <c r="H61" s="7"/>
      <c r="I61" s="15"/>
      <c r="J61" s="10"/>
      <c r="K61" s="10"/>
      <c r="L61" s="56"/>
      <c r="M61" s="66"/>
      <c r="N61" s="9"/>
      <c r="O61" s="5"/>
      <c r="P61" s="141"/>
      <c r="Q61" s="24"/>
      <c r="R61" s="25"/>
      <c r="S61" s="102"/>
      <c r="T61" s="14"/>
      <c r="U61" s="10"/>
      <c r="V61" s="25"/>
      <c r="W61" s="173"/>
      <c r="X61" s="16"/>
      <c r="Y61" s="5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W61" s="21"/>
      <c r="AX61" s="21"/>
      <c r="AY61" s="21"/>
      <c r="AZ61" s="21"/>
      <c r="BA61" s="21"/>
    </row>
    <row r="62" spans="2:53" x14ac:dyDescent="0.2">
      <c r="B62" s="4"/>
      <c r="C62" s="5"/>
      <c r="D62" s="5"/>
      <c r="E62" s="27" t="s">
        <v>129</v>
      </c>
      <c r="F62" s="7"/>
      <c r="G62" s="7"/>
      <c r="H62" s="7"/>
      <c r="I62" s="15" t="s">
        <v>21</v>
      </c>
      <c r="J62" s="9">
        <v>0</v>
      </c>
      <c r="K62" s="10" t="s">
        <v>8</v>
      </c>
      <c r="L62" s="55">
        <v>100</v>
      </c>
      <c r="M62" s="66"/>
      <c r="N62" s="2"/>
      <c r="O62" s="5"/>
      <c r="P62" s="130"/>
      <c r="R62" s="131"/>
      <c r="S62" s="102"/>
      <c r="T62" s="14"/>
      <c r="U62" s="10"/>
      <c r="V62" s="25"/>
      <c r="W62" s="173"/>
      <c r="X62" s="16"/>
      <c r="AE62" s="20">
        <v>0</v>
      </c>
      <c r="AF62" s="20">
        <v>5</v>
      </c>
      <c r="AG62" s="20">
        <v>10</v>
      </c>
      <c r="AH62" s="20">
        <v>15</v>
      </c>
      <c r="AI62" s="20">
        <v>20</v>
      </c>
      <c r="AJ62" s="20">
        <v>25</v>
      </c>
      <c r="AK62" s="20">
        <v>30</v>
      </c>
      <c r="AL62" s="20">
        <v>35</v>
      </c>
      <c r="AM62" s="20">
        <v>40</v>
      </c>
      <c r="AN62" s="20">
        <v>45</v>
      </c>
      <c r="AO62" s="20">
        <v>50</v>
      </c>
      <c r="AP62" s="20">
        <v>55</v>
      </c>
      <c r="AQ62" s="20">
        <v>60</v>
      </c>
      <c r="AR62" s="20">
        <v>65</v>
      </c>
      <c r="AS62" s="20">
        <v>70</v>
      </c>
      <c r="AT62" s="20">
        <v>75</v>
      </c>
      <c r="AU62" s="20">
        <v>100</v>
      </c>
    </row>
    <row r="63" spans="2:53" x14ac:dyDescent="0.2">
      <c r="B63" s="4"/>
      <c r="C63" s="5"/>
      <c r="D63" s="5"/>
      <c r="E63" s="27"/>
      <c r="F63" s="7"/>
      <c r="G63" s="7"/>
      <c r="H63" s="7"/>
      <c r="I63" s="15" t="s">
        <v>22</v>
      </c>
      <c r="J63" s="9">
        <v>5</v>
      </c>
      <c r="K63" s="10"/>
      <c r="L63" s="55"/>
      <c r="M63" s="66"/>
      <c r="N63" s="5"/>
      <c r="O63" s="129">
        <f>IF(OR(N60="ja",N60=""),IF(N62&gt;75,75,N62),IF(OR(N58="ja",N58=""),IF(N62&gt;75,75,N62),+N62))</f>
        <v>0</v>
      </c>
      <c r="P63" s="131">
        <v>0</v>
      </c>
      <c r="Q63" s="24">
        <v>100</v>
      </c>
      <c r="R63" s="25">
        <f>IF(O63= "",+P63,IF(O63= "ja", P63, SUM(AW63:BA63)))</f>
        <v>0</v>
      </c>
      <c r="S63" s="57">
        <v>1000</v>
      </c>
      <c r="T63" s="138">
        <v>1</v>
      </c>
      <c r="U63" s="10">
        <f>IF(O63="ja",1,T63)</f>
        <v>1</v>
      </c>
      <c r="V63" s="25">
        <f>+U63*R63-R63</f>
        <v>0</v>
      </c>
      <c r="W63" s="176">
        <f>U63*R63*$Q$138/3000</f>
        <v>0</v>
      </c>
      <c r="X63" s="16">
        <f>IF(O63=0,0,+U63*S63)</f>
        <v>0</v>
      </c>
      <c r="AE63" s="130">
        <f t="shared" ref="AE63" si="46">IF(AE62=$O63,(AE62/100)^2*$Q63,0)</f>
        <v>0</v>
      </c>
      <c r="AF63" s="130">
        <f t="shared" ref="AF63" si="47">IF(AF62=$O63,(AF62/100)^2*$Q63,0)</f>
        <v>0</v>
      </c>
      <c r="AG63" s="130">
        <f t="shared" ref="AG63" si="48">IF(AG62=$O63,(AG62/100)^2*$Q63,0)</f>
        <v>0</v>
      </c>
      <c r="AH63" s="130">
        <f t="shared" ref="AH63" si="49">IF(AH62=$O63,(AH62/100)^2*$Q63,0)</f>
        <v>0</v>
      </c>
      <c r="AI63" s="130">
        <f t="shared" ref="AI63" si="50">IF(AI62=$O63,(AI62/100)^2*$Q63,0)</f>
        <v>0</v>
      </c>
      <c r="AJ63" s="130">
        <f>IF(AJ62=$O63,(AJ62/100)^2*$Q63,0)</f>
        <v>0</v>
      </c>
      <c r="AK63" s="130">
        <f t="shared" ref="AK63" si="51">IF(AK62=$O63,(AK62/100)^2*$Q63,0)</f>
        <v>0</v>
      </c>
      <c r="AL63" s="130">
        <f t="shared" ref="AL63" si="52">IF(AL62=$O63,(AL62/100)^2*$Q63,0)</f>
        <v>0</v>
      </c>
      <c r="AM63" s="130">
        <f t="shared" ref="AM63" si="53">IF(AM62=$O63,(AM62/100)^2*$Q63,0)</f>
        <v>0</v>
      </c>
      <c r="AN63" s="130">
        <f t="shared" ref="AN63" si="54">IF(AN62=$O63,(AN62/100)^2*$Q63,0)</f>
        <v>0</v>
      </c>
      <c r="AO63" s="130">
        <f t="shared" ref="AO63" si="55">IF(AO62=$O63,(AO62/100)^2*$Q63,0)</f>
        <v>0</v>
      </c>
      <c r="AP63" s="130">
        <f t="shared" ref="AP63" si="56">IF(AP62=$O63,(AP62/100)^2*$Q63,0)</f>
        <v>0</v>
      </c>
      <c r="AQ63" s="130">
        <f t="shared" ref="AQ63" si="57">IF(AQ62=$O63,(AQ62/100)^2*$Q63,0)</f>
        <v>0</v>
      </c>
      <c r="AR63" s="130">
        <f t="shared" ref="AR63" si="58">IF(AR62=$O63,(AR62/100)^2*$Q63,0)</f>
        <v>0</v>
      </c>
      <c r="AS63" s="130">
        <f t="shared" ref="AS63" si="59">IF(AS62=$O63,(AS62/100)^2*$Q63,0)</f>
        <v>0</v>
      </c>
      <c r="AT63" s="130">
        <f t="shared" ref="AT63" si="60">IF(AT62=$O63,(AT62/100)^2*$Q63,0)</f>
        <v>0</v>
      </c>
      <c r="AU63" s="130">
        <f t="shared" ref="AU63" si="61">IF(AU62=$O63,(AU62/100)^2*$Q63,0)</f>
        <v>0</v>
      </c>
      <c r="AW63" s="130">
        <f>SUM(AE63:AU63)</f>
        <v>0</v>
      </c>
      <c r="AX63" s="20" t="s">
        <v>71</v>
      </c>
    </row>
    <row r="64" spans="2:53" x14ac:dyDescent="0.2">
      <c r="B64" s="4"/>
      <c r="C64" s="5"/>
      <c r="D64" s="5"/>
      <c r="E64" s="27" t="s">
        <v>69</v>
      </c>
      <c r="F64" s="7"/>
      <c r="G64" s="7"/>
      <c r="H64" s="7"/>
      <c r="I64" s="15" t="s">
        <v>21</v>
      </c>
      <c r="J64" s="9">
        <v>0</v>
      </c>
      <c r="K64" s="10" t="s">
        <v>8</v>
      </c>
      <c r="L64" s="55">
        <v>100</v>
      </c>
      <c r="M64" s="66"/>
      <c r="N64" s="2"/>
      <c r="O64" s="5"/>
      <c r="P64" s="131"/>
      <c r="Q64" s="5"/>
      <c r="R64" s="131"/>
      <c r="S64" s="102"/>
      <c r="T64" s="14"/>
      <c r="U64" s="10"/>
      <c r="V64" s="25"/>
      <c r="W64" s="173"/>
      <c r="X64" s="16"/>
    </row>
    <row r="65" spans="2:52" x14ac:dyDescent="0.2">
      <c r="B65" s="4"/>
      <c r="C65" s="5"/>
      <c r="D65" s="5"/>
      <c r="E65" s="27"/>
      <c r="F65" s="7"/>
      <c r="G65" s="7"/>
      <c r="H65" s="7"/>
      <c r="I65" s="15" t="s">
        <v>22</v>
      </c>
      <c r="J65" s="9">
        <v>5</v>
      </c>
      <c r="K65" s="10"/>
      <c r="L65" s="55"/>
      <c r="M65" s="66"/>
      <c r="N65" s="5"/>
      <c r="O65" s="5">
        <f>IF(N62&gt;0,N64,0)</f>
        <v>0</v>
      </c>
      <c r="P65" s="131">
        <f>-R63*2/3</f>
        <v>0</v>
      </c>
      <c r="Q65" s="5">
        <v>0</v>
      </c>
      <c r="R65" s="131">
        <f>+AW65</f>
        <v>0</v>
      </c>
      <c r="S65" s="183">
        <v>1000</v>
      </c>
      <c r="T65" s="14" t="s">
        <v>116</v>
      </c>
      <c r="U65" s="10">
        <f>+U63</f>
        <v>1</v>
      </c>
      <c r="V65" s="25">
        <f>+U65*R65-R65</f>
        <v>0</v>
      </c>
      <c r="W65" s="176">
        <f>U65*R65*$Q$138/3000</f>
        <v>0</v>
      </c>
      <c r="X65" s="16">
        <f>IF(O65=0,0,+U65*S65)</f>
        <v>0</v>
      </c>
      <c r="AE65" s="139">
        <f>IF(AE62=$O65,$P65*(100-AE62)/100,0)</f>
        <v>0</v>
      </c>
      <c r="AF65" s="139">
        <f t="shared" ref="AF65:AU65" si="62">IF(AF62=$O65,$P65*(100-AF62)/100,0)</f>
        <v>0</v>
      </c>
      <c r="AG65" s="139">
        <f t="shared" si="62"/>
        <v>0</v>
      </c>
      <c r="AH65" s="139">
        <f t="shared" si="62"/>
        <v>0</v>
      </c>
      <c r="AI65" s="139">
        <f t="shared" si="62"/>
        <v>0</v>
      </c>
      <c r="AJ65" s="139">
        <f t="shared" si="62"/>
        <v>0</v>
      </c>
      <c r="AK65" s="139">
        <f t="shared" si="62"/>
        <v>0</v>
      </c>
      <c r="AL65" s="139">
        <f t="shared" si="62"/>
        <v>0</v>
      </c>
      <c r="AM65" s="139">
        <f t="shared" si="62"/>
        <v>0</v>
      </c>
      <c r="AN65" s="139">
        <f t="shared" si="62"/>
        <v>0</v>
      </c>
      <c r="AO65" s="139">
        <f t="shared" si="62"/>
        <v>0</v>
      </c>
      <c r="AP65" s="139">
        <f t="shared" si="62"/>
        <v>0</v>
      </c>
      <c r="AQ65" s="139">
        <f t="shared" si="62"/>
        <v>0</v>
      </c>
      <c r="AR65" s="139">
        <f t="shared" si="62"/>
        <v>0</v>
      </c>
      <c r="AS65" s="139">
        <f t="shared" si="62"/>
        <v>0</v>
      </c>
      <c r="AT65" s="139">
        <f t="shared" si="62"/>
        <v>0</v>
      </c>
      <c r="AU65" s="139">
        <f t="shared" si="62"/>
        <v>0</v>
      </c>
      <c r="AW65" s="130">
        <f>SUM(AE65:AU65)</f>
        <v>0</v>
      </c>
      <c r="AX65" s="20" t="s">
        <v>71</v>
      </c>
    </row>
    <row r="66" spans="2:52" x14ac:dyDescent="0.2">
      <c r="B66" s="4"/>
      <c r="C66" s="5"/>
      <c r="D66" s="5"/>
      <c r="E66" s="27"/>
      <c r="F66" s="7"/>
      <c r="G66" s="7"/>
      <c r="H66" s="7"/>
      <c r="I66" s="15"/>
      <c r="J66" s="9"/>
      <c r="K66" s="10"/>
      <c r="L66" s="55"/>
      <c r="M66" s="66"/>
      <c r="N66" s="5"/>
      <c r="O66" s="5"/>
      <c r="P66" s="131"/>
      <c r="Q66" s="5"/>
      <c r="R66" s="131"/>
      <c r="S66" s="102"/>
      <c r="T66" s="14"/>
      <c r="U66" s="10"/>
      <c r="V66" s="25"/>
      <c r="W66" s="173"/>
      <c r="X66" s="16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W66" s="130"/>
    </row>
    <row r="67" spans="2:52" x14ac:dyDescent="0.2">
      <c r="B67" s="4" t="s">
        <v>130</v>
      </c>
      <c r="C67" s="5"/>
      <c r="D67" s="5"/>
      <c r="E67" s="27"/>
      <c r="F67" s="7"/>
      <c r="G67" s="7"/>
      <c r="H67" s="7"/>
      <c r="I67" s="15"/>
      <c r="J67" s="9"/>
      <c r="K67" s="10"/>
      <c r="L67" s="55"/>
      <c r="M67" s="66"/>
      <c r="N67" s="5"/>
      <c r="O67" s="5"/>
      <c r="P67" s="131"/>
      <c r="Q67" s="5"/>
      <c r="R67" s="131"/>
      <c r="S67" s="102"/>
      <c r="T67" s="14"/>
      <c r="U67" s="10"/>
      <c r="V67" s="25"/>
      <c r="W67" s="173"/>
      <c r="X67" s="16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W67" s="130"/>
    </row>
    <row r="68" spans="2:52" s="143" customFormat="1" x14ac:dyDescent="0.2">
      <c r="B68" s="155" t="s">
        <v>146</v>
      </c>
      <c r="E68" s="143" t="s">
        <v>152</v>
      </c>
      <c r="I68" s="145" t="s">
        <v>147</v>
      </c>
      <c r="J68" s="168">
        <f>+L68-28</f>
        <v>45975</v>
      </c>
      <c r="K68" s="129" t="s">
        <v>120</v>
      </c>
      <c r="L68" s="168">
        <v>46003</v>
      </c>
      <c r="M68" s="146"/>
      <c r="N68" s="185"/>
      <c r="O68" s="186" t="str">
        <f>IF(N68=""," 0",N68)</f>
        <v xml:space="preserve"> 0</v>
      </c>
      <c r="P68" s="157">
        <v>0</v>
      </c>
      <c r="Q68" s="157">
        <v>150</v>
      </c>
      <c r="R68" s="165">
        <f>IF(N68="",0,+AZ69)</f>
        <v>0</v>
      </c>
      <c r="S68" s="57">
        <v>3000</v>
      </c>
      <c r="T68" s="138">
        <v>1</v>
      </c>
      <c r="U68" s="129">
        <f>IF(O68=0,1,T68)</f>
        <v>1</v>
      </c>
      <c r="V68" s="129">
        <f>+R68*(U68-1)</f>
        <v>0</v>
      </c>
      <c r="W68" s="176">
        <f>U68*R68*$Q$138/3000</f>
        <v>0</v>
      </c>
      <c r="X68" s="159">
        <f>IF(N68="",0, IF(O68=0,0,+U68*S68))</f>
        <v>0</v>
      </c>
      <c r="Z68" s="129"/>
      <c r="AE68" s="169">
        <f>+J68</f>
        <v>45975</v>
      </c>
      <c r="AF68" s="169">
        <f>+AE68+3</f>
        <v>45978</v>
      </c>
      <c r="AG68" s="169">
        <f>+AF68+1</f>
        <v>45979</v>
      </c>
      <c r="AH68" s="169">
        <f t="shared" ref="AH68:AI68" si="63">+AG68+1</f>
        <v>45980</v>
      </c>
      <c r="AI68" s="169">
        <f t="shared" si="63"/>
        <v>45981</v>
      </c>
      <c r="AJ68" s="169">
        <f>+AE68+7</f>
        <v>45982</v>
      </c>
      <c r="AK68" s="169">
        <f t="shared" ref="AK68:AX68" si="64">+AF68+7</f>
        <v>45985</v>
      </c>
      <c r="AL68" s="169">
        <f t="shared" si="64"/>
        <v>45986</v>
      </c>
      <c r="AM68" s="169">
        <f t="shared" si="64"/>
        <v>45987</v>
      </c>
      <c r="AN68" s="169">
        <f t="shared" si="64"/>
        <v>45988</v>
      </c>
      <c r="AO68" s="169">
        <f t="shared" si="64"/>
        <v>45989</v>
      </c>
      <c r="AP68" s="169">
        <f t="shared" si="64"/>
        <v>45992</v>
      </c>
      <c r="AQ68" s="169">
        <f t="shared" si="64"/>
        <v>45993</v>
      </c>
      <c r="AR68" s="169">
        <f t="shared" si="64"/>
        <v>45994</v>
      </c>
      <c r="AS68" s="169">
        <f t="shared" si="64"/>
        <v>45995</v>
      </c>
      <c r="AT68" s="169">
        <f t="shared" si="64"/>
        <v>45996</v>
      </c>
      <c r="AU68" s="169">
        <f t="shared" si="64"/>
        <v>45999</v>
      </c>
      <c r="AV68" s="169">
        <f t="shared" si="64"/>
        <v>46000</v>
      </c>
      <c r="AW68" s="169">
        <f t="shared" si="64"/>
        <v>46001</v>
      </c>
      <c r="AX68" s="169">
        <f t="shared" si="64"/>
        <v>46002</v>
      </c>
    </row>
    <row r="69" spans="2:52" s="143" customFormat="1" x14ac:dyDescent="0.2">
      <c r="B69" s="155"/>
      <c r="I69" s="145" t="s">
        <v>22</v>
      </c>
      <c r="J69" s="157">
        <v>1</v>
      </c>
      <c r="K69" s="129"/>
      <c r="L69" s="157"/>
      <c r="M69" s="146"/>
      <c r="N69" s="129"/>
      <c r="O69" s="129"/>
      <c r="P69" s="129"/>
      <c r="Q69" s="157"/>
      <c r="R69" s="165"/>
      <c r="S69" s="57"/>
      <c r="T69" s="145"/>
      <c r="U69" s="129"/>
      <c r="V69" s="129"/>
      <c r="W69" s="176"/>
      <c r="X69" s="159"/>
      <c r="Z69" s="129"/>
      <c r="AE69" s="143">
        <f>IF($O$68=AE68,+$Q$68*AE70,0)</f>
        <v>0</v>
      </c>
      <c r="AF69" s="143">
        <f t="shared" ref="AF69:AX69" si="65">IF($O$68=AF68,+$Q$68*AF70,0)</f>
        <v>0</v>
      </c>
      <c r="AG69" s="143">
        <f t="shared" si="65"/>
        <v>0</v>
      </c>
      <c r="AH69" s="143">
        <f t="shared" si="65"/>
        <v>0</v>
      </c>
      <c r="AI69" s="143">
        <f t="shared" si="65"/>
        <v>0</v>
      </c>
      <c r="AJ69" s="143">
        <f t="shared" si="65"/>
        <v>0</v>
      </c>
      <c r="AK69" s="143">
        <f t="shared" si="65"/>
        <v>0</v>
      </c>
      <c r="AL69" s="143">
        <f t="shared" si="65"/>
        <v>0</v>
      </c>
      <c r="AM69" s="143">
        <f t="shared" si="65"/>
        <v>0</v>
      </c>
      <c r="AN69" s="143">
        <f t="shared" si="65"/>
        <v>0</v>
      </c>
      <c r="AO69" s="143">
        <f t="shared" si="65"/>
        <v>0</v>
      </c>
      <c r="AP69" s="143">
        <f t="shared" si="65"/>
        <v>0</v>
      </c>
      <c r="AQ69" s="143">
        <f t="shared" si="65"/>
        <v>0</v>
      </c>
      <c r="AR69" s="143">
        <f t="shared" si="65"/>
        <v>0</v>
      </c>
      <c r="AS69" s="143">
        <f t="shared" si="65"/>
        <v>0</v>
      </c>
      <c r="AT69" s="143">
        <f t="shared" si="65"/>
        <v>0</v>
      </c>
      <c r="AU69" s="143">
        <f t="shared" si="65"/>
        <v>0</v>
      </c>
      <c r="AV69" s="143">
        <f t="shared" si="65"/>
        <v>0</v>
      </c>
      <c r="AW69" s="143">
        <f t="shared" si="65"/>
        <v>0</v>
      </c>
      <c r="AX69" s="143">
        <f t="shared" si="65"/>
        <v>0</v>
      </c>
      <c r="AZ69" s="143">
        <f>ROUND(SUM(AE69:AX69),0)</f>
        <v>0</v>
      </c>
    </row>
    <row r="70" spans="2:52" s="143" customFormat="1" x14ac:dyDescent="0.2">
      <c r="B70" s="155"/>
      <c r="I70" s="145"/>
      <c r="J70" s="157"/>
      <c r="K70" s="129"/>
      <c r="L70" s="157"/>
      <c r="M70" s="146"/>
      <c r="N70" s="129"/>
      <c r="O70" s="129"/>
      <c r="P70" s="129"/>
      <c r="Q70" s="157"/>
      <c r="R70" s="165"/>
      <c r="S70" s="57"/>
      <c r="T70" s="145"/>
      <c r="U70" s="129"/>
      <c r="V70" s="129"/>
      <c r="W70" s="176"/>
      <c r="X70" s="159"/>
      <c r="Z70" s="129"/>
      <c r="AE70" s="171">
        <v>1</v>
      </c>
      <c r="AF70" s="171">
        <f>+AE70-0.05</f>
        <v>0.95</v>
      </c>
      <c r="AG70" s="171">
        <f t="shared" ref="AG70:AX70" si="66">+AF70-0.05</f>
        <v>0.89999999999999991</v>
      </c>
      <c r="AH70" s="171">
        <f t="shared" si="66"/>
        <v>0.84999999999999987</v>
      </c>
      <c r="AI70" s="171">
        <f t="shared" si="66"/>
        <v>0.79999999999999982</v>
      </c>
      <c r="AJ70" s="171">
        <f t="shared" si="66"/>
        <v>0.74999999999999978</v>
      </c>
      <c r="AK70" s="171">
        <f t="shared" si="66"/>
        <v>0.69999999999999973</v>
      </c>
      <c r="AL70" s="171">
        <f t="shared" si="66"/>
        <v>0.64999999999999969</v>
      </c>
      <c r="AM70" s="171">
        <f t="shared" si="66"/>
        <v>0.59999999999999964</v>
      </c>
      <c r="AN70" s="171">
        <f t="shared" si="66"/>
        <v>0.5499999999999996</v>
      </c>
      <c r="AO70" s="171">
        <f t="shared" si="66"/>
        <v>0.49999999999999961</v>
      </c>
      <c r="AP70" s="171">
        <f t="shared" si="66"/>
        <v>0.44999999999999962</v>
      </c>
      <c r="AQ70" s="171">
        <f t="shared" si="66"/>
        <v>0.39999999999999963</v>
      </c>
      <c r="AR70" s="171">
        <f t="shared" si="66"/>
        <v>0.34999999999999964</v>
      </c>
      <c r="AS70" s="171">
        <f t="shared" si="66"/>
        <v>0.29999999999999966</v>
      </c>
      <c r="AT70" s="171">
        <f t="shared" si="66"/>
        <v>0.24999999999999967</v>
      </c>
      <c r="AU70" s="171">
        <f t="shared" si="66"/>
        <v>0.19999999999999968</v>
      </c>
      <c r="AV70" s="171">
        <f t="shared" si="66"/>
        <v>0.14999999999999969</v>
      </c>
      <c r="AW70" s="171">
        <f t="shared" si="66"/>
        <v>9.9999999999999686E-2</v>
      </c>
      <c r="AX70" s="171">
        <f t="shared" si="66"/>
        <v>4.9999999999999684E-2</v>
      </c>
    </row>
    <row r="71" spans="2:52" s="143" customFormat="1" ht="25.5" customHeight="1" x14ac:dyDescent="0.2">
      <c r="B71" s="146" t="s">
        <v>148</v>
      </c>
      <c r="D71" s="192" t="s">
        <v>149</v>
      </c>
      <c r="E71" s="192"/>
      <c r="F71" s="192"/>
      <c r="G71" s="192"/>
      <c r="H71" s="193"/>
      <c r="I71" s="145"/>
      <c r="J71" s="129"/>
      <c r="K71" s="129"/>
      <c r="L71" s="129"/>
      <c r="M71" s="166"/>
      <c r="N71" s="129"/>
      <c r="P71" s="129"/>
      <c r="Q71" s="129"/>
      <c r="R71" s="170"/>
      <c r="S71" s="129"/>
      <c r="T71" s="145"/>
      <c r="U71" s="129"/>
      <c r="V71" s="129"/>
      <c r="W71" s="176"/>
      <c r="X71" s="159"/>
      <c r="Y71" s="129"/>
      <c r="Z71" s="129"/>
      <c r="AA71" s="129"/>
      <c r="AB71" s="129"/>
      <c r="AC71" s="129"/>
      <c r="AD71" s="129"/>
      <c r="AE71" s="129"/>
      <c r="AF71" s="129"/>
      <c r="AG71" s="129"/>
    </row>
    <row r="72" spans="2:52" s="143" customFormat="1" ht="12.75" customHeight="1" x14ac:dyDescent="0.2">
      <c r="B72" s="155"/>
      <c r="E72" s="196" t="s">
        <v>150</v>
      </c>
      <c r="F72" s="196"/>
      <c r="G72" s="196"/>
      <c r="H72" s="197"/>
      <c r="I72" s="145" t="s">
        <v>29</v>
      </c>
      <c r="J72" s="157">
        <v>100</v>
      </c>
      <c r="K72" s="129" t="s">
        <v>8</v>
      </c>
      <c r="L72" s="157">
        <v>103</v>
      </c>
      <c r="M72" s="166"/>
      <c r="N72" s="158"/>
      <c r="O72" s="129">
        <f>IF(N72="",0,+N72-J72)</f>
        <v>0</v>
      </c>
      <c r="P72" s="157">
        <v>0</v>
      </c>
      <c r="Q72" s="157">
        <v>100</v>
      </c>
      <c r="R72" s="170">
        <f>IF(N72="",0,IF(O72&lt;=1,(O72-0)*30,IF(O72&lt;=2,(O72-1)*110+30,IF(O72&lt;=3,(O72-2)*110+110+30,(O72-3)*100+160+100+40)))/250)*Q72</f>
        <v>0</v>
      </c>
      <c r="S72" s="14">
        <v>1000</v>
      </c>
      <c r="T72" s="138">
        <v>1</v>
      </c>
      <c r="U72" s="129">
        <f>IF(O72=0,1,T72)</f>
        <v>1</v>
      </c>
      <c r="V72" s="129">
        <f t="shared" ref="V72:V75" si="67">+R72*(U72-1)</f>
        <v>0</v>
      </c>
      <c r="W72" s="176">
        <f>U72*R72*$Q$138/3000</f>
        <v>0</v>
      </c>
      <c r="X72" s="159">
        <f t="shared" ref="X72:X75" si="68">IF(N72="",0, IF(O72=0,0,+U72*S72))</f>
        <v>0</v>
      </c>
      <c r="Y72" s="129"/>
      <c r="Z72" s="129"/>
      <c r="AA72" s="129"/>
      <c r="AB72" s="129"/>
      <c r="AC72" s="129"/>
      <c r="AD72" s="129"/>
      <c r="AE72" s="129"/>
      <c r="AF72" s="129"/>
      <c r="AG72" s="129"/>
      <c r="AI72" s="151"/>
      <c r="AJ72" s="151"/>
      <c r="AK72" s="151"/>
      <c r="AL72" s="151"/>
      <c r="AM72" s="151"/>
    </row>
    <row r="73" spans="2:52" s="143" customFormat="1" x14ac:dyDescent="0.2">
      <c r="B73" s="155"/>
      <c r="E73" s="161"/>
      <c r="I73" s="145" t="s">
        <v>22</v>
      </c>
      <c r="J73" s="162">
        <v>0.25</v>
      </c>
      <c r="K73" s="129"/>
      <c r="L73" s="157"/>
      <c r="M73" s="166"/>
      <c r="P73" s="157"/>
      <c r="Q73" s="157"/>
      <c r="R73" s="170"/>
      <c r="S73" s="14"/>
      <c r="T73" s="145"/>
      <c r="U73" s="129"/>
      <c r="V73" s="129"/>
      <c r="W73" s="176"/>
      <c r="X73" s="159"/>
      <c r="Y73" s="129"/>
      <c r="Z73" s="129"/>
      <c r="AA73" s="129"/>
      <c r="AB73" s="129"/>
      <c r="AC73" s="129"/>
      <c r="AD73" s="129"/>
      <c r="AE73" s="129"/>
      <c r="AF73" s="129"/>
      <c r="AG73" s="129"/>
      <c r="AI73" s="151"/>
      <c r="AJ73" s="151"/>
      <c r="AK73" s="151"/>
      <c r="AL73" s="151"/>
      <c r="AM73" s="151"/>
    </row>
    <row r="74" spans="2:52" s="143" customFormat="1" x14ac:dyDescent="0.2">
      <c r="B74" s="155"/>
      <c r="E74" s="161"/>
      <c r="I74" s="145"/>
      <c r="J74" s="162"/>
      <c r="K74" s="129"/>
      <c r="L74" s="157"/>
      <c r="M74" s="166"/>
      <c r="P74" s="157"/>
      <c r="Q74" s="157"/>
      <c r="R74" s="170"/>
      <c r="S74" s="14"/>
      <c r="T74" s="145"/>
      <c r="U74" s="129"/>
      <c r="V74" s="129"/>
      <c r="W74" s="176"/>
      <c r="X74" s="159"/>
      <c r="Y74" s="129"/>
      <c r="Z74" s="129"/>
      <c r="AA74" s="129"/>
      <c r="AB74" s="129"/>
      <c r="AC74" s="129"/>
      <c r="AD74" s="129"/>
      <c r="AE74" s="129"/>
      <c r="AF74" s="129"/>
      <c r="AG74" s="129"/>
      <c r="AI74" s="151"/>
      <c r="AJ74" s="151"/>
      <c r="AK74" s="151"/>
      <c r="AL74" s="151"/>
      <c r="AM74" s="151"/>
    </row>
    <row r="75" spans="2:52" s="143" customFormat="1" x14ac:dyDescent="0.2">
      <c r="B75" s="155"/>
      <c r="E75" s="196" t="s">
        <v>151</v>
      </c>
      <c r="F75" s="196"/>
      <c r="G75" s="196"/>
      <c r="H75" s="197"/>
      <c r="I75" s="145" t="s">
        <v>29</v>
      </c>
      <c r="J75" s="157">
        <v>100</v>
      </c>
      <c r="K75" s="129" t="s">
        <v>8</v>
      </c>
      <c r="L75" s="157">
        <v>103</v>
      </c>
      <c r="M75" s="166"/>
      <c r="N75" s="158"/>
      <c r="O75" s="129">
        <f>IF(N75="",0,+N75-J75)</f>
        <v>0</v>
      </c>
      <c r="P75" s="157">
        <v>0</v>
      </c>
      <c r="Q75" s="157">
        <v>100</v>
      </c>
      <c r="R75" s="170">
        <f>IF(N75="",0,IF(O75&lt;=1,(O75-0)*30,IF(O75&lt;=2,(O75-1)*110+30,IF(O75&lt;=3,(O75-2)*110+110+30,(O75-3)*100+160+100+40)))/250)*Q75</f>
        <v>0</v>
      </c>
      <c r="S75" s="14">
        <v>1000</v>
      </c>
      <c r="T75" s="138">
        <v>1</v>
      </c>
      <c r="U75" s="129">
        <f>IF(O75=0,1,T75)</f>
        <v>1</v>
      </c>
      <c r="V75" s="129">
        <f t="shared" si="67"/>
        <v>0</v>
      </c>
      <c r="W75" s="176">
        <f>U75*R75*$Q$138/3000</f>
        <v>0</v>
      </c>
      <c r="X75" s="159">
        <f t="shared" si="68"/>
        <v>0</v>
      </c>
      <c r="Y75" s="129"/>
      <c r="Z75" s="129"/>
      <c r="AA75" s="129"/>
      <c r="AB75" s="129"/>
      <c r="AC75" s="129"/>
      <c r="AD75" s="129"/>
      <c r="AE75" s="129"/>
      <c r="AF75" s="129"/>
      <c r="AG75" s="129"/>
      <c r="AI75" s="151"/>
      <c r="AJ75" s="151"/>
      <c r="AK75" s="151"/>
      <c r="AL75" s="151"/>
      <c r="AM75" s="151"/>
    </row>
    <row r="76" spans="2:52" s="143" customFormat="1" x14ac:dyDescent="0.2">
      <c r="B76" s="155"/>
      <c r="E76" s="161"/>
      <c r="I76" s="145" t="s">
        <v>22</v>
      </c>
      <c r="J76" s="162">
        <v>0.25</v>
      </c>
      <c r="K76" s="129"/>
      <c r="L76" s="157"/>
      <c r="M76" s="166"/>
      <c r="P76" s="157"/>
      <c r="Q76" s="157"/>
      <c r="R76" s="170"/>
      <c r="S76" s="14"/>
      <c r="T76" s="145"/>
      <c r="U76" s="129"/>
      <c r="V76" s="129"/>
      <c r="W76" s="176"/>
      <c r="X76" s="159"/>
      <c r="Y76" s="129"/>
      <c r="Z76" s="129"/>
      <c r="AA76" s="129"/>
      <c r="AB76" s="129"/>
      <c r="AC76" s="129"/>
      <c r="AD76" s="129"/>
      <c r="AE76" s="129"/>
      <c r="AF76" s="129"/>
      <c r="AG76" s="129"/>
      <c r="AI76" s="151"/>
      <c r="AJ76" s="151"/>
      <c r="AK76" s="151"/>
      <c r="AL76" s="151"/>
      <c r="AM76" s="151"/>
    </row>
    <row r="77" spans="2:52" x14ac:dyDescent="0.2">
      <c r="B77" s="4"/>
      <c r="C77" s="5"/>
      <c r="D77" s="5"/>
      <c r="E77" s="27"/>
      <c r="F77" s="7"/>
      <c r="G77" s="7"/>
      <c r="H77" s="7"/>
      <c r="I77" s="15"/>
      <c r="J77" s="9"/>
      <c r="K77" s="10"/>
      <c r="L77" s="55"/>
      <c r="M77" s="66"/>
      <c r="N77" s="5"/>
      <c r="O77" s="5"/>
      <c r="P77" s="131"/>
      <c r="Q77" s="5"/>
      <c r="R77" s="131"/>
      <c r="S77" s="102"/>
      <c r="T77" s="14"/>
      <c r="U77" s="10"/>
      <c r="V77" s="25"/>
      <c r="W77" s="173"/>
      <c r="X77" s="16"/>
      <c r="AE77" s="139"/>
      <c r="AF77" s="139"/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139"/>
      <c r="AR77" s="139"/>
      <c r="AS77" s="139"/>
      <c r="AT77" s="139"/>
      <c r="AU77" s="139"/>
    </row>
    <row r="78" spans="2:52" x14ac:dyDescent="0.2">
      <c r="B78" s="4"/>
      <c r="C78" s="5"/>
      <c r="D78" s="5"/>
      <c r="E78" s="27"/>
      <c r="F78" s="7"/>
      <c r="G78" s="7"/>
      <c r="H78" s="7"/>
      <c r="I78" s="15"/>
      <c r="J78" s="9"/>
      <c r="K78" s="10"/>
      <c r="L78" s="55"/>
      <c r="M78" s="66"/>
      <c r="N78" s="5"/>
      <c r="O78" s="5"/>
      <c r="P78" s="131"/>
      <c r="Q78" s="5"/>
      <c r="R78" s="131"/>
      <c r="S78" s="102"/>
      <c r="T78" s="14"/>
      <c r="U78" s="10"/>
      <c r="V78" s="25"/>
      <c r="W78" s="173"/>
      <c r="X78" s="16"/>
      <c r="AE78" s="139"/>
      <c r="AF78" s="139"/>
      <c r="AG78" s="139"/>
      <c r="AH78" s="139"/>
      <c r="AI78" s="139"/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</row>
    <row r="79" spans="2:52" x14ac:dyDescent="0.2">
      <c r="B79" s="144" t="s">
        <v>117</v>
      </c>
      <c r="C79" s="143"/>
      <c r="D79" s="192" t="s">
        <v>118</v>
      </c>
      <c r="E79" s="192"/>
      <c r="F79" s="192"/>
      <c r="G79" s="192"/>
      <c r="H79" s="193"/>
      <c r="I79" s="145"/>
      <c r="J79" s="129"/>
      <c r="K79" s="129"/>
      <c r="L79" s="129"/>
      <c r="M79" s="146"/>
      <c r="N79" s="129"/>
      <c r="O79" s="129"/>
      <c r="P79" s="129"/>
      <c r="Q79" s="129"/>
      <c r="R79" s="147"/>
      <c r="S79" s="129"/>
      <c r="T79" s="145"/>
      <c r="U79" s="129"/>
      <c r="V79" s="129"/>
      <c r="W79" s="176"/>
      <c r="X79" s="148"/>
      <c r="AA79" s="129">
        <v>0</v>
      </c>
      <c r="AB79" s="149">
        <v>0.05</v>
      </c>
      <c r="AC79" s="149">
        <v>0.2</v>
      </c>
      <c r="AD79" s="149">
        <v>0.4</v>
      </c>
      <c r="AE79" s="149">
        <v>0.6</v>
      </c>
      <c r="AF79" s="149">
        <v>0.8</v>
      </c>
      <c r="AG79" s="149">
        <v>0.9</v>
      </c>
      <c r="AH79" s="150">
        <v>0.95</v>
      </c>
      <c r="AI79" s="150">
        <v>1</v>
      </c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1"/>
      <c r="AW79" s="151"/>
      <c r="AY79" s="143"/>
    </row>
    <row r="80" spans="2:52" x14ac:dyDescent="0.2">
      <c r="B80" s="144"/>
      <c r="C80" s="143"/>
      <c r="D80" s="152"/>
      <c r="E80" s="152"/>
      <c r="F80" s="152"/>
      <c r="G80" s="152"/>
      <c r="H80" s="152"/>
      <c r="I80" s="145"/>
      <c r="J80" s="129"/>
      <c r="K80" s="129"/>
      <c r="L80" s="129"/>
      <c r="M80" s="146"/>
      <c r="N80" s="129"/>
      <c r="O80" s="129"/>
      <c r="P80" s="129"/>
      <c r="Q80" s="129"/>
      <c r="R80" s="147"/>
      <c r="S80" s="129"/>
      <c r="T80" s="145"/>
      <c r="U80" s="129"/>
      <c r="V80" s="129"/>
      <c r="W80" s="176"/>
      <c r="X80" s="148"/>
      <c r="AA80" s="153">
        <f>+J81</f>
        <v>80</v>
      </c>
      <c r="AB80" s="154">
        <f>+AA80+$J$82</f>
        <v>82.5</v>
      </c>
      <c r="AC80" s="154">
        <f t="shared" ref="AC80:AI80" si="69">+AB80+$J$82</f>
        <v>85</v>
      </c>
      <c r="AD80" s="154">
        <f t="shared" si="69"/>
        <v>87.5</v>
      </c>
      <c r="AE80" s="154">
        <f t="shared" si="69"/>
        <v>90</v>
      </c>
      <c r="AF80" s="154">
        <f t="shared" si="69"/>
        <v>92.5</v>
      </c>
      <c r="AG80" s="154">
        <f t="shared" si="69"/>
        <v>95</v>
      </c>
      <c r="AH80" s="154">
        <f t="shared" si="69"/>
        <v>97.5</v>
      </c>
      <c r="AI80" s="154">
        <f t="shared" si="69"/>
        <v>100</v>
      </c>
      <c r="AJ80" s="154"/>
      <c r="AL80" s="154"/>
      <c r="AM80" s="182"/>
      <c r="AN80" s="154"/>
      <c r="AO80" s="154"/>
      <c r="AP80" s="154"/>
      <c r="AQ80" s="154"/>
      <c r="AR80" s="154"/>
      <c r="AS80" s="154"/>
      <c r="AT80" s="154"/>
      <c r="AU80" s="154"/>
      <c r="AV80" s="151"/>
      <c r="AY80" s="143"/>
    </row>
    <row r="81" spans="2:51" x14ac:dyDescent="0.2">
      <c r="B81" s="155"/>
      <c r="C81" s="143"/>
      <c r="D81" s="143"/>
      <c r="E81" s="143" t="s">
        <v>119</v>
      </c>
      <c r="F81" s="143"/>
      <c r="G81" s="143"/>
      <c r="H81" s="143"/>
      <c r="I81" s="145" t="s">
        <v>29</v>
      </c>
      <c r="J81" s="156">
        <v>80</v>
      </c>
      <c r="K81" s="129" t="s">
        <v>120</v>
      </c>
      <c r="L81" s="157">
        <v>100</v>
      </c>
      <c r="M81" s="146"/>
      <c r="N81" s="158"/>
      <c r="O81" s="129">
        <f>IF(OR(N81="",0),0,N81)</f>
        <v>0</v>
      </c>
      <c r="P81" s="157">
        <v>0</v>
      </c>
      <c r="Q81" s="157">
        <v>25</v>
      </c>
      <c r="R81" s="147">
        <f>+AM81</f>
        <v>0</v>
      </c>
      <c r="S81" s="57">
        <v>250</v>
      </c>
      <c r="T81" s="138">
        <v>1</v>
      </c>
      <c r="U81" s="129">
        <f>IF(O81=0,1,T81)</f>
        <v>1</v>
      </c>
      <c r="V81" s="25">
        <f>+U81*R81-R81</f>
        <v>0</v>
      </c>
      <c r="W81" s="176">
        <f>U81*R81*$Q$138/3000</f>
        <v>0</v>
      </c>
      <c r="X81" s="159">
        <f>IF(O81=0,0,+U81*S81)</f>
        <v>0</v>
      </c>
      <c r="AA81" s="129">
        <f>IF($O$81=AA80,AA79*$Q$81,0)</f>
        <v>0</v>
      </c>
      <c r="AB81" s="129">
        <f t="shared" ref="AB81:AI81" si="70">IF($O$81=AB80,AB79*$Q$81,0)</f>
        <v>0</v>
      </c>
      <c r="AC81" s="129">
        <f t="shared" si="70"/>
        <v>0</v>
      </c>
      <c r="AD81" s="129">
        <f t="shared" si="70"/>
        <v>0</v>
      </c>
      <c r="AE81" s="129">
        <f t="shared" si="70"/>
        <v>0</v>
      </c>
      <c r="AF81" s="129">
        <f t="shared" si="70"/>
        <v>0</v>
      </c>
      <c r="AG81" s="129">
        <f t="shared" si="70"/>
        <v>0</v>
      </c>
      <c r="AH81" s="129">
        <f t="shared" si="70"/>
        <v>0</v>
      </c>
      <c r="AI81" s="129">
        <f t="shared" si="70"/>
        <v>0</v>
      </c>
      <c r="AJ81" s="129"/>
      <c r="AL81" s="129"/>
      <c r="AM81" s="182">
        <f>SUM(AA81:AI81)</f>
        <v>0</v>
      </c>
      <c r="AN81" s="129"/>
      <c r="AO81" s="129"/>
      <c r="AP81" s="129"/>
      <c r="AQ81" s="129"/>
      <c r="AR81" s="129"/>
      <c r="AS81" s="129"/>
      <c r="AT81" s="129"/>
      <c r="AU81" s="129"/>
      <c r="AV81" s="151"/>
      <c r="AY81" s="143"/>
    </row>
    <row r="82" spans="2:51" x14ac:dyDescent="0.2">
      <c r="B82" s="155"/>
      <c r="C82" s="143"/>
      <c r="D82" s="143"/>
      <c r="E82" s="143"/>
      <c r="F82" s="143"/>
      <c r="G82" s="143"/>
      <c r="H82" s="143"/>
      <c r="I82" s="145" t="s">
        <v>22</v>
      </c>
      <c r="J82" s="160">
        <v>2.5</v>
      </c>
      <c r="K82" s="129"/>
      <c r="L82" s="157"/>
      <c r="M82" s="146"/>
      <c r="N82" s="129"/>
      <c r="O82" s="129"/>
      <c r="P82" s="129"/>
      <c r="Q82" s="129"/>
      <c r="R82" s="147"/>
      <c r="S82" s="129"/>
      <c r="T82" s="145"/>
      <c r="U82" s="129"/>
      <c r="V82" s="129"/>
      <c r="W82" s="176"/>
      <c r="X82" s="148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L82" s="143"/>
      <c r="AM82" s="182"/>
      <c r="AN82" s="143"/>
      <c r="AO82" s="143"/>
      <c r="AP82" s="143"/>
      <c r="AQ82" s="143"/>
      <c r="AR82" s="143"/>
      <c r="AS82" s="143"/>
      <c r="AT82" s="143"/>
      <c r="AU82" s="143"/>
      <c r="AV82" s="151"/>
      <c r="AY82" s="143"/>
    </row>
    <row r="83" spans="2:51" x14ac:dyDescent="0.2">
      <c r="B83" s="155"/>
      <c r="C83" s="143"/>
      <c r="D83" s="143"/>
      <c r="E83" s="143"/>
      <c r="F83" s="143"/>
      <c r="G83" s="143"/>
      <c r="H83" s="143"/>
      <c r="I83" s="145"/>
      <c r="J83" s="156"/>
      <c r="K83" s="129"/>
      <c r="L83" s="157"/>
      <c r="M83" s="146"/>
      <c r="N83" s="129"/>
      <c r="O83" s="129"/>
      <c r="P83" s="129"/>
      <c r="Q83" s="129"/>
      <c r="R83" s="147"/>
      <c r="S83" s="129"/>
      <c r="T83" s="145"/>
      <c r="U83" s="129"/>
      <c r="V83" s="129"/>
      <c r="W83" s="176"/>
      <c r="X83" s="148"/>
      <c r="AA83" s="153">
        <f>+J84</f>
        <v>80</v>
      </c>
      <c r="AB83" s="154">
        <f>+AA83+$J$82</f>
        <v>82.5</v>
      </c>
      <c r="AC83" s="154">
        <f t="shared" ref="AC83:AI83" si="71">+AB83+$J$82</f>
        <v>85</v>
      </c>
      <c r="AD83" s="154">
        <f t="shared" si="71"/>
        <v>87.5</v>
      </c>
      <c r="AE83" s="154">
        <f t="shared" si="71"/>
        <v>90</v>
      </c>
      <c r="AF83" s="154">
        <f t="shared" si="71"/>
        <v>92.5</v>
      </c>
      <c r="AG83" s="154">
        <f t="shared" si="71"/>
        <v>95</v>
      </c>
      <c r="AH83" s="154">
        <f t="shared" si="71"/>
        <v>97.5</v>
      </c>
      <c r="AI83" s="154">
        <f t="shared" si="71"/>
        <v>100</v>
      </c>
      <c r="AJ83" s="154"/>
      <c r="AL83" s="154"/>
      <c r="AM83" s="182"/>
      <c r="AN83" s="154"/>
      <c r="AO83" s="154"/>
      <c r="AP83" s="154"/>
      <c r="AQ83" s="154"/>
      <c r="AR83" s="154"/>
      <c r="AS83" s="154"/>
      <c r="AT83" s="154"/>
      <c r="AU83" s="154"/>
      <c r="AV83" s="151"/>
      <c r="AY83" s="143"/>
    </row>
    <row r="84" spans="2:51" x14ac:dyDescent="0.2">
      <c r="B84" s="155"/>
      <c r="C84" s="143"/>
      <c r="D84" s="143"/>
      <c r="E84" s="143" t="s">
        <v>121</v>
      </c>
      <c r="F84" s="143"/>
      <c r="G84" s="143"/>
      <c r="H84" s="143"/>
      <c r="I84" s="145" t="s">
        <v>29</v>
      </c>
      <c r="J84" s="156">
        <v>80</v>
      </c>
      <c r="K84" s="129" t="s">
        <v>120</v>
      </c>
      <c r="L84" s="157">
        <v>100</v>
      </c>
      <c r="M84" s="146"/>
      <c r="N84" s="158"/>
      <c r="O84" s="129">
        <f>IF(OR(N84="",0),0,N84)</f>
        <v>0</v>
      </c>
      <c r="P84" s="157">
        <v>0</v>
      </c>
      <c r="Q84" s="157">
        <v>25</v>
      </c>
      <c r="R84" s="147">
        <f>+AM84</f>
        <v>0</v>
      </c>
      <c r="S84" s="57">
        <v>250</v>
      </c>
      <c r="T84" s="138">
        <v>1</v>
      </c>
      <c r="U84" s="129">
        <f>IF(O84=0,1,T84)</f>
        <v>1</v>
      </c>
      <c r="V84" s="25">
        <f>+U84*R84-R84</f>
        <v>0</v>
      </c>
      <c r="W84" s="176">
        <f>U84*R84*$Q$138/3000</f>
        <v>0</v>
      </c>
      <c r="X84" s="159">
        <f>IF(O84=0,0,+U84*S84)</f>
        <v>0</v>
      </c>
      <c r="AA84" s="129">
        <f>IF($O84=AA$80,AA$79*$Q84,0)</f>
        <v>0</v>
      </c>
      <c r="AB84" s="129">
        <f t="shared" ref="AB84:AI84" si="72">IF($O84=AB$80,AB$79*$Q84,0)</f>
        <v>0</v>
      </c>
      <c r="AC84" s="129">
        <f t="shared" si="72"/>
        <v>0</v>
      </c>
      <c r="AD84" s="129">
        <f t="shared" si="72"/>
        <v>0</v>
      </c>
      <c r="AE84" s="129">
        <f t="shared" si="72"/>
        <v>0</v>
      </c>
      <c r="AF84" s="129">
        <f t="shared" si="72"/>
        <v>0</v>
      </c>
      <c r="AG84" s="129">
        <f t="shared" si="72"/>
        <v>0</v>
      </c>
      <c r="AH84" s="129">
        <f t="shared" si="72"/>
        <v>0</v>
      </c>
      <c r="AI84" s="129">
        <f t="shared" si="72"/>
        <v>0</v>
      </c>
      <c r="AJ84" s="129"/>
      <c r="AL84" s="129"/>
      <c r="AM84" s="182">
        <f>SUM(AA84:AI84)</f>
        <v>0</v>
      </c>
      <c r="AN84" s="129"/>
      <c r="AO84" s="129"/>
      <c r="AP84" s="129"/>
      <c r="AQ84" s="129"/>
      <c r="AR84" s="129"/>
      <c r="AS84" s="129"/>
      <c r="AT84" s="129"/>
      <c r="AU84" s="129"/>
      <c r="AV84" s="151"/>
      <c r="AY84" s="143"/>
    </row>
    <row r="85" spans="2:51" x14ac:dyDescent="0.2">
      <c r="B85" s="155"/>
      <c r="C85" s="143"/>
      <c r="D85" s="143"/>
      <c r="E85" s="143"/>
      <c r="F85" s="143"/>
      <c r="G85" s="143"/>
      <c r="H85" s="143"/>
      <c r="I85" s="145" t="s">
        <v>22</v>
      </c>
      <c r="J85" s="160">
        <v>2.5</v>
      </c>
      <c r="K85" s="129"/>
      <c r="L85" s="157"/>
      <c r="M85" s="146"/>
      <c r="N85" s="129"/>
      <c r="O85" s="129"/>
      <c r="P85" s="129"/>
      <c r="Q85" s="129"/>
      <c r="R85" s="147"/>
      <c r="S85" s="129"/>
      <c r="T85" s="145"/>
      <c r="U85" s="129"/>
      <c r="V85" s="129"/>
      <c r="W85" s="176"/>
      <c r="X85" s="148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L85" s="129"/>
      <c r="AM85" s="182"/>
      <c r="AN85" s="129"/>
      <c r="AO85" s="129"/>
      <c r="AP85" s="129"/>
      <c r="AQ85" s="129"/>
      <c r="AR85" s="129"/>
      <c r="AS85" s="129"/>
      <c r="AT85" s="129"/>
      <c r="AU85" s="129"/>
      <c r="AV85" s="151"/>
      <c r="AY85" s="143"/>
    </row>
    <row r="86" spans="2:51" x14ac:dyDescent="0.2">
      <c r="B86" s="155"/>
      <c r="C86" s="143"/>
      <c r="D86" s="143"/>
      <c r="E86" s="143"/>
      <c r="F86" s="143"/>
      <c r="G86" s="143"/>
      <c r="H86" s="143"/>
      <c r="I86" s="145"/>
      <c r="J86" s="160"/>
      <c r="K86" s="129"/>
      <c r="L86" s="157"/>
      <c r="M86" s="146"/>
      <c r="N86" s="129"/>
      <c r="O86" s="129"/>
      <c r="P86" s="129"/>
      <c r="Q86" s="129"/>
      <c r="R86" s="147"/>
      <c r="S86" s="129"/>
      <c r="T86" s="145"/>
      <c r="U86" s="129"/>
      <c r="V86" s="129"/>
      <c r="W86" s="176"/>
      <c r="X86" s="148"/>
      <c r="AA86" s="143">
        <v>0</v>
      </c>
      <c r="AB86" s="143">
        <v>1</v>
      </c>
      <c r="AC86" s="143">
        <v>2</v>
      </c>
      <c r="AD86" s="143">
        <v>3</v>
      </c>
      <c r="AE86" s="143">
        <v>4</v>
      </c>
      <c r="AF86" s="143">
        <v>5</v>
      </c>
      <c r="AG86" s="143"/>
      <c r="AH86" s="151"/>
      <c r="AI86" s="151"/>
      <c r="AJ86" s="151"/>
      <c r="AL86" s="151"/>
      <c r="AM86" s="182"/>
      <c r="AN86" s="151"/>
      <c r="AO86" s="151"/>
      <c r="AP86" s="151"/>
      <c r="AQ86" s="151"/>
      <c r="AR86" s="151"/>
      <c r="AS86" s="151"/>
      <c r="AT86" s="151"/>
      <c r="AU86" s="151"/>
      <c r="AV86" s="151"/>
      <c r="AY86" s="143"/>
    </row>
    <row r="87" spans="2:51" x14ac:dyDescent="0.2">
      <c r="B87" s="155"/>
      <c r="C87" s="143"/>
      <c r="D87" s="143"/>
      <c r="E87" s="143" t="s">
        <v>122</v>
      </c>
      <c r="F87" s="143"/>
      <c r="G87" s="143"/>
      <c r="H87" s="143"/>
      <c r="I87" s="145" t="s">
        <v>123</v>
      </c>
      <c r="J87" s="156">
        <v>0</v>
      </c>
      <c r="K87" s="129" t="s">
        <v>120</v>
      </c>
      <c r="L87" s="157">
        <v>5</v>
      </c>
      <c r="M87" s="146"/>
      <c r="N87" s="158"/>
      <c r="O87" s="129">
        <f>IF(+N87="",5,N87)</f>
        <v>5</v>
      </c>
      <c r="P87" s="129">
        <v>0</v>
      </c>
      <c r="Q87" s="157">
        <v>25</v>
      </c>
      <c r="R87" s="147">
        <f>+AM87</f>
        <v>0</v>
      </c>
      <c r="S87" s="57">
        <v>250</v>
      </c>
      <c r="T87" s="138">
        <v>1</v>
      </c>
      <c r="U87" s="129">
        <f>IF(O87=5,1,T87)</f>
        <v>1</v>
      </c>
      <c r="V87" s="25">
        <f>+U87*R87-R87</f>
        <v>0</v>
      </c>
      <c r="W87" s="176">
        <f>U87*R87*$Q$138/3000</f>
        <v>0</v>
      </c>
      <c r="X87" s="159">
        <f>IF(O87=5,0,+U87*S87)</f>
        <v>0</v>
      </c>
      <c r="AA87" s="129">
        <f>IF($O$87=AA86,AA88/5*$Q$87,0)</f>
        <v>0</v>
      </c>
      <c r="AB87" s="129">
        <f t="shared" ref="AB87:AF87" si="73">IF($O$87=AB86,AB88/5*$Q$87,0)</f>
        <v>0</v>
      </c>
      <c r="AC87" s="129">
        <f t="shared" si="73"/>
        <v>0</v>
      </c>
      <c r="AD87" s="129">
        <f t="shared" si="73"/>
        <v>0</v>
      </c>
      <c r="AE87" s="129">
        <f t="shared" si="73"/>
        <v>0</v>
      </c>
      <c r="AF87" s="129">
        <f t="shared" si="73"/>
        <v>0</v>
      </c>
      <c r="AG87" s="143"/>
      <c r="AH87" s="151"/>
      <c r="AI87" s="151"/>
      <c r="AJ87" s="151"/>
      <c r="AL87" s="151"/>
      <c r="AM87" s="182">
        <f>SUM(AA87:AF87)</f>
        <v>0</v>
      </c>
      <c r="AN87" s="151"/>
      <c r="AO87" s="151"/>
      <c r="AP87" s="151"/>
      <c r="AQ87" s="151"/>
      <c r="AR87" s="151"/>
      <c r="AS87" s="151"/>
      <c r="AT87" s="151"/>
      <c r="AU87" s="151"/>
      <c r="AV87" s="151"/>
      <c r="AY87" s="143"/>
    </row>
    <row r="88" spans="2:51" x14ac:dyDescent="0.2">
      <c r="B88" s="155"/>
      <c r="C88" s="143"/>
      <c r="D88" s="143"/>
      <c r="E88" s="143"/>
      <c r="F88" s="143"/>
      <c r="G88" s="143"/>
      <c r="H88" s="143"/>
      <c r="I88" s="145"/>
      <c r="J88" s="160"/>
      <c r="K88" s="129"/>
      <c r="L88" s="157"/>
      <c r="M88" s="146"/>
      <c r="N88" s="129"/>
      <c r="O88" s="129"/>
      <c r="P88" s="129"/>
      <c r="Q88" s="129"/>
      <c r="R88" s="147"/>
      <c r="S88" s="129"/>
      <c r="T88" s="145"/>
      <c r="U88" s="129"/>
      <c r="V88" s="129"/>
      <c r="W88" s="176"/>
      <c r="X88" s="148"/>
      <c r="AA88" s="129">
        <v>5</v>
      </c>
      <c r="AB88" s="129">
        <v>4</v>
      </c>
      <c r="AC88" s="129">
        <v>3</v>
      </c>
      <c r="AD88" s="129">
        <v>2</v>
      </c>
      <c r="AE88" s="129">
        <v>1</v>
      </c>
      <c r="AF88" s="129">
        <v>0</v>
      </c>
      <c r="AG88" s="143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Y88" s="143"/>
    </row>
    <row r="89" spans="2:51" x14ac:dyDescent="0.2">
      <c r="B89" s="155"/>
      <c r="C89" s="143"/>
      <c r="D89" s="143"/>
      <c r="E89" s="143"/>
      <c r="F89" s="143"/>
      <c r="G89" s="143"/>
      <c r="H89" s="143"/>
      <c r="I89" s="145"/>
      <c r="J89" s="156"/>
      <c r="K89" s="129"/>
      <c r="L89" s="157"/>
      <c r="M89" s="146"/>
      <c r="N89" s="129"/>
      <c r="O89" s="129"/>
      <c r="P89" s="129"/>
      <c r="Q89" s="129"/>
      <c r="R89" s="147"/>
      <c r="S89" s="129"/>
      <c r="T89" s="145"/>
      <c r="U89" s="129"/>
      <c r="V89" s="129"/>
      <c r="W89" s="176"/>
      <c r="X89" s="148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</row>
    <row r="90" spans="2:51" x14ac:dyDescent="0.2">
      <c r="B90" s="155"/>
      <c r="C90" s="143"/>
      <c r="D90" s="143"/>
      <c r="E90" s="161"/>
      <c r="F90" s="143"/>
      <c r="G90" s="143"/>
      <c r="H90" s="143"/>
      <c r="I90" s="145"/>
      <c r="J90" s="162"/>
      <c r="K90" s="129"/>
      <c r="L90" s="157"/>
      <c r="M90" s="66"/>
      <c r="N90" s="5"/>
      <c r="O90" s="5"/>
      <c r="P90" s="131"/>
      <c r="Q90" s="5"/>
      <c r="R90" s="131"/>
      <c r="S90" s="102"/>
      <c r="T90" s="14"/>
      <c r="U90" s="10"/>
      <c r="V90" s="25"/>
      <c r="W90" s="173"/>
      <c r="X90" s="16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</row>
    <row r="91" spans="2:51" s="143" customFormat="1" ht="25.5" x14ac:dyDescent="0.2">
      <c r="B91" s="144" t="s">
        <v>131</v>
      </c>
      <c r="D91" s="192" t="s">
        <v>132</v>
      </c>
      <c r="E91" s="192"/>
      <c r="F91" s="192"/>
      <c r="G91" s="192"/>
      <c r="H91" s="193"/>
      <c r="I91" s="145"/>
      <c r="J91" s="129"/>
      <c r="K91" s="129"/>
      <c r="L91" s="129"/>
      <c r="M91" s="146"/>
      <c r="N91" s="129"/>
      <c r="O91" s="129"/>
      <c r="P91" s="129"/>
      <c r="Q91" s="129"/>
      <c r="R91" s="147"/>
      <c r="S91" s="129"/>
      <c r="T91" s="145"/>
      <c r="U91" s="129"/>
      <c r="W91" s="177"/>
      <c r="X91" s="148"/>
      <c r="Z91" s="129"/>
      <c r="AA91" s="129">
        <v>0</v>
      </c>
      <c r="AB91" s="149">
        <v>0.05</v>
      </c>
      <c r="AC91" s="149">
        <v>0.2</v>
      </c>
      <c r="AD91" s="149">
        <v>0.4</v>
      </c>
      <c r="AE91" s="149">
        <v>0.6</v>
      </c>
      <c r="AF91" s="149">
        <v>0.8</v>
      </c>
      <c r="AG91" s="149">
        <v>0.9</v>
      </c>
      <c r="AH91" s="150">
        <v>0.95</v>
      </c>
      <c r="AI91" s="150">
        <v>1</v>
      </c>
      <c r="AL91" s="151"/>
      <c r="AM91" s="151"/>
      <c r="AN91" s="151"/>
      <c r="AO91" s="151"/>
      <c r="AP91" s="151"/>
      <c r="AQ91"/>
      <c r="AR91"/>
      <c r="AS91"/>
      <c r="AT91"/>
      <c r="AU91"/>
    </row>
    <row r="92" spans="2:51" s="143" customFormat="1" x14ac:dyDescent="0.2">
      <c r="B92" s="144"/>
      <c r="D92" s="164"/>
      <c r="E92" s="164"/>
      <c r="F92" s="164"/>
      <c r="G92" s="164"/>
      <c r="H92" s="164"/>
      <c r="I92" s="145"/>
      <c r="J92" s="129"/>
      <c r="K92" s="129"/>
      <c r="L92" s="129"/>
      <c r="M92" s="146"/>
      <c r="N92" s="129"/>
      <c r="O92" s="129"/>
      <c r="P92" s="129"/>
      <c r="Q92" s="129"/>
      <c r="R92" s="147"/>
      <c r="S92" s="129"/>
      <c r="T92" s="145"/>
      <c r="U92" s="129"/>
      <c r="W92" s="177"/>
      <c r="X92" s="148"/>
      <c r="Y92" s="129"/>
      <c r="Z92" s="129"/>
      <c r="AA92" s="153">
        <f>+J93</f>
        <v>80</v>
      </c>
      <c r="AB92" s="154">
        <f>+AA92+$J$94</f>
        <v>82.5</v>
      </c>
      <c r="AC92" s="154">
        <f t="shared" ref="AC92:AI92" si="74">+AB92+$J$94</f>
        <v>85</v>
      </c>
      <c r="AD92" s="154">
        <f t="shared" si="74"/>
        <v>87.5</v>
      </c>
      <c r="AE92" s="154">
        <f t="shared" si="74"/>
        <v>90</v>
      </c>
      <c r="AF92" s="154">
        <f t="shared" si="74"/>
        <v>92.5</v>
      </c>
      <c r="AG92" s="154">
        <f t="shared" si="74"/>
        <v>95</v>
      </c>
      <c r="AH92" s="154">
        <f t="shared" si="74"/>
        <v>97.5</v>
      </c>
      <c r="AI92" s="154">
        <f t="shared" si="74"/>
        <v>100</v>
      </c>
      <c r="AL92" s="151"/>
      <c r="AM92" s="151"/>
      <c r="AN92" s="151"/>
    </row>
    <row r="93" spans="2:51" s="143" customFormat="1" x14ac:dyDescent="0.2">
      <c r="B93" s="155"/>
      <c r="E93" s="143" t="s">
        <v>119</v>
      </c>
      <c r="I93" s="145" t="s">
        <v>29</v>
      </c>
      <c r="J93" s="156">
        <v>80</v>
      </c>
      <c r="K93" s="129" t="s">
        <v>120</v>
      </c>
      <c r="L93" s="157">
        <v>100</v>
      </c>
      <c r="M93" s="146"/>
      <c r="N93" s="158"/>
      <c r="O93" s="129">
        <f>IF(OR(N93="",0),0,N93)</f>
        <v>0</v>
      </c>
      <c r="P93" s="157">
        <v>0</v>
      </c>
      <c r="Q93" s="157">
        <v>30</v>
      </c>
      <c r="R93" s="147">
        <f>+AM93</f>
        <v>0</v>
      </c>
      <c r="S93" s="57">
        <v>300</v>
      </c>
      <c r="T93" s="138">
        <v>1</v>
      </c>
      <c r="U93" s="129">
        <f>IF(O93=0,1,T93)</f>
        <v>1</v>
      </c>
      <c r="V93" s="129">
        <f>+R93*(U93-1)</f>
        <v>0</v>
      </c>
      <c r="W93" s="176">
        <f>U93*R93*$Q$138/3000</f>
        <v>0</v>
      </c>
      <c r="X93" s="159">
        <f>IF(O93=0,0,+U93*S93)</f>
        <v>0</v>
      </c>
      <c r="Y93" s="129"/>
      <c r="Z93" s="129"/>
      <c r="AA93" s="129">
        <f t="shared" ref="AA93:AI93" si="75">IF($O$93=AA$92,AA$91*$Q$93,0)</f>
        <v>0</v>
      </c>
      <c r="AB93" s="129">
        <f t="shared" si="75"/>
        <v>0</v>
      </c>
      <c r="AC93" s="129">
        <f t="shared" si="75"/>
        <v>0</v>
      </c>
      <c r="AD93" s="129">
        <f t="shared" si="75"/>
        <v>0</v>
      </c>
      <c r="AE93" s="129">
        <f t="shared" si="75"/>
        <v>0</v>
      </c>
      <c r="AF93" s="129">
        <f t="shared" si="75"/>
        <v>0</v>
      </c>
      <c r="AG93" s="129">
        <f t="shared" si="75"/>
        <v>0</v>
      </c>
      <c r="AH93" s="129">
        <f t="shared" si="75"/>
        <v>0</v>
      </c>
      <c r="AI93" s="129">
        <f t="shared" si="75"/>
        <v>0</v>
      </c>
      <c r="AL93" s="151"/>
      <c r="AM93" s="182">
        <f>SUM(AA93:AI93)</f>
        <v>0</v>
      </c>
      <c r="AN93" s="151"/>
    </row>
    <row r="94" spans="2:51" s="143" customFormat="1" x14ac:dyDescent="0.2">
      <c r="B94" s="155"/>
      <c r="I94" s="145" t="s">
        <v>22</v>
      </c>
      <c r="J94" s="160">
        <v>2.5</v>
      </c>
      <c r="K94" s="129"/>
      <c r="L94" s="157"/>
      <c r="M94" s="146"/>
      <c r="N94" s="129"/>
      <c r="O94" s="129"/>
      <c r="P94" s="129"/>
      <c r="Q94" s="129"/>
      <c r="R94" s="147"/>
      <c r="S94" s="129"/>
      <c r="T94" s="145"/>
      <c r="U94" s="129"/>
      <c r="W94" s="177"/>
      <c r="X94" s="148"/>
      <c r="Y94" s="129"/>
      <c r="Z94" s="129"/>
      <c r="AL94" s="151"/>
      <c r="AM94" s="182"/>
      <c r="AN94" s="151"/>
    </row>
    <row r="95" spans="2:51" s="143" customFormat="1" x14ac:dyDescent="0.2">
      <c r="B95" s="155"/>
      <c r="I95" s="145"/>
      <c r="J95" s="156"/>
      <c r="K95" s="129"/>
      <c r="L95" s="157"/>
      <c r="M95" s="146"/>
      <c r="N95" s="129"/>
      <c r="O95" s="129"/>
      <c r="P95" s="129"/>
      <c r="Q95" s="129"/>
      <c r="R95" s="147"/>
      <c r="S95" s="129"/>
      <c r="T95" s="145"/>
      <c r="U95" s="129"/>
      <c r="W95" s="177"/>
      <c r="X95" s="148"/>
      <c r="Y95" s="129"/>
      <c r="Z95" s="129"/>
      <c r="AA95" s="129"/>
      <c r="AB95" s="129"/>
      <c r="AC95" s="129"/>
      <c r="AD95" s="129"/>
      <c r="AE95" s="129"/>
      <c r="AF95" s="129"/>
      <c r="AH95" s="151"/>
      <c r="AI95" s="151"/>
      <c r="AL95" s="151"/>
      <c r="AM95" s="182"/>
      <c r="AN95" s="151"/>
    </row>
    <row r="96" spans="2:51" s="143" customFormat="1" x14ac:dyDescent="0.2">
      <c r="B96" s="155"/>
      <c r="E96" s="143" t="s">
        <v>121</v>
      </c>
      <c r="I96" s="145" t="s">
        <v>29</v>
      </c>
      <c r="J96" s="156">
        <v>80</v>
      </c>
      <c r="K96" s="129" t="s">
        <v>120</v>
      </c>
      <c r="L96" s="157">
        <v>100</v>
      </c>
      <c r="M96" s="146"/>
      <c r="N96" s="158"/>
      <c r="O96" s="129">
        <f>IF(OR(N96="",0),0,N96)</f>
        <v>0</v>
      </c>
      <c r="P96" s="157">
        <v>0</v>
      </c>
      <c r="Q96" s="157">
        <v>30</v>
      </c>
      <c r="R96" s="147">
        <f>+AM96</f>
        <v>0</v>
      </c>
      <c r="S96" s="57">
        <v>300</v>
      </c>
      <c r="T96" s="138">
        <v>1</v>
      </c>
      <c r="U96" s="129">
        <f>IF(O96=0,1,T96)</f>
        <v>1</v>
      </c>
      <c r="V96" s="129">
        <f>+R96*(U96-1)</f>
        <v>0</v>
      </c>
      <c r="W96" s="176">
        <f>U96*R96*$Q$138/3000</f>
        <v>0</v>
      </c>
      <c r="X96" s="159">
        <f>IF(O96=0,0,+U96*S96)</f>
        <v>0</v>
      </c>
      <c r="Y96" s="129"/>
      <c r="Z96" s="129"/>
      <c r="AA96" s="129">
        <f t="shared" ref="AA96:AI96" si="76">IF($O$96=AA$92,AA$91*$Q$96,0)</f>
        <v>0</v>
      </c>
      <c r="AB96" s="129">
        <f t="shared" si="76"/>
        <v>0</v>
      </c>
      <c r="AC96" s="129">
        <f t="shared" si="76"/>
        <v>0</v>
      </c>
      <c r="AD96" s="129">
        <f t="shared" si="76"/>
        <v>0</v>
      </c>
      <c r="AE96" s="129">
        <f t="shared" si="76"/>
        <v>0</v>
      </c>
      <c r="AF96" s="129">
        <f t="shared" si="76"/>
        <v>0</v>
      </c>
      <c r="AG96" s="129">
        <f t="shared" si="76"/>
        <v>0</v>
      </c>
      <c r="AH96" s="129">
        <f t="shared" si="76"/>
        <v>0</v>
      </c>
      <c r="AI96" s="129">
        <f t="shared" si="76"/>
        <v>0</v>
      </c>
      <c r="AL96" s="151"/>
      <c r="AM96" s="182">
        <f>SUM(AA96:AI96)</f>
        <v>0</v>
      </c>
      <c r="AN96" s="151"/>
    </row>
    <row r="97" spans="2:47" s="143" customFormat="1" x14ac:dyDescent="0.2">
      <c r="B97" s="155"/>
      <c r="I97" s="145" t="s">
        <v>22</v>
      </c>
      <c r="J97" s="160">
        <v>2.5</v>
      </c>
      <c r="K97" s="129"/>
      <c r="L97" s="157"/>
      <c r="M97" s="146"/>
      <c r="N97" s="129"/>
      <c r="O97" s="129"/>
      <c r="P97" s="129"/>
      <c r="Q97" s="129"/>
      <c r="R97" s="147"/>
      <c r="S97" s="129"/>
      <c r="T97" s="145"/>
      <c r="U97" s="129"/>
      <c r="W97" s="177"/>
      <c r="X97" s="148"/>
      <c r="Y97" s="129"/>
      <c r="Z97" s="129"/>
      <c r="AA97" s="129"/>
      <c r="AB97" s="129"/>
      <c r="AC97" s="129"/>
      <c r="AD97" s="129"/>
      <c r="AE97" s="129"/>
      <c r="AF97" s="129"/>
      <c r="AH97" s="151"/>
      <c r="AI97" s="151"/>
      <c r="AL97" s="151"/>
      <c r="AM97" s="182"/>
      <c r="AN97" s="151"/>
    </row>
    <row r="98" spans="2:47" s="143" customFormat="1" x14ac:dyDescent="0.2">
      <c r="B98" s="155"/>
      <c r="I98" s="145"/>
      <c r="J98" s="156"/>
      <c r="K98" s="129"/>
      <c r="L98" s="157"/>
      <c r="M98" s="146"/>
      <c r="N98" s="129"/>
      <c r="O98" s="129"/>
      <c r="P98" s="129"/>
      <c r="Q98" s="129"/>
      <c r="R98" s="147"/>
      <c r="S98" s="129"/>
      <c r="T98" s="145"/>
      <c r="U98" s="129"/>
      <c r="W98" s="177"/>
      <c r="X98" s="148"/>
      <c r="Y98" s="129"/>
      <c r="Z98" s="129"/>
      <c r="AA98" s="129"/>
      <c r="AB98" s="129"/>
      <c r="AC98" s="129"/>
      <c r="AD98" s="129"/>
      <c r="AE98" s="129"/>
      <c r="AF98" s="129"/>
      <c r="AH98" s="151"/>
      <c r="AI98" s="151"/>
      <c r="AL98" s="151"/>
      <c r="AM98" s="182"/>
      <c r="AN98" s="151"/>
    </row>
    <row r="99" spans="2:47" s="143" customFormat="1" x14ac:dyDescent="0.2">
      <c r="B99" s="155"/>
      <c r="I99" s="145"/>
      <c r="J99" s="156"/>
      <c r="K99" s="129"/>
      <c r="L99" s="157"/>
      <c r="M99" s="146"/>
      <c r="N99" s="129"/>
      <c r="O99" s="129"/>
      <c r="P99" s="129"/>
      <c r="Q99" s="129"/>
      <c r="R99" s="147"/>
      <c r="S99" s="129"/>
      <c r="T99" s="145"/>
      <c r="U99" s="129"/>
      <c r="W99" s="177"/>
      <c r="X99" s="148"/>
      <c r="Y99" s="129"/>
      <c r="Z99" s="129"/>
      <c r="AA99" s="129"/>
      <c r="AB99" s="129"/>
      <c r="AC99" s="129"/>
      <c r="AD99" s="129"/>
      <c r="AE99" s="129"/>
      <c r="AF99" s="129"/>
      <c r="AH99" s="151"/>
      <c r="AI99" s="151"/>
      <c r="AL99" s="151"/>
      <c r="AM99" s="182"/>
      <c r="AN99" s="151"/>
    </row>
    <row r="100" spans="2:47" s="143" customFormat="1" x14ac:dyDescent="0.2">
      <c r="B100" s="155"/>
      <c r="E100" s="143" t="s">
        <v>133</v>
      </c>
      <c r="I100" s="145" t="s">
        <v>29</v>
      </c>
      <c r="J100" s="156">
        <v>80</v>
      </c>
      <c r="K100" s="129" t="s">
        <v>120</v>
      </c>
      <c r="L100" s="157">
        <v>100</v>
      </c>
      <c r="M100" s="146"/>
      <c r="N100" s="158"/>
      <c r="O100" s="129">
        <f>IF(OR(N100="",0),0,N100)</f>
        <v>0</v>
      </c>
      <c r="P100" s="157">
        <v>0</v>
      </c>
      <c r="Q100" s="157">
        <v>30</v>
      </c>
      <c r="R100" s="147">
        <f>+AM100</f>
        <v>0</v>
      </c>
      <c r="S100" s="57">
        <v>300</v>
      </c>
      <c r="T100" s="138">
        <v>1</v>
      </c>
      <c r="U100" s="129">
        <f>IF(O100=0,1,T100)</f>
        <v>1</v>
      </c>
      <c r="V100" s="129">
        <f>+R100*(U100-1)</f>
        <v>0</v>
      </c>
      <c r="W100" s="176">
        <f>U100*R100*$Q$138/3000</f>
        <v>0</v>
      </c>
      <c r="X100" s="159">
        <f>IF(O100=0,0,+U100*S100)</f>
        <v>0</v>
      </c>
      <c r="Y100" s="129"/>
      <c r="Z100" s="129"/>
      <c r="AA100" s="129">
        <f t="shared" ref="AA100:AG100" si="77">IF($O$100=AA$92,AA$91*$Q$100,0)</f>
        <v>0</v>
      </c>
      <c r="AB100" s="129">
        <f t="shared" si="77"/>
        <v>0</v>
      </c>
      <c r="AC100" s="129">
        <f t="shared" si="77"/>
        <v>0</v>
      </c>
      <c r="AD100" s="129">
        <f t="shared" si="77"/>
        <v>0</v>
      </c>
      <c r="AE100" s="129">
        <f t="shared" si="77"/>
        <v>0</v>
      </c>
      <c r="AF100" s="129">
        <f t="shared" si="77"/>
        <v>0</v>
      </c>
      <c r="AG100" s="129">
        <f t="shared" si="77"/>
        <v>0</v>
      </c>
      <c r="AH100" s="129">
        <f>IF($O$100=AH$92,AH$91*$Q$100,0)</f>
        <v>0</v>
      </c>
      <c r="AI100" s="129">
        <f>IF($O$100=AI$92,AI$91*$Q$100,0)</f>
        <v>0</v>
      </c>
      <c r="AL100" s="151"/>
      <c r="AM100" s="182">
        <f>SUM(AA100:AI100)</f>
        <v>0</v>
      </c>
      <c r="AN100" s="151"/>
    </row>
    <row r="101" spans="2:47" s="143" customFormat="1" x14ac:dyDescent="0.2">
      <c r="B101" s="155"/>
      <c r="I101" s="145" t="s">
        <v>22</v>
      </c>
      <c r="J101" s="160">
        <v>2.5</v>
      </c>
      <c r="K101" s="129"/>
      <c r="L101" s="157"/>
      <c r="M101" s="146"/>
      <c r="N101" s="129"/>
      <c r="O101" s="129"/>
      <c r="P101" s="129"/>
      <c r="Q101" s="129"/>
      <c r="R101" s="147"/>
      <c r="S101" s="129"/>
      <c r="T101" s="145"/>
      <c r="U101" s="129"/>
      <c r="W101" s="177"/>
      <c r="X101" s="148"/>
      <c r="Y101" s="129"/>
      <c r="Z101" s="129"/>
      <c r="AA101" s="129"/>
      <c r="AB101" s="129"/>
      <c r="AN101" s="151"/>
    </row>
    <row r="102" spans="2:47" x14ac:dyDescent="0.2">
      <c r="B102" s="4"/>
      <c r="C102" s="5"/>
      <c r="D102" s="5"/>
      <c r="E102" s="27"/>
      <c r="F102" s="7"/>
      <c r="G102" s="7"/>
      <c r="H102" s="7"/>
      <c r="I102" s="15"/>
      <c r="J102" s="9"/>
      <c r="K102" s="10"/>
      <c r="L102" s="55"/>
      <c r="M102" s="66"/>
      <c r="N102" s="5"/>
      <c r="O102" s="5"/>
      <c r="P102" s="131"/>
      <c r="Q102" s="5"/>
      <c r="R102" s="131"/>
      <c r="S102" s="102"/>
      <c r="T102" s="14"/>
      <c r="U102" s="10"/>
      <c r="V102" s="25"/>
      <c r="W102" s="173"/>
      <c r="X102" s="16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</row>
    <row r="103" spans="2:47" s="143" customFormat="1" x14ac:dyDescent="0.2">
      <c r="B103" s="155" t="s">
        <v>134</v>
      </c>
      <c r="I103" s="145"/>
      <c r="J103" s="157"/>
      <c r="K103" s="129"/>
      <c r="L103" s="157"/>
      <c r="M103" s="146"/>
      <c r="N103" s="129"/>
      <c r="O103" s="129"/>
      <c r="P103" s="129"/>
      <c r="Q103" s="157"/>
      <c r="R103" s="165"/>
      <c r="S103" s="57"/>
      <c r="T103" s="145"/>
      <c r="U103" s="129"/>
      <c r="V103" s="129"/>
      <c r="W103" s="176"/>
      <c r="X103" s="159"/>
      <c r="Z103" s="129"/>
      <c r="AK103" s="151"/>
      <c r="AL103" s="151"/>
      <c r="AM103" s="151"/>
      <c r="AN103" s="151"/>
      <c r="AO103" s="151"/>
      <c r="AP103" s="151"/>
      <c r="AQ103"/>
      <c r="AR103"/>
      <c r="AS103"/>
      <c r="AT103"/>
      <c r="AU103"/>
    </row>
    <row r="104" spans="2:47" s="143" customFormat="1" x14ac:dyDescent="0.2">
      <c r="B104" s="146" t="s">
        <v>135</v>
      </c>
      <c r="E104" s="161"/>
      <c r="I104" s="145"/>
      <c r="J104" s="162"/>
      <c r="K104" s="129"/>
      <c r="L104" s="157"/>
      <c r="M104" s="166"/>
      <c r="P104" s="157"/>
      <c r="Q104" s="157"/>
      <c r="R104" s="147"/>
      <c r="S104" s="57"/>
      <c r="T104" s="129"/>
      <c r="U104" s="129"/>
      <c r="W104" s="177"/>
      <c r="X104" s="159"/>
      <c r="Y104" s="129"/>
      <c r="Z104" s="129"/>
      <c r="AA104" s="129"/>
      <c r="AB104" s="129" t="s">
        <v>136</v>
      </c>
      <c r="AC104" s="129"/>
      <c r="AD104" s="129"/>
      <c r="AE104" s="129"/>
      <c r="AF104" s="129"/>
      <c r="AG104" s="129"/>
      <c r="AH104" s="129"/>
      <c r="AJ104" s="151"/>
      <c r="AK104" s="151"/>
      <c r="AL104" s="151"/>
      <c r="AM104" s="151"/>
      <c r="AN104" s="151"/>
    </row>
    <row r="105" spans="2:47" s="143" customFormat="1" x14ac:dyDescent="0.2">
      <c r="B105" s="146"/>
      <c r="D105" s="194" t="s">
        <v>137</v>
      </c>
      <c r="E105" s="194"/>
      <c r="F105" s="194"/>
      <c r="G105" s="194"/>
      <c r="H105" s="195"/>
      <c r="I105" s="145"/>
      <c r="J105" s="162"/>
      <c r="K105" s="129"/>
      <c r="L105" s="157"/>
      <c r="M105" s="166"/>
      <c r="P105" s="157"/>
      <c r="Q105" s="157"/>
      <c r="R105" s="147"/>
      <c r="S105" s="57"/>
      <c r="T105" s="129"/>
      <c r="U105" s="129"/>
      <c r="W105" s="177"/>
      <c r="X105" s="159"/>
      <c r="Y105" s="129"/>
      <c r="Z105" s="129"/>
      <c r="AA105" s="129"/>
      <c r="AB105" s="129"/>
      <c r="AC105" s="129"/>
      <c r="AD105" s="129">
        <v>0</v>
      </c>
      <c r="AE105" s="129">
        <v>1</v>
      </c>
      <c r="AF105" s="129">
        <v>2</v>
      </c>
      <c r="AG105" s="129"/>
      <c r="AH105" s="129"/>
      <c r="AJ105" s="151"/>
      <c r="AK105" s="151"/>
      <c r="AL105" s="151"/>
      <c r="AM105" s="151"/>
      <c r="AN105" s="151"/>
    </row>
    <row r="106" spans="2:47" s="143" customFormat="1" x14ac:dyDescent="0.2">
      <c r="B106" s="146"/>
      <c r="E106" s="161" t="s">
        <v>138</v>
      </c>
      <c r="I106" s="145" t="s">
        <v>139</v>
      </c>
      <c r="J106" s="156">
        <v>0</v>
      </c>
      <c r="K106" s="129" t="s">
        <v>120</v>
      </c>
      <c r="L106" s="157">
        <v>2</v>
      </c>
      <c r="M106" s="166"/>
      <c r="N106" s="158"/>
      <c r="O106" s="129">
        <f>IF(OR(N106="",0),0,N106)</f>
        <v>0</v>
      </c>
      <c r="P106" s="157">
        <v>0</v>
      </c>
      <c r="Q106" s="157">
        <v>40</v>
      </c>
      <c r="R106" s="147">
        <f>+AJ106</f>
        <v>0</v>
      </c>
      <c r="S106" s="57">
        <v>400</v>
      </c>
      <c r="T106" s="138">
        <v>1</v>
      </c>
      <c r="U106" s="129">
        <f>IF(O106=0,1,T106)</f>
        <v>1</v>
      </c>
      <c r="V106" s="129">
        <f>+R106*(U106-1)</f>
        <v>0</v>
      </c>
      <c r="W106" s="176">
        <f>U106*R106*$Q$138/3000</f>
        <v>0</v>
      </c>
      <c r="X106" s="159">
        <f>IF(O106=0,0,+U106*S106)</f>
        <v>0</v>
      </c>
      <c r="Y106" s="129"/>
      <c r="Z106" s="129"/>
      <c r="AA106" s="129"/>
      <c r="AB106" s="129"/>
      <c r="AC106" s="129"/>
      <c r="AD106" s="129">
        <v>0</v>
      </c>
      <c r="AE106" s="129">
        <f>IF(N106=AE105,AE107*Q106,0)</f>
        <v>0</v>
      </c>
      <c r="AF106" s="129">
        <f>IF(O106=AF105,AF107*Q106,0)</f>
        <v>0</v>
      </c>
      <c r="AG106" s="129"/>
      <c r="AH106" s="129"/>
      <c r="AJ106" s="151">
        <f>SUM(AD106:AG106)</f>
        <v>0</v>
      </c>
      <c r="AK106" s="151"/>
      <c r="AL106" s="151"/>
      <c r="AM106" s="151"/>
      <c r="AN106" s="151"/>
    </row>
    <row r="107" spans="2:47" s="143" customFormat="1" x14ac:dyDescent="0.2">
      <c r="B107" s="146"/>
      <c r="E107" s="161"/>
      <c r="I107" s="145" t="s">
        <v>22</v>
      </c>
      <c r="J107" s="156">
        <v>1</v>
      </c>
      <c r="K107" s="129"/>
      <c r="L107" s="157"/>
      <c r="M107" s="166"/>
      <c r="O107" s="129"/>
      <c r="P107" s="157"/>
      <c r="Q107" s="157"/>
      <c r="R107" s="147"/>
      <c r="S107" s="57"/>
      <c r="T107" s="129"/>
      <c r="U107" s="129"/>
      <c r="W107" s="177"/>
      <c r="X107" s="159"/>
      <c r="Y107" s="129"/>
      <c r="Z107" s="129"/>
      <c r="AA107" s="129"/>
      <c r="AB107" s="129"/>
      <c r="AC107" s="129"/>
      <c r="AD107" s="149">
        <v>0</v>
      </c>
      <c r="AE107" s="149">
        <v>0.4</v>
      </c>
      <c r="AF107" s="149">
        <v>1</v>
      </c>
      <c r="AG107" s="129"/>
      <c r="AH107" s="129"/>
      <c r="AJ107" s="151"/>
      <c r="AK107" s="151"/>
      <c r="AL107" s="151"/>
      <c r="AM107" s="151"/>
      <c r="AN107" s="151"/>
    </row>
    <row r="108" spans="2:47" s="143" customFormat="1" x14ac:dyDescent="0.2">
      <c r="B108" s="146"/>
      <c r="E108" s="161"/>
      <c r="I108" s="145"/>
      <c r="J108" s="156"/>
      <c r="K108" s="129"/>
      <c r="L108" s="157"/>
      <c r="M108" s="166"/>
      <c r="O108" s="129"/>
      <c r="P108" s="157"/>
      <c r="Q108" s="157"/>
      <c r="R108" s="147"/>
      <c r="S108" s="57"/>
      <c r="T108" s="129"/>
      <c r="U108" s="129"/>
      <c r="W108" s="177"/>
      <c r="X108" s="15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J108" s="151"/>
      <c r="AK108" s="151"/>
      <c r="AL108" s="151"/>
      <c r="AM108" s="151"/>
      <c r="AN108" s="151"/>
    </row>
    <row r="109" spans="2:47" s="143" customFormat="1" x14ac:dyDescent="0.2">
      <c r="B109" s="146"/>
      <c r="E109" s="161"/>
      <c r="I109" s="145"/>
      <c r="J109" s="156"/>
      <c r="K109" s="129"/>
      <c r="L109" s="157"/>
      <c r="M109" s="166"/>
      <c r="O109" s="129"/>
      <c r="P109" s="157"/>
      <c r="Q109" s="157"/>
      <c r="R109" s="147"/>
      <c r="S109" s="57"/>
      <c r="T109" s="129"/>
      <c r="U109" s="129"/>
      <c r="W109" s="177"/>
      <c r="X109" s="159"/>
      <c r="Y109" s="129"/>
      <c r="Z109" s="129"/>
      <c r="AA109" s="129"/>
      <c r="AB109" s="129"/>
      <c r="AC109" s="129"/>
      <c r="AE109" s="129" t="s">
        <v>140</v>
      </c>
      <c r="AF109" s="129" t="s">
        <v>141</v>
      </c>
      <c r="AG109" s="129"/>
      <c r="AH109" s="129"/>
      <c r="AJ109" s="151"/>
      <c r="AK109" s="151"/>
      <c r="AL109" s="151"/>
      <c r="AM109" s="151"/>
      <c r="AN109" s="151"/>
    </row>
    <row r="110" spans="2:47" s="143" customFormat="1" x14ac:dyDescent="0.2">
      <c r="B110" s="146"/>
      <c r="E110" s="161"/>
      <c r="I110" s="145"/>
      <c r="J110" s="156"/>
      <c r="K110" s="129"/>
      <c r="L110" s="157"/>
      <c r="M110" s="166"/>
      <c r="O110" s="129"/>
      <c r="P110" s="157"/>
      <c r="Q110" s="157"/>
      <c r="R110" s="147"/>
      <c r="S110" s="57"/>
      <c r="T110" s="129"/>
      <c r="U110" s="129"/>
      <c r="W110" s="177"/>
      <c r="X110" s="159"/>
      <c r="Y110" s="129"/>
      <c r="Z110" s="129"/>
      <c r="AA110" s="129"/>
      <c r="AB110" s="129"/>
      <c r="AC110" s="129"/>
      <c r="AD110" s="129">
        <v>0</v>
      </c>
      <c r="AE110" s="129">
        <v>1</v>
      </c>
      <c r="AF110" s="129">
        <v>2</v>
      </c>
      <c r="AG110" s="129"/>
      <c r="AH110" s="129"/>
      <c r="AJ110" s="151"/>
      <c r="AK110" s="151"/>
      <c r="AL110" s="151"/>
      <c r="AM110" s="151"/>
      <c r="AN110" s="151"/>
    </row>
    <row r="111" spans="2:47" s="143" customFormat="1" x14ac:dyDescent="0.2">
      <c r="B111" s="146"/>
      <c r="E111" s="161" t="s">
        <v>142</v>
      </c>
      <c r="I111" s="145" t="s">
        <v>139</v>
      </c>
      <c r="J111" s="156">
        <v>0</v>
      </c>
      <c r="K111" s="129" t="s">
        <v>120</v>
      </c>
      <c r="L111" s="157">
        <v>2</v>
      </c>
      <c r="M111" s="166"/>
      <c r="N111" s="158"/>
      <c r="O111" s="129">
        <f>IF(OR(N111="",0),0,N111)</f>
        <v>0</v>
      </c>
      <c r="P111" s="157">
        <v>0</v>
      </c>
      <c r="Q111" s="157">
        <v>40</v>
      </c>
      <c r="R111" s="147">
        <f>+AJ111</f>
        <v>0</v>
      </c>
      <c r="S111" s="57">
        <v>400</v>
      </c>
      <c r="T111" s="138">
        <v>1</v>
      </c>
      <c r="U111" s="129">
        <f>IF(O111=0,1,T111)</f>
        <v>1</v>
      </c>
      <c r="V111" s="129">
        <f>+R111*(U111-1)</f>
        <v>0</v>
      </c>
      <c r="W111" s="176">
        <f>U111*R111*$Q$138/3000</f>
        <v>0</v>
      </c>
      <c r="X111" s="159">
        <f>IF(O111=0,0,+U111*S111)</f>
        <v>0</v>
      </c>
      <c r="Y111" s="129"/>
      <c r="Z111" s="129"/>
      <c r="AA111" s="129"/>
      <c r="AB111" s="129"/>
      <c r="AC111" s="129"/>
      <c r="AD111" s="129">
        <v>0</v>
      </c>
      <c r="AE111" s="129">
        <f>IF(N111=AE110,AE112*Q111,0)</f>
        <v>0</v>
      </c>
      <c r="AF111" s="129">
        <f>IF(O111=AF110,AF112*Q111,0)</f>
        <v>0</v>
      </c>
      <c r="AG111" s="129"/>
      <c r="AH111" s="129"/>
      <c r="AJ111" s="151">
        <f>SUM(AD111:AG111)</f>
        <v>0</v>
      </c>
      <c r="AK111" s="151"/>
      <c r="AL111" s="151"/>
      <c r="AM111" s="151"/>
      <c r="AN111" s="151"/>
    </row>
    <row r="112" spans="2:47" s="143" customFormat="1" x14ac:dyDescent="0.2">
      <c r="B112" s="146"/>
      <c r="E112" s="161"/>
      <c r="I112" s="145" t="s">
        <v>22</v>
      </c>
      <c r="J112" s="156">
        <v>1</v>
      </c>
      <c r="K112" s="129"/>
      <c r="L112" s="157"/>
      <c r="M112" s="166"/>
      <c r="O112" s="129"/>
      <c r="P112" s="157"/>
      <c r="Q112" s="157"/>
      <c r="R112" s="147"/>
      <c r="S112" s="57"/>
      <c r="T112" s="129"/>
      <c r="U112" s="129"/>
      <c r="W112" s="177"/>
      <c r="X112" s="159"/>
      <c r="Y112" s="129"/>
      <c r="Z112" s="129"/>
      <c r="AA112" s="129"/>
      <c r="AB112" s="129"/>
      <c r="AC112" s="129"/>
      <c r="AD112" s="149">
        <v>0</v>
      </c>
      <c r="AE112" s="149">
        <v>0.4</v>
      </c>
      <c r="AF112" s="149">
        <v>1</v>
      </c>
      <c r="AG112" s="129"/>
      <c r="AH112" s="129"/>
      <c r="AJ112" s="151"/>
      <c r="AK112" s="151"/>
      <c r="AL112" s="151"/>
      <c r="AM112" s="151"/>
      <c r="AN112" s="151"/>
    </row>
    <row r="113" spans="2:47" s="143" customFormat="1" x14ac:dyDescent="0.2">
      <c r="B113" s="146"/>
      <c r="E113" s="161"/>
      <c r="I113" s="145"/>
      <c r="J113" s="156"/>
      <c r="K113" s="129"/>
      <c r="L113" s="157"/>
      <c r="M113" s="166"/>
      <c r="O113" s="129"/>
      <c r="P113" s="157"/>
      <c r="Q113" s="157"/>
      <c r="R113" s="147"/>
      <c r="S113" s="57"/>
      <c r="T113" s="129"/>
      <c r="U113" s="129"/>
      <c r="W113" s="177"/>
      <c r="X113" s="15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J113" s="151"/>
      <c r="AK113" s="151"/>
      <c r="AL113" s="151"/>
      <c r="AM113" s="151"/>
      <c r="AN113" s="151"/>
    </row>
    <row r="114" spans="2:47" s="143" customFormat="1" x14ac:dyDescent="0.2">
      <c r="B114" s="146"/>
      <c r="E114" s="161"/>
      <c r="I114" s="145"/>
      <c r="J114" s="156"/>
      <c r="K114" s="129"/>
      <c r="L114" s="157"/>
      <c r="M114" s="166"/>
      <c r="O114" s="129"/>
      <c r="P114" s="157"/>
      <c r="Q114" s="157"/>
      <c r="R114" s="147"/>
      <c r="S114" s="57"/>
      <c r="T114" s="129"/>
      <c r="U114" s="129"/>
      <c r="W114" s="177"/>
      <c r="X114" s="159"/>
      <c r="Y114" s="129"/>
      <c r="Z114" s="129"/>
      <c r="AA114" s="129"/>
      <c r="AB114" s="129"/>
      <c r="AC114" s="129"/>
      <c r="AD114" s="129"/>
      <c r="AE114" s="167" t="s">
        <v>143</v>
      </c>
      <c r="AF114" s="129" t="s">
        <v>144</v>
      </c>
      <c r="AG114" s="129"/>
      <c r="AH114" s="129"/>
      <c r="AJ114" s="151"/>
      <c r="AK114" s="151"/>
      <c r="AL114" s="151"/>
      <c r="AM114" s="151"/>
      <c r="AN114" s="151"/>
    </row>
    <row r="115" spans="2:47" s="143" customFormat="1" x14ac:dyDescent="0.2">
      <c r="B115" s="146"/>
      <c r="E115" s="161"/>
      <c r="I115" s="145"/>
      <c r="J115" s="156"/>
      <c r="K115" s="129"/>
      <c r="L115" s="157"/>
      <c r="M115" s="166"/>
      <c r="O115" s="129"/>
      <c r="P115" s="157"/>
      <c r="Q115" s="157"/>
      <c r="R115" s="147"/>
      <c r="S115" s="57"/>
      <c r="T115" s="129"/>
      <c r="U115" s="129"/>
      <c r="W115" s="177"/>
      <c r="X115" s="159"/>
      <c r="Y115" s="129"/>
      <c r="Z115" s="129"/>
      <c r="AA115" s="129"/>
      <c r="AB115" s="129"/>
      <c r="AC115" s="129"/>
      <c r="AD115" s="129">
        <v>0</v>
      </c>
      <c r="AE115" s="129">
        <v>1</v>
      </c>
      <c r="AF115" s="129">
        <v>2</v>
      </c>
      <c r="AG115" s="129"/>
      <c r="AH115" s="129"/>
      <c r="AJ115" s="151"/>
      <c r="AK115" s="151"/>
      <c r="AL115" s="151"/>
      <c r="AM115" s="151"/>
      <c r="AN115" s="151"/>
    </row>
    <row r="116" spans="2:47" s="143" customFormat="1" x14ac:dyDescent="0.2">
      <c r="B116" s="146"/>
      <c r="E116" s="161" t="s">
        <v>145</v>
      </c>
      <c r="I116" s="145" t="s">
        <v>139</v>
      </c>
      <c r="J116" s="156">
        <v>0</v>
      </c>
      <c r="K116" s="129" t="s">
        <v>120</v>
      </c>
      <c r="L116" s="157">
        <v>2</v>
      </c>
      <c r="M116" s="166"/>
      <c r="N116" s="158"/>
      <c r="O116" s="129">
        <f>IF(OR(N116="",0),0,N116)</f>
        <v>0</v>
      </c>
      <c r="P116" s="157">
        <v>0</v>
      </c>
      <c r="Q116" s="157">
        <v>40</v>
      </c>
      <c r="R116" s="147">
        <f>+AJ116</f>
        <v>0</v>
      </c>
      <c r="S116" s="57">
        <v>400</v>
      </c>
      <c r="T116" s="138">
        <v>1</v>
      </c>
      <c r="U116" s="129">
        <f>IF(O116=0,1,T116)</f>
        <v>1</v>
      </c>
      <c r="V116" s="129">
        <f>+R116*(U116-1)</f>
        <v>0</v>
      </c>
      <c r="W116" s="176">
        <f>U116*R116*$Q$138/3000</f>
        <v>0</v>
      </c>
      <c r="X116" s="159">
        <f>IF(O116=0,0,+U116*S116)</f>
        <v>0</v>
      </c>
      <c r="Y116" s="129"/>
      <c r="Z116" s="129"/>
      <c r="AA116" s="129"/>
      <c r="AB116" s="129"/>
      <c r="AC116" s="129"/>
      <c r="AD116" s="129">
        <v>0</v>
      </c>
      <c r="AE116" s="129">
        <f>IF(N116=AE115,AE117*Q116,0)</f>
        <v>0</v>
      </c>
      <c r="AF116" s="129">
        <f>IF(O116=AF115,AF117*Q116,0)</f>
        <v>0</v>
      </c>
      <c r="AG116" s="129"/>
      <c r="AH116" s="129"/>
      <c r="AJ116" s="151">
        <f>SUM(AD116:AG116)</f>
        <v>0</v>
      </c>
      <c r="AK116" s="151"/>
      <c r="AL116" s="151"/>
      <c r="AM116" s="151"/>
      <c r="AN116" s="151"/>
    </row>
    <row r="117" spans="2:47" s="143" customFormat="1" x14ac:dyDescent="0.2">
      <c r="B117" s="146"/>
      <c r="E117" s="161"/>
      <c r="I117" s="145" t="s">
        <v>22</v>
      </c>
      <c r="J117" s="156">
        <v>1</v>
      </c>
      <c r="K117" s="129"/>
      <c r="L117" s="157"/>
      <c r="M117" s="166"/>
      <c r="O117" s="129"/>
      <c r="P117" s="157"/>
      <c r="Q117" s="157"/>
      <c r="R117" s="147"/>
      <c r="S117" s="57"/>
      <c r="T117" s="129"/>
      <c r="U117" s="129"/>
      <c r="W117" s="177"/>
      <c r="X117" s="159"/>
      <c r="Y117" s="129"/>
      <c r="Z117" s="129"/>
      <c r="AA117" s="129"/>
      <c r="AB117" s="129"/>
      <c r="AC117" s="129"/>
      <c r="AD117" s="149">
        <v>0</v>
      </c>
      <c r="AE117" s="149">
        <v>0.4</v>
      </c>
      <c r="AF117" s="149">
        <v>1</v>
      </c>
      <c r="AG117" s="129"/>
      <c r="AH117" s="129"/>
      <c r="AJ117" s="151"/>
      <c r="AK117" s="151"/>
      <c r="AL117" s="151"/>
      <c r="AM117" s="151"/>
      <c r="AN117" s="151"/>
    </row>
    <row r="118" spans="2:47" s="143" customFormat="1" x14ac:dyDescent="0.2">
      <c r="B118" s="146"/>
      <c r="E118" s="161"/>
      <c r="I118" s="145"/>
      <c r="J118" s="156"/>
      <c r="K118" s="129"/>
      <c r="L118" s="157"/>
      <c r="M118" s="166"/>
      <c r="O118" s="129"/>
      <c r="P118" s="157"/>
      <c r="Q118" s="157"/>
      <c r="R118" s="147"/>
      <c r="S118" s="57"/>
      <c r="T118" s="129"/>
      <c r="U118" s="129"/>
      <c r="W118" s="177"/>
      <c r="X118" s="15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J118" s="151"/>
      <c r="AK118" s="151"/>
      <c r="AL118" s="151"/>
      <c r="AM118" s="151"/>
      <c r="AN118" s="151"/>
    </row>
    <row r="119" spans="2:47" s="143" customFormat="1" x14ac:dyDescent="0.2">
      <c r="B119" s="155"/>
      <c r="I119" s="145"/>
      <c r="J119" s="157"/>
      <c r="K119" s="129"/>
      <c r="L119" s="157"/>
      <c r="M119" s="146"/>
      <c r="N119" s="129"/>
      <c r="O119" s="129"/>
      <c r="P119" s="129"/>
      <c r="Q119" s="157"/>
      <c r="R119" s="165"/>
      <c r="S119" s="57"/>
      <c r="T119" s="145"/>
      <c r="U119" s="129"/>
      <c r="V119" s="129"/>
      <c r="W119" s="176"/>
      <c r="X119" s="159"/>
      <c r="Z119" s="129"/>
      <c r="AK119" s="151"/>
      <c r="AL119" s="151"/>
      <c r="AM119" s="151"/>
      <c r="AN119" s="151"/>
      <c r="AO119" s="151"/>
      <c r="AP119" s="151"/>
      <c r="AQ119"/>
      <c r="AR119"/>
      <c r="AS119"/>
      <c r="AT119"/>
      <c r="AU119"/>
    </row>
    <row r="120" spans="2:47" x14ac:dyDescent="0.2">
      <c r="B120" s="4"/>
      <c r="C120" s="5"/>
      <c r="D120" s="5"/>
      <c r="E120" s="27"/>
      <c r="F120" s="7"/>
      <c r="G120" s="7"/>
      <c r="H120" s="7"/>
      <c r="I120" s="15"/>
      <c r="J120" s="9"/>
      <c r="K120" s="10"/>
      <c r="L120" s="55"/>
      <c r="M120" s="66"/>
      <c r="N120" s="5"/>
      <c r="O120" s="5"/>
      <c r="P120" s="131"/>
      <c r="Q120" s="5"/>
      <c r="R120" s="131"/>
      <c r="S120" s="102"/>
      <c r="T120" s="14"/>
      <c r="U120" s="10"/>
      <c r="V120" s="25"/>
      <c r="W120" s="173"/>
      <c r="X120" s="16"/>
      <c r="AE120" s="139"/>
      <c r="AF120" s="139"/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</row>
    <row r="121" spans="2:47" x14ac:dyDescent="0.2">
      <c r="B121" s="4"/>
      <c r="C121" s="5"/>
      <c r="D121" s="5"/>
      <c r="E121" s="27"/>
      <c r="F121" s="7"/>
      <c r="G121" s="7"/>
      <c r="H121" s="7"/>
      <c r="I121" s="15"/>
      <c r="J121" s="9"/>
      <c r="K121" s="10"/>
      <c r="L121" s="55"/>
      <c r="M121" s="66"/>
      <c r="N121" s="5"/>
      <c r="O121" s="5"/>
      <c r="P121" s="131"/>
      <c r="Q121" s="5"/>
      <c r="R121" s="131"/>
      <c r="S121" s="102"/>
      <c r="T121" s="14"/>
      <c r="U121" s="10"/>
      <c r="V121" s="25"/>
      <c r="W121" s="173"/>
      <c r="X121" s="16"/>
      <c r="AE121" s="139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</row>
    <row r="122" spans="2:47" x14ac:dyDescent="0.2">
      <c r="B122" s="4"/>
      <c r="C122" s="5"/>
      <c r="D122" s="5"/>
      <c r="E122" s="27"/>
      <c r="F122" s="7"/>
      <c r="G122" s="7"/>
      <c r="H122" s="7"/>
      <c r="I122" s="15"/>
      <c r="J122" s="9"/>
      <c r="K122" s="10"/>
      <c r="L122" s="55"/>
      <c r="M122" s="66"/>
      <c r="N122" s="5"/>
      <c r="O122" s="5"/>
      <c r="P122" s="131"/>
      <c r="Q122" s="5"/>
      <c r="R122" s="131"/>
      <c r="S122" s="102"/>
      <c r="T122" s="14"/>
      <c r="U122" s="10"/>
      <c r="V122" s="25"/>
      <c r="W122" s="173"/>
      <c r="X122" s="16"/>
      <c r="AE122" s="139"/>
      <c r="AF122" s="139"/>
      <c r="AG122" s="139"/>
      <c r="AH122" s="139"/>
      <c r="AI122" s="139"/>
      <c r="AJ122" s="139"/>
      <c r="AK122" s="139"/>
      <c r="AL122" s="139"/>
      <c r="AM122" s="139"/>
      <c r="AN122" s="139"/>
      <c r="AO122" s="139"/>
      <c r="AP122" s="139"/>
      <c r="AQ122" s="139"/>
      <c r="AR122" s="139"/>
      <c r="AS122" s="139"/>
      <c r="AT122" s="139"/>
      <c r="AU122" s="139"/>
    </row>
    <row r="123" spans="2:47" x14ac:dyDescent="0.2">
      <c r="B123" s="4"/>
      <c r="C123" s="5"/>
      <c r="D123" s="5"/>
      <c r="E123" s="27"/>
      <c r="F123" s="7"/>
      <c r="G123" s="7"/>
      <c r="H123" s="7"/>
      <c r="I123" s="15"/>
      <c r="J123" s="9"/>
      <c r="K123" s="10"/>
      <c r="L123" s="55"/>
      <c r="M123" s="66"/>
      <c r="N123" s="5"/>
      <c r="O123" s="5"/>
      <c r="P123" s="131"/>
      <c r="Q123" s="5"/>
      <c r="R123" s="131"/>
      <c r="S123" s="102"/>
      <c r="T123" s="14"/>
      <c r="U123" s="10"/>
      <c r="V123" s="25"/>
      <c r="W123" s="173"/>
      <c r="X123" s="16"/>
      <c r="AE123" s="139"/>
      <c r="AF123" s="139"/>
      <c r="AG123" s="139"/>
      <c r="AH123" s="139"/>
      <c r="AI123" s="139"/>
      <c r="AJ123" s="139"/>
      <c r="AK123" s="139"/>
      <c r="AL123" s="139"/>
      <c r="AM123" s="139"/>
      <c r="AN123" s="139"/>
      <c r="AO123" s="139"/>
      <c r="AP123" s="139"/>
      <c r="AQ123" s="139"/>
      <c r="AR123" s="139"/>
      <c r="AS123" s="139"/>
      <c r="AT123" s="139"/>
      <c r="AU123" s="139"/>
    </row>
    <row r="124" spans="2:47" x14ac:dyDescent="0.2">
      <c r="B124" s="4"/>
      <c r="C124" s="5"/>
      <c r="D124" s="5"/>
      <c r="E124" s="27"/>
      <c r="F124" s="7"/>
      <c r="G124" s="7"/>
      <c r="H124" s="7"/>
      <c r="I124" s="15"/>
      <c r="J124" s="9"/>
      <c r="K124" s="10"/>
      <c r="L124" s="55"/>
      <c r="M124" s="66"/>
      <c r="N124" s="5"/>
      <c r="O124" s="5"/>
      <c r="P124" s="131"/>
      <c r="Q124" s="5"/>
      <c r="R124" s="131"/>
      <c r="S124" s="102"/>
      <c r="T124" s="14"/>
      <c r="U124" s="10"/>
      <c r="V124" s="25"/>
      <c r="W124" s="173"/>
      <c r="X124" s="16"/>
      <c r="AE124" s="139"/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</row>
    <row r="125" spans="2:47" x14ac:dyDescent="0.2">
      <c r="B125" s="4"/>
      <c r="C125" s="5"/>
      <c r="D125" s="5"/>
      <c r="E125" s="27"/>
      <c r="F125" s="7"/>
      <c r="G125" s="7"/>
      <c r="H125" s="7"/>
      <c r="I125" s="15"/>
      <c r="J125" s="9"/>
      <c r="K125" s="10"/>
      <c r="L125" s="55"/>
      <c r="M125" s="66"/>
      <c r="N125" s="5"/>
      <c r="O125" s="5"/>
      <c r="P125" s="131"/>
      <c r="Q125" s="5"/>
      <c r="R125" s="131"/>
      <c r="S125" s="102"/>
      <c r="T125" s="14"/>
      <c r="U125" s="10"/>
      <c r="V125" s="25"/>
      <c r="W125" s="173"/>
      <c r="X125" s="16"/>
      <c r="AE125" s="139"/>
      <c r="AF125" s="139"/>
      <c r="AG125" s="139"/>
      <c r="AH125" s="139"/>
      <c r="AI125" s="139"/>
      <c r="AJ125" s="139"/>
      <c r="AK125" s="139"/>
      <c r="AL125" s="139"/>
      <c r="AM125" s="139"/>
      <c r="AN125" s="139"/>
      <c r="AO125" s="139"/>
      <c r="AP125" s="139"/>
      <c r="AQ125" s="139"/>
      <c r="AR125" s="139"/>
      <c r="AS125" s="139"/>
      <c r="AT125" s="139"/>
      <c r="AU125" s="139"/>
    </row>
    <row r="126" spans="2:47" x14ac:dyDescent="0.2">
      <c r="B126" s="4"/>
      <c r="C126" s="5"/>
      <c r="D126" s="5"/>
      <c r="E126" s="27"/>
      <c r="F126" s="7"/>
      <c r="G126" s="7"/>
      <c r="H126" s="7"/>
      <c r="I126" s="15"/>
      <c r="J126" s="9"/>
      <c r="K126" s="10"/>
      <c r="L126" s="55"/>
      <c r="M126" s="66"/>
      <c r="N126" s="5"/>
      <c r="O126" s="5"/>
      <c r="P126" s="131"/>
      <c r="Q126" s="5"/>
      <c r="R126" s="131"/>
      <c r="S126" s="102"/>
      <c r="T126" s="14"/>
      <c r="U126" s="10"/>
      <c r="V126" s="25"/>
      <c r="W126" s="173"/>
      <c r="X126" s="16"/>
      <c r="AE126" s="139"/>
      <c r="AF126" s="139"/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</row>
    <row r="127" spans="2:47" x14ac:dyDescent="0.2">
      <c r="B127" s="4"/>
      <c r="C127" s="5"/>
      <c r="D127" s="5"/>
      <c r="E127" s="27"/>
      <c r="F127" s="7"/>
      <c r="G127" s="7"/>
      <c r="H127" s="7"/>
      <c r="I127" s="15"/>
      <c r="J127" s="9"/>
      <c r="K127" s="10"/>
      <c r="L127" s="55"/>
      <c r="M127" s="66"/>
      <c r="N127" s="5"/>
      <c r="O127" s="5"/>
      <c r="P127" s="131"/>
      <c r="Q127" s="5"/>
      <c r="R127" s="131"/>
      <c r="S127" s="102"/>
      <c r="T127" s="14"/>
      <c r="U127" s="10"/>
      <c r="V127" s="25"/>
      <c r="W127" s="173"/>
      <c r="X127" s="16"/>
      <c r="AE127" s="139"/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</row>
    <row r="128" spans="2:47" ht="13.5" thickBot="1" x14ac:dyDescent="0.25">
      <c r="B128" s="4"/>
      <c r="C128" s="5"/>
      <c r="D128" s="5"/>
      <c r="E128" s="188"/>
      <c r="F128" s="188"/>
      <c r="G128" s="188"/>
      <c r="H128" s="188"/>
      <c r="I128" s="15"/>
      <c r="J128" s="10"/>
      <c r="L128" s="61"/>
      <c r="M128" s="70"/>
      <c r="N128" s="69"/>
      <c r="O128" s="69"/>
      <c r="P128" s="69"/>
      <c r="Q128" s="68"/>
      <c r="R128" s="104"/>
      <c r="S128" s="105"/>
      <c r="T128" s="69"/>
      <c r="U128" s="69"/>
      <c r="V128" s="104"/>
      <c r="W128" s="178"/>
      <c r="X128" s="71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</row>
    <row r="129" spans="2:47" x14ac:dyDescent="0.2">
      <c r="B129" s="62"/>
      <c r="C129" s="63"/>
      <c r="D129" s="63"/>
      <c r="E129" s="189"/>
      <c r="F129" s="189"/>
      <c r="G129" s="189"/>
      <c r="H129" s="189"/>
      <c r="I129" s="107"/>
      <c r="J129" s="64"/>
      <c r="K129" s="64"/>
      <c r="L129" s="108"/>
      <c r="M129" s="64"/>
      <c r="N129" s="64"/>
      <c r="O129" s="64"/>
      <c r="P129" s="64"/>
      <c r="Q129" s="64"/>
      <c r="R129" s="109"/>
      <c r="S129" s="64"/>
      <c r="T129" s="107"/>
      <c r="U129" s="64"/>
      <c r="V129" s="64"/>
      <c r="W129" s="179"/>
      <c r="X129" s="65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</row>
    <row r="130" spans="2:47" x14ac:dyDescent="0.2">
      <c r="B130" s="4"/>
      <c r="C130" s="5"/>
      <c r="D130" s="5"/>
      <c r="E130" s="188"/>
      <c r="F130" s="188"/>
      <c r="G130" s="188"/>
      <c r="H130" s="188"/>
      <c r="I130" s="15"/>
      <c r="J130" s="10" t="s">
        <v>27</v>
      </c>
      <c r="K130" s="10"/>
      <c r="L130" s="56"/>
      <c r="M130" s="10"/>
      <c r="N130" s="10"/>
      <c r="O130" s="25">
        <f>SUM(P11:P87)</f>
        <v>-182.5</v>
      </c>
      <c r="Q130" s="10"/>
      <c r="R130" s="25"/>
      <c r="S130" s="10"/>
      <c r="T130" s="15"/>
      <c r="U130" s="10"/>
      <c r="V130" s="10"/>
      <c r="W130" s="173"/>
      <c r="X130" s="22"/>
      <c r="Z130" s="17"/>
      <c r="AA130" s="187"/>
      <c r="AB130" s="187"/>
      <c r="AC130" s="187"/>
      <c r="AD130" s="187"/>
      <c r="AE130" s="187"/>
      <c r="AF130" s="187"/>
      <c r="AG130" s="187"/>
      <c r="AH130" s="187"/>
      <c r="AI130" s="187"/>
      <c r="AJ130" s="163"/>
      <c r="AK130" s="163"/>
      <c r="AL130" s="163"/>
      <c r="AM130" s="163"/>
      <c r="AN130" s="163"/>
      <c r="AO130" s="163"/>
      <c r="AP130" s="163"/>
      <c r="AQ130" s="163"/>
      <c r="AR130" s="163"/>
      <c r="AS130" s="163"/>
      <c r="AT130" s="163"/>
      <c r="AU130" s="163"/>
    </row>
    <row r="131" spans="2:47" x14ac:dyDescent="0.2">
      <c r="B131" s="4"/>
      <c r="C131" s="5"/>
      <c r="D131" s="5"/>
      <c r="E131" s="188"/>
      <c r="F131" s="188"/>
      <c r="G131" s="188"/>
      <c r="H131" s="188"/>
      <c r="I131" s="15"/>
      <c r="J131" s="10" t="s">
        <v>10</v>
      </c>
      <c r="K131" s="10"/>
      <c r="L131" s="56"/>
      <c r="M131" s="10"/>
      <c r="N131" s="10"/>
      <c r="O131" s="10">
        <f>SUM(Q10:Q124)</f>
        <v>1000</v>
      </c>
      <c r="P131" s="10"/>
      <c r="R131" s="25"/>
      <c r="S131" s="10"/>
      <c r="T131" s="15"/>
      <c r="U131" s="10"/>
      <c r="V131" s="10"/>
      <c r="W131" s="173"/>
      <c r="X131" s="22"/>
      <c r="Z131" s="17"/>
      <c r="AA131" s="124"/>
      <c r="AB131" s="124"/>
      <c r="AC131" s="124"/>
      <c r="AD131" s="124"/>
      <c r="AE131" s="124"/>
      <c r="AF131" s="124"/>
      <c r="AG131" s="124"/>
      <c r="AH131" s="124"/>
      <c r="AI131" s="124"/>
      <c r="AJ131" s="163"/>
      <c r="AK131" s="163"/>
      <c r="AL131" s="163"/>
      <c r="AM131" s="163"/>
      <c r="AN131" s="163"/>
      <c r="AO131" s="163"/>
      <c r="AP131" s="163"/>
      <c r="AQ131" s="163"/>
      <c r="AR131" s="163"/>
      <c r="AS131" s="163"/>
      <c r="AT131" s="163"/>
      <c r="AU131" s="163"/>
    </row>
    <row r="132" spans="2:47" x14ac:dyDescent="0.2">
      <c r="B132" s="4"/>
      <c r="C132" s="5"/>
      <c r="D132" s="5"/>
      <c r="E132" s="188"/>
      <c r="F132" s="188"/>
      <c r="G132" s="188"/>
      <c r="H132" s="188"/>
      <c r="I132" s="15"/>
      <c r="J132" s="10" t="s">
        <v>18</v>
      </c>
      <c r="L132" s="61"/>
      <c r="M132" s="10"/>
      <c r="N132" s="10"/>
      <c r="O132" s="10"/>
      <c r="P132" s="10"/>
      <c r="Q132" s="5"/>
      <c r="R132" s="25">
        <f>SUM(R11:R119)</f>
        <v>-182.5</v>
      </c>
      <c r="S132" s="10"/>
      <c r="T132" s="15"/>
      <c r="U132" s="10"/>
      <c r="V132" s="10"/>
      <c r="W132" s="173"/>
      <c r="X132" s="22" t="s">
        <v>6</v>
      </c>
      <c r="Z132" s="17"/>
      <c r="AA132" s="124"/>
      <c r="AB132" s="124"/>
      <c r="AC132" s="124"/>
      <c r="AD132" s="124"/>
      <c r="AE132" s="124"/>
      <c r="AF132" s="124"/>
      <c r="AG132" s="124"/>
      <c r="AH132" s="124"/>
      <c r="AI132" s="124"/>
      <c r="AJ132" s="163"/>
      <c r="AK132" s="163"/>
      <c r="AL132" s="163"/>
      <c r="AM132" s="163"/>
      <c r="AN132" s="163"/>
      <c r="AO132" s="163"/>
      <c r="AP132" s="163"/>
      <c r="AQ132" s="163"/>
      <c r="AR132" s="163"/>
      <c r="AS132" s="163"/>
      <c r="AT132" s="163"/>
      <c r="AU132" s="163"/>
    </row>
    <row r="133" spans="2:47" x14ac:dyDescent="0.2">
      <c r="B133" s="4"/>
      <c r="C133" s="5"/>
      <c r="D133" s="5"/>
      <c r="E133" s="188"/>
      <c r="F133" s="188"/>
      <c r="G133" s="188"/>
      <c r="H133" s="188"/>
      <c r="I133" s="15"/>
      <c r="J133" s="10"/>
      <c r="K133" s="10"/>
      <c r="L133" s="56"/>
      <c r="M133" s="10"/>
      <c r="N133" s="10"/>
      <c r="O133" s="10"/>
      <c r="P133" s="10"/>
      <c r="Q133" s="10"/>
      <c r="R133" s="25"/>
      <c r="S133" s="10"/>
      <c r="T133" s="15"/>
      <c r="U133" s="10"/>
      <c r="V133" s="25">
        <f>SUM(V9:V128)</f>
        <v>0</v>
      </c>
      <c r="W133" s="173"/>
      <c r="X133" s="22" t="s">
        <v>110</v>
      </c>
      <c r="Z133" s="17"/>
      <c r="AA133" s="124"/>
      <c r="AB133" s="124"/>
      <c r="AC133" s="124"/>
      <c r="AD133" s="124"/>
      <c r="AE133" s="124"/>
      <c r="AF133" s="124"/>
      <c r="AG133" s="124"/>
      <c r="AH133" s="124"/>
      <c r="AI133" s="124"/>
      <c r="AJ133" s="163"/>
      <c r="AK133" s="163"/>
      <c r="AL133" s="163"/>
      <c r="AM133" s="163"/>
      <c r="AN133" s="163"/>
      <c r="AO133" s="163"/>
      <c r="AP133" s="163"/>
      <c r="AQ133" s="163"/>
      <c r="AR133" s="163"/>
      <c r="AS133" s="163"/>
      <c r="AT133" s="163"/>
      <c r="AU133" s="163"/>
    </row>
    <row r="134" spans="2:47" ht="25.5" x14ac:dyDescent="0.2">
      <c r="B134" s="110"/>
      <c r="C134" s="111"/>
      <c r="D134" s="111"/>
      <c r="E134" s="199"/>
      <c r="F134" s="199"/>
      <c r="G134" s="199"/>
      <c r="H134" s="199"/>
      <c r="I134" s="112"/>
      <c r="J134" s="113"/>
      <c r="K134" s="113"/>
      <c r="L134" s="114"/>
      <c r="M134" s="113"/>
      <c r="N134" s="113"/>
      <c r="O134" s="113"/>
      <c r="P134" s="113"/>
      <c r="Q134" s="113"/>
      <c r="R134" s="115">
        <f>+V133</f>
        <v>0</v>
      </c>
      <c r="S134" s="116" t="s">
        <v>11</v>
      </c>
      <c r="T134" s="117"/>
      <c r="U134" s="118"/>
      <c r="V134" s="118"/>
      <c r="W134" s="180"/>
      <c r="X134" s="119" t="s">
        <v>35</v>
      </c>
      <c r="Z134" s="17"/>
      <c r="AA134" s="124"/>
      <c r="AB134" s="124"/>
      <c r="AC134" s="124"/>
      <c r="AD134" s="124"/>
      <c r="AE134" s="124"/>
      <c r="AF134" s="124"/>
      <c r="AG134" s="124"/>
      <c r="AH134" s="124"/>
      <c r="AI134" s="124"/>
      <c r="AJ134" s="163"/>
      <c r="AK134" s="163"/>
      <c r="AL134" s="163"/>
      <c r="AM134" s="163"/>
      <c r="AN134" s="163"/>
      <c r="AO134" s="163"/>
      <c r="AP134" s="163"/>
      <c r="AQ134" s="163"/>
      <c r="AR134" s="163"/>
      <c r="AS134" s="163"/>
      <c r="AT134" s="163"/>
      <c r="AU134" s="163"/>
    </row>
    <row r="135" spans="2:47" x14ac:dyDescent="0.2">
      <c r="B135" s="4"/>
      <c r="C135" s="5"/>
      <c r="D135" s="5"/>
      <c r="E135" s="188"/>
      <c r="F135" s="188"/>
      <c r="G135" s="188"/>
      <c r="H135" s="188"/>
      <c r="I135" s="15"/>
      <c r="J135" s="10"/>
      <c r="K135" s="10"/>
      <c r="L135" s="56"/>
      <c r="M135" s="10"/>
      <c r="N135" s="10"/>
      <c r="O135" s="10"/>
      <c r="P135" s="10"/>
      <c r="Q135" s="10"/>
      <c r="R135" s="25"/>
      <c r="S135" s="10"/>
      <c r="T135" s="10"/>
      <c r="U135" s="10"/>
      <c r="V135" s="10"/>
      <c r="W135" s="173"/>
      <c r="X135" s="22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</row>
    <row r="136" spans="2:47" ht="13.5" thickBot="1" x14ac:dyDescent="0.25">
      <c r="B136" s="67"/>
      <c r="C136" s="68"/>
      <c r="D136" s="68"/>
      <c r="E136" s="200"/>
      <c r="F136" s="200"/>
      <c r="G136" s="200"/>
      <c r="H136" s="200"/>
      <c r="I136" s="106"/>
      <c r="J136" s="69"/>
      <c r="K136" s="69"/>
      <c r="L136" s="120"/>
      <c r="M136" s="69"/>
      <c r="N136" s="69"/>
      <c r="O136" s="69" t="s">
        <v>32</v>
      </c>
      <c r="P136" s="69"/>
      <c r="Q136" s="69"/>
      <c r="R136" s="140">
        <f>SUM(R132:R134)</f>
        <v>-182.5</v>
      </c>
      <c r="S136" s="69" t="s">
        <v>9</v>
      </c>
      <c r="T136" s="69"/>
      <c r="U136" s="69"/>
      <c r="V136" s="69"/>
      <c r="W136" s="178"/>
      <c r="X136" s="121"/>
      <c r="Z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</row>
    <row r="137" spans="2:47" x14ac:dyDescent="0.2">
      <c r="B137" s="5"/>
      <c r="C137" s="5"/>
      <c r="D137" s="5"/>
      <c r="E137" s="125"/>
      <c r="F137" s="125"/>
      <c r="G137" s="125"/>
      <c r="H137" s="125"/>
      <c r="I137" s="10"/>
      <c r="J137" s="10"/>
      <c r="K137" s="10"/>
      <c r="L137" s="56"/>
      <c r="M137" s="10"/>
      <c r="N137" s="10"/>
      <c r="O137" s="10"/>
      <c r="P137" s="10"/>
      <c r="Q137" s="10"/>
      <c r="R137" s="25"/>
      <c r="S137" s="10"/>
      <c r="T137" s="10"/>
      <c r="U137" s="10"/>
      <c r="V137" s="10"/>
      <c r="W137" s="173"/>
      <c r="X137" s="5"/>
      <c r="Z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</row>
    <row r="138" spans="2:47" x14ac:dyDescent="0.2">
      <c r="B138" s="5"/>
      <c r="C138" s="5"/>
      <c r="D138" s="5"/>
      <c r="E138" s="125"/>
      <c r="F138" s="125"/>
      <c r="G138" s="125"/>
      <c r="H138" s="125"/>
      <c r="I138" s="10"/>
      <c r="J138" s="10"/>
      <c r="K138" s="10"/>
      <c r="L138" s="56"/>
      <c r="M138" s="10"/>
      <c r="N138" s="10"/>
      <c r="O138" s="10" t="s">
        <v>33</v>
      </c>
      <c r="Q138" s="122">
        <v>900000</v>
      </c>
      <c r="R138" s="25"/>
      <c r="S138" s="10" t="s">
        <v>112</v>
      </c>
      <c r="T138" s="10"/>
      <c r="U138" s="10"/>
      <c r="V138" s="10"/>
      <c r="W138" s="173"/>
      <c r="X138" s="5"/>
      <c r="Z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</row>
    <row r="139" spans="2:47" x14ac:dyDescent="0.2">
      <c r="B139" s="5"/>
      <c r="C139" s="5"/>
      <c r="D139" s="5"/>
      <c r="E139" s="125"/>
      <c r="F139" s="125"/>
      <c r="G139" s="125"/>
      <c r="H139" s="125"/>
      <c r="I139" s="10"/>
      <c r="J139" s="10"/>
      <c r="K139" s="10"/>
      <c r="L139" s="56"/>
      <c r="M139" s="10"/>
      <c r="N139" s="10"/>
      <c r="O139" s="10" t="s">
        <v>34</v>
      </c>
      <c r="P139" s="10"/>
      <c r="Q139" s="122">
        <f>+R136/3000*Q138</f>
        <v>-54750</v>
      </c>
      <c r="R139" s="25"/>
      <c r="S139" s="10" t="s">
        <v>113</v>
      </c>
      <c r="T139" s="10"/>
      <c r="U139" s="10"/>
      <c r="V139" s="10"/>
      <c r="W139" s="173"/>
      <c r="X139" s="5"/>
      <c r="Z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</row>
    <row r="140" spans="2:47" x14ac:dyDescent="0.2">
      <c r="E140" s="191"/>
      <c r="F140" s="191"/>
      <c r="G140" s="191"/>
      <c r="H140" s="191"/>
      <c r="S140" s="20" t="s">
        <v>114</v>
      </c>
    </row>
    <row r="141" spans="2:47" x14ac:dyDescent="0.2">
      <c r="E141" s="191"/>
      <c r="F141" s="191"/>
      <c r="G141" s="191"/>
      <c r="H141" s="191"/>
    </row>
    <row r="142" spans="2:47" x14ac:dyDescent="0.2">
      <c r="B142" s="60" t="s">
        <v>58</v>
      </c>
      <c r="C142" s="60" t="s">
        <v>0</v>
      </c>
      <c r="D142" s="60"/>
      <c r="E142" s="198"/>
      <c r="F142" s="198"/>
      <c r="G142" s="198"/>
      <c r="H142" s="198"/>
    </row>
    <row r="143" spans="2:47" x14ac:dyDescent="0.2">
      <c r="B143" s="60"/>
      <c r="C143" s="60"/>
      <c r="D143" s="60"/>
      <c r="E143" s="201"/>
      <c r="F143" s="201"/>
      <c r="G143" s="201"/>
      <c r="H143" s="201"/>
    </row>
    <row r="144" spans="2:47" x14ac:dyDescent="0.2">
      <c r="B144" s="60" t="s">
        <v>59</v>
      </c>
      <c r="C144" s="60" t="s">
        <v>0</v>
      </c>
      <c r="D144" s="60"/>
      <c r="E144" s="198"/>
      <c r="F144" s="198"/>
      <c r="G144" s="198"/>
      <c r="H144" s="198"/>
    </row>
    <row r="145" spans="2:8" x14ac:dyDescent="0.2">
      <c r="B145" s="60" t="s">
        <v>60</v>
      </c>
      <c r="C145" s="60" t="s">
        <v>0</v>
      </c>
      <c r="D145" s="60"/>
      <c r="E145" s="198"/>
      <c r="F145" s="198"/>
      <c r="G145" s="198"/>
      <c r="H145" s="198"/>
    </row>
    <row r="146" spans="2:8" x14ac:dyDescent="0.2">
      <c r="B146" s="60"/>
      <c r="C146" s="60"/>
      <c r="D146" s="60"/>
      <c r="E146" s="201"/>
      <c r="F146" s="201"/>
      <c r="G146" s="201"/>
      <c r="H146" s="201"/>
    </row>
    <row r="147" spans="2:8" x14ac:dyDescent="0.2">
      <c r="B147" s="60" t="s">
        <v>61</v>
      </c>
      <c r="C147" s="60" t="s">
        <v>0</v>
      </c>
      <c r="D147" s="60"/>
      <c r="E147" s="202"/>
      <c r="F147" s="202"/>
      <c r="G147" s="202"/>
      <c r="H147" s="202"/>
    </row>
    <row r="148" spans="2:8" x14ac:dyDescent="0.2">
      <c r="B148" s="60"/>
      <c r="C148" s="60"/>
      <c r="D148" s="60"/>
      <c r="E148" s="202"/>
      <c r="F148" s="202"/>
      <c r="G148" s="202"/>
      <c r="H148" s="202"/>
    </row>
    <row r="149" spans="2:8" x14ac:dyDescent="0.2">
      <c r="B149" s="60"/>
      <c r="C149" s="60"/>
      <c r="D149" s="60"/>
      <c r="E149" s="202"/>
      <c r="F149" s="202"/>
      <c r="G149" s="202"/>
      <c r="H149" s="202"/>
    </row>
    <row r="150" spans="2:8" x14ac:dyDescent="0.2">
      <c r="B150" s="60"/>
      <c r="C150" s="60"/>
      <c r="D150" s="60"/>
      <c r="E150" s="202"/>
      <c r="F150" s="202"/>
      <c r="G150" s="202"/>
      <c r="H150" s="202"/>
    </row>
    <row r="151" spans="2:8" x14ac:dyDescent="0.2">
      <c r="B151" s="60"/>
      <c r="C151" s="60"/>
      <c r="D151" s="60"/>
      <c r="E151" s="202"/>
      <c r="F151" s="202"/>
      <c r="G151" s="202"/>
      <c r="H151" s="202"/>
    </row>
    <row r="152" spans="2:8" x14ac:dyDescent="0.2">
      <c r="E152" s="191"/>
      <c r="F152" s="191"/>
      <c r="G152" s="191"/>
      <c r="H152" s="191"/>
    </row>
    <row r="153" spans="2:8" x14ac:dyDescent="0.2">
      <c r="E153" s="191"/>
      <c r="F153" s="191"/>
      <c r="G153" s="191"/>
      <c r="H153" s="191"/>
    </row>
    <row r="154" spans="2:8" x14ac:dyDescent="0.2">
      <c r="E154" s="191"/>
      <c r="F154" s="191"/>
      <c r="G154" s="191"/>
      <c r="H154" s="191"/>
    </row>
  </sheetData>
  <sheetProtection algorithmName="SHA-512" hashValue="jhdHxP97jlZND5RfsmaDyWYB58spfr8I/aieHgUEf2U1lplRNI/iQN828a4H5TeAwWlLpURIzUKTL22P0/t5UQ==" saltValue="JSWo8IlZz5xXsxJUZeaG3g==" spinCount="100000" sheet="1" objects="1" scenarios="1"/>
  <mergeCells count="31">
    <mergeCell ref="E153:H153"/>
    <mergeCell ref="E154:H154"/>
    <mergeCell ref="E152:H152"/>
    <mergeCell ref="E147:H151"/>
    <mergeCell ref="E146:H146"/>
    <mergeCell ref="E145:H145"/>
    <mergeCell ref="E132:H132"/>
    <mergeCell ref="E133:H133"/>
    <mergeCell ref="E134:H134"/>
    <mergeCell ref="E131:H131"/>
    <mergeCell ref="E135:H135"/>
    <mergeCell ref="E136:H136"/>
    <mergeCell ref="E140:H140"/>
    <mergeCell ref="E141:H141"/>
    <mergeCell ref="E142:H142"/>
    <mergeCell ref="E143:H143"/>
    <mergeCell ref="E144:H144"/>
    <mergeCell ref="AA130:AI130"/>
    <mergeCell ref="E5:H5"/>
    <mergeCell ref="E128:H128"/>
    <mergeCell ref="E129:H129"/>
    <mergeCell ref="D9:H9"/>
    <mergeCell ref="E12:H12"/>
    <mergeCell ref="E6:H6"/>
    <mergeCell ref="D79:H79"/>
    <mergeCell ref="E130:H130"/>
    <mergeCell ref="D91:H91"/>
    <mergeCell ref="D105:H105"/>
    <mergeCell ref="D71:H71"/>
    <mergeCell ref="E72:H72"/>
    <mergeCell ref="E75:H75"/>
  </mergeCells>
  <dataValidations xWindow="800" yWindow="747" count="7">
    <dataValidation type="whole" allowBlank="1" showInputMessage="1" showErrorMessage="1" sqref="N17 N12:N15 N25:N27 N45 N29 N59" xr:uid="{00000000-0002-0000-0000-000000000000}">
      <formula1>J12</formula1>
      <formula2>L12</formula2>
    </dataValidation>
    <dataValidation type="list" allowBlank="1" showInputMessage="1" showErrorMessage="1" sqref="T12" xr:uid="{00000000-0002-0000-0000-000001000000}">
      <formula1>$C$6:$C$9</formula1>
    </dataValidation>
    <dataValidation type="whole" allowBlank="1" showInputMessage="1" showErrorMessage="1" sqref="K129:M129" xr:uid="{00000000-0002-0000-0000-000002000000}">
      <formula1>#REF!</formula1>
      <formula2>#REF!</formula2>
    </dataValidation>
    <dataValidation type="list" allowBlank="1" showInputMessage="1" showErrorMessage="1" sqref="N68" xr:uid="{6B736E56-7C64-41A4-974F-951143FE18AE}">
      <formula1>$AE$68:$AX$68</formula1>
    </dataValidation>
    <dataValidation type="list" allowBlank="1" showInputMessage="1" showErrorMessage="1" sqref="N116" xr:uid="{AE4615D3-90C3-4548-B593-C857694E845B}">
      <formula1>$AD$115:$AF$115</formula1>
    </dataValidation>
    <dataValidation type="list" allowBlank="1" showInputMessage="1" showErrorMessage="1" sqref="N106" xr:uid="{E6526D0B-D1ED-49B8-95AE-E942C29FD337}">
      <formula1>$AD$105:$AF$105</formula1>
    </dataValidation>
    <dataValidation type="list" allowBlank="1" showInputMessage="1" showErrorMessage="1" sqref="N111" xr:uid="{DCA96EBB-26A8-4EC6-A08A-AECE8B42BDF6}">
      <formula1>$AD$110:$AF$110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00" yWindow="747" count="7">
        <x14:dataValidation type="list" allowBlank="1" showInputMessage="1" showErrorMessage="1" xr:uid="{00000000-0002-0000-0000-000003000000}">
          <x14:formula1>
            <xm:f>Invulwaarden!$B$8:$B$9</xm:f>
          </x14:formula1>
          <xm:sqref>N28 N16 N18 N30 N44 N46 N58 N60</xm:sqref>
        </x14:dataValidation>
        <x14:dataValidation type="list" allowBlank="1" showInputMessage="1" showErrorMessage="1" xr:uid="{00000000-0002-0000-0000-000004000000}">
          <x14:formula1>
            <xm:f>Invulwaarden!$D$8:$D$28</xm:f>
          </x14:formula1>
          <xm:sqref>T11 T33 T49 T21 T63 T68 T72 T75 T81 T84 T87 T93 T96 T100 T106 T111 T116</xm:sqref>
        </x14:dataValidation>
        <x14:dataValidation type="list" allowBlank="1" showInputMessage="1" showErrorMessage="1" xr:uid="{71C0C3C4-9F2B-452A-AF3A-6906992F45F8}">
          <x14:formula1>
            <xm:f>Invulwaarden!$F$8:$F$28</xm:f>
          </x14:formula1>
          <xm:sqref>N34 N32 N22 N20 N50 N48 N64 N62</xm:sqref>
        </x14:dataValidation>
        <x14:dataValidation type="list" allowBlank="1" showInputMessage="1" showErrorMessage="1" xr:uid="{403D2A01-C939-41F5-82FA-56BF62C25DA9}">
          <x14:formula1>
            <xm:f>Invulwaarden!$M$8:$M$16</xm:f>
          </x14:formula1>
          <xm:sqref>N81 N100 N96 N93 N84</xm:sqref>
        </x14:dataValidation>
        <x14:dataValidation type="list" allowBlank="1" showInputMessage="1" showErrorMessage="1" xr:uid="{FAFBB1E3-E403-4693-8D4A-EF4AC8A138A0}">
          <x14:formula1>
            <xm:f>Invulwaarden!$N$8:$N$13</xm:f>
          </x14:formula1>
          <xm:sqref>N87</xm:sqref>
        </x14:dataValidation>
        <x14:dataValidation type="list" allowBlank="1" showInputMessage="1" showErrorMessage="1" xr:uid="{0357C192-CEF3-48F1-A647-E9223C861334}">
          <x14:formula1>
            <xm:f>Invulwaarden!$H$8:$H$20</xm:f>
          </x14:formula1>
          <xm:sqref>N72</xm:sqref>
        </x14:dataValidation>
        <x14:dataValidation type="list" allowBlank="1" showInputMessage="1" showErrorMessage="1" xr:uid="{1F33493C-31B3-42BD-9144-B64319661FAB}">
          <x14:formula1>
            <xm:f>Invulwaarden!$J$8:$J$20</xm:f>
          </x14:formula1>
          <xm:sqref>N75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Q96"/>
  <sheetViews>
    <sheetView workbookViewId="0">
      <selection activeCell="T3" sqref="T3"/>
    </sheetView>
  </sheetViews>
  <sheetFormatPr defaultRowHeight="12.75" x14ac:dyDescent="0.2"/>
  <cols>
    <col min="2" max="2" width="13" customWidth="1"/>
    <col min="3" max="7" width="10.140625" customWidth="1"/>
    <col min="8" max="8" width="2.7109375" customWidth="1"/>
    <col min="9" max="9" width="9" customWidth="1"/>
    <col min="12" max="12" width="13.5703125" customWidth="1"/>
    <col min="18" max="18" width="2.28515625" customWidth="1"/>
    <col min="19" max="20" width="8.28515625" customWidth="1"/>
    <col min="21" max="21" width="10.85546875" customWidth="1"/>
    <col min="22" max="22" width="12.7109375" customWidth="1"/>
    <col min="23" max="23" width="10" customWidth="1"/>
    <col min="28" max="28" width="2.7109375" customWidth="1"/>
    <col min="29" max="29" width="6.28515625" bestFit="1" customWidth="1"/>
    <col min="30" max="30" width="6.28515625" customWidth="1"/>
    <col min="31" max="31" width="10.85546875" customWidth="1"/>
    <col min="32" max="32" width="23" bestFit="1" customWidth="1"/>
    <col min="33" max="33" width="10" customWidth="1"/>
    <col min="38" max="38" width="2.7109375" customWidth="1"/>
  </cols>
  <sheetData>
    <row r="2" spans="2:39" x14ac:dyDescent="0.2">
      <c r="B2" s="60" t="str">
        <f>+'EMVI-beoordelingsmatrix'!B3</f>
        <v>Bestek 20##-4###</v>
      </c>
      <c r="C2" s="60"/>
      <c r="D2" s="60" t="str">
        <f>+'EMVI-beoordelingsmatrix'!E3</f>
        <v>#######</v>
      </c>
    </row>
    <row r="3" spans="2:39" x14ac:dyDescent="0.2">
      <c r="B3" t="s">
        <v>54</v>
      </c>
    </row>
    <row r="5" spans="2:39" x14ac:dyDescent="0.2">
      <c r="B5" t="s">
        <v>37</v>
      </c>
      <c r="C5" s="28" t="s">
        <v>38</v>
      </c>
      <c r="D5" s="204"/>
      <c r="E5" s="204"/>
      <c r="F5" s="204"/>
      <c r="G5" s="204"/>
    </row>
    <row r="6" spans="2:39" x14ac:dyDescent="0.2">
      <c r="B6" t="s">
        <v>39</v>
      </c>
      <c r="C6" s="28" t="s">
        <v>38</v>
      </c>
      <c r="D6" t="s">
        <v>40</v>
      </c>
      <c r="E6" s="123"/>
      <c r="F6" t="s">
        <v>41</v>
      </c>
      <c r="G6" s="123"/>
      <c r="H6" s="29"/>
      <c r="I6" s="29"/>
    </row>
    <row r="7" spans="2:39" x14ac:dyDescent="0.2">
      <c r="C7" s="28"/>
      <c r="H7" s="29"/>
      <c r="I7" s="29"/>
    </row>
    <row r="8" spans="2:39" x14ac:dyDescent="0.2">
      <c r="B8" t="s">
        <v>92</v>
      </c>
      <c r="E8" s="30">
        <f>+'EMVI-beoordelingsmatrix'!O21/100</f>
        <v>0</v>
      </c>
      <c r="L8" t="s">
        <v>92</v>
      </c>
      <c r="O8" s="30">
        <f>+'EMVI-beoordelingsmatrix'!O33/100</f>
        <v>0</v>
      </c>
      <c r="V8" t="s">
        <v>108</v>
      </c>
      <c r="X8" s="30">
        <f>+'EMVI-beoordelingsmatrix'!O49/100</f>
        <v>0</v>
      </c>
      <c r="AF8" t="s">
        <v>108</v>
      </c>
      <c r="AH8" s="30">
        <f>+'EMVI-beoordelingsmatrix'!O63/100</f>
        <v>0</v>
      </c>
    </row>
    <row r="9" spans="2:39" x14ac:dyDescent="0.2">
      <c r="B9" t="s">
        <v>100</v>
      </c>
      <c r="E9" s="30">
        <f>+'EMVI-beoordelingsmatrix'!O23/100</f>
        <v>0</v>
      </c>
      <c r="L9" t="s">
        <v>100</v>
      </c>
      <c r="O9" s="30">
        <f>+'EMVI-beoordelingsmatrix'!O35/100</f>
        <v>0</v>
      </c>
      <c r="V9" t="s">
        <v>100</v>
      </c>
      <c r="X9" s="30">
        <f>+'EMVI-beoordelingsmatrix'!O51/100</f>
        <v>0</v>
      </c>
      <c r="AF9" t="s">
        <v>100</v>
      </c>
      <c r="AH9" s="30">
        <f>+'EMVI-beoordelingsmatrix'!O65/100</f>
        <v>0</v>
      </c>
    </row>
    <row r="10" spans="2:39" x14ac:dyDescent="0.2">
      <c r="B10" t="s">
        <v>101</v>
      </c>
    </row>
    <row r="11" spans="2:39" ht="13.5" thickBot="1" x14ac:dyDescent="0.25">
      <c r="B11" t="s">
        <v>98</v>
      </c>
      <c r="L11" t="s">
        <v>99</v>
      </c>
      <c r="V11" t="s">
        <v>104</v>
      </c>
      <c r="AF11" t="s">
        <v>109</v>
      </c>
    </row>
    <row r="12" spans="2:39" ht="13.5" thickBot="1" x14ac:dyDescent="0.25">
      <c r="B12" s="31"/>
      <c r="C12" s="32" t="s">
        <v>40</v>
      </c>
      <c r="D12" s="32" t="s">
        <v>42</v>
      </c>
      <c r="E12" s="32" t="s">
        <v>43</v>
      </c>
      <c r="F12" s="32" t="s">
        <v>44</v>
      </c>
      <c r="G12" s="33" t="s">
        <v>45</v>
      </c>
      <c r="I12" s="34" t="s">
        <v>46</v>
      </c>
      <c r="L12" s="31"/>
      <c r="M12" s="32" t="s">
        <v>40</v>
      </c>
      <c r="N12" s="32" t="s">
        <v>42</v>
      </c>
      <c r="O12" s="32" t="s">
        <v>43</v>
      </c>
      <c r="P12" s="32" t="s">
        <v>44</v>
      </c>
      <c r="Q12" s="33" t="s">
        <v>45</v>
      </c>
      <c r="S12" s="34" t="s">
        <v>46</v>
      </c>
      <c r="V12" s="31"/>
      <c r="W12" s="32" t="s">
        <v>40</v>
      </c>
      <c r="X12" s="32" t="s">
        <v>42</v>
      </c>
      <c r="Y12" s="32" t="s">
        <v>43</v>
      </c>
      <c r="Z12" s="32" t="s">
        <v>44</v>
      </c>
      <c r="AA12" s="33" t="s">
        <v>45</v>
      </c>
      <c r="AC12" s="34" t="s">
        <v>46</v>
      </c>
      <c r="AF12" s="31"/>
      <c r="AG12" s="32" t="s">
        <v>40</v>
      </c>
      <c r="AH12" s="32" t="s">
        <v>42</v>
      </c>
      <c r="AI12" s="32" t="s">
        <v>43</v>
      </c>
      <c r="AJ12" s="32" t="s">
        <v>44</v>
      </c>
      <c r="AK12" s="33" t="s">
        <v>45</v>
      </c>
      <c r="AM12" s="34" t="s">
        <v>46</v>
      </c>
    </row>
    <row r="13" spans="2:39" x14ac:dyDescent="0.2">
      <c r="B13" s="35" t="s">
        <v>47</v>
      </c>
      <c r="C13" s="36" t="str">
        <f>IF(COUNTA(C23:C30)=0,"-",COUNTA(C23:C30))</f>
        <v>-</v>
      </c>
      <c r="D13" s="36" t="str">
        <f>IF(COUNTA(D23:D30)=0,"-",COUNTA(D23:D30))</f>
        <v>-</v>
      </c>
      <c r="E13" s="36" t="str">
        <f>IF(COUNTA(E23:E30)=0,"-",COUNTA(E23:E30))</f>
        <v>-</v>
      </c>
      <c r="F13" s="36" t="str">
        <f>IF(COUNTA(F23:F30)=0,"-",COUNTA(F23:F30))</f>
        <v>-</v>
      </c>
      <c r="G13" s="35" t="str">
        <f>IF(COUNTA(G23:G30)=0,"-",COUNTA(G23:G30))</f>
        <v>-</v>
      </c>
      <c r="I13" s="35">
        <f>SUM(C13:G13)</f>
        <v>0</v>
      </c>
      <c r="L13" s="35" t="s">
        <v>47</v>
      </c>
      <c r="M13" s="36" t="str">
        <f>IF(COUNTA(M23:M30)=0,"-",COUNTA(M23:M30))</f>
        <v>-</v>
      </c>
      <c r="N13" s="36" t="str">
        <f>IF(COUNTA(N23:N30)=0,"-",COUNTA(N23:N30))</f>
        <v>-</v>
      </c>
      <c r="O13" s="36" t="str">
        <f>IF(COUNTA(O23:O30)=0,"-",COUNTA(O23:O30))</f>
        <v>-</v>
      </c>
      <c r="P13" s="36" t="str">
        <f>IF(COUNTA(P23:P30)=0,"-",COUNTA(P23:P30))</f>
        <v>-</v>
      </c>
      <c r="Q13" s="35" t="str">
        <f>IF(COUNTA(Q23:Q30)=0,"-",COUNTA(Q23:Q30))</f>
        <v>-</v>
      </c>
      <c r="S13" s="35">
        <f>SUM(M13:Q13)</f>
        <v>0</v>
      </c>
      <c r="V13" s="35" t="s">
        <v>102</v>
      </c>
      <c r="W13" s="36" t="str">
        <f>IF(COUNTA(W23:W30)=0,"-",COUNTA(W23:W30))</f>
        <v>-</v>
      </c>
      <c r="X13" s="36" t="str">
        <f>IF(COUNTA(X23:X30)=0,"-",COUNTA(X23:X30))</f>
        <v>-</v>
      </c>
      <c r="Y13" s="36" t="str">
        <f>IF(COUNTA(Y23:Y30)=0,"-",COUNTA(Y23:Y30))</f>
        <v>-</v>
      </c>
      <c r="Z13" s="36" t="str">
        <f>IF(COUNTA(Z23:Z30)=0,"-",COUNTA(Z23:Z30))</f>
        <v>-</v>
      </c>
      <c r="AA13" s="35" t="str">
        <f>IF(COUNTA(AA23:AA30)=0,"-",COUNTA(AA23:AA30))</f>
        <v>-</v>
      </c>
      <c r="AC13" s="35">
        <f>SUM(W13:AA13)</f>
        <v>0</v>
      </c>
      <c r="AF13" s="35" t="s">
        <v>102</v>
      </c>
      <c r="AG13" s="36">
        <f>IF(COUNTA(AG23:AG30)=0,"-",COUNTA(AG23:AG30))</f>
        <v>1</v>
      </c>
      <c r="AH13" s="36" t="str">
        <f>IF(COUNTA(AH23:AH30)=0,"-",COUNTA(AH23:AH30))</f>
        <v>-</v>
      </c>
      <c r="AI13" s="36" t="str">
        <f>IF(COUNTA(AI23:AI30)=0,"-",COUNTA(AI23:AI30))</f>
        <v>-</v>
      </c>
      <c r="AJ13" s="36" t="str">
        <f>IF(COUNTA(AJ23:AJ30)=0,"-",COUNTA(AJ23:AJ30))</f>
        <v>-</v>
      </c>
      <c r="AK13" s="35" t="str">
        <f>IF(COUNTA(AK23:AK30)=0,"-",COUNTA(AK23:AK30))</f>
        <v>-</v>
      </c>
      <c r="AM13" s="35">
        <f>SUM(AG13:AK13)</f>
        <v>1</v>
      </c>
    </row>
    <row r="14" spans="2:39" x14ac:dyDescent="0.2">
      <c r="B14" s="37" t="s">
        <v>48</v>
      </c>
      <c r="C14" s="38" t="str">
        <f>IF(COUNTA(C32:C43)=0,"-",COUNTA(C32:C43))</f>
        <v>-</v>
      </c>
      <c r="D14" s="39" t="str">
        <f>IF(COUNTA(D32:D43)=0,"-",COUNTA(D32:D43))</f>
        <v>-</v>
      </c>
      <c r="E14" s="39" t="str">
        <f>IF(COUNTA(E32:E43)=0,"-",COUNTA(E32:E43))</f>
        <v>-</v>
      </c>
      <c r="F14" s="39" t="str">
        <f>IF(COUNTA(F32:F43)=0,"-",COUNTA(F32:F43))</f>
        <v>-</v>
      </c>
      <c r="G14" s="37" t="str">
        <f>IF(COUNTA(G32:G43)=0,"-",COUNTA(G32:G43))</f>
        <v>-</v>
      </c>
      <c r="I14" s="37">
        <f t="shared" ref="I14:I16" si="0">SUM(C14:G14)</f>
        <v>0</v>
      </c>
      <c r="L14" s="37" t="s">
        <v>48</v>
      </c>
      <c r="M14" s="38" t="str">
        <f>IF(COUNTA(M32:M43)=0,"-",COUNTA(M32:M43))</f>
        <v>-</v>
      </c>
      <c r="N14" s="39" t="str">
        <f>IF(COUNTA(N32:N43)=0,"-",COUNTA(N32:N43))</f>
        <v>-</v>
      </c>
      <c r="O14" s="39" t="str">
        <f>IF(COUNTA(O32:O43)=0,"-",COUNTA(O32:O43))</f>
        <v>-</v>
      </c>
      <c r="P14" s="39" t="str">
        <f>IF(COUNTA(P32:P43)=0,"-",COUNTA(P32:P43))</f>
        <v>-</v>
      </c>
      <c r="Q14" s="37" t="str">
        <f>IF(COUNTA(Q32:Q43)=0,"-",COUNTA(Q32:Q43))</f>
        <v>-</v>
      </c>
      <c r="S14" s="37">
        <f t="shared" ref="S14:S16" si="1">SUM(M14:Q14)</f>
        <v>0</v>
      </c>
      <c r="V14" s="37" t="s">
        <v>74</v>
      </c>
      <c r="W14" s="38" t="str">
        <f>IF(COUNTA(W32:W43)=0,"-",COUNTA(W32:W43))</f>
        <v>-</v>
      </c>
      <c r="X14" s="39" t="str">
        <f>IF(COUNTA(X32:X43)=0,"-",COUNTA(X32:X43))</f>
        <v>-</v>
      </c>
      <c r="Y14" s="39" t="str">
        <f>IF(COUNTA(Y32:Y43)=0,"-",COUNTA(Y32:Y43))</f>
        <v>-</v>
      </c>
      <c r="Z14" s="39" t="str">
        <f>IF(COUNTA(Z32:Z43)=0,"-",COUNTA(Z32:Z43))</f>
        <v>-</v>
      </c>
      <c r="AA14" s="37" t="str">
        <f>IF(COUNTA(AA32:AA43)=0,"-",COUNTA(AA32:AA43))</f>
        <v>-</v>
      </c>
      <c r="AC14" s="37">
        <f t="shared" ref="AC14:AC16" si="2">SUM(W14:AA14)</f>
        <v>0</v>
      </c>
      <c r="AF14" s="37" t="s">
        <v>74</v>
      </c>
      <c r="AG14" s="38">
        <f>IF(COUNTA(AG32:AG43)=0,"-",COUNTA(AG32:AG43))</f>
        <v>1</v>
      </c>
      <c r="AH14" s="39" t="str">
        <f>IF(COUNTA(AH32:AH43)=0,"-",COUNTA(AH32:AH43))</f>
        <v>-</v>
      </c>
      <c r="AI14" s="39" t="str">
        <f>IF(COUNTA(AI32:AI43)=0,"-",COUNTA(AI32:AI43))</f>
        <v>-</v>
      </c>
      <c r="AJ14" s="39" t="str">
        <f>IF(COUNTA(AJ32:AJ43)=0,"-",COUNTA(AJ32:AJ43))</f>
        <v>-</v>
      </c>
      <c r="AK14" s="37" t="str">
        <f>IF(COUNTA(AK32:AK43)=0,"-",COUNTA(AK32:AK43))</f>
        <v>-</v>
      </c>
      <c r="AM14" s="37">
        <f t="shared" ref="AM14:AM16" si="3">SUM(AG14:AK14)</f>
        <v>1</v>
      </c>
    </row>
    <row r="15" spans="2:39" x14ac:dyDescent="0.2">
      <c r="B15" s="133" t="s">
        <v>94</v>
      </c>
      <c r="C15" s="41" t="str">
        <f>IF(COUNTA(C45:C96)=0,"-",COUNTA(C45:C96))</f>
        <v>-</v>
      </c>
      <c r="D15" s="42" t="str">
        <f t="shared" ref="D15:G15" si="4">IF(COUNTA(D45:D96)=0,"-",COUNTA(D45:D96))</f>
        <v>-</v>
      </c>
      <c r="E15" s="42" t="str">
        <f t="shared" si="4"/>
        <v>-</v>
      </c>
      <c r="F15" s="42" t="str">
        <f t="shared" si="4"/>
        <v>-</v>
      </c>
      <c r="G15" s="133" t="str">
        <f t="shared" si="4"/>
        <v>-</v>
      </c>
      <c r="I15" s="133">
        <f t="shared" si="0"/>
        <v>0</v>
      </c>
      <c r="L15" s="133" t="s">
        <v>94</v>
      </c>
      <c r="M15" s="41" t="str">
        <f>IF(COUNTA(M45:M96)=0,"-",COUNTA(M45:M96))</f>
        <v>-</v>
      </c>
      <c r="N15" s="42" t="str">
        <f t="shared" ref="N15:Q15" si="5">IF(COUNTA(N45:N96)=0,"-",COUNTA(N45:N96))</f>
        <v>-</v>
      </c>
      <c r="O15" s="42" t="str">
        <f t="shared" si="5"/>
        <v>-</v>
      </c>
      <c r="P15" s="42" t="str">
        <f t="shared" si="5"/>
        <v>-</v>
      </c>
      <c r="Q15" s="133" t="str">
        <f t="shared" si="5"/>
        <v>-</v>
      </c>
      <c r="S15" s="133">
        <f t="shared" si="1"/>
        <v>0</v>
      </c>
      <c r="V15" s="37" t="s">
        <v>76</v>
      </c>
      <c r="W15" s="41" t="str">
        <f>IF(COUNTA(W45:W96)=0,"-",COUNTA(W45:W96))</f>
        <v>-</v>
      </c>
      <c r="X15" s="42" t="str">
        <f t="shared" ref="X15:AA15" si="6">IF(COUNTA(X45:X96)=0,"-",COUNTA(X45:X96))</f>
        <v>-</v>
      </c>
      <c r="Y15" s="42" t="str">
        <f t="shared" si="6"/>
        <v>-</v>
      </c>
      <c r="Z15" s="42" t="str">
        <f t="shared" si="6"/>
        <v>-</v>
      </c>
      <c r="AA15" s="133" t="str">
        <f t="shared" si="6"/>
        <v>-</v>
      </c>
      <c r="AC15" s="133">
        <f t="shared" si="2"/>
        <v>0</v>
      </c>
      <c r="AF15" s="37" t="s">
        <v>76</v>
      </c>
      <c r="AG15" s="41">
        <f>IF(COUNTA(AG45:AG96)=0,"-",COUNTA(AG45:AG96))</f>
        <v>8</v>
      </c>
      <c r="AH15" s="42" t="str">
        <f t="shared" ref="AH15:AK15" si="7">IF(COUNTA(AH45:AH96)=0,"-",COUNTA(AH45:AH96))</f>
        <v>-</v>
      </c>
      <c r="AI15" s="42" t="str">
        <f t="shared" si="7"/>
        <v>-</v>
      </c>
      <c r="AJ15" s="42" t="str">
        <f t="shared" si="7"/>
        <v>-</v>
      </c>
      <c r="AK15" s="133" t="str">
        <f t="shared" si="7"/>
        <v>-</v>
      </c>
      <c r="AM15" s="133">
        <f t="shared" si="3"/>
        <v>8</v>
      </c>
    </row>
    <row r="16" spans="2:39" ht="13.5" thickBot="1" x14ac:dyDescent="0.25">
      <c r="B16" s="40" t="s">
        <v>93</v>
      </c>
      <c r="C16" s="41" t="str">
        <f>IF(COUNTA(C72:C96)=0,"-",COUNTA(C72:C96))</f>
        <v>-</v>
      </c>
      <c r="D16" s="42" t="str">
        <f t="shared" ref="D16:G16" si="8">IF(COUNTA(D72:D96)=0,"-",COUNTA(D72:D96))</f>
        <v>-</v>
      </c>
      <c r="E16" s="42" t="str">
        <f t="shared" si="8"/>
        <v>-</v>
      </c>
      <c r="F16" s="42" t="str">
        <f t="shared" si="8"/>
        <v>-</v>
      </c>
      <c r="G16" s="40" t="str">
        <f t="shared" si="8"/>
        <v>-</v>
      </c>
      <c r="I16" s="40">
        <f t="shared" si="0"/>
        <v>0</v>
      </c>
      <c r="L16" s="40" t="s">
        <v>93</v>
      </c>
      <c r="M16" s="41" t="str">
        <f>IF(COUNTA(M72:M96)=0,"-",COUNTA(M72:M96))</f>
        <v>-</v>
      </c>
      <c r="N16" s="42" t="str">
        <f t="shared" ref="N16:Q16" si="9">IF(COUNTA(N72:N96)=0,"-",COUNTA(N72:N96))</f>
        <v>-</v>
      </c>
      <c r="O16" s="42" t="str">
        <f t="shared" si="9"/>
        <v>-</v>
      </c>
      <c r="P16" s="42" t="str">
        <f t="shared" si="9"/>
        <v>-</v>
      </c>
      <c r="Q16" s="40" t="str">
        <f t="shared" si="9"/>
        <v>-</v>
      </c>
      <c r="S16" s="40">
        <f t="shared" si="1"/>
        <v>0</v>
      </c>
      <c r="V16" s="40" t="s">
        <v>103</v>
      </c>
      <c r="W16" s="41" t="str">
        <f>IF(COUNTA(W72:W96)=0,"-",COUNTA(W72:W96))</f>
        <v>-</v>
      </c>
      <c r="X16" s="42" t="str">
        <f t="shared" ref="X16:AA16" si="10">IF(COUNTA(X72:X96)=0,"-",COUNTA(X72:X96))</f>
        <v>-</v>
      </c>
      <c r="Y16" s="42" t="str">
        <f t="shared" si="10"/>
        <v>-</v>
      </c>
      <c r="Z16" s="42" t="str">
        <f t="shared" si="10"/>
        <v>-</v>
      </c>
      <c r="AA16" s="40" t="str">
        <f t="shared" si="10"/>
        <v>-</v>
      </c>
      <c r="AC16" s="40">
        <f t="shared" si="2"/>
        <v>0</v>
      </c>
      <c r="AF16" s="40" t="s">
        <v>103</v>
      </c>
      <c r="AG16" s="41">
        <f>IF(COUNTA(AG72:AG96)=0,"-",COUNTA(AG72:AG96))</f>
        <v>6</v>
      </c>
      <c r="AH16" s="42" t="str">
        <f t="shared" ref="AH16:AK16" si="11">IF(COUNTA(AH72:AH96)=0,"-",COUNTA(AH72:AH96))</f>
        <v>-</v>
      </c>
      <c r="AI16" s="42" t="str">
        <f t="shared" si="11"/>
        <v>-</v>
      </c>
      <c r="AJ16" s="42" t="str">
        <f t="shared" si="11"/>
        <v>-</v>
      </c>
      <c r="AK16" s="40" t="str">
        <f t="shared" si="11"/>
        <v>-</v>
      </c>
      <c r="AM16" s="40">
        <f t="shared" si="3"/>
        <v>6</v>
      </c>
    </row>
    <row r="17" spans="1:43" x14ac:dyDescent="0.2">
      <c r="B17" s="43"/>
      <c r="C17" s="44"/>
      <c r="D17" s="45"/>
      <c r="E17" s="45"/>
      <c r="F17" s="45"/>
      <c r="G17" s="46"/>
      <c r="I17" s="47"/>
      <c r="L17" s="43"/>
      <c r="M17" s="44"/>
      <c r="N17" s="45"/>
      <c r="O17" s="45"/>
      <c r="P17" s="45"/>
      <c r="Q17" s="46"/>
      <c r="S17" s="47"/>
      <c r="T17" s="132"/>
      <c r="V17" s="43"/>
      <c r="W17" s="44"/>
      <c r="X17" s="45"/>
      <c r="Y17" s="45"/>
      <c r="Z17" s="45"/>
      <c r="AA17" s="46"/>
      <c r="AC17" s="47"/>
      <c r="AF17" s="43"/>
      <c r="AG17" s="44"/>
      <c r="AH17" s="45"/>
      <c r="AI17" s="45"/>
      <c r="AJ17" s="45"/>
      <c r="AK17" s="46"/>
      <c r="AM17" s="47"/>
    </row>
    <row r="18" spans="1:43" x14ac:dyDescent="0.2">
      <c r="B18" s="43" t="s">
        <v>95</v>
      </c>
      <c r="C18" s="136">
        <f>IF(C15="-",0,IF(SUM(C13:C15)=0,"-",+C15/SUM(C13:C15)))</f>
        <v>0</v>
      </c>
      <c r="D18" s="134">
        <f t="shared" ref="D18:G18" si="12">IF(D15="-",0,IF(SUM(D13:D15)=0,"-",+D15/SUM(D13:D15)))</f>
        <v>0</v>
      </c>
      <c r="E18" s="134">
        <f t="shared" si="12"/>
        <v>0</v>
      </c>
      <c r="F18" s="134">
        <f t="shared" si="12"/>
        <v>0</v>
      </c>
      <c r="G18" s="135">
        <f t="shared" si="12"/>
        <v>0</v>
      </c>
      <c r="I18" s="137" t="str">
        <f>IF(SUM(I12:I15)=0,"-",+I15/SUM(I12:I15))</f>
        <v>-</v>
      </c>
      <c r="J18" t="str">
        <f>IF(I18&lt;E8,"voldoet niet","voldoet")</f>
        <v>voldoet</v>
      </c>
      <c r="L18" s="43" t="s">
        <v>95</v>
      </c>
      <c r="M18" s="136">
        <f>IF(M15="-",0,IF(SUM(M13:M15)=0,"-",+M15/SUM(M13:M15)))</f>
        <v>0</v>
      </c>
      <c r="N18" s="134">
        <f t="shared" ref="N18:Q18" si="13">IF(N15="-",0,IF(SUM(N13:N15)=0,"-",+N15/SUM(N13:N15)))</f>
        <v>0</v>
      </c>
      <c r="O18" s="134">
        <f t="shared" si="13"/>
        <v>0</v>
      </c>
      <c r="P18" s="134">
        <f t="shared" si="13"/>
        <v>0</v>
      </c>
      <c r="Q18" s="135">
        <f t="shared" si="13"/>
        <v>0</v>
      </c>
      <c r="S18" s="137" t="str">
        <f>IF(SUM(S12:S15)=0,"-",+S15/SUM(S12:S15))</f>
        <v>-</v>
      </c>
      <c r="T18" t="str">
        <f>IF(S18&lt;O8,"voldoet niet","voldoet")</f>
        <v>voldoet</v>
      </c>
      <c r="V18" s="43" t="s">
        <v>76</v>
      </c>
      <c r="W18" s="136">
        <f>IF(W15="-",0,IF(SUM(W13:W15)=0,"-",+W15/SUM(W13:W15)))</f>
        <v>0</v>
      </c>
      <c r="X18" s="134">
        <f t="shared" ref="X18:AA18" si="14">IF(X15="-",0,IF(SUM(X13:X15)=0,"-",+X15/SUM(X13:X15)))</f>
        <v>0</v>
      </c>
      <c r="Y18" s="134">
        <f t="shared" si="14"/>
        <v>0</v>
      </c>
      <c r="Z18" s="134">
        <f t="shared" si="14"/>
        <v>0</v>
      </c>
      <c r="AA18" s="135">
        <f t="shared" si="14"/>
        <v>0</v>
      </c>
      <c r="AC18" s="137" t="str">
        <f>IF(SUM(AC12:AC15)=0,"-",+AC15/SUM(AC12:AC15))</f>
        <v>-</v>
      </c>
      <c r="AD18" t="str">
        <f>IF(AC18&lt;X8,"voldoet niet","voldoet")</f>
        <v>voldoet</v>
      </c>
      <c r="AF18" s="43" t="s">
        <v>76</v>
      </c>
      <c r="AG18" s="136">
        <f>IF(AG15="-",0,IF(SUM(AG13:AG15)=0,"-",+AG15/SUM(AG13:AG15)))</f>
        <v>0.8</v>
      </c>
      <c r="AH18" s="134">
        <f t="shared" ref="AH18:AK18" si="15">IF(AH15="-",0,IF(SUM(AH13:AH15)=0,"-",+AH15/SUM(AH13:AH15)))</f>
        <v>0</v>
      </c>
      <c r="AI18" s="134">
        <f t="shared" si="15"/>
        <v>0</v>
      </c>
      <c r="AJ18" s="134">
        <f t="shared" si="15"/>
        <v>0</v>
      </c>
      <c r="AK18" s="135">
        <f t="shared" si="15"/>
        <v>0</v>
      </c>
      <c r="AM18" s="137">
        <f>IF(SUM(AM12:AM15)=0,"-",+AM15/SUM(AM12:AM15))</f>
        <v>0.8</v>
      </c>
      <c r="AN18" t="str">
        <f>IF(AM18&lt;AH8,"voldoet niet","voldoet")</f>
        <v>voldoet</v>
      </c>
    </row>
    <row r="19" spans="1:43" ht="13.5" thickBot="1" x14ac:dyDescent="0.25">
      <c r="B19" s="48" t="s">
        <v>107</v>
      </c>
      <c r="C19" s="49">
        <f>IF(C16="-",0,IF(SUM(C15:C16)=0,"-",+C16/SUM(C15)))</f>
        <v>0</v>
      </c>
      <c r="D19" s="50">
        <f t="shared" ref="D19:G19" si="16">IF(D16="-",0,IF(SUM(D15:D16)=0,"-",+D16/SUM(D15)))</f>
        <v>0</v>
      </c>
      <c r="E19" s="50">
        <f t="shared" si="16"/>
        <v>0</v>
      </c>
      <c r="F19" s="50">
        <f t="shared" si="16"/>
        <v>0</v>
      </c>
      <c r="G19" s="51">
        <f t="shared" si="16"/>
        <v>0</v>
      </c>
      <c r="I19" s="52" t="str">
        <f>IF(I16="-",0,IF(SUM(I15:I16)=0,"-",+I16/SUM(I15)))</f>
        <v>-</v>
      </c>
      <c r="J19" t="str">
        <f>IF(I19&lt;E9,"voldoet niet","voldoet")</f>
        <v>voldoet</v>
      </c>
      <c r="L19" s="48" t="s">
        <v>107</v>
      </c>
      <c r="M19" s="49">
        <f>IF(M16="-",0,IF(SUM(M15:M16)=0,"-",+M16/SUM(M15)))</f>
        <v>0</v>
      </c>
      <c r="N19" s="50">
        <f t="shared" ref="N19:Q19" si="17">IF(N16="-",0,IF(SUM(N15:N16)=0,"-",+N16/SUM(N15)))</f>
        <v>0</v>
      </c>
      <c r="O19" s="50">
        <f t="shared" si="17"/>
        <v>0</v>
      </c>
      <c r="P19" s="50">
        <f t="shared" si="17"/>
        <v>0</v>
      </c>
      <c r="Q19" s="51">
        <f t="shared" si="17"/>
        <v>0</v>
      </c>
      <c r="S19" s="52" t="str">
        <f>IF(S16="-",0,IF(SUM(S15:S16)=0,"-",+S16/SUM(S15)))</f>
        <v>-</v>
      </c>
      <c r="T19" t="str">
        <f>IF(S19&lt;O9,"voldoet niet","voldoet")</f>
        <v>voldoet</v>
      </c>
      <c r="V19" s="48" t="s">
        <v>107</v>
      </c>
      <c r="W19" s="49">
        <f>IF(W16="-",0,IF(SUM(W15:W16)=0,"-",+W16/SUM(W15)))</f>
        <v>0</v>
      </c>
      <c r="X19" s="50">
        <f t="shared" ref="X19:AA19" si="18">IF(X16="-",0,IF(SUM(X15:X16)=0,"-",+X16/SUM(X15)))</f>
        <v>0</v>
      </c>
      <c r="Y19" s="50">
        <f t="shared" si="18"/>
        <v>0</v>
      </c>
      <c r="Z19" s="50">
        <f t="shared" si="18"/>
        <v>0</v>
      </c>
      <c r="AA19" s="51">
        <f t="shared" si="18"/>
        <v>0</v>
      </c>
      <c r="AC19" s="52" t="str">
        <f>IF(AC16="-",0,IF(SUM(AC15:AC16)=0,"-",+AC16/SUM(AC15)))</f>
        <v>-</v>
      </c>
      <c r="AD19" t="str">
        <f>IF(AC19&lt;X9,"voldoet niet","voldoet")</f>
        <v>voldoet</v>
      </c>
      <c r="AF19" s="48" t="s">
        <v>107</v>
      </c>
      <c r="AG19" s="49">
        <f>IF(AG16="-",0,IF(SUM(AG15:AG16)=0,"-",+AG16/SUM(AG15)))</f>
        <v>0.75</v>
      </c>
      <c r="AH19" s="50">
        <f t="shared" ref="AH19:AK19" si="19">IF(AH16="-",0,IF(SUM(AH15:AH16)=0,"-",+AH16/SUM(AH15)))</f>
        <v>0</v>
      </c>
      <c r="AI19" s="50">
        <f t="shared" si="19"/>
        <v>0</v>
      </c>
      <c r="AJ19" s="50">
        <f t="shared" si="19"/>
        <v>0</v>
      </c>
      <c r="AK19" s="51">
        <f t="shared" si="19"/>
        <v>0</v>
      </c>
      <c r="AM19" s="52">
        <f>IF(AM16="-",0,IF(SUM(AM15:AM16)=0,"-",+AM16/SUM(AM15)))</f>
        <v>0.75</v>
      </c>
      <c r="AN19" t="str">
        <f>IF(AM19&lt;AH9,"voldoet niet","voldoet")</f>
        <v>voldoet</v>
      </c>
    </row>
    <row r="22" spans="1:43" x14ac:dyDescent="0.2">
      <c r="C22" t="s">
        <v>49</v>
      </c>
      <c r="M22" t="s">
        <v>49</v>
      </c>
      <c r="W22" t="s">
        <v>50</v>
      </c>
      <c r="AG22" t="s">
        <v>50</v>
      </c>
    </row>
    <row r="23" spans="1:43" x14ac:dyDescent="0.2">
      <c r="A23" t="s">
        <v>52</v>
      </c>
      <c r="B23" t="s">
        <v>96</v>
      </c>
      <c r="C23" s="53"/>
      <c r="D23" s="53"/>
      <c r="E23" s="53"/>
      <c r="F23" s="53"/>
      <c r="G23" s="53"/>
      <c r="K23" t="s">
        <v>52</v>
      </c>
      <c r="L23" t="s">
        <v>96</v>
      </c>
      <c r="M23" s="53"/>
      <c r="N23" s="53"/>
      <c r="O23" s="53"/>
      <c r="P23" s="53"/>
      <c r="Q23" s="53"/>
      <c r="V23" t="s">
        <v>102</v>
      </c>
      <c r="W23" s="53"/>
      <c r="X23" s="53"/>
      <c r="Y23" s="53"/>
      <c r="Z23" s="53"/>
      <c r="AA23" s="53"/>
      <c r="AF23" t="s">
        <v>88</v>
      </c>
      <c r="AG23" s="53">
        <v>1</v>
      </c>
      <c r="AH23" s="53"/>
      <c r="AI23" s="53"/>
      <c r="AJ23" s="53"/>
      <c r="AK23" s="53"/>
      <c r="AN23" s="203" t="s">
        <v>55</v>
      </c>
      <c r="AO23" s="203"/>
      <c r="AP23" s="203"/>
      <c r="AQ23" s="203"/>
    </row>
    <row r="24" spans="1:43" x14ac:dyDescent="0.2">
      <c r="C24" s="53"/>
      <c r="D24" s="53"/>
      <c r="E24" s="53"/>
      <c r="F24" s="53"/>
      <c r="G24" s="53"/>
      <c r="M24" s="53"/>
      <c r="N24" s="53"/>
      <c r="O24" s="53"/>
      <c r="P24" s="53"/>
      <c r="Q24" s="53"/>
      <c r="W24" s="53"/>
      <c r="X24" s="53"/>
      <c r="Y24" s="53"/>
      <c r="Z24" s="53"/>
      <c r="AA24" s="53"/>
      <c r="AG24" s="53"/>
      <c r="AH24" s="53"/>
      <c r="AI24" s="53"/>
      <c r="AJ24" s="53"/>
      <c r="AK24" s="53"/>
      <c r="AN24" s="203"/>
      <c r="AO24" s="203"/>
      <c r="AP24" s="203"/>
      <c r="AQ24" s="203"/>
    </row>
    <row r="25" spans="1:43" x14ac:dyDescent="0.2">
      <c r="C25" s="53"/>
      <c r="D25" s="53"/>
      <c r="E25" s="53"/>
      <c r="F25" s="53"/>
      <c r="G25" s="53"/>
      <c r="M25" s="53"/>
      <c r="N25" s="53"/>
      <c r="O25" s="53"/>
      <c r="P25" s="53"/>
      <c r="Q25" s="53"/>
      <c r="W25" s="53"/>
      <c r="X25" s="53"/>
      <c r="Y25" s="53"/>
      <c r="Z25" s="53"/>
      <c r="AA25" s="53"/>
      <c r="AG25" s="53"/>
      <c r="AH25" s="53"/>
      <c r="AI25" s="53"/>
      <c r="AJ25" s="53"/>
      <c r="AK25" s="53"/>
      <c r="AN25" s="203"/>
      <c r="AO25" s="203"/>
      <c r="AP25" s="203"/>
      <c r="AQ25" s="203"/>
    </row>
    <row r="26" spans="1:43" x14ac:dyDescent="0.2">
      <c r="C26" s="53"/>
      <c r="D26" s="53"/>
      <c r="E26" s="53"/>
      <c r="F26" s="53"/>
      <c r="G26" s="53"/>
      <c r="M26" s="53"/>
      <c r="N26" s="53"/>
      <c r="O26" s="53"/>
      <c r="P26" s="53"/>
      <c r="Q26" s="53"/>
      <c r="W26" s="53"/>
      <c r="X26" s="53"/>
      <c r="Y26" s="53"/>
      <c r="Z26" s="53"/>
      <c r="AA26" s="53"/>
      <c r="AG26" s="53"/>
      <c r="AH26" s="53"/>
      <c r="AI26" s="53"/>
      <c r="AJ26" s="53"/>
      <c r="AK26" s="53"/>
      <c r="AN26" s="203"/>
      <c r="AO26" s="203"/>
      <c r="AP26" s="203"/>
      <c r="AQ26" s="203"/>
    </row>
    <row r="27" spans="1:43" x14ac:dyDescent="0.2">
      <c r="C27" s="53"/>
      <c r="D27" s="53"/>
      <c r="E27" s="53"/>
      <c r="F27" s="53"/>
      <c r="G27" s="53"/>
      <c r="M27" s="53"/>
      <c r="N27" s="53"/>
      <c r="O27" s="53"/>
      <c r="P27" s="53"/>
      <c r="Q27" s="53"/>
      <c r="W27" s="53"/>
      <c r="X27" s="53"/>
      <c r="Y27" s="53"/>
      <c r="Z27" s="53"/>
      <c r="AA27" s="53"/>
      <c r="AG27" s="53"/>
      <c r="AH27" s="53"/>
      <c r="AI27" s="53"/>
      <c r="AJ27" s="53"/>
      <c r="AK27" s="53"/>
      <c r="AN27" s="203"/>
      <c r="AO27" s="203"/>
      <c r="AP27" s="203"/>
      <c r="AQ27" s="203"/>
    </row>
    <row r="28" spans="1:43" x14ac:dyDescent="0.2">
      <c r="C28" s="53"/>
      <c r="D28" s="53"/>
      <c r="E28" s="53"/>
      <c r="F28" s="53"/>
      <c r="G28" s="53"/>
      <c r="M28" s="53"/>
      <c r="N28" s="53"/>
      <c r="O28" s="53"/>
      <c r="P28" s="53"/>
      <c r="Q28" s="53"/>
      <c r="W28" s="53"/>
      <c r="X28" s="53"/>
      <c r="Y28" s="53"/>
      <c r="Z28" s="53"/>
      <c r="AA28" s="53"/>
      <c r="AG28" s="53"/>
      <c r="AH28" s="53"/>
      <c r="AI28" s="53"/>
      <c r="AJ28" s="53"/>
      <c r="AK28" s="53"/>
      <c r="AN28" s="203"/>
      <c r="AO28" s="203"/>
      <c r="AP28" s="203"/>
      <c r="AQ28" s="203"/>
    </row>
    <row r="29" spans="1:43" x14ac:dyDescent="0.2">
      <c r="C29" s="53"/>
      <c r="D29" s="53"/>
      <c r="E29" s="53"/>
      <c r="F29" s="53"/>
      <c r="G29" s="53"/>
      <c r="M29" s="53"/>
      <c r="N29" s="53"/>
      <c r="O29" s="53"/>
      <c r="P29" s="53"/>
      <c r="Q29" s="53"/>
      <c r="W29" s="53"/>
      <c r="X29" s="53"/>
      <c r="Y29" s="53"/>
      <c r="Z29" s="53"/>
      <c r="AA29" s="53"/>
      <c r="AG29" s="53"/>
      <c r="AH29" s="53"/>
      <c r="AI29" s="53"/>
      <c r="AJ29" s="53"/>
      <c r="AK29" s="53"/>
      <c r="AN29" s="203"/>
      <c r="AO29" s="203"/>
      <c r="AP29" s="203"/>
      <c r="AQ29" s="203"/>
    </row>
    <row r="30" spans="1:43" x14ac:dyDescent="0.2">
      <c r="A30" t="s">
        <v>51</v>
      </c>
      <c r="C30" s="53"/>
      <c r="D30" s="53"/>
      <c r="E30" s="53"/>
      <c r="F30" s="53"/>
      <c r="G30" s="53"/>
      <c r="K30" t="s">
        <v>51</v>
      </c>
      <c r="M30" s="53"/>
      <c r="N30" s="53"/>
      <c r="O30" s="53"/>
      <c r="P30" s="53"/>
      <c r="Q30" s="53"/>
      <c r="W30" s="53"/>
      <c r="X30" s="53"/>
      <c r="Y30" s="53"/>
      <c r="Z30" s="53"/>
      <c r="AA30" s="53"/>
      <c r="AG30" s="53"/>
      <c r="AH30" s="53"/>
      <c r="AI30" s="53"/>
      <c r="AJ30" s="53"/>
      <c r="AK30" s="53"/>
      <c r="AN30" t="s">
        <v>53</v>
      </c>
    </row>
    <row r="32" spans="1:43" x14ac:dyDescent="0.2">
      <c r="A32" t="s">
        <v>86</v>
      </c>
      <c r="C32" s="53"/>
      <c r="D32" s="53"/>
      <c r="E32" s="53"/>
      <c r="F32" s="53"/>
      <c r="G32" s="53"/>
      <c r="K32" t="s">
        <v>86</v>
      </c>
      <c r="M32" s="53"/>
      <c r="N32" s="53"/>
      <c r="O32" s="53"/>
      <c r="P32" s="53"/>
      <c r="Q32" s="53"/>
      <c r="V32" t="s">
        <v>74</v>
      </c>
      <c r="W32" s="53"/>
      <c r="X32" s="53"/>
      <c r="Y32" s="53"/>
      <c r="Z32" s="53"/>
      <c r="AA32" s="53"/>
      <c r="AF32" t="s">
        <v>89</v>
      </c>
      <c r="AG32" s="53">
        <v>1</v>
      </c>
      <c r="AH32" s="53"/>
      <c r="AI32" s="53"/>
      <c r="AJ32" s="53"/>
      <c r="AK32" s="53"/>
      <c r="AN32" s="203" t="s">
        <v>56</v>
      </c>
      <c r="AO32" s="203"/>
      <c r="AP32" s="203"/>
      <c r="AQ32" s="203"/>
    </row>
    <row r="33" spans="1:43" x14ac:dyDescent="0.2">
      <c r="C33" s="53"/>
      <c r="D33" s="53"/>
      <c r="E33" s="53"/>
      <c r="F33" s="53"/>
      <c r="G33" s="53"/>
      <c r="M33" s="53"/>
      <c r="N33" s="53"/>
      <c r="O33" s="53"/>
      <c r="P33" s="53"/>
      <c r="Q33" s="53"/>
      <c r="W33" s="53"/>
      <c r="X33" s="53"/>
      <c r="Y33" s="53"/>
      <c r="Z33" s="53"/>
      <c r="AA33" s="53"/>
      <c r="AG33" s="53"/>
      <c r="AH33" s="53"/>
      <c r="AI33" s="53"/>
      <c r="AJ33" s="53"/>
      <c r="AK33" s="53"/>
      <c r="AN33" s="203"/>
      <c r="AO33" s="203"/>
      <c r="AP33" s="203"/>
      <c r="AQ33" s="203"/>
    </row>
    <row r="34" spans="1:43" x14ac:dyDescent="0.2">
      <c r="C34" s="53"/>
      <c r="D34" s="53"/>
      <c r="E34" s="53"/>
      <c r="F34" s="53"/>
      <c r="G34" s="53"/>
      <c r="M34" s="53"/>
      <c r="N34" s="53"/>
      <c r="O34" s="53"/>
      <c r="P34" s="53"/>
      <c r="Q34" s="53"/>
      <c r="W34" s="53"/>
      <c r="X34" s="53"/>
      <c r="Y34" s="53"/>
      <c r="Z34" s="53"/>
      <c r="AA34" s="53"/>
      <c r="AG34" s="53"/>
      <c r="AH34" s="53"/>
      <c r="AI34" s="53"/>
      <c r="AJ34" s="53"/>
      <c r="AK34" s="53"/>
      <c r="AN34" s="203"/>
      <c r="AO34" s="203"/>
      <c r="AP34" s="203"/>
      <c r="AQ34" s="203"/>
    </row>
    <row r="35" spans="1:43" x14ac:dyDescent="0.2">
      <c r="C35" s="53"/>
      <c r="D35" s="53"/>
      <c r="E35" s="53"/>
      <c r="F35" s="53"/>
      <c r="G35" s="53"/>
      <c r="M35" s="53"/>
      <c r="N35" s="53"/>
      <c r="O35" s="53"/>
      <c r="P35" s="53"/>
      <c r="Q35" s="53"/>
      <c r="W35" s="53"/>
      <c r="X35" s="53"/>
      <c r="Y35" s="53"/>
      <c r="Z35" s="53"/>
      <c r="AA35" s="53"/>
      <c r="AG35" s="53"/>
      <c r="AH35" s="53"/>
      <c r="AI35" s="53"/>
      <c r="AJ35" s="53"/>
      <c r="AK35" s="53"/>
      <c r="AN35" s="203"/>
      <c r="AO35" s="203"/>
      <c r="AP35" s="203"/>
      <c r="AQ35" s="203"/>
    </row>
    <row r="36" spans="1:43" x14ac:dyDescent="0.2">
      <c r="C36" s="53"/>
      <c r="D36" s="53"/>
      <c r="E36" s="53"/>
      <c r="F36" s="53"/>
      <c r="G36" s="53"/>
      <c r="M36" s="53"/>
      <c r="N36" s="53"/>
      <c r="O36" s="53"/>
      <c r="P36" s="53"/>
      <c r="Q36" s="53"/>
      <c r="W36" s="53"/>
      <c r="X36" s="53"/>
      <c r="Y36" s="53"/>
      <c r="Z36" s="53"/>
      <c r="AA36" s="53"/>
      <c r="AG36" s="53"/>
      <c r="AH36" s="53"/>
      <c r="AI36" s="53"/>
      <c r="AJ36" s="53"/>
      <c r="AK36" s="53"/>
      <c r="AN36" s="203"/>
      <c r="AO36" s="203"/>
      <c r="AP36" s="203"/>
      <c r="AQ36" s="203"/>
    </row>
    <row r="37" spans="1:43" x14ac:dyDescent="0.2">
      <c r="C37" s="53"/>
      <c r="D37" s="53"/>
      <c r="E37" s="53"/>
      <c r="F37" s="53"/>
      <c r="G37" s="53"/>
      <c r="M37" s="53"/>
      <c r="N37" s="53"/>
      <c r="O37" s="53"/>
      <c r="P37" s="53"/>
      <c r="Q37" s="53"/>
      <c r="W37" s="53"/>
      <c r="X37" s="53"/>
      <c r="Y37" s="53"/>
      <c r="Z37" s="53"/>
      <c r="AA37" s="53"/>
      <c r="AG37" s="53"/>
      <c r="AH37" s="53"/>
      <c r="AI37" s="53"/>
      <c r="AJ37" s="53"/>
      <c r="AK37" s="53"/>
      <c r="AN37" s="203"/>
      <c r="AO37" s="203"/>
      <c r="AP37" s="203"/>
      <c r="AQ37" s="203"/>
    </row>
    <row r="38" spans="1:43" x14ac:dyDescent="0.2">
      <c r="C38" s="53"/>
      <c r="D38" s="53"/>
      <c r="E38" s="53"/>
      <c r="F38" s="53"/>
      <c r="G38" s="53"/>
      <c r="M38" s="53"/>
      <c r="N38" s="53"/>
      <c r="O38" s="53"/>
      <c r="P38" s="53"/>
      <c r="Q38" s="53"/>
      <c r="W38" s="53"/>
      <c r="X38" s="53"/>
      <c r="Y38" s="53"/>
      <c r="Z38" s="53"/>
      <c r="AA38" s="53"/>
      <c r="AG38" s="53"/>
      <c r="AH38" s="53"/>
      <c r="AI38" s="53"/>
      <c r="AJ38" s="53"/>
      <c r="AK38" s="53"/>
      <c r="AN38" s="203"/>
      <c r="AO38" s="203"/>
      <c r="AP38" s="203"/>
      <c r="AQ38" s="203"/>
    </row>
    <row r="39" spans="1:43" x14ac:dyDescent="0.2">
      <c r="C39" s="53"/>
      <c r="D39" s="53"/>
      <c r="E39" s="53"/>
      <c r="F39" s="53"/>
      <c r="G39" s="53"/>
      <c r="M39" s="53"/>
      <c r="N39" s="53"/>
      <c r="O39" s="53"/>
      <c r="P39" s="53"/>
      <c r="Q39" s="53"/>
      <c r="W39" s="53"/>
      <c r="X39" s="53"/>
      <c r="Y39" s="53"/>
      <c r="Z39" s="53"/>
      <c r="AA39" s="53"/>
      <c r="AG39" s="53"/>
      <c r="AH39" s="53"/>
      <c r="AI39" s="53"/>
      <c r="AJ39" s="53"/>
      <c r="AK39" s="53"/>
    </row>
    <row r="40" spans="1:43" x14ac:dyDescent="0.2">
      <c r="C40" s="53"/>
      <c r="D40" s="53"/>
      <c r="E40" s="53"/>
      <c r="F40" s="53"/>
      <c r="G40" s="53"/>
      <c r="M40" s="53"/>
      <c r="N40" s="53"/>
      <c r="O40" s="53"/>
      <c r="P40" s="53"/>
      <c r="Q40" s="53"/>
      <c r="W40" s="53"/>
      <c r="X40" s="53"/>
      <c r="Y40" s="53"/>
      <c r="Z40" s="53"/>
      <c r="AA40" s="53"/>
      <c r="AG40" s="53"/>
      <c r="AH40" s="53"/>
      <c r="AI40" s="53"/>
      <c r="AJ40" s="53"/>
      <c r="AK40" s="53"/>
    </row>
    <row r="41" spans="1:43" x14ac:dyDescent="0.2">
      <c r="C41" s="53"/>
      <c r="D41" s="53"/>
      <c r="E41" s="53"/>
      <c r="F41" s="53"/>
      <c r="G41" s="53"/>
      <c r="M41" s="53"/>
      <c r="N41" s="53"/>
      <c r="O41" s="53"/>
      <c r="P41" s="53"/>
      <c r="Q41" s="53"/>
      <c r="W41" s="53"/>
      <c r="X41" s="53"/>
      <c r="Y41" s="53"/>
      <c r="Z41" s="53"/>
      <c r="AA41" s="53"/>
      <c r="AG41" s="53"/>
      <c r="AH41" s="53"/>
      <c r="AI41" s="53"/>
      <c r="AJ41" s="53"/>
      <c r="AK41" s="53"/>
    </row>
    <row r="42" spans="1:43" x14ac:dyDescent="0.2">
      <c r="C42" s="53"/>
      <c r="D42" s="53"/>
      <c r="E42" s="53"/>
      <c r="F42" s="53"/>
      <c r="G42" s="53"/>
      <c r="M42" s="53"/>
      <c r="N42" s="53"/>
      <c r="O42" s="53"/>
      <c r="P42" s="53"/>
      <c r="Q42" s="53"/>
      <c r="W42" s="53"/>
      <c r="X42" s="53"/>
      <c r="Y42" s="53"/>
      <c r="Z42" s="53"/>
      <c r="AA42" s="53"/>
      <c r="AG42" s="53"/>
      <c r="AH42" s="53"/>
      <c r="AI42" s="53"/>
      <c r="AJ42" s="53"/>
      <c r="AK42" s="53"/>
    </row>
    <row r="43" spans="1:43" x14ac:dyDescent="0.2">
      <c r="A43" t="s">
        <v>51</v>
      </c>
      <c r="C43" s="53"/>
      <c r="D43" s="53"/>
      <c r="E43" s="53"/>
      <c r="F43" s="53"/>
      <c r="G43" s="53"/>
      <c r="K43" t="s">
        <v>51</v>
      </c>
      <c r="M43" s="53"/>
      <c r="N43" s="53"/>
      <c r="O43" s="53"/>
      <c r="P43" s="53"/>
      <c r="Q43" s="53"/>
      <c r="W43" s="53"/>
      <c r="X43" s="53"/>
      <c r="Y43" s="53"/>
      <c r="Z43" s="53"/>
      <c r="AA43" s="53"/>
      <c r="AG43" s="53"/>
      <c r="AH43" s="53"/>
      <c r="AI43" s="53"/>
      <c r="AJ43" s="53"/>
      <c r="AK43" s="53"/>
      <c r="AN43" t="s">
        <v>53</v>
      </c>
    </row>
    <row r="45" spans="1:43" x14ac:dyDescent="0.2">
      <c r="A45" t="s">
        <v>87</v>
      </c>
      <c r="C45" s="53"/>
      <c r="D45" s="53"/>
      <c r="E45" s="53"/>
      <c r="F45" s="53"/>
      <c r="G45" s="53"/>
      <c r="K45" t="s">
        <v>87</v>
      </c>
      <c r="M45" s="53"/>
      <c r="N45" s="53"/>
      <c r="O45" s="53"/>
      <c r="P45" s="53"/>
      <c r="Q45" s="53"/>
      <c r="V45" t="s">
        <v>76</v>
      </c>
      <c r="W45" s="53"/>
      <c r="X45" s="53"/>
      <c r="Y45" s="53"/>
      <c r="Z45" s="53"/>
      <c r="AA45" s="53"/>
      <c r="AF45" t="s">
        <v>90</v>
      </c>
      <c r="AG45" s="53">
        <v>1</v>
      </c>
      <c r="AH45" s="53"/>
      <c r="AI45" s="53"/>
      <c r="AJ45" s="53"/>
      <c r="AK45" s="53"/>
      <c r="AN45" s="203" t="s">
        <v>57</v>
      </c>
      <c r="AO45" s="203"/>
      <c r="AP45" s="203"/>
      <c r="AQ45" s="203"/>
    </row>
    <row r="46" spans="1:43" x14ac:dyDescent="0.2">
      <c r="C46" s="53"/>
      <c r="D46" s="53"/>
      <c r="E46" s="53"/>
      <c r="F46" s="53"/>
      <c r="G46" s="53"/>
      <c r="M46" s="53"/>
      <c r="N46" s="53"/>
      <c r="O46" s="53"/>
      <c r="P46" s="53"/>
      <c r="Q46" s="53"/>
      <c r="W46" s="53"/>
      <c r="X46" s="53"/>
      <c r="Y46" s="53"/>
      <c r="Z46" s="53"/>
      <c r="AA46" s="53"/>
      <c r="AG46" s="53">
        <v>1</v>
      </c>
      <c r="AH46" s="53"/>
      <c r="AI46" s="53"/>
      <c r="AJ46" s="53"/>
      <c r="AK46" s="53"/>
      <c r="AN46" s="203"/>
      <c r="AO46" s="203"/>
      <c r="AP46" s="203"/>
      <c r="AQ46" s="203"/>
    </row>
    <row r="47" spans="1:43" x14ac:dyDescent="0.2">
      <c r="C47" s="53"/>
      <c r="D47" s="53"/>
      <c r="E47" s="53"/>
      <c r="F47" s="53"/>
      <c r="G47" s="53"/>
      <c r="M47" s="53"/>
      <c r="N47" s="53"/>
      <c r="O47" s="53"/>
      <c r="P47" s="53"/>
      <c r="Q47" s="53"/>
      <c r="W47" s="53"/>
      <c r="X47" s="53"/>
      <c r="Y47" s="53"/>
      <c r="Z47" s="53"/>
      <c r="AA47" s="53"/>
      <c r="AG47" s="53"/>
      <c r="AH47" s="53"/>
      <c r="AI47" s="53"/>
      <c r="AJ47" s="53"/>
      <c r="AK47" s="53"/>
      <c r="AN47" s="203"/>
      <c r="AO47" s="203"/>
      <c r="AP47" s="203"/>
      <c r="AQ47" s="203"/>
    </row>
    <row r="48" spans="1:43" x14ac:dyDescent="0.2">
      <c r="C48" s="53"/>
      <c r="D48" s="53"/>
      <c r="E48" s="53"/>
      <c r="F48" s="53"/>
      <c r="G48" s="53"/>
      <c r="M48" s="53"/>
      <c r="N48" s="53"/>
      <c r="O48" s="53"/>
      <c r="P48" s="53"/>
      <c r="Q48" s="53"/>
      <c r="W48" s="53"/>
      <c r="X48" s="53"/>
      <c r="Y48" s="53"/>
      <c r="Z48" s="53"/>
      <c r="AA48" s="53"/>
      <c r="AG48" s="53"/>
      <c r="AH48" s="53"/>
      <c r="AI48" s="53"/>
      <c r="AJ48" s="53"/>
      <c r="AK48" s="53"/>
      <c r="AN48" s="203"/>
      <c r="AO48" s="203"/>
      <c r="AP48" s="203"/>
      <c r="AQ48" s="203"/>
    </row>
    <row r="49" spans="3:43" x14ac:dyDescent="0.2">
      <c r="C49" s="53"/>
      <c r="D49" s="53"/>
      <c r="E49" s="53"/>
      <c r="F49" s="53"/>
      <c r="G49" s="53"/>
      <c r="M49" s="53"/>
      <c r="N49" s="53"/>
      <c r="O49" s="53"/>
      <c r="P49" s="53"/>
      <c r="Q49" s="53"/>
      <c r="W49" s="53"/>
      <c r="X49" s="53"/>
      <c r="Y49" s="53"/>
      <c r="Z49" s="53"/>
      <c r="AA49" s="53"/>
      <c r="AG49" s="53"/>
      <c r="AH49" s="53"/>
      <c r="AI49" s="53"/>
      <c r="AJ49" s="53"/>
      <c r="AK49" s="53"/>
      <c r="AN49" s="203"/>
      <c r="AO49" s="203"/>
      <c r="AP49" s="203"/>
      <c r="AQ49" s="203"/>
    </row>
    <row r="50" spans="3:43" x14ac:dyDescent="0.2">
      <c r="C50" s="53"/>
      <c r="D50" s="53"/>
      <c r="E50" s="53"/>
      <c r="F50" s="53"/>
      <c r="G50" s="53"/>
      <c r="M50" s="53"/>
      <c r="N50" s="53"/>
      <c r="O50" s="53"/>
      <c r="P50" s="53"/>
      <c r="Q50" s="53"/>
      <c r="W50" s="53"/>
      <c r="X50" s="53"/>
      <c r="Y50" s="53"/>
      <c r="Z50" s="53"/>
      <c r="AA50" s="53"/>
      <c r="AG50" s="53"/>
      <c r="AH50" s="53"/>
      <c r="AI50" s="53"/>
      <c r="AJ50" s="53"/>
      <c r="AK50" s="53"/>
      <c r="AN50" s="203"/>
      <c r="AO50" s="203"/>
      <c r="AP50" s="203"/>
      <c r="AQ50" s="203"/>
    </row>
    <row r="51" spans="3:43" x14ac:dyDescent="0.2">
      <c r="C51" s="53"/>
      <c r="D51" s="53"/>
      <c r="E51" s="53"/>
      <c r="F51" s="53"/>
      <c r="G51" s="53"/>
      <c r="M51" s="53"/>
      <c r="N51" s="53"/>
      <c r="O51" s="53"/>
      <c r="P51" s="53"/>
      <c r="Q51" s="53"/>
      <c r="W51" s="53"/>
      <c r="X51" s="53"/>
      <c r="Y51" s="53"/>
      <c r="Z51" s="53"/>
      <c r="AA51" s="53"/>
      <c r="AG51" s="53"/>
      <c r="AH51" s="53"/>
      <c r="AI51" s="53"/>
      <c r="AJ51" s="53"/>
      <c r="AK51" s="53"/>
      <c r="AN51" s="203"/>
      <c r="AO51" s="203"/>
      <c r="AP51" s="203"/>
      <c r="AQ51" s="203"/>
    </row>
    <row r="52" spans="3:43" x14ac:dyDescent="0.2">
      <c r="C52" s="53"/>
      <c r="D52" s="53"/>
      <c r="E52" s="53"/>
      <c r="F52" s="53"/>
      <c r="G52" s="53"/>
      <c r="M52" s="53"/>
      <c r="N52" s="53"/>
      <c r="O52" s="53"/>
      <c r="P52" s="53"/>
      <c r="Q52" s="53"/>
      <c r="W52" s="53"/>
      <c r="X52" s="53"/>
      <c r="Y52" s="53"/>
      <c r="Z52" s="53"/>
      <c r="AA52" s="53"/>
      <c r="AG52" s="53"/>
      <c r="AH52" s="53"/>
      <c r="AI52" s="53"/>
      <c r="AJ52" s="53"/>
      <c r="AK52" s="53"/>
    </row>
    <row r="53" spans="3:43" x14ac:dyDescent="0.2">
      <c r="C53" s="53"/>
      <c r="D53" s="53"/>
      <c r="E53" s="53"/>
      <c r="F53" s="53"/>
      <c r="G53" s="53"/>
      <c r="M53" s="53"/>
      <c r="N53" s="53"/>
      <c r="O53" s="53"/>
      <c r="P53" s="53"/>
      <c r="Q53" s="53"/>
      <c r="W53" s="53"/>
      <c r="X53" s="53"/>
      <c r="Y53" s="53"/>
      <c r="Z53" s="53"/>
      <c r="AA53" s="53"/>
      <c r="AG53" s="53"/>
      <c r="AH53" s="53"/>
      <c r="AI53" s="53"/>
      <c r="AJ53" s="53"/>
      <c r="AK53" s="53"/>
    </row>
    <row r="54" spans="3:43" x14ac:dyDescent="0.2">
      <c r="C54" s="53"/>
      <c r="D54" s="53"/>
      <c r="E54" s="53"/>
      <c r="F54" s="53"/>
      <c r="G54" s="53"/>
      <c r="M54" s="53"/>
      <c r="N54" s="53"/>
      <c r="O54" s="53"/>
      <c r="P54" s="53"/>
      <c r="Q54" s="53"/>
      <c r="W54" s="53"/>
      <c r="X54" s="53"/>
      <c r="Y54" s="53"/>
      <c r="Z54" s="53"/>
      <c r="AA54" s="53"/>
      <c r="AG54" s="53"/>
      <c r="AH54" s="53"/>
      <c r="AI54" s="53"/>
      <c r="AJ54" s="53"/>
      <c r="AK54" s="53"/>
    </row>
    <row r="55" spans="3:43" x14ac:dyDescent="0.2">
      <c r="C55" s="53"/>
      <c r="D55" s="53"/>
      <c r="E55" s="53"/>
      <c r="F55" s="53"/>
      <c r="G55" s="53"/>
      <c r="M55" s="53"/>
      <c r="N55" s="53"/>
      <c r="O55" s="53"/>
      <c r="P55" s="53"/>
      <c r="Q55" s="53"/>
      <c r="W55" s="53"/>
      <c r="X55" s="53"/>
      <c r="Y55" s="53"/>
      <c r="Z55" s="53"/>
      <c r="AA55" s="53"/>
      <c r="AG55" s="53"/>
      <c r="AH55" s="53"/>
      <c r="AI55" s="53"/>
      <c r="AJ55" s="53"/>
      <c r="AK55" s="53"/>
    </row>
    <row r="56" spans="3:43" x14ac:dyDescent="0.2">
      <c r="C56" s="53"/>
      <c r="D56" s="53"/>
      <c r="E56" s="53"/>
      <c r="F56" s="53"/>
      <c r="G56" s="53"/>
      <c r="M56" s="53"/>
      <c r="N56" s="53"/>
      <c r="O56" s="53"/>
      <c r="P56" s="53"/>
      <c r="Q56" s="53"/>
      <c r="W56" s="53"/>
      <c r="X56" s="53"/>
      <c r="Y56" s="53"/>
      <c r="Z56" s="53"/>
      <c r="AA56" s="53"/>
      <c r="AG56" s="53"/>
      <c r="AH56" s="53"/>
      <c r="AI56" s="53"/>
      <c r="AJ56" s="53"/>
      <c r="AK56" s="53"/>
    </row>
    <row r="57" spans="3:43" x14ac:dyDescent="0.2">
      <c r="C57" s="53"/>
      <c r="D57" s="53"/>
      <c r="E57" s="53"/>
      <c r="F57" s="53"/>
      <c r="G57" s="53"/>
      <c r="M57" s="53"/>
      <c r="N57" s="53"/>
      <c r="O57" s="53"/>
      <c r="P57" s="53"/>
      <c r="Q57" s="53"/>
      <c r="W57" s="53"/>
      <c r="X57" s="53"/>
      <c r="Y57" s="53"/>
      <c r="Z57" s="53"/>
      <c r="AA57" s="53"/>
      <c r="AG57" s="53"/>
      <c r="AH57" s="53"/>
      <c r="AI57" s="53"/>
      <c r="AJ57" s="53"/>
      <c r="AK57" s="53"/>
    </row>
    <row r="58" spans="3:43" x14ac:dyDescent="0.2">
      <c r="C58" s="53"/>
      <c r="D58" s="53"/>
      <c r="E58" s="53"/>
      <c r="F58" s="53"/>
      <c r="G58" s="53"/>
      <c r="M58" s="53"/>
      <c r="N58" s="53"/>
      <c r="O58" s="53"/>
      <c r="P58" s="53"/>
      <c r="Q58" s="53"/>
      <c r="W58" s="53"/>
      <c r="X58" s="53"/>
      <c r="Y58" s="53"/>
      <c r="Z58" s="53"/>
      <c r="AA58" s="53"/>
      <c r="AG58" s="53"/>
      <c r="AH58" s="53"/>
      <c r="AI58" s="53"/>
      <c r="AJ58" s="53"/>
      <c r="AK58" s="53"/>
    </row>
    <row r="59" spans="3:43" x14ac:dyDescent="0.2">
      <c r="C59" s="53"/>
      <c r="D59" s="53"/>
      <c r="E59" s="53"/>
      <c r="F59" s="53"/>
      <c r="G59" s="53"/>
      <c r="M59" s="53"/>
      <c r="N59" s="53"/>
      <c r="O59" s="53"/>
      <c r="P59" s="53"/>
      <c r="Q59" s="53"/>
      <c r="W59" s="53"/>
      <c r="X59" s="53"/>
      <c r="Y59" s="53"/>
      <c r="Z59" s="53"/>
      <c r="AA59" s="53"/>
      <c r="AG59" s="53"/>
      <c r="AH59" s="53"/>
      <c r="AI59" s="53"/>
      <c r="AJ59" s="53"/>
      <c r="AK59" s="53"/>
    </row>
    <row r="60" spans="3:43" x14ac:dyDescent="0.2">
      <c r="C60" s="53"/>
      <c r="D60" s="53"/>
      <c r="E60" s="53"/>
      <c r="F60" s="53"/>
      <c r="G60" s="53"/>
      <c r="M60" s="53"/>
      <c r="N60" s="53"/>
      <c r="O60" s="53"/>
      <c r="P60" s="53"/>
      <c r="Q60" s="53"/>
      <c r="W60" s="53"/>
      <c r="X60" s="53"/>
      <c r="Y60" s="53"/>
      <c r="Z60" s="53"/>
      <c r="AA60" s="53"/>
      <c r="AG60" s="53"/>
      <c r="AH60" s="53"/>
      <c r="AI60" s="53"/>
      <c r="AJ60" s="53"/>
      <c r="AK60" s="53"/>
    </row>
    <row r="61" spans="3:43" x14ac:dyDescent="0.2">
      <c r="C61" s="53"/>
      <c r="D61" s="53"/>
      <c r="E61" s="53"/>
      <c r="F61" s="53"/>
      <c r="G61" s="53"/>
      <c r="M61" s="53"/>
      <c r="N61" s="53"/>
      <c r="O61" s="53"/>
      <c r="P61" s="53"/>
      <c r="Q61" s="53"/>
      <c r="W61" s="53"/>
      <c r="X61" s="53"/>
      <c r="Y61" s="53"/>
      <c r="Z61" s="53"/>
      <c r="AA61" s="53"/>
      <c r="AG61" s="53"/>
      <c r="AH61" s="53"/>
      <c r="AI61" s="53"/>
      <c r="AJ61" s="53"/>
      <c r="AK61" s="53"/>
    </row>
    <row r="62" spans="3:43" x14ac:dyDescent="0.2">
      <c r="C62" s="53"/>
      <c r="D62" s="53"/>
      <c r="E62" s="53"/>
      <c r="F62" s="53"/>
      <c r="G62" s="53"/>
      <c r="M62" s="53"/>
      <c r="N62" s="53"/>
      <c r="O62" s="53"/>
      <c r="P62" s="53"/>
      <c r="Q62" s="53"/>
      <c r="W62" s="53"/>
      <c r="X62" s="53"/>
      <c r="Y62" s="53"/>
      <c r="Z62" s="53"/>
      <c r="AA62" s="53"/>
      <c r="AG62" s="53"/>
      <c r="AH62" s="53"/>
      <c r="AI62" s="53"/>
      <c r="AJ62" s="53"/>
      <c r="AK62" s="53"/>
    </row>
    <row r="63" spans="3:43" x14ac:dyDescent="0.2">
      <c r="C63" s="53"/>
      <c r="D63" s="53"/>
      <c r="E63" s="53"/>
      <c r="F63" s="53"/>
      <c r="G63" s="53"/>
      <c r="M63" s="53"/>
      <c r="N63" s="53"/>
      <c r="O63" s="53"/>
      <c r="P63" s="53"/>
      <c r="Q63" s="53"/>
      <c r="W63" s="53"/>
      <c r="X63" s="53"/>
      <c r="Y63" s="53"/>
      <c r="Z63" s="53"/>
      <c r="AA63" s="53"/>
      <c r="AG63" s="53"/>
      <c r="AH63" s="53"/>
      <c r="AI63" s="53"/>
      <c r="AJ63" s="53"/>
      <c r="AK63" s="53"/>
    </row>
    <row r="64" spans="3:43" x14ac:dyDescent="0.2">
      <c r="C64" s="53"/>
      <c r="D64" s="53"/>
      <c r="E64" s="53"/>
      <c r="F64" s="53"/>
      <c r="G64" s="53"/>
      <c r="M64" s="53"/>
      <c r="N64" s="53"/>
      <c r="O64" s="53"/>
      <c r="P64" s="53"/>
      <c r="Q64" s="53"/>
      <c r="W64" s="53"/>
      <c r="X64" s="53"/>
      <c r="Y64" s="53"/>
      <c r="Z64" s="53"/>
      <c r="AA64" s="53"/>
      <c r="AG64" s="53"/>
      <c r="AH64" s="53"/>
      <c r="AI64" s="53"/>
      <c r="AJ64" s="53"/>
      <c r="AK64" s="53"/>
    </row>
    <row r="65" spans="1:40" x14ac:dyDescent="0.2">
      <c r="C65" s="53"/>
      <c r="D65" s="53"/>
      <c r="E65" s="53"/>
      <c r="F65" s="53"/>
      <c r="G65" s="53"/>
      <c r="M65" s="53"/>
      <c r="N65" s="53"/>
      <c r="O65" s="53"/>
      <c r="P65" s="53"/>
      <c r="Q65" s="53"/>
      <c r="W65" s="53"/>
      <c r="X65" s="53"/>
      <c r="Y65" s="53"/>
      <c r="Z65" s="53"/>
      <c r="AA65" s="53"/>
      <c r="AG65" s="53"/>
      <c r="AH65" s="53"/>
      <c r="AI65" s="53"/>
      <c r="AJ65" s="53"/>
      <c r="AK65" s="53"/>
    </row>
    <row r="66" spans="1:40" x14ac:dyDescent="0.2">
      <c r="C66" s="53"/>
      <c r="D66" s="53"/>
      <c r="E66" s="53"/>
      <c r="F66" s="53"/>
      <c r="G66" s="53"/>
      <c r="M66" s="53"/>
      <c r="N66" s="53"/>
      <c r="O66" s="53"/>
      <c r="P66" s="53"/>
      <c r="Q66" s="53"/>
      <c r="W66" s="53"/>
      <c r="X66" s="53"/>
      <c r="Y66" s="53"/>
      <c r="Z66" s="53"/>
      <c r="AA66" s="53"/>
      <c r="AG66" s="53"/>
      <c r="AH66" s="53"/>
      <c r="AI66" s="53"/>
      <c r="AJ66" s="53"/>
      <c r="AK66" s="53"/>
    </row>
    <row r="67" spans="1:40" x14ac:dyDescent="0.2">
      <c r="C67" s="53"/>
      <c r="D67" s="53"/>
      <c r="E67" s="53"/>
      <c r="F67" s="53"/>
      <c r="G67" s="53"/>
      <c r="M67" s="53"/>
      <c r="N67" s="53"/>
      <c r="O67" s="53"/>
      <c r="P67" s="53"/>
      <c r="Q67" s="53"/>
      <c r="W67" s="53"/>
      <c r="X67" s="53"/>
      <c r="Y67" s="53"/>
      <c r="Z67" s="53"/>
      <c r="AA67" s="53"/>
      <c r="AG67" s="53"/>
      <c r="AH67" s="53"/>
      <c r="AI67" s="53"/>
      <c r="AJ67" s="53"/>
      <c r="AK67" s="53"/>
    </row>
    <row r="68" spans="1:40" x14ac:dyDescent="0.2">
      <c r="C68" s="53"/>
      <c r="D68" s="53"/>
      <c r="E68" s="53"/>
      <c r="F68" s="53"/>
      <c r="G68" s="53"/>
      <c r="M68" s="53"/>
      <c r="N68" s="53"/>
      <c r="O68" s="53"/>
      <c r="P68" s="53"/>
      <c r="Q68" s="53"/>
      <c r="W68" s="53"/>
      <c r="X68" s="53"/>
      <c r="Y68" s="53"/>
      <c r="Z68" s="53"/>
      <c r="AA68" s="53"/>
      <c r="AG68" s="53"/>
      <c r="AH68" s="53"/>
      <c r="AI68" s="53"/>
      <c r="AJ68" s="53"/>
      <c r="AK68" s="53"/>
    </row>
    <row r="69" spans="1:40" x14ac:dyDescent="0.2">
      <c r="A69" t="s">
        <v>51</v>
      </c>
      <c r="C69" s="53"/>
      <c r="D69" s="53"/>
      <c r="E69" s="53"/>
      <c r="F69" s="53"/>
      <c r="G69" s="53"/>
      <c r="K69" t="s">
        <v>51</v>
      </c>
      <c r="M69" s="53"/>
      <c r="N69" s="53"/>
      <c r="O69" s="53"/>
      <c r="P69" s="53"/>
      <c r="Q69" s="53"/>
      <c r="W69" s="53"/>
      <c r="X69" s="53"/>
      <c r="Y69" s="53"/>
      <c r="Z69" s="53"/>
      <c r="AA69" s="53"/>
      <c r="AG69" s="53"/>
      <c r="AH69" s="53"/>
      <c r="AI69" s="53"/>
      <c r="AJ69" s="53"/>
      <c r="AK69" s="53"/>
      <c r="AN69" t="s">
        <v>53</v>
      </c>
    </row>
    <row r="72" spans="1:40" x14ac:dyDescent="0.2">
      <c r="A72" t="s">
        <v>97</v>
      </c>
      <c r="C72" s="53"/>
      <c r="D72" s="53"/>
      <c r="E72" s="53"/>
      <c r="F72" s="53"/>
      <c r="G72" s="53"/>
      <c r="K72" t="s">
        <v>97</v>
      </c>
      <c r="M72" s="53"/>
      <c r="N72" s="53"/>
      <c r="O72" s="53"/>
      <c r="P72" s="53"/>
      <c r="Q72" s="53"/>
      <c r="V72" t="s">
        <v>105</v>
      </c>
      <c r="W72" s="53"/>
      <c r="X72" s="53"/>
      <c r="Y72" s="53"/>
      <c r="Z72" s="53"/>
      <c r="AA72" s="53"/>
      <c r="AF72" t="s">
        <v>91</v>
      </c>
      <c r="AG72" s="53">
        <v>1</v>
      </c>
      <c r="AH72" s="53"/>
      <c r="AI72" s="53"/>
      <c r="AJ72" s="53"/>
      <c r="AK72" s="53"/>
    </row>
    <row r="73" spans="1:40" x14ac:dyDescent="0.2">
      <c r="C73" s="53"/>
      <c r="D73" s="53"/>
      <c r="E73" s="53"/>
      <c r="F73" s="53"/>
      <c r="G73" s="53"/>
      <c r="M73" s="53"/>
      <c r="N73" s="53"/>
      <c r="O73" s="53"/>
      <c r="P73" s="53"/>
      <c r="Q73" s="53"/>
      <c r="W73" s="53"/>
      <c r="X73" s="53"/>
      <c r="Y73" s="53"/>
      <c r="Z73" s="53"/>
      <c r="AA73" s="53"/>
      <c r="AG73" s="53">
        <v>1</v>
      </c>
      <c r="AH73" s="53"/>
      <c r="AI73" s="53"/>
      <c r="AJ73" s="53"/>
      <c r="AK73" s="53"/>
    </row>
    <row r="74" spans="1:40" x14ac:dyDescent="0.2">
      <c r="C74" s="53"/>
      <c r="D74" s="53"/>
      <c r="E74" s="53"/>
      <c r="F74" s="53"/>
      <c r="G74" s="53"/>
      <c r="M74" s="53"/>
      <c r="N74" s="53"/>
      <c r="O74" s="53"/>
      <c r="P74" s="53"/>
      <c r="Q74" s="53"/>
      <c r="W74" s="53"/>
      <c r="X74" s="53"/>
      <c r="Y74" s="53"/>
      <c r="Z74" s="53"/>
      <c r="AA74" s="53"/>
      <c r="AG74" s="53">
        <v>1</v>
      </c>
      <c r="AH74" s="53"/>
      <c r="AI74" s="53"/>
      <c r="AJ74" s="53"/>
      <c r="AK74" s="53"/>
    </row>
    <row r="75" spans="1:40" x14ac:dyDescent="0.2">
      <c r="C75" s="53"/>
      <c r="D75" s="53"/>
      <c r="E75" s="53"/>
      <c r="F75" s="53"/>
      <c r="G75" s="53"/>
      <c r="M75" s="53"/>
      <c r="N75" s="53"/>
      <c r="O75" s="53"/>
      <c r="P75" s="53"/>
      <c r="Q75" s="53"/>
      <c r="W75" s="53"/>
      <c r="X75" s="53"/>
      <c r="Y75" s="53"/>
      <c r="Z75" s="53"/>
      <c r="AA75" s="53"/>
      <c r="AG75" s="53">
        <v>1</v>
      </c>
      <c r="AH75" s="53"/>
      <c r="AI75" s="53"/>
      <c r="AJ75" s="53"/>
      <c r="AK75" s="53"/>
    </row>
    <row r="76" spans="1:40" x14ac:dyDescent="0.2">
      <c r="C76" s="53"/>
      <c r="D76" s="53"/>
      <c r="E76" s="53"/>
      <c r="F76" s="53"/>
      <c r="G76" s="53"/>
      <c r="M76" s="53"/>
      <c r="N76" s="53"/>
      <c r="O76" s="53"/>
      <c r="P76" s="53"/>
      <c r="Q76" s="53"/>
      <c r="W76" s="53"/>
      <c r="X76" s="53"/>
      <c r="Y76" s="53"/>
      <c r="Z76" s="53"/>
      <c r="AA76" s="53"/>
      <c r="AG76" s="53">
        <v>1</v>
      </c>
      <c r="AH76" s="53"/>
      <c r="AI76" s="53"/>
      <c r="AJ76" s="53"/>
      <c r="AK76" s="53"/>
    </row>
    <row r="77" spans="1:40" x14ac:dyDescent="0.2">
      <c r="C77" s="53"/>
      <c r="D77" s="53"/>
      <c r="E77" s="53"/>
      <c r="F77" s="53"/>
      <c r="G77" s="53"/>
      <c r="M77" s="53"/>
      <c r="N77" s="53"/>
      <c r="O77" s="53"/>
      <c r="P77" s="53"/>
      <c r="Q77" s="53"/>
      <c r="W77" s="53"/>
      <c r="X77" s="53"/>
      <c r="Y77" s="53"/>
      <c r="Z77" s="53"/>
      <c r="AA77" s="53"/>
      <c r="AG77" s="53">
        <v>1</v>
      </c>
      <c r="AH77" s="53"/>
      <c r="AI77" s="53"/>
      <c r="AJ77" s="53"/>
      <c r="AK77" s="53"/>
    </row>
    <row r="78" spans="1:40" x14ac:dyDescent="0.2">
      <c r="C78" s="53"/>
      <c r="D78" s="53"/>
      <c r="E78" s="53"/>
      <c r="F78" s="53"/>
      <c r="G78" s="53"/>
      <c r="M78" s="53"/>
      <c r="N78" s="53"/>
      <c r="O78" s="53"/>
      <c r="P78" s="53"/>
      <c r="Q78" s="53"/>
      <c r="W78" s="53"/>
      <c r="X78" s="53"/>
      <c r="Y78" s="53"/>
      <c r="Z78" s="53"/>
      <c r="AA78" s="53"/>
      <c r="AG78" s="53"/>
      <c r="AH78" s="53"/>
      <c r="AI78" s="53"/>
      <c r="AJ78" s="53"/>
      <c r="AK78" s="53"/>
    </row>
    <row r="79" spans="1:40" x14ac:dyDescent="0.2">
      <c r="C79" s="53"/>
      <c r="D79" s="53"/>
      <c r="E79" s="53"/>
      <c r="F79" s="53"/>
      <c r="G79" s="53"/>
      <c r="M79" s="53"/>
      <c r="N79" s="53"/>
      <c r="O79" s="53"/>
      <c r="P79" s="53"/>
      <c r="Q79" s="53"/>
      <c r="W79" s="53"/>
      <c r="X79" s="53"/>
      <c r="Y79" s="53"/>
      <c r="Z79" s="53"/>
      <c r="AA79" s="53"/>
      <c r="AG79" s="53"/>
      <c r="AH79" s="53"/>
      <c r="AI79" s="53"/>
      <c r="AJ79" s="53"/>
      <c r="AK79" s="53"/>
    </row>
    <row r="80" spans="1:40" x14ac:dyDescent="0.2">
      <c r="C80" s="53"/>
      <c r="D80" s="53"/>
      <c r="E80" s="53"/>
      <c r="F80" s="53"/>
      <c r="G80" s="53"/>
      <c r="M80" s="53"/>
      <c r="N80" s="53"/>
      <c r="O80" s="53"/>
      <c r="P80" s="53"/>
      <c r="Q80" s="53"/>
      <c r="W80" s="53"/>
      <c r="X80" s="53"/>
      <c r="Y80" s="53"/>
      <c r="Z80" s="53"/>
      <c r="AA80" s="53"/>
      <c r="AG80" s="53"/>
      <c r="AH80" s="53"/>
      <c r="AI80" s="53"/>
      <c r="AJ80" s="53"/>
      <c r="AK80" s="53"/>
    </row>
    <row r="81" spans="1:40" x14ac:dyDescent="0.2">
      <c r="C81" s="53"/>
      <c r="D81" s="53"/>
      <c r="E81" s="53"/>
      <c r="F81" s="53"/>
      <c r="G81" s="53"/>
      <c r="M81" s="53"/>
      <c r="N81" s="53"/>
      <c r="O81" s="53"/>
      <c r="P81" s="53"/>
      <c r="Q81" s="53"/>
      <c r="W81" s="53"/>
      <c r="X81" s="53"/>
      <c r="Y81" s="53"/>
      <c r="Z81" s="53"/>
      <c r="AA81" s="53"/>
      <c r="AG81" s="53"/>
      <c r="AH81" s="53"/>
      <c r="AI81" s="53"/>
      <c r="AJ81" s="53"/>
      <c r="AK81" s="53"/>
    </row>
    <row r="82" spans="1:40" x14ac:dyDescent="0.2">
      <c r="C82" s="53"/>
      <c r="D82" s="53"/>
      <c r="E82" s="53"/>
      <c r="F82" s="53"/>
      <c r="G82" s="53"/>
      <c r="M82" s="53"/>
      <c r="N82" s="53"/>
      <c r="O82" s="53"/>
      <c r="P82" s="53"/>
      <c r="Q82" s="53"/>
      <c r="W82" s="53"/>
      <c r="X82" s="53"/>
      <c r="Y82" s="53"/>
      <c r="Z82" s="53"/>
      <c r="AA82" s="53"/>
      <c r="AG82" s="53"/>
      <c r="AH82" s="53"/>
      <c r="AI82" s="53"/>
      <c r="AJ82" s="53"/>
      <c r="AK82" s="53"/>
    </row>
    <row r="83" spans="1:40" x14ac:dyDescent="0.2">
      <c r="C83" s="53"/>
      <c r="D83" s="53"/>
      <c r="E83" s="53"/>
      <c r="F83" s="53"/>
      <c r="G83" s="53"/>
      <c r="M83" s="53"/>
      <c r="N83" s="53"/>
      <c r="O83" s="53"/>
      <c r="P83" s="53"/>
      <c r="Q83" s="53"/>
      <c r="W83" s="53"/>
      <c r="X83" s="53"/>
      <c r="Y83" s="53"/>
      <c r="Z83" s="53"/>
      <c r="AA83" s="53"/>
      <c r="AG83" s="53"/>
      <c r="AH83" s="53"/>
      <c r="AI83" s="53"/>
      <c r="AJ83" s="53"/>
      <c r="AK83" s="53"/>
    </row>
    <row r="84" spans="1:40" x14ac:dyDescent="0.2">
      <c r="C84" s="53"/>
      <c r="D84" s="53"/>
      <c r="E84" s="53"/>
      <c r="F84" s="53"/>
      <c r="G84" s="53"/>
      <c r="M84" s="53"/>
      <c r="N84" s="53"/>
      <c r="O84" s="53"/>
      <c r="P84" s="53"/>
      <c r="Q84" s="53"/>
      <c r="W84" s="53"/>
      <c r="X84" s="53"/>
      <c r="Y84" s="53"/>
      <c r="Z84" s="53"/>
      <c r="AA84" s="53"/>
      <c r="AG84" s="53"/>
      <c r="AH84" s="53"/>
      <c r="AI84" s="53"/>
      <c r="AJ84" s="53"/>
      <c r="AK84" s="53"/>
    </row>
    <row r="85" spans="1:40" x14ac:dyDescent="0.2">
      <c r="C85" s="53"/>
      <c r="D85" s="53"/>
      <c r="E85" s="53"/>
      <c r="F85" s="53"/>
      <c r="G85" s="53"/>
      <c r="M85" s="53"/>
      <c r="N85" s="53"/>
      <c r="O85" s="53"/>
      <c r="P85" s="53"/>
      <c r="Q85" s="53"/>
      <c r="W85" s="53"/>
      <c r="X85" s="53"/>
      <c r="Y85" s="53"/>
      <c r="Z85" s="53"/>
      <c r="AA85" s="53"/>
      <c r="AG85" s="53"/>
      <c r="AH85" s="53"/>
      <c r="AI85" s="53"/>
      <c r="AJ85" s="53"/>
      <c r="AK85" s="53"/>
    </row>
    <row r="86" spans="1:40" x14ac:dyDescent="0.2">
      <c r="C86" s="53"/>
      <c r="D86" s="53"/>
      <c r="E86" s="53"/>
      <c r="F86" s="53"/>
      <c r="G86" s="53"/>
      <c r="M86" s="53"/>
      <c r="N86" s="53"/>
      <c r="O86" s="53"/>
      <c r="P86" s="53"/>
      <c r="Q86" s="53"/>
      <c r="W86" s="53"/>
      <c r="X86" s="53"/>
      <c r="Y86" s="53"/>
      <c r="Z86" s="53"/>
      <c r="AA86" s="53"/>
      <c r="AG86" s="53"/>
      <c r="AH86" s="53"/>
      <c r="AI86" s="53"/>
      <c r="AJ86" s="53"/>
      <c r="AK86" s="53"/>
    </row>
    <row r="87" spans="1:40" x14ac:dyDescent="0.2">
      <c r="C87" s="53"/>
      <c r="D87" s="53"/>
      <c r="E87" s="53"/>
      <c r="F87" s="53"/>
      <c r="G87" s="53"/>
      <c r="M87" s="53"/>
      <c r="N87" s="53"/>
      <c r="O87" s="53"/>
      <c r="P87" s="53"/>
      <c r="Q87" s="53"/>
      <c r="W87" s="53"/>
      <c r="X87" s="53"/>
      <c r="Y87" s="53"/>
      <c r="Z87" s="53"/>
      <c r="AA87" s="53"/>
      <c r="AG87" s="53"/>
      <c r="AH87" s="53"/>
      <c r="AI87" s="53"/>
      <c r="AJ87" s="53"/>
      <c r="AK87" s="53"/>
    </row>
    <row r="88" spans="1:40" x14ac:dyDescent="0.2">
      <c r="C88" s="53"/>
      <c r="D88" s="53"/>
      <c r="E88" s="53"/>
      <c r="F88" s="53"/>
      <c r="G88" s="53"/>
      <c r="M88" s="53"/>
      <c r="N88" s="53"/>
      <c r="O88" s="53"/>
      <c r="P88" s="53"/>
      <c r="Q88" s="53"/>
      <c r="W88" s="53"/>
      <c r="X88" s="53"/>
      <c r="Y88" s="53"/>
      <c r="Z88" s="53"/>
      <c r="AA88" s="53"/>
      <c r="AG88" s="53"/>
      <c r="AH88" s="53"/>
      <c r="AI88" s="53"/>
      <c r="AJ88" s="53"/>
      <c r="AK88" s="53"/>
    </row>
    <row r="89" spans="1:40" x14ac:dyDescent="0.2">
      <c r="C89" s="53"/>
      <c r="D89" s="53"/>
      <c r="E89" s="53"/>
      <c r="F89" s="53"/>
      <c r="G89" s="53"/>
      <c r="M89" s="53"/>
      <c r="N89" s="53"/>
      <c r="O89" s="53"/>
      <c r="P89" s="53"/>
      <c r="Q89" s="53"/>
      <c r="W89" s="53"/>
      <c r="X89" s="53"/>
      <c r="Y89" s="53"/>
      <c r="Z89" s="53"/>
      <c r="AA89" s="53"/>
      <c r="AG89" s="53"/>
      <c r="AH89" s="53"/>
      <c r="AI89" s="53"/>
      <c r="AJ89" s="53"/>
      <c r="AK89" s="53"/>
    </row>
    <row r="90" spans="1:40" x14ac:dyDescent="0.2">
      <c r="C90" s="53"/>
      <c r="D90" s="53"/>
      <c r="E90" s="53"/>
      <c r="F90" s="53"/>
      <c r="G90" s="53"/>
      <c r="M90" s="53"/>
      <c r="N90" s="53"/>
      <c r="O90" s="53"/>
      <c r="P90" s="53"/>
      <c r="Q90" s="53"/>
      <c r="W90" s="53"/>
      <c r="X90" s="53"/>
      <c r="Y90" s="53"/>
      <c r="Z90" s="53"/>
      <c r="AA90" s="53"/>
      <c r="AG90" s="53"/>
      <c r="AH90" s="53"/>
      <c r="AI90" s="53"/>
      <c r="AJ90" s="53"/>
      <c r="AK90" s="53"/>
    </row>
    <row r="91" spans="1:40" x14ac:dyDescent="0.2">
      <c r="C91" s="53"/>
      <c r="D91" s="53"/>
      <c r="E91" s="53"/>
      <c r="F91" s="53"/>
      <c r="G91" s="53"/>
      <c r="M91" s="53"/>
      <c r="N91" s="53"/>
      <c r="O91" s="53"/>
      <c r="P91" s="53"/>
      <c r="Q91" s="53"/>
      <c r="W91" s="53"/>
      <c r="X91" s="53"/>
      <c r="Y91" s="53"/>
      <c r="Z91" s="53"/>
      <c r="AA91" s="53"/>
      <c r="AG91" s="53"/>
      <c r="AH91" s="53"/>
      <c r="AI91" s="53"/>
      <c r="AJ91" s="53"/>
      <c r="AK91" s="53"/>
    </row>
    <row r="92" spans="1:40" x14ac:dyDescent="0.2">
      <c r="C92" s="53"/>
      <c r="D92" s="53"/>
      <c r="E92" s="53"/>
      <c r="F92" s="53"/>
      <c r="G92" s="53"/>
      <c r="M92" s="53"/>
      <c r="N92" s="53"/>
      <c r="O92" s="53"/>
      <c r="P92" s="53"/>
      <c r="Q92" s="53"/>
      <c r="W92" s="53"/>
      <c r="X92" s="53"/>
      <c r="Y92" s="53"/>
      <c r="Z92" s="53"/>
      <c r="AA92" s="53"/>
      <c r="AG92" s="53"/>
      <c r="AH92" s="53"/>
      <c r="AI92" s="53"/>
      <c r="AJ92" s="53"/>
      <c r="AK92" s="53"/>
    </row>
    <row r="93" spans="1:40" x14ac:dyDescent="0.2">
      <c r="C93" s="53"/>
      <c r="D93" s="53"/>
      <c r="E93" s="53"/>
      <c r="F93" s="53"/>
      <c r="G93" s="53"/>
      <c r="M93" s="53"/>
      <c r="N93" s="53"/>
      <c r="O93" s="53"/>
      <c r="P93" s="53"/>
      <c r="Q93" s="53"/>
      <c r="W93" s="53"/>
      <c r="X93" s="53"/>
      <c r="Y93" s="53"/>
      <c r="Z93" s="53"/>
      <c r="AA93" s="53"/>
      <c r="AG93" s="53"/>
      <c r="AH93" s="53"/>
      <c r="AI93" s="53"/>
      <c r="AJ93" s="53"/>
      <c r="AK93" s="53"/>
    </row>
    <row r="94" spans="1:40" x14ac:dyDescent="0.2">
      <c r="C94" s="53"/>
      <c r="D94" s="53"/>
      <c r="E94" s="53"/>
      <c r="F94" s="53"/>
      <c r="G94" s="53"/>
      <c r="M94" s="53"/>
      <c r="N94" s="53"/>
      <c r="O94" s="53"/>
      <c r="P94" s="53"/>
      <c r="Q94" s="53"/>
      <c r="W94" s="53"/>
      <c r="X94" s="53"/>
      <c r="Y94" s="53"/>
      <c r="Z94" s="53"/>
      <c r="AA94" s="53"/>
      <c r="AG94" s="53"/>
      <c r="AH94" s="53"/>
      <c r="AI94" s="53"/>
      <c r="AJ94" s="53"/>
      <c r="AK94" s="53"/>
    </row>
    <row r="95" spans="1:40" x14ac:dyDescent="0.2">
      <c r="C95" s="53"/>
      <c r="D95" s="53"/>
      <c r="E95" s="53"/>
      <c r="F95" s="53"/>
      <c r="G95" s="53"/>
      <c r="M95" s="53"/>
      <c r="N95" s="53"/>
      <c r="O95" s="53"/>
      <c r="P95" s="53"/>
      <c r="Q95" s="53"/>
      <c r="W95" s="53"/>
      <c r="X95" s="53"/>
      <c r="Y95" s="53"/>
      <c r="Z95" s="53"/>
      <c r="AA95" s="53"/>
      <c r="AG95" s="53"/>
      <c r="AH95" s="53"/>
      <c r="AI95" s="53"/>
      <c r="AJ95" s="53"/>
      <c r="AK95" s="53"/>
    </row>
    <row r="96" spans="1:40" x14ac:dyDescent="0.2">
      <c r="A96" t="s">
        <v>51</v>
      </c>
      <c r="C96" s="53"/>
      <c r="D96" s="53"/>
      <c r="E96" s="53"/>
      <c r="F96" s="53"/>
      <c r="G96" s="53"/>
      <c r="K96" t="s">
        <v>51</v>
      </c>
      <c r="M96" s="53"/>
      <c r="N96" s="53"/>
      <c r="O96" s="53"/>
      <c r="P96" s="53"/>
      <c r="Q96" s="53"/>
      <c r="W96" s="53"/>
      <c r="X96" s="53"/>
      <c r="Y96" s="53"/>
      <c r="Z96" s="53"/>
      <c r="AA96" s="53"/>
      <c r="AG96" s="53"/>
      <c r="AH96" s="53"/>
      <c r="AI96" s="53"/>
      <c r="AJ96" s="53"/>
      <c r="AK96" s="53"/>
      <c r="AN96" t="s">
        <v>53</v>
      </c>
    </row>
  </sheetData>
  <sheetProtection algorithmName="SHA-512" hashValue="Bi3tCDWDEzVmJuQ5nvVCVpnYnCBR9/XUGIDqaGJIFRHSumf9daXbWYLvd3qRw+MD6YVc0g9mdLRo3cD1qLX1vg==" saltValue="fcnshClhRUCusElb1NIGjg==" spinCount="100000" sheet="1" objects="1" scenarios="1" insertRows="0"/>
  <mergeCells count="4">
    <mergeCell ref="AN23:AQ29"/>
    <mergeCell ref="AN32:AQ38"/>
    <mergeCell ref="AN45:AQ51"/>
    <mergeCell ref="D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3"/>
  <sheetViews>
    <sheetView tabSelected="1" workbookViewId="0">
      <selection activeCell="L1" sqref="L1:L1048576"/>
    </sheetView>
  </sheetViews>
  <sheetFormatPr defaultRowHeight="12.75" x14ac:dyDescent="0.2"/>
  <sheetData>
    <row r="2" spans="2:14" ht="13.5" customHeight="1" x14ac:dyDescent="0.2">
      <c r="B2" t="s">
        <v>3</v>
      </c>
      <c r="D2" t="s">
        <v>12</v>
      </c>
      <c r="F2" t="s">
        <v>106</v>
      </c>
      <c r="H2" t="s">
        <v>30</v>
      </c>
      <c r="J2" t="s">
        <v>30</v>
      </c>
      <c r="M2" t="s">
        <v>125</v>
      </c>
      <c r="N2" t="s">
        <v>126</v>
      </c>
    </row>
    <row r="3" spans="2:14" ht="13.5" customHeight="1" x14ac:dyDescent="0.2">
      <c r="H3" t="s">
        <v>62</v>
      </c>
      <c r="J3" t="s">
        <v>63</v>
      </c>
    </row>
    <row r="4" spans="2:14" ht="13.5" customHeight="1" x14ac:dyDescent="0.2">
      <c r="E4" t="s">
        <v>23</v>
      </c>
      <c r="F4">
        <f>+'EMVI-beoordelingsmatrix'!J20</f>
        <v>0</v>
      </c>
      <c r="H4">
        <f>+'EMVI-beoordelingsmatrix'!J72</f>
        <v>100</v>
      </c>
      <c r="J4">
        <f>+'EMVI-beoordelingsmatrix'!J75</f>
        <v>100</v>
      </c>
    </row>
    <row r="5" spans="2:14" ht="13.5" customHeight="1" x14ac:dyDescent="0.2">
      <c r="E5" t="s">
        <v>24</v>
      </c>
      <c r="F5">
        <v>100</v>
      </c>
      <c r="H5">
        <f>+'EMVI-beoordelingsmatrix'!L72</f>
        <v>103</v>
      </c>
      <c r="J5">
        <f>+'EMVI-beoordelingsmatrix'!L75</f>
        <v>103</v>
      </c>
    </row>
    <row r="6" spans="2:14" ht="13.5" customHeight="1" x14ac:dyDescent="0.2">
      <c r="E6" t="s">
        <v>25</v>
      </c>
      <c r="F6">
        <v>5</v>
      </c>
      <c r="H6" s="126">
        <f>+'EMVI-beoordelingsmatrix'!J73</f>
        <v>0.25</v>
      </c>
      <c r="J6" s="126">
        <f>+'EMVI-beoordelingsmatrix'!J76</f>
        <v>0.25</v>
      </c>
    </row>
    <row r="7" spans="2:14" ht="13.5" customHeight="1" x14ac:dyDescent="0.2"/>
    <row r="8" spans="2:14" x14ac:dyDescent="0.2">
      <c r="B8" t="s">
        <v>4</v>
      </c>
      <c r="D8" s="1">
        <v>1</v>
      </c>
      <c r="F8">
        <f>+F4</f>
        <v>0</v>
      </c>
      <c r="H8" s="26">
        <f>+H4</f>
        <v>100</v>
      </c>
      <c r="J8" s="26">
        <f>+J4</f>
        <v>100</v>
      </c>
      <c r="M8" s="1">
        <v>80</v>
      </c>
      <c r="N8">
        <v>0</v>
      </c>
    </row>
    <row r="9" spans="2:14" x14ac:dyDescent="0.2">
      <c r="B9" t="s">
        <v>5</v>
      </c>
      <c r="D9" s="1">
        <v>1.2</v>
      </c>
      <c r="F9">
        <f>IF(+F8+$F$6&gt;$F$5,$F$5,+F8+$F$6)</f>
        <v>5</v>
      </c>
      <c r="H9" s="26">
        <f>IF(+H8+$H$6&gt;$H$5,$H$5,+H8+$H$6)</f>
        <v>100.25</v>
      </c>
      <c r="J9" s="26">
        <f>IF(+J8+$J$6&gt;$J$5,$J$5,+J8+$J$6)</f>
        <v>100.25</v>
      </c>
      <c r="M9" s="1">
        <f>+M8+2.5</f>
        <v>82.5</v>
      </c>
      <c r="N9">
        <v>1</v>
      </c>
    </row>
    <row r="10" spans="2:14" x14ac:dyDescent="0.2">
      <c r="D10" s="1">
        <v>1.4</v>
      </c>
      <c r="F10">
        <f t="shared" ref="F10:F23" si="0">IF(+F9+$F$6&gt;$F$5,$F$5,+F9+$F$6)</f>
        <v>10</v>
      </c>
      <c r="H10" s="26">
        <f t="shared" ref="H10:H20" si="1">IF(+H9+$H$6&gt;$H$5,$H$5,+H9+$H$6)</f>
        <v>100.5</v>
      </c>
      <c r="J10" s="26">
        <f t="shared" ref="J10:J20" si="2">IF(+J9+$J$6&gt;$J$5,$J$5,+J9+$J$6)</f>
        <v>100.5</v>
      </c>
      <c r="M10" s="1">
        <f t="shared" ref="M10:M16" si="3">+M9+2.5</f>
        <v>85</v>
      </c>
      <c r="N10">
        <v>2</v>
      </c>
    </row>
    <row r="11" spans="2:14" x14ac:dyDescent="0.2">
      <c r="D11" s="1">
        <v>1.6</v>
      </c>
      <c r="F11">
        <f t="shared" si="0"/>
        <v>15</v>
      </c>
      <c r="H11" s="26">
        <f t="shared" si="1"/>
        <v>100.75</v>
      </c>
      <c r="J11" s="26">
        <f t="shared" si="2"/>
        <v>100.75</v>
      </c>
      <c r="M11" s="1">
        <f t="shared" si="3"/>
        <v>87.5</v>
      </c>
      <c r="N11">
        <v>3</v>
      </c>
    </row>
    <row r="12" spans="2:14" x14ac:dyDescent="0.2">
      <c r="D12" s="1">
        <v>1.8</v>
      </c>
      <c r="F12">
        <f t="shared" si="0"/>
        <v>20</v>
      </c>
      <c r="H12" s="26">
        <f t="shared" si="1"/>
        <v>101</v>
      </c>
      <c r="J12" s="26">
        <f t="shared" si="2"/>
        <v>101</v>
      </c>
      <c r="M12" s="1">
        <f t="shared" si="3"/>
        <v>90</v>
      </c>
      <c r="N12">
        <v>4</v>
      </c>
    </row>
    <row r="13" spans="2:14" x14ac:dyDescent="0.2">
      <c r="D13" s="1">
        <v>2</v>
      </c>
      <c r="F13">
        <f t="shared" si="0"/>
        <v>25</v>
      </c>
      <c r="H13" s="26">
        <f t="shared" si="1"/>
        <v>101.25</v>
      </c>
      <c r="J13" s="26">
        <f t="shared" si="2"/>
        <v>101.25</v>
      </c>
      <c r="M13" s="1">
        <f t="shared" si="3"/>
        <v>92.5</v>
      </c>
      <c r="N13">
        <v>5</v>
      </c>
    </row>
    <row r="14" spans="2:14" x14ac:dyDescent="0.2">
      <c r="D14" s="1">
        <v>2.2000000000000002</v>
      </c>
      <c r="F14">
        <f t="shared" si="0"/>
        <v>30</v>
      </c>
      <c r="H14" s="26">
        <f t="shared" si="1"/>
        <v>101.5</v>
      </c>
      <c r="J14" s="26">
        <f t="shared" si="2"/>
        <v>101.5</v>
      </c>
      <c r="M14" s="1">
        <f t="shared" si="3"/>
        <v>95</v>
      </c>
    </row>
    <row r="15" spans="2:14" x14ac:dyDescent="0.2">
      <c r="D15" s="1">
        <v>2.4</v>
      </c>
      <c r="F15">
        <f t="shared" si="0"/>
        <v>35</v>
      </c>
      <c r="H15" s="26">
        <f t="shared" si="1"/>
        <v>101.75</v>
      </c>
      <c r="J15" s="26">
        <f t="shared" si="2"/>
        <v>101.75</v>
      </c>
      <c r="M15" s="1">
        <f t="shared" si="3"/>
        <v>97.5</v>
      </c>
    </row>
    <row r="16" spans="2:14" x14ac:dyDescent="0.2">
      <c r="D16" s="1">
        <v>2.6</v>
      </c>
      <c r="F16">
        <f t="shared" si="0"/>
        <v>40</v>
      </c>
      <c r="H16" s="26">
        <f t="shared" si="1"/>
        <v>102</v>
      </c>
      <c r="J16" s="26">
        <f t="shared" si="2"/>
        <v>102</v>
      </c>
      <c r="M16" s="1">
        <f t="shared" si="3"/>
        <v>100</v>
      </c>
    </row>
    <row r="17" spans="4:10" x14ac:dyDescent="0.2">
      <c r="D17" s="1">
        <v>2.8</v>
      </c>
      <c r="F17">
        <f t="shared" si="0"/>
        <v>45</v>
      </c>
      <c r="H17" s="26">
        <f t="shared" si="1"/>
        <v>102.25</v>
      </c>
      <c r="J17" s="26">
        <f t="shared" si="2"/>
        <v>102.25</v>
      </c>
    </row>
    <row r="18" spans="4:10" x14ac:dyDescent="0.2">
      <c r="D18" s="1">
        <v>3</v>
      </c>
      <c r="F18">
        <f t="shared" si="0"/>
        <v>50</v>
      </c>
      <c r="H18" s="26">
        <f t="shared" si="1"/>
        <v>102.5</v>
      </c>
      <c r="J18" s="26">
        <f t="shared" si="2"/>
        <v>102.5</v>
      </c>
    </row>
    <row r="19" spans="4:10" x14ac:dyDescent="0.2">
      <c r="D19" s="1">
        <v>3</v>
      </c>
      <c r="F19">
        <f t="shared" si="0"/>
        <v>55</v>
      </c>
      <c r="H19" s="26">
        <f t="shared" si="1"/>
        <v>102.75</v>
      </c>
      <c r="J19" s="26">
        <f t="shared" si="2"/>
        <v>102.75</v>
      </c>
    </row>
    <row r="20" spans="4:10" x14ac:dyDescent="0.2">
      <c r="D20" s="1">
        <v>3</v>
      </c>
      <c r="F20">
        <f t="shared" si="0"/>
        <v>60</v>
      </c>
      <c r="H20" s="26">
        <f t="shared" si="1"/>
        <v>103</v>
      </c>
      <c r="J20" s="26">
        <f t="shared" si="2"/>
        <v>103</v>
      </c>
    </row>
    <row r="21" spans="4:10" x14ac:dyDescent="0.2">
      <c r="D21" s="1">
        <v>3</v>
      </c>
      <c r="F21">
        <f t="shared" si="0"/>
        <v>65</v>
      </c>
      <c r="H21" s="26"/>
      <c r="J21" s="26"/>
    </row>
    <row r="22" spans="4:10" x14ac:dyDescent="0.2">
      <c r="D22" s="1">
        <v>3</v>
      </c>
      <c r="F22">
        <f t="shared" si="0"/>
        <v>70</v>
      </c>
      <c r="H22" s="26"/>
      <c r="J22" s="26"/>
    </row>
    <row r="23" spans="4:10" x14ac:dyDescent="0.2">
      <c r="D23" s="1">
        <v>3</v>
      </c>
      <c r="F23">
        <f t="shared" si="0"/>
        <v>75</v>
      </c>
      <c r="H23" s="26"/>
      <c r="J23" s="26"/>
    </row>
    <row r="24" spans="4:10" x14ac:dyDescent="0.2">
      <c r="D24" s="1">
        <v>3</v>
      </c>
      <c r="F24">
        <v>100</v>
      </c>
      <c r="H24" s="26"/>
      <c r="J24" s="26"/>
    </row>
    <row r="25" spans="4:10" x14ac:dyDescent="0.2">
      <c r="D25" s="1">
        <v>3</v>
      </c>
      <c r="H25" s="26"/>
      <c r="J25" s="26"/>
    </row>
    <row r="26" spans="4:10" x14ac:dyDescent="0.2">
      <c r="D26" s="1">
        <v>3</v>
      </c>
      <c r="H26" s="26"/>
      <c r="J26" s="26"/>
    </row>
    <row r="27" spans="4:10" x14ac:dyDescent="0.2">
      <c r="D27" s="1">
        <v>3</v>
      </c>
      <c r="H27" s="26"/>
      <c r="J27" s="26"/>
    </row>
    <row r="28" spans="4:10" x14ac:dyDescent="0.2">
      <c r="D28" s="1">
        <v>3</v>
      </c>
      <c r="H28" s="26"/>
      <c r="J28" s="26"/>
    </row>
    <row r="29" spans="4:10" x14ac:dyDescent="0.2">
      <c r="H29" s="26"/>
      <c r="J29" s="26"/>
    </row>
    <row r="30" spans="4:10" x14ac:dyDescent="0.2">
      <c r="H30" s="26"/>
      <c r="J30" s="26"/>
    </row>
    <row r="31" spans="4:10" x14ac:dyDescent="0.2">
      <c r="H31" s="26"/>
      <c r="J31" s="26"/>
    </row>
    <row r="32" spans="4:10" x14ac:dyDescent="0.2">
      <c r="H32" s="26"/>
      <c r="J32" s="26"/>
    </row>
    <row r="33" spans="8:10" x14ac:dyDescent="0.2">
      <c r="H33" s="26"/>
      <c r="J33" s="26"/>
    </row>
    <row r="34" spans="8:10" x14ac:dyDescent="0.2">
      <c r="H34" s="26"/>
      <c r="J34" s="26"/>
    </row>
    <row r="35" spans="8:10" x14ac:dyDescent="0.2">
      <c r="H35" s="26"/>
      <c r="J35" s="26"/>
    </row>
    <row r="36" spans="8:10" x14ac:dyDescent="0.2">
      <c r="H36" s="26"/>
      <c r="J36" s="26"/>
    </row>
    <row r="37" spans="8:10" x14ac:dyDescent="0.2">
      <c r="H37" s="26"/>
      <c r="J37" s="26"/>
    </row>
    <row r="38" spans="8:10" x14ac:dyDescent="0.2">
      <c r="H38" s="26"/>
      <c r="J38" s="26"/>
    </row>
    <row r="39" spans="8:10" x14ac:dyDescent="0.2">
      <c r="H39" s="26"/>
      <c r="J39" s="26"/>
    </row>
    <row r="40" spans="8:10" x14ac:dyDescent="0.2">
      <c r="H40" s="26"/>
      <c r="J40" s="26"/>
    </row>
    <row r="41" spans="8:10" x14ac:dyDescent="0.2">
      <c r="H41" s="26"/>
      <c r="J41" s="26"/>
    </row>
    <row r="42" spans="8:10" x14ac:dyDescent="0.2">
      <c r="H42" s="26"/>
      <c r="J42" s="26"/>
    </row>
    <row r="43" spans="8:10" x14ac:dyDescent="0.2">
      <c r="H43" s="26"/>
      <c r="J43" s="26"/>
    </row>
  </sheetData>
  <sheetProtection algorithmName="SHA-512" hashValue="FtH5tNq46TiJRycMl8nqJK/tTkyxyP5Eq2OwhClLG7of28xPtEPYGC6e3ukdC2kdM4evLfNP8ZBVbjeNJktGHg==" saltValue="o8TN152asV49PWFU9O52a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EMVI-beoordelingsmatrix</vt:lpstr>
      <vt:lpstr>Voertuigen en materieel</vt:lpstr>
      <vt:lpstr>Invulwaarden</vt:lpstr>
    </vt:vector>
  </TitlesOfParts>
  <Company>Gemeente Meierijstad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hwijng</dc:creator>
  <cp:lastModifiedBy>Hans van den Wijngaard | gemeente Meierijstad</cp:lastModifiedBy>
  <dcterms:created xsi:type="dcterms:W3CDTF">2019-03-20T06:05:24Z</dcterms:created>
  <dcterms:modified xsi:type="dcterms:W3CDTF">2024-06-24T13:47:51Z</dcterms:modified>
</cp:coreProperties>
</file>